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4.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5.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6.xml" ContentType="application/vnd.openxmlformats-officedocument.drawing+xml"/>
  <Override PartName="/xl/ctrlProps/ctrlProp1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immo.Sakari\Dropbox\My PC (EA012N)\Desktop\QGasSP\GGIA tool development\"/>
    </mc:Choice>
  </mc:AlternateContent>
  <bookViews>
    <workbookView xWindow="0" yWindow="0" windowWidth="20475" windowHeight="8775"/>
  </bookViews>
  <sheets>
    <sheet name="START" sheetId="12" r:id="rId1"/>
    <sheet name="TRANSPORT" sheetId="11" r:id="rId2"/>
    <sheet name="LAND USE CHANGE" sheetId="18" r:id="rId3"/>
    <sheet name="BUILDINGS" sheetId="20" r:id="rId4"/>
    <sheet name="RESULTS" sheetId="17" r:id="rId5"/>
    <sheet name="LOCAL DATASET" sheetId="16" r:id="rId6"/>
    <sheet name="DEFAULT DATA" sheetId="10" r:id="rId7"/>
    <sheet name="MENU OPTIONS" sheetId="13"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22" i="11" l="1"/>
  <c r="W322" i="11"/>
  <c r="V322" i="11"/>
  <c r="Z313" i="11"/>
  <c r="AA313" i="11" s="1"/>
  <c r="Y313" i="11"/>
  <c r="Y321" i="11" s="1"/>
  <c r="U304" i="11"/>
  <c r="U303" i="11"/>
  <c r="V303" i="11" s="1"/>
  <c r="U302" i="11"/>
  <c r="U301" i="11"/>
  <c r="U300" i="11"/>
  <c r="V304" i="11" l="1"/>
  <c r="V301" i="11"/>
  <c r="V300" i="11"/>
  <c r="V302" i="11"/>
  <c r="AB313" i="11"/>
  <c r="AA321" i="11"/>
  <c r="AA315" i="11"/>
  <c r="Z315" i="11"/>
  <c r="Z321" i="11"/>
  <c r="Y315" i="11"/>
  <c r="Y318" i="11"/>
  <c r="Y319" i="11"/>
  <c r="Y320" i="11"/>
  <c r="AC313" i="11" l="1"/>
  <c r="AB321" i="11"/>
  <c r="AB315" i="11"/>
  <c r="AC321" i="11" l="1"/>
  <c r="AC315" i="11"/>
  <c r="AD313" i="11"/>
  <c r="AE313" i="11" l="1"/>
  <c r="AD321" i="11"/>
  <c r="AD315" i="11"/>
  <c r="AF313" i="11" l="1"/>
  <c r="AE321" i="11"/>
  <c r="AE315" i="11"/>
  <c r="AG313" i="11" l="1"/>
  <c r="AF321" i="11"/>
  <c r="AF315" i="11"/>
  <c r="AG321" i="11" l="1"/>
  <c r="AG315" i="11"/>
  <c r="AH313" i="11"/>
  <c r="AI313" i="11" l="1"/>
  <c r="AH321" i="11"/>
  <c r="AH315" i="11"/>
  <c r="AJ313" i="11" l="1"/>
  <c r="AI321" i="11"/>
  <c r="AI315" i="11"/>
  <c r="AK313" i="11" l="1"/>
  <c r="AJ321" i="11"/>
  <c r="AJ315" i="11"/>
  <c r="AK321" i="11" l="1"/>
  <c r="AK315" i="11"/>
  <c r="AL313" i="11"/>
  <c r="AM313" i="11" l="1"/>
  <c r="AL321" i="11"/>
  <c r="AL315" i="11"/>
  <c r="AN313" i="11" l="1"/>
  <c r="AM321" i="11"/>
  <c r="AM315" i="11"/>
  <c r="AO313" i="11" l="1"/>
  <c r="AN321" i="11"/>
  <c r="AN315" i="11"/>
  <c r="AO321" i="11" l="1"/>
  <c r="AO315" i="11"/>
  <c r="AP313" i="11"/>
  <c r="AQ313" i="11" l="1"/>
  <c r="AP321" i="11"/>
  <c r="AP315" i="11"/>
  <c r="AR313" i="11" l="1"/>
  <c r="AQ321" i="11"/>
  <c r="AQ315" i="11"/>
  <c r="AS313" i="11" l="1"/>
  <c r="AR321" i="11"/>
  <c r="AR315" i="11"/>
  <c r="AS321" i="11" l="1"/>
  <c r="AS315" i="11"/>
  <c r="AT313" i="11"/>
  <c r="AU313" i="11" l="1"/>
  <c r="AT321" i="11"/>
  <c r="AT315" i="11"/>
  <c r="AV313" i="11" l="1"/>
  <c r="AU321" i="11"/>
  <c r="AU315" i="11"/>
  <c r="AW313" i="11" l="1"/>
  <c r="AV321" i="11"/>
  <c r="AV315" i="11"/>
  <c r="AW321" i="11" l="1"/>
  <c r="AW315" i="11"/>
  <c r="AX313" i="11"/>
  <c r="AY313" i="11" l="1"/>
  <c r="AX321" i="11"/>
  <c r="AX315" i="11"/>
  <c r="AZ313" i="11" l="1"/>
  <c r="AY321" i="11"/>
  <c r="AY315" i="11"/>
  <c r="BA313" i="11" l="1"/>
  <c r="AZ321" i="11"/>
  <c r="AZ315" i="11"/>
  <c r="BA321" i="11" l="1"/>
  <c r="BA315" i="11"/>
  <c r="U568" i="11" l="1"/>
  <c r="U567" i="11"/>
  <c r="U566" i="11"/>
  <c r="U565" i="11"/>
  <c r="U564" i="11"/>
  <c r="Y586" i="11"/>
  <c r="Z586" i="11"/>
  <c r="AA586" i="11"/>
  <c r="X586" i="11"/>
  <c r="U460" i="11"/>
  <c r="V460" i="11" s="1"/>
  <c r="U461" i="11"/>
  <c r="V461" i="11" s="1"/>
  <c r="U462" i="11"/>
  <c r="V462" i="11" s="1"/>
  <c r="U463" i="11"/>
  <c r="V463" i="11" s="1"/>
  <c r="U464" i="11"/>
  <c r="V565" i="11" l="1"/>
  <c r="V567" i="11"/>
  <c r="V564" i="11"/>
  <c r="V566" i="11"/>
  <c r="V568" i="11"/>
  <c r="V464" i="11"/>
  <c r="Y579" i="11"/>
  <c r="Z579" i="11" s="1"/>
  <c r="AA579" i="11" s="1"/>
  <c r="AB579" i="11" s="1"/>
  <c r="AC579" i="11" s="1"/>
  <c r="AD579" i="11" s="1"/>
  <c r="AE579" i="11" s="1"/>
  <c r="AF579" i="11" s="1"/>
  <c r="AG579" i="11" s="1"/>
  <c r="AH579" i="11" s="1"/>
  <c r="AI579" i="11" s="1"/>
  <c r="AJ579" i="11" s="1"/>
  <c r="AK579" i="11" s="1"/>
  <c r="AL579" i="11" s="1"/>
  <c r="AM579" i="11" s="1"/>
  <c r="AN579" i="11" s="1"/>
  <c r="AO579" i="11" s="1"/>
  <c r="AP579" i="11" s="1"/>
  <c r="AQ579" i="11" s="1"/>
  <c r="AR579" i="11" s="1"/>
  <c r="AS579" i="11" s="1"/>
  <c r="AT579" i="11" s="1"/>
  <c r="AU579" i="11" s="1"/>
  <c r="AV579" i="11" s="1"/>
  <c r="AW579" i="11" s="1"/>
  <c r="AX579" i="11" s="1"/>
  <c r="AY579" i="11" s="1"/>
  <c r="AZ579" i="11" s="1"/>
  <c r="BA579" i="11" s="1"/>
  <c r="U560" i="11"/>
  <c r="V560" i="11" s="1"/>
  <c r="U559" i="11"/>
  <c r="V559" i="11" s="1"/>
  <c r="U558" i="11"/>
  <c r="V558" i="11" s="1"/>
  <c r="U557" i="11"/>
  <c r="U556" i="11"/>
  <c r="V556" i="11" s="1"/>
  <c r="W549" i="11"/>
  <c r="V549" i="11"/>
  <c r="W548" i="11"/>
  <c r="V548" i="11"/>
  <c r="W547" i="11"/>
  <c r="V547" i="11"/>
  <c r="W546" i="11"/>
  <c r="V546" i="11"/>
  <c r="W545" i="11"/>
  <c r="V545" i="11"/>
  <c r="W544" i="11"/>
  <c r="V544" i="11"/>
  <c r="W543" i="11"/>
  <c r="V543" i="11"/>
  <c r="W542" i="11"/>
  <c r="V542" i="11"/>
  <c r="W541" i="11"/>
  <c r="V541" i="11"/>
  <c r="W540" i="11"/>
  <c r="V540" i="11"/>
  <c r="W539" i="11"/>
  <c r="V539" i="11"/>
  <c r="W538" i="11"/>
  <c r="V538" i="11"/>
  <c r="W537" i="11"/>
  <c r="V537" i="11"/>
  <c r="W536" i="11"/>
  <c r="V536" i="11"/>
  <c r="W535" i="11"/>
  <c r="V535" i="11"/>
  <c r="W534" i="11"/>
  <c r="V534" i="11"/>
  <c r="W533" i="11"/>
  <c r="V533" i="11"/>
  <c r="Y528" i="11"/>
  <c r="Z528" i="11"/>
  <c r="AA528" i="11"/>
  <c r="AH528" i="11"/>
  <c r="AI528" i="11"/>
  <c r="AJ528" i="11"/>
  <c r="AK528" i="11"/>
  <c r="AL528" i="11"/>
  <c r="AM528" i="11"/>
  <c r="AN528" i="11"/>
  <c r="AO528" i="11"/>
  <c r="AP528" i="11"/>
  <c r="AQ528" i="11"/>
  <c r="AR528" i="11"/>
  <c r="AS528" i="11"/>
  <c r="AT528" i="11"/>
  <c r="AU528" i="11"/>
  <c r="AV528" i="11"/>
  <c r="AW528" i="11"/>
  <c r="AX528" i="11"/>
  <c r="AY528" i="11"/>
  <c r="AZ528" i="11"/>
  <c r="BA528" i="11"/>
  <c r="Y525" i="11"/>
  <c r="Z525" i="11"/>
  <c r="AA525" i="11"/>
  <c r="AH525" i="11"/>
  <c r="AI525" i="11"/>
  <c r="AJ525" i="11"/>
  <c r="AK525" i="11"/>
  <c r="AL525" i="11"/>
  <c r="AM525" i="11"/>
  <c r="AN525" i="11"/>
  <c r="AO525" i="11"/>
  <c r="AP525" i="11"/>
  <c r="AQ525" i="11"/>
  <c r="AR525" i="11"/>
  <c r="AS525" i="11"/>
  <c r="AT525" i="11"/>
  <c r="AU525" i="11"/>
  <c r="AV525" i="11"/>
  <c r="AW525" i="11"/>
  <c r="AX525" i="11"/>
  <c r="AY525" i="11"/>
  <c r="AZ525" i="11"/>
  <c r="BA525" i="11"/>
  <c r="Y522" i="11"/>
  <c r="Z522" i="11"/>
  <c r="AA522" i="11"/>
  <c r="AH522" i="11"/>
  <c r="AI522" i="11"/>
  <c r="AJ522" i="11"/>
  <c r="AK522" i="11"/>
  <c r="AL522" i="11"/>
  <c r="AM522" i="11"/>
  <c r="AN522" i="11"/>
  <c r="AO522" i="11"/>
  <c r="AP522" i="11"/>
  <c r="AQ522" i="11"/>
  <c r="AR522" i="11"/>
  <c r="AS522" i="11"/>
  <c r="AT522" i="11"/>
  <c r="AU522" i="11"/>
  <c r="AV522" i="11"/>
  <c r="AW522" i="11"/>
  <c r="AX522" i="11"/>
  <c r="AY522" i="11"/>
  <c r="AZ522" i="11"/>
  <c r="BA522" i="11"/>
  <c r="Y519" i="11"/>
  <c r="Z519" i="11"/>
  <c r="AA519" i="11"/>
  <c r="AH519" i="11"/>
  <c r="AI519" i="11"/>
  <c r="AJ519" i="11"/>
  <c r="AK519" i="11"/>
  <c r="AL519" i="11"/>
  <c r="AM519" i="11"/>
  <c r="AN519" i="11"/>
  <c r="AO519" i="11"/>
  <c r="AP519" i="11"/>
  <c r="AQ519" i="11"/>
  <c r="AR519" i="11"/>
  <c r="AS519" i="11"/>
  <c r="AT519" i="11"/>
  <c r="AU519" i="11"/>
  <c r="AV519" i="11"/>
  <c r="AW519" i="11"/>
  <c r="AX519" i="11"/>
  <c r="AY519" i="11"/>
  <c r="AZ519" i="11"/>
  <c r="BA519" i="11"/>
  <c r="Y516" i="11"/>
  <c r="Z516" i="11"/>
  <c r="AA516" i="11"/>
  <c r="AH516" i="11"/>
  <c r="AI516" i="11"/>
  <c r="AJ516" i="11"/>
  <c r="AK516" i="11"/>
  <c r="AL516" i="11"/>
  <c r="AM516" i="11"/>
  <c r="AN516" i="11"/>
  <c r="AO516" i="11"/>
  <c r="AP516" i="11"/>
  <c r="AQ516" i="11"/>
  <c r="AR516" i="11"/>
  <c r="AS516" i="11"/>
  <c r="AT516" i="11"/>
  <c r="AU516" i="11"/>
  <c r="AV516" i="11"/>
  <c r="AW516" i="11"/>
  <c r="AX516" i="11"/>
  <c r="AY516" i="11"/>
  <c r="AZ516" i="11"/>
  <c r="BA516" i="11"/>
  <c r="Y513" i="11"/>
  <c r="Z513" i="11"/>
  <c r="AA513" i="11"/>
  <c r="AH513" i="11"/>
  <c r="AI513" i="11"/>
  <c r="AJ513" i="11"/>
  <c r="AK513" i="11"/>
  <c r="AL513" i="11"/>
  <c r="AM513" i="11"/>
  <c r="AN513" i="11"/>
  <c r="AO513" i="11"/>
  <c r="AP513" i="11"/>
  <c r="AQ513" i="11"/>
  <c r="AR513" i="11"/>
  <c r="AS513" i="11"/>
  <c r="AT513" i="11"/>
  <c r="AU513" i="11"/>
  <c r="AV513" i="11"/>
  <c r="AW513" i="11"/>
  <c r="AX513" i="11"/>
  <c r="AY513" i="11"/>
  <c r="AZ513" i="11"/>
  <c r="BA513" i="11"/>
  <c r="Y510" i="11"/>
  <c r="Z510" i="11"/>
  <c r="AA510" i="11"/>
  <c r="AH510" i="11"/>
  <c r="AI510" i="11"/>
  <c r="AJ510" i="11"/>
  <c r="AK510" i="11"/>
  <c r="AL510" i="11"/>
  <c r="AM510" i="11"/>
  <c r="AN510" i="11"/>
  <c r="AO510" i="11"/>
  <c r="AP510" i="11"/>
  <c r="AQ510" i="11"/>
  <c r="AR510" i="11"/>
  <c r="AS510" i="11"/>
  <c r="AT510" i="11"/>
  <c r="AU510" i="11"/>
  <c r="AV510" i="11"/>
  <c r="AW510" i="11"/>
  <c r="AX510" i="11"/>
  <c r="AY510" i="11"/>
  <c r="AZ510" i="11"/>
  <c r="BA510" i="11"/>
  <c r="Y507" i="11"/>
  <c r="Z507" i="11"/>
  <c r="AA507" i="11"/>
  <c r="AH507" i="11"/>
  <c r="AI507" i="11"/>
  <c r="AJ507" i="11"/>
  <c r="AK507" i="11"/>
  <c r="AL507" i="11"/>
  <c r="AM507" i="11"/>
  <c r="AN507" i="11"/>
  <c r="AO507" i="11"/>
  <c r="AP507" i="11"/>
  <c r="AQ507" i="11"/>
  <c r="AR507" i="11"/>
  <c r="AS507" i="11"/>
  <c r="AT507" i="11"/>
  <c r="AU507" i="11"/>
  <c r="AV507" i="11"/>
  <c r="AW507" i="11"/>
  <c r="AX507" i="11"/>
  <c r="AY507" i="11"/>
  <c r="AZ507" i="11"/>
  <c r="BA507" i="11"/>
  <c r="Y502" i="11"/>
  <c r="Z502" i="11"/>
  <c r="AA502" i="11"/>
  <c r="AH502" i="11"/>
  <c r="AI502" i="11"/>
  <c r="AJ502" i="11"/>
  <c r="AK502" i="11"/>
  <c r="AL502" i="11"/>
  <c r="AM502" i="11"/>
  <c r="AN502" i="11"/>
  <c r="AO502" i="11"/>
  <c r="AP502" i="11"/>
  <c r="AQ502" i="11"/>
  <c r="AR502" i="11"/>
  <c r="AS502" i="11"/>
  <c r="AT502" i="11"/>
  <c r="AU502" i="11"/>
  <c r="AV502" i="11"/>
  <c r="AW502" i="11"/>
  <c r="AX502" i="11"/>
  <c r="AY502" i="11"/>
  <c r="AZ502" i="11"/>
  <c r="BA502" i="11"/>
  <c r="Y499" i="11"/>
  <c r="Z499" i="11"/>
  <c r="AA499" i="11"/>
  <c r="AH499" i="11"/>
  <c r="AI499" i="11"/>
  <c r="AJ499" i="11"/>
  <c r="AK499" i="11"/>
  <c r="AL499" i="11"/>
  <c r="AM499" i="11"/>
  <c r="AN499" i="11"/>
  <c r="AO499" i="11"/>
  <c r="AP499" i="11"/>
  <c r="AQ499" i="11"/>
  <c r="AR499" i="11"/>
  <c r="AS499" i="11"/>
  <c r="AT499" i="11"/>
  <c r="AU499" i="11"/>
  <c r="AV499" i="11"/>
  <c r="AW499" i="11"/>
  <c r="AX499" i="11"/>
  <c r="AY499" i="11"/>
  <c r="AZ499" i="11"/>
  <c r="BA499" i="11"/>
  <c r="Y494" i="11"/>
  <c r="Z494" i="11"/>
  <c r="AA494" i="11"/>
  <c r="AH494" i="11"/>
  <c r="AI494" i="11"/>
  <c r="AJ494" i="11"/>
  <c r="AK494" i="11"/>
  <c r="AL494" i="11"/>
  <c r="AM494" i="11"/>
  <c r="AN494" i="11"/>
  <c r="AO494" i="11"/>
  <c r="AP494" i="11"/>
  <c r="AQ494" i="11"/>
  <c r="AR494" i="11"/>
  <c r="AS494" i="11"/>
  <c r="AT494" i="11"/>
  <c r="AU494" i="11"/>
  <c r="AV494" i="11"/>
  <c r="AW494" i="11"/>
  <c r="AX494" i="11"/>
  <c r="AY494" i="11"/>
  <c r="AZ494" i="11"/>
  <c r="BA494" i="11"/>
  <c r="Y491" i="11"/>
  <c r="Z491" i="11"/>
  <c r="AA491" i="11"/>
  <c r="AH491" i="11"/>
  <c r="AI491" i="11"/>
  <c r="AJ491" i="11"/>
  <c r="AK491" i="11"/>
  <c r="AL491" i="11"/>
  <c r="AM491" i="11"/>
  <c r="AN491" i="11"/>
  <c r="AO491" i="11"/>
  <c r="AP491" i="11"/>
  <c r="AQ491" i="11"/>
  <c r="AR491" i="11"/>
  <c r="AS491" i="11"/>
  <c r="AT491" i="11"/>
  <c r="AU491" i="11"/>
  <c r="AV491" i="11"/>
  <c r="AW491" i="11"/>
  <c r="AX491" i="11"/>
  <c r="AY491" i="11"/>
  <c r="AZ491" i="11"/>
  <c r="BA491" i="11"/>
  <c r="X522" i="11"/>
  <c r="X525" i="11"/>
  <c r="X528" i="11"/>
  <c r="X519" i="11"/>
  <c r="X516" i="11"/>
  <c r="X513" i="11"/>
  <c r="X510" i="11"/>
  <c r="X507" i="11"/>
  <c r="X502" i="11"/>
  <c r="X499" i="11"/>
  <c r="X494" i="11"/>
  <c r="X491" i="11"/>
  <c r="Y488" i="11"/>
  <c r="Z488" i="11"/>
  <c r="AA488" i="11"/>
  <c r="AH488" i="11"/>
  <c r="AI488" i="11"/>
  <c r="AJ488" i="11"/>
  <c r="AK488" i="11"/>
  <c r="AL488" i="11"/>
  <c r="AM488" i="11"/>
  <c r="AN488" i="11"/>
  <c r="AO488" i="11"/>
  <c r="AP488" i="11"/>
  <c r="AQ488" i="11"/>
  <c r="AR488" i="11"/>
  <c r="AS488" i="11"/>
  <c r="AT488" i="11"/>
  <c r="AU488" i="11"/>
  <c r="AV488" i="11"/>
  <c r="AW488" i="11"/>
  <c r="AX488" i="11"/>
  <c r="AY488" i="11"/>
  <c r="AZ488" i="11"/>
  <c r="BA488" i="11"/>
  <c r="X488" i="11"/>
  <c r="U533" i="11" l="1"/>
  <c r="U535" i="11"/>
  <c r="U537" i="11"/>
  <c r="U539" i="11"/>
  <c r="U541" i="11"/>
  <c r="U543" i="11"/>
  <c r="U545" i="11"/>
  <c r="U547" i="11"/>
  <c r="U549" i="11"/>
  <c r="V557" i="11"/>
  <c r="U534" i="11"/>
  <c r="U536" i="11"/>
  <c r="U538" i="11"/>
  <c r="U540" i="11"/>
  <c r="U542" i="11"/>
  <c r="U544" i="11"/>
  <c r="U546" i="11"/>
  <c r="U548" i="11"/>
  <c r="F227" i="11"/>
  <c r="U456" i="11"/>
  <c r="V456" i="11" s="1"/>
  <c r="U455" i="11"/>
  <c r="V455" i="11" s="1"/>
  <c r="U454" i="11"/>
  <c r="V454" i="11" s="1"/>
  <c r="U453" i="11"/>
  <c r="V453" i="11" s="1"/>
  <c r="U452" i="11"/>
  <c r="Y475" i="11"/>
  <c r="Z475" i="11" s="1"/>
  <c r="AA475" i="11" s="1"/>
  <c r="AB475" i="11" s="1"/>
  <c r="AC475" i="11" s="1"/>
  <c r="AD475" i="11" s="1"/>
  <c r="AE475" i="11" s="1"/>
  <c r="AF475" i="11" s="1"/>
  <c r="AG475" i="11" s="1"/>
  <c r="AH475" i="11" s="1"/>
  <c r="AI475" i="11" s="1"/>
  <c r="AJ475" i="11" s="1"/>
  <c r="AK475" i="11" s="1"/>
  <c r="AL475" i="11" s="1"/>
  <c r="AM475" i="11" s="1"/>
  <c r="AN475" i="11" s="1"/>
  <c r="AO475" i="11" s="1"/>
  <c r="AP475" i="11" s="1"/>
  <c r="AQ475" i="11" s="1"/>
  <c r="AR475" i="11" s="1"/>
  <c r="AS475" i="11" s="1"/>
  <c r="AT475" i="11" s="1"/>
  <c r="AU475" i="11" s="1"/>
  <c r="AV475" i="11" s="1"/>
  <c r="AW475" i="11" s="1"/>
  <c r="AX475" i="11" s="1"/>
  <c r="AY475" i="11" s="1"/>
  <c r="AZ475" i="11" s="1"/>
  <c r="BA475" i="11" s="1"/>
  <c r="BA451" i="11"/>
  <c r="AZ451" i="11"/>
  <c r="AY451" i="11"/>
  <c r="AX451" i="11"/>
  <c r="AW451" i="11"/>
  <c r="AV451" i="11"/>
  <c r="AU451" i="11"/>
  <c r="AT451" i="11"/>
  <c r="AS451" i="11"/>
  <c r="AR451" i="11"/>
  <c r="AQ451" i="11"/>
  <c r="AP451" i="11"/>
  <c r="AO451" i="11"/>
  <c r="AN451" i="11"/>
  <c r="AM451" i="11"/>
  <c r="AL451" i="11"/>
  <c r="AK451" i="11"/>
  <c r="AJ451" i="11"/>
  <c r="AI451" i="11"/>
  <c r="AH451" i="11"/>
  <c r="AG451" i="11"/>
  <c r="AF451" i="11"/>
  <c r="AE451" i="11"/>
  <c r="AD451" i="11"/>
  <c r="AC451" i="11"/>
  <c r="AB451" i="11"/>
  <c r="AA451" i="11"/>
  <c r="Z451" i="11"/>
  <c r="Y451" i="11"/>
  <c r="X451" i="11"/>
  <c r="Y299" i="11"/>
  <c r="Y298" i="11"/>
  <c r="Y297" i="11"/>
  <c r="Y296" i="11"/>
  <c r="Y295" i="11"/>
  <c r="V452" i="11" l="1"/>
  <c r="Y425" i="11"/>
  <c r="Z425" i="11"/>
  <c r="AA425" i="11"/>
  <c r="AL425" i="11"/>
  <c r="AM425" i="11"/>
  <c r="AN425" i="11"/>
  <c r="AO425" i="11"/>
  <c r="AP425" i="11"/>
  <c r="AQ425" i="11"/>
  <c r="AR425" i="11"/>
  <c r="AS425" i="11"/>
  <c r="AT425" i="11"/>
  <c r="AU425" i="11"/>
  <c r="AV425" i="11"/>
  <c r="AW425" i="11"/>
  <c r="AX425" i="11"/>
  <c r="AY425" i="11"/>
  <c r="AZ425" i="11"/>
  <c r="BA425" i="11"/>
  <c r="X425" i="11"/>
  <c r="Y434" i="11"/>
  <c r="Z434" i="11"/>
  <c r="AA434" i="11"/>
  <c r="AL434" i="11"/>
  <c r="AM434" i="11"/>
  <c r="AN434" i="11"/>
  <c r="AO434" i="11"/>
  <c r="AP434" i="11"/>
  <c r="AQ434" i="11"/>
  <c r="AR434" i="11"/>
  <c r="AS434" i="11"/>
  <c r="AT434" i="11"/>
  <c r="AU434" i="11"/>
  <c r="AV434" i="11"/>
  <c r="AW434" i="11"/>
  <c r="AX434" i="11"/>
  <c r="AY434" i="11"/>
  <c r="AZ434" i="11"/>
  <c r="BA434" i="11"/>
  <c r="X434" i="11"/>
  <c r="Y431" i="11"/>
  <c r="Z431" i="11"/>
  <c r="AA431" i="11"/>
  <c r="AL431" i="11"/>
  <c r="AM431" i="11"/>
  <c r="AN431" i="11"/>
  <c r="AO431" i="11"/>
  <c r="AP431" i="11"/>
  <c r="AQ431" i="11"/>
  <c r="AR431" i="11"/>
  <c r="AS431" i="11"/>
  <c r="AT431" i="11"/>
  <c r="AU431" i="11"/>
  <c r="AV431" i="11"/>
  <c r="AW431" i="11"/>
  <c r="AX431" i="11"/>
  <c r="AY431" i="11"/>
  <c r="AZ431" i="11"/>
  <c r="BA431" i="11"/>
  <c r="X431" i="11"/>
  <c r="Y428" i="11"/>
  <c r="Z428" i="11"/>
  <c r="AA428" i="11"/>
  <c r="AL428" i="11"/>
  <c r="AM428" i="11"/>
  <c r="AN428" i="11"/>
  <c r="AO428" i="11"/>
  <c r="AP428" i="11"/>
  <c r="AQ428" i="11"/>
  <c r="AR428" i="11"/>
  <c r="AS428" i="11"/>
  <c r="AT428" i="11"/>
  <c r="AU428" i="11"/>
  <c r="AV428" i="11"/>
  <c r="AW428" i="11"/>
  <c r="AX428" i="11"/>
  <c r="AY428" i="11"/>
  <c r="AZ428" i="11"/>
  <c r="BA428" i="11"/>
  <c r="X428" i="11"/>
  <c r="W445" i="11"/>
  <c r="V445" i="11"/>
  <c r="W444" i="11"/>
  <c r="V444" i="11"/>
  <c r="W443" i="11"/>
  <c r="V443" i="11"/>
  <c r="W442" i="11"/>
  <c r="V442" i="11"/>
  <c r="W441" i="11"/>
  <c r="V441" i="11"/>
  <c r="U299" i="11"/>
  <c r="U298" i="11"/>
  <c r="U297" i="11"/>
  <c r="U296" i="11"/>
  <c r="V296" i="11" s="1"/>
  <c r="U295" i="11"/>
  <c r="U441" i="11" l="1"/>
  <c r="U443" i="11"/>
  <c r="U442" i="11"/>
  <c r="U444" i="11"/>
  <c r="V298" i="11"/>
  <c r="V295" i="11"/>
  <c r="V297" i="11"/>
  <c r="V299" i="11"/>
  <c r="Y410" i="11" l="1"/>
  <c r="Z410" i="11" s="1"/>
  <c r="AA410" i="11" s="1"/>
  <c r="AB410" i="11" s="1"/>
  <c r="AC410" i="11" s="1"/>
  <c r="AD410" i="11" s="1"/>
  <c r="AE410" i="11" s="1"/>
  <c r="AF410" i="11" s="1"/>
  <c r="AG410" i="11" s="1"/>
  <c r="AH410" i="11" s="1"/>
  <c r="AI410" i="11" s="1"/>
  <c r="AJ410" i="11" s="1"/>
  <c r="AK410" i="11" s="1"/>
  <c r="AL410" i="11" s="1"/>
  <c r="AM410" i="11" s="1"/>
  <c r="AN410" i="11" s="1"/>
  <c r="AO410" i="11" s="1"/>
  <c r="AP410" i="11" s="1"/>
  <c r="AQ410" i="11" s="1"/>
  <c r="AR410" i="11" s="1"/>
  <c r="AS410" i="11" s="1"/>
  <c r="AT410" i="11" s="1"/>
  <c r="AU410" i="11" s="1"/>
  <c r="AV410" i="11" s="1"/>
  <c r="AW410" i="11" s="1"/>
  <c r="AX410" i="11" s="1"/>
  <c r="AY410" i="11" s="1"/>
  <c r="AZ410" i="11" s="1"/>
  <c r="BA410" i="11" s="1"/>
  <c r="X391" i="11"/>
  <c r="X392" i="11"/>
  <c r="X390" i="11"/>
  <c r="G181" i="11"/>
  <c r="KD1" i="10"/>
  <c r="KE1" i="10" s="1"/>
  <c r="KF1" i="10" s="1"/>
  <c r="KG1" i="10" s="1"/>
  <c r="KH1" i="10" s="1"/>
  <c r="KI1" i="10" s="1"/>
  <c r="KJ1" i="10" s="1"/>
  <c r="KK1" i="10" s="1"/>
  <c r="KL1" i="10" s="1"/>
  <c r="KM1" i="10" s="1"/>
  <c r="KN1" i="10" s="1"/>
  <c r="KO1" i="10" s="1"/>
  <c r="KP1" i="10" s="1"/>
  <c r="KQ1" i="10" s="1"/>
  <c r="KR1" i="10" s="1"/>
  <c r="KS1" i="10" s="1"/>
  <c r="KT1" i="10" s="1"/>
  <c r="KU1" i="10" s="1"/>
  <c r="KV1" i="10" s="1"/>
  <c r="KW1" i="10" s="1"/>
  <c r="KX1" i="10" s="1"/>
  <c r="KY1" i="10" s="1"/>
  <c r="KZ1" i="10" s="1"/>
  <c r="LA1" i="10" s="1"/>
  <c r="LB1" i="10" s="1"/>
  <c r="LC1" i="10" s="1"/>
  <c r="LD1" i="10" s="1"/>
  <c r="LE1" i="10" s="1"/>
  <c r="LF1" i="10" s="1"/>
  <c r="LG1" i="10" s="1"/>
  <c r="LH1" i="10" s="1"/>
  <c r="LI1" i="10" s="1"/>
  <c r="LJ1" i="10" s="1"/>
  <c r="LK1" i="10" s="1"/>
  <c r="JS1" i="10"/>
  <c r="JT1" i="10" s="1"/>
  <c r="W611" i="11"/>
  <c r="X611" i="11"/>
  <c r="W612" i="11"/>
  <c r="X612" i="11"/>
  <c r="W613" i="11"/>
  <c r="X613" i="11"/>
  <c r="V611" i="11"/>
  <c r="V612" i="11"/>
  <c r="V613" i="11"/>
  <c r="Y606" i="11"/>
  <c r="Z606" i="11" s="1"/>
  <c r="AA606" i="11" s="1"/>
  <c r="Y594" i="11"/>
  <c r="X393" i="11" l="1"/>
  <c r="X396" i="11" s="1"/>
  <c r="Z594" i="11"/>
  <c r="AB606" i="11"/>
  <c r="G190" i="11"/>
  <c r="F190" i="11"/>
  <c r="F181" i="11"/>
  <c r="X395" i="11" l="1"/>
  <c r="X402" i="11" s="1"/>
  <c r="X397" i="11"/>
  <c r="X406" i="11" s="1"/>
  <c r="AA594" i="11"/>
  <c r="AC606" i="11"/>
  <c r="Y72" i="11"/>
  <c r="Z72" i="11"/>
  <c r="AA72" i="11"/>
  <c r="AB72" i="11"/>
  <c r="AC72" i="11"/>
  <c r="AD72" i="11"/>
  <c r="AE72" i="11"/>
  <c r="AF72" i="11"/>
  <c r="AG72" i="11"/>
  <c r="AH72" i="11"/>
  <c r="AI72" i="11"/>
  <c r="AJ72" i="11"/>
  <c r="AK72" i="11"/>
  <c r="AL72" i="11"/>
  <c r="AM72" i="11"/>
  <c r="AN72" i="11"/>
  <c r="AO72" i="11"/>
  <c r="AP72" i="11"/>
  <c r="AQ72" i="11"/>
  <c r="AR72" i="11"/>
  <c r="AS72" i="11"/>
  <c r="AT72" i="11"/>
  <c r="AU72" i="11"/>
  <c r="AV72" i="11"/>
  <c r="AW72" i="11"/>
  <c r="AX72" i="11"/>
  <c r="AY72" i="11"/>
  <c r="AZ72" i="11"/>
  <c r="BA72" i="11"/>
  <c r="X72" i="11"/>
  <c r="Y64" i="11"/>
  <c r="Y509" i="11" s="1"/>
  <c r="Z64" i="11"/>
  <c r="Z509" i="11" s="1"/>
  <c r="AA64" i="11"/>
  <c r="AA509" i="11" s="1"/>
  <c r="AB64" i="11"/>
  <c r="AB509" i="11" s="1"/>
  <c r="AC64" i="11"/>
  <c r="AC509" i="11" s="1"/>
  <c r="AD64" i="11"/>
  <c r="AD509" i="11" s="1"/>
  <c r="AE64" i="11"/>
  <c r="AE509" i="11" s="1"/>
  <c r="AF64" i="11"/>
  <c r="AF509" i="11" s="1"/>
  <c r="AG64" i="11"/>
  <c r="AH64" i="11"/>
  <c r="AH509" i="11" s="1"/>
  <c r="AI64" i="11"/>
  <c r="AI509" i="11" s="1"/>
  <c r="AJ64" i="11"/>
  <c r="AJ509" i="11" s="1"/>
  <c r="AK64" i="11"/>
  <c r="AK509" i="11" s="1"/>
  <c r="AL64" i="11"/>
  <c r="AL509" i="11" s="1"/>
  <c r="AM64" i="11"/>
  <c r="AM509" i="11" s="1"/>
  <c r="AN64" i="11"/>
  <c r="AN509" i="11" s="1"/>
  <c r="AO64" i="11"/>
  <c r="AO509" i="11" s="1"/>
  <c r="AP64" i="11"/>
  <c r="AP509" i="11" s="1"/>
  <c r="AQ64" i="11"/>
  <c r="AQ509" i="11" s="1"/>
  <c r="AR64" i="11"/>
  <c r="AR509" i="11" s="1"/>
  <c r="AS64" i="11"/>
  <c r="AS509" i="11" s="1"/>
  <c r="AT64" i="11"/>
  <c r="AT509" i="11" s="1"/>
  <c r="AU64" i="11"/>
  <c r="AU509" i="11" s="1"/>
  <c r="AV64" i="11"/>
  <c r="AV509" i="11" s="1"/>
  <c r="AW64" i="11"/>
  <c r="AW509" i="11" s="1"/>
  <c r="AX64" i="11"/>
  <c r="AX509" i="11" s="1"/>
  <c r="AY64" i="11"/>
  <c r="AY509" i="11" s="1"/>
  <c r="AZ64" i="11"/>
  <c r="AZ509" i="11" s="1"/>
  <c r="BA64" i="11"/>
  <c r="BA509" i="11" s="1"/>
  <c r="X64" i="11"/>
  <c r="X509" i="11" s="1"/>
  <c r="X511" i="11" s="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AZ71" i="11"/>
  <c r="BA71" i="11"/>
  <c r="X71" i="11"/>
  <c r="Y61" i="11"/>
  <c r="Y501" i="11" s="1"/>
  <c r="Z61" i="11"/>
  <c r="Z501" i="11" s="1"/>
  <c r="AA61" i="11"/>
  <c r="AA501" i="11" s="1"/>
  <c r="AB61" i="11"/>
  <c r="AB501" i="11" s="1"/>
  <c r="AC61" i="11"/>
  <c r="AC501" i="11" s="1"/>
  <c r="AD61" i="11"/>
  <c r="AD501" i="11" s="1"/>
  <c r="AE61" i="11"/>
  <c r="AE501" i="11" s="1"/>
  <c r="AF61" i="11"/>
  <c r="AF501" i="11" s="1"/>
  <c r="AG61" i="11"/>
  <c r="AH61" i="11"/>
  <c r="AH501" i="11" s="1"/>
  <c r="AI61" i="11"/>
  <c r="AI501" i="11" s="1"/>
  <c r="AJ61" i="11"/>
  <c r="AJ501" i="11" s="1"/>
  <c r="AK61" i="11"/>
  <c r="AK501" i="11" s="1"/>
  <c r="AL61" i="11"/>
  <c r="AL501" i="11" s="1"/>
  <c r="AM61" i="11"/>
  <c r="AM501" i="11" s="1"/>
  <c r="AN61" i="11"/>
  <c r="AN501" i="11" s="1"/>
  <c r="AO61" i="11"/>
  <c r="AO501" i="11" s="1"/>
  <c r="AP61" i="11"/>
  <c r="AP501" i="11" s="1"/>
  <c r="AQ61" i="11"/>
  <c r="AQ501" i="11" s="1"/>
  <c r="AR61" i="11"/>
  <c r="AR501" i="11" s="1"/>
  <c r="AS61" i="11"/>
  <c r="AS501" i="11" s="1"/>
  <c r="AT61" i="11"/>
  <c r="AT501" i="11" s="1"/>
  <c r="AU61" i="11"/>
  <c r="AU501" i="11" s="1"/>
  <c r="AV61" i="11"/>
  <c r="AV501" i="11" s="1"/>
  <c r="AW61" i="11"/>
  <c r="AW501" i="11" s="1"/>
  <c r="AX61" i="11"/>
  <c r="AX501" i="11" s="1"/>
  <c r="AY61" i="11"/>
  <c r="AY501" i="11" s="1"/>
  <c r="AZ61" i="11"/>
  <c r="AZ501" i="11" s="1"/>
  <c r="BA61" i="11"/>
  <c r="BA501" i="11" s="1"/>
  <c r="X61" i="11"/>
  <c r="X501" i="11" s="1"/>
  <c r="X503" i="11" s="1"/>
  <c r="W72" i="11"/>
  <c r="V72" i="11"/>
  <c r="W71" i="11"/>
  <c r="V71" i="11"/>
  <c r="W183" i="11"/>
  <c r="W601" i="11" s="1"/>
  <c r="X183" i="11"/>
  <c r="X601" i="11" s="1"/>
  <c r="V183" i="11"/>
  <c r="V601" i="11" s="1"/>
  <c r="W156" i="11"/>
  <c r="W157" i="11"/>
  <c r="W158" i="11"/>
  <c r="W159" i="11"/>
  <c r="W155" i="11"/>
  <c r="Z141" i="11"/>
  <c r="AA141" i="11"/>
  <c r="AB141" i="11"/>
  <c r="AC141" i="11"/>
  <c r="AD141" i="11"/>
  <c r="AE141" i="11"/>
  <c r="AF141" i="11"/>
  <c r="AG141" i="11"/>
  <c r="AH141" i="11"/>
  <c r="AI141" i="11"/>
  <c r="AJ141" i="11"/>
  <c r="AK141" i="11"/>
  <c r="AL141" i="11"/>
  <c r="AM141" i="11"/>
  <c r="AN141" i="11"/>
  <c r="AO141" i="11"/>
  <c r="AP141" i="11"/>
  <c r="AQ141" i="11"/>
  <c r="AR141" i="11"/>
  <c r="AS141" i="11"/>
  <c r="AT141" i="11"/>
  <c r="AU141" i="11"/>
  <c r="AV141" i="11"/>
  <c r="AW141" i="11"/>
  <c r="AX141" i="11"/>
  <c r="AY141" i="11"/>
  <c r="AZ141" i="11"/>
  <c r="BA141"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Z144" i="11"/>
  <c r="AA144" i="11"/>
  <c r="AB144" i="11"/>
  <c r="AC144" i="11"/>
  <c r="AD144" i="11"/>
  <c r="AE144" i="11"/>
  <c r="AF144" i="11"/>
  <c r="AG144" i="11"/>
  <c r="AH144" i="11"/>
  <c r="AI144" i="11"/>
  <c r="AJ144" i="11"/>
  <c r="AK144" i="11"/>
  <c r="AL144" i="11"/>
  <c r="AM144" i="11"/>
  <c r="AN144" i="11"/>
  <c r="AO144" i="11"/>
  <c r="AP144" i="11"/>
  <c r="AQ144" i="11"/>
  <c r="AR144" i="11"/>
  <c r="AS144" i="11"/>
  <c r="AT144" i="11"/>
  <c r="AU144" i="11"/>
  <c r="AV144" i="11"/>
  <c r="AW144" i="11"/>
  <c r="AX144" i="11"/>
  <c r="AY144" i="11"/>
  <c r="AZ144" i="11"/>
  <c r="BA144" i="11"/>
  <c r="Z145" i="11"/>
  <c r="AA145" i="11"/>
  <c r="AB145" i="11"/>
  <c r="AC145" i="11"/>
  <c r="AD145" i="11"/>
  <c r="AE145" i="11"/>
  <c r="AF145" i="11"/>
  <c r="AG145" i="11"/>
  <c r="AH145" i="11"/>
  <c r="AI145" i="11"/>
  <c r="AJ145" i="11"/>
  <c r="AK145" i="11"/>
  <c r="AL145" i="11"/>
  <c r="AM145" i="11"/>
  <c r="AN145" i="11"/>
  <c r="AO145" i="11"/>
  <c r="AP145" i="11"/>
  <c r="AQ145" i="11"/>
  <c r="AR145" i="11"/>
  <c r="AS145" i="11"/>
  <c r="AT145" i="11"/>
  <c r="AU145" i="11"/>
  <c r="AV145" i="11"/>
  <c r="AW145" i="11"/>
  <c r="AX145" i="11"/>
  <c r="AY145" i="11"/>
  <c r="AZ145" i="11"/>
  <c r="BA145" i="11"/>
  <c r="Z146" i="11"/>
  <c r="AA146" i="11"/>
  <c r="AB146" i="11"/>
  <c r="AC146" i="11"/>
  <c r="AD146" i="11"/>
  <c r="AE146" i="11"/>
  <c r="AF146" i="11"/>
  <c r="AG146" i="11"/>
  <c r="AH146" i="11"/>
  <c r="AI146" i="11"/>
  <c r="AJ146" i="11"/>
  <c r="AK146" i="11"/>
  <c r="AL146" i="11"/>
  <c r="AM146" i="11"/>
  <c r="AN146" i="11"/>
  <c r="AO146" i="11"/>
  <c r="AP146" i="11"/>
  <c r="AQ146" i="11"/>
  <c r="AR146" i="11"/>
  <c r="AS146" i="11"/>
  <c r="AT146" i="11"/>
  <c r="AU146" i="11"/>
  <c r="AV146" i="11"/>
  <c r="AW146" i="11"/>
  <c r="AX146" i="11"/>
  <c r="AY146" i="11"/>
  <c r="AZ146" i="11"/>
  <c r="BA146" i="11"/>
  <c r="Z147" i="11"/>
  <c r="AA147" i="11"/>
  <c r="AB147" i="11"/>
  <c r="AC147" i="11"/>
  <c r="AD147" i="11"/>
  <c r="AE147" i="11"/>
  <c r="AF147" i="11"/>
  <c r="AG147" i="11"/>
  <c r="AH147" i="11"/>
  <c r="AI147" i="11"/>
  <c r="AJ147" i="11"/>
  <c r="AK147" i="11"/>
  <c r="AL147" i="11"/>
  <c r="AM147" i="11"/>
  <c r="AN147" i="11"/>
  <c r="AO147" i="11"/>
  <c r="AP147" i="11"/>
  <c r="AQ147" i="11"/>
  <c r="AR147" i="11"/>
  <c r="AS147" i="11"/>
  <c r="AT147" i="11"/>
  <c r="AU147" i="11"/>
  <c r="AV147" i="11"/>
  <c r="AW147" i="11"/>
  <c r="AX147" i="11"/>
  <c r="AY147" i="11"/>
  <c r="AZ147" i="11"/>
  <c r="BA147" i="11"/>
  <c r="Z148" i="11"/>
  <c r="AA148" i="11"/>
  <c r="AB148" i="11"/>
  <c r="AC148" i="11"/>
  <c r="AD148" i="11"/>
  <c r="AE148" i="11"/>
  <c r="AF148" i="11"/>
  <c r="AG148" i="11"/>
  <c r="AH148" i="11"/>
  <c r="AI148" i="11"/>
  <c r="AJ148" i="11"/>
  <c r="AK148" i="11"/>
  <c r="AL148" i="11"/>
  <c r="AM148" i="11"/>
  <c r="AN148" i="11"/>
  <c r="AO148" i="11"/>
  <c r="AP148" i="11"/>
  <c r="AQ148" i="11"/>
  <c r="AR148" i="11"/>
  <c r="AS148" i="11"/>
  <c r="AT148" i="11"/>
  <c r="AU148" i="11"/>
  <c r="AV148" i="11"/>
  <c r="AW148" i="11"/>
  <c r="AX148" i="11"/>
  <c r="AY148" i="11"/>
  <c r="AZ148" i="11"/>
  <c r="BA148" i="11"/>
  <c r="W140" i="11"/>
  <c r="Y148" i="11"/>
  <c r="Y147" i="11"/>
  <c r="Y146" i="11"/>
  <c r="Y145" i="11"/>
  <c r="Y144" i="11"/>
  <c r="Y143" i="11"/>
  <c r="Y141" i="11"/>
  <c r="X148" i="11"/>
  <c r="X147" i="11"/>
  <c r="X146" i="11"/>
  <c r="X145" i="11"/>
  <c r="X144" i="11"/>
  <c r="X143" i="11"/>
  <c r="X142" i="11"/>
  <c r="X141" i="11"/>
  <c r="X140" i="11"/>
  <c r="Y139" i="11"/>
  <c r="Z139" i="11" s="1"/>
  <c r="AA139" i="11" s="1"/>
  <c r="AB139" i="11" s="1"/>
  <c r="AC139" i="11" s="1"/>
  <c r="AD139" i="11" s="1"/>
  <c r="AE139" i="11" s="1"/>
  <c r="AF139" i="11" s="1"/>
  <c r="AG139" i="11" s="1"/>
  <c r="AH139" i="11" s="1"/>
  <c r="AI139" i="11" s="1"/>
  <c r="AJ139" i="11" s="1"/>
  <c r="AK139" i="11" s="1"/>
  <c r="AL139" i="11" s="1"/>
  <c r="AM139" i="11" s="1"/>
  <c r="AN139" i="11" s="1"/>
  <c r="AO139" i="11" s="1"/>
  <c r="AP139" i="11" s="1"/>
  <c r="AQ139" i="11" s="1"/>
  <c r="AR139" i="11" s="1"/>
  <c r="AS139" i="11" s="1"/>
  <c r="AT139" i="11" s="1"/>
  <c r="AU139" i="11" s="1"/>
  <c r="AV139" i="11" s="1"/>
  <c r="AW139" i="11" s="1"/>
  <c r="AX139" i="11" s="1"/>
  <c r="AY139" i="11" s="1"/>
  <c r="AZ139" i="11" s="1"/>
  <c r="BA139" i="11" s="1"/>
  <c r="V148" i="11"/>
  <c r="V147" i="11"/>
  <c r="V146" i="11"/>
  <c r="V145" i="11"/>
  <c r="V144" i="11"/>
  <c r="V143" i="11"/>
  <c r="V142" i="11"/>
  <c r="V141" i="11"/>
  <c r="V140" i="11"/>
  <c r="W141" i="11"/>
  <c r="W142" i="11"/>
  <c r="W143" i="11"/>
  <c r="W144" i="11"/>
  <c r="W145" i="11"/>
  <c r="W146" i="11"/>
  <c r="W147" i="11"/>
  <c r="W148" i="11"/>
  <c r="U159" i="11"/>
  <c r="V159" i="11" s="1"/>
  <c r="U158" i="11"/>
  <c r="U157" i="11"/>
  <c r="V157" i="11" s="1"/>
  <c r="U156" i="11"/>
  <c r="V156" i="11" s="1"/>
  <c r="U155" i="11"/>
  <c r="V155" i="11" s="1"/>
  <c r="AE502" i="11" l="1"/>
  <c r="AB502" i="11"/>
  <c r="AF502" i="11"/>
  <c r="AG502" i="11"/>
  <c r="AC502" i="11"/>
  <c r="AD502" i="11"/>
  <c r="AC510" i="11"/>
  <c r="AG510" i="11"/>
  <c r="AD510" i="11"/>
  <c r="AF510" i="11"/>
  <c r="AE510" i="11"/>
  <c r="AB510" i="11"/>
  <c r="X538" i="11"/>
  <c r="X548" i="11" s="1"/>
  <c r="Y503" i="11"/>
  <c r="X541" i="11"/>
  <c r="X549" i="11" s="1"/>
  <c r="Y511" i="11"/>
  <c r="AG501" i="11"/>
  <c r="F207" i="11"/>
  <c r="AG509" i="11"/>
  <c r="F209" i="11"/>
  <c r="X398" i="11"/>
  <c r="U71" i="11"/>
  <c r="U72" i="11"/>
  <c r="AD606" i="11"/>
  <c r="AB594" i="11"/>
  <c r="Y140" i="11"/>
  <c r="AT142" i="11"/>
  <c r="AD142" i="11"/>
  <c r="AT140" i="11"/>
  <c r="AL140" i="11"/>
  <c r="AD140" i="11"/>
  <c r="X151" i="11"/>
  <c r="AX142" i="11"/>
  <c r="AL142" i="11"/>
  <c r="Z142" i="11"/>
  <c r="AH140" i="11"/>
  <c r="V158" i="11"/>
  <c r="AP142" i="11"/>
  <c r="AH142" i="11"/>
  <c r="AX140" i="11"/>
  <c r="AP140" i="11"/>
  <c r="Z140" i="11"/>
  <c r="BA142" i="11"/>
  <c r="AW142" i="11"/>
  <c r="AS142" i="11"/>
  <c r="AO142" i="11"/>
  <c r="AK142" i="11"/>
  <c r="AG142" i="11"/>
  <c r="AC142" i="11"/>
  <c r="BA140" i="11"/>
  <c r="AW140" i="11"/>
  <c r="AS140" i="11"/>
  <c r="AO140" i="11"/>
  <c r="AK140" i="11"/>
  <c r="AG140" i="11"/>
  <c r="AC140" i="11"/>
  <c r="X150" i="11"/>
  <c r="AZ142" i="11"/>
  <c r="AV142" i="11"/>
  <c r="AR142" i="11"/>
  <c r="AN142" i="11"/>
  <c r="AJ142" i="11"/>
  <c r="AF142" i="11"/>
  <c r="AB142" i="11"/>
  <c r="AZ140" i="11"/>
  <c r="AV140" i="11"/>
  <c r="AR140" i="11"/>
  <c r="AN140" i="11"/>
  <c r="AJ140" i="11"/>
  <c r="AF140" i="11"/>
  <c r="AB140" i="11"/>
  <c r="Y142" i="11"/>
  <c r="AY142" i="11"/>
  <c r="AU142" i="11"/>
  <c r="AQ142" i="11"/>
  <c r="AM142" i="11"/>
  <c r="AI142" i="11"/>
  <c r="AE142" i="11"/>
  <c r="AA142" i="11"/>
  <c r="AY140" i="11"/>
  <c r="AU140" i="11"/>
  <c r="AQ140" i="11"/>
  <c r="AM140" i="11"/>
  <c r="AI140" i="11"/>
  <c r="AE140" i="11"/>
  <c r="AA140" i="11"/>
  <c r="T71" i="11"/>
  <c r="T72" i="11"/>
  <c r="U83" i="11"/>
  <c r="V83" i="11" s="1"/>
  <c r="U82" i="11"/>
  <c r="V82" i="11" s="1"/>
  <c r="U81" i="11"/>
  <c r="V81" i="11" s="1"/>
  <c r="U80" i="11"/>
  <c r="V80" i="11" s="1"/>
  <c r="U79" i="11"/>
  <c r="V79" i="11" s="1"/>
  <c r="Y154" i="11"/>
  <c r="Z154" i="11" s="1"/>
  <c r="AA154" i="11" s="1"/>
  <c r="AB154" i="11" s="1"/>
  <c r="AC154" i="11" s="1"/>
  <c r="AD154" i="11" s="1"/>
  <c r="AE154" i="11" s="1"/>
  <c r="AF154" i="11" s="1"/>
  <c r="AG154" i="11" s="1"/>
  <c r="AH154" i="11" s="1"/>
  <c r="AI154" i="11" s="1"/>
  <c r="AJ154" i="11" s="1"/>
  <c r="AK154" i="11" s="1"/>
  <c r="AL154" i="11" s="1"/>
  <c r="AM154" i="11" s="1"/>
  <c r="AN154" i="11" s="1"/>
  <c r="AO154" i="11" s="1"/>
  <c r="AP154" i="11" s="1"/>
  <c r="AQ154" i="11" s="1"/>
  <c r="AR154" i="11" s="1"/>
  <c r="AS154" i="11" s="1"/>
  <c r="AT154" i="11" s="1"/>
  <c r="AU154" i="11" s="1"/>
  <c r="AV154" i="11" s="1"/>
  <c r="AW154" i="11" s="1"/>
  <c r="AX154" i="11" s="1"/>
  <c r="AY154" i="11" s="1"/>
  <c r="AZ154" i="11" s="1"/>
  <c r="BA154" i="11" s="1"/>
  <c r="Y541" i="11" l="1"/>
  <c r="Y549" i="11" s="1"/>
  <c r="Z511" i="11"/>
  <c r="Y538" i="11"/>
  <c r="Y548" i="11" s="1"/>
  <c r="Z503" i="11"/>
  <c r="Y150" i="11"/>
  <c r="AC594" i="11"/>
  <c r="AE606" i="11"/>
  <c r="X157" i="11"/>
  <c r="X155" i="11"/>
  <c r="X158" i="11"/>
  <c r="AD151" i="11"/>
  <c r="AD150" i="11"/>
  <c r="AE151" i="11"/>
  <c r="AE150" i="11"/>
  <c r="AU151" i="11"/>
  <c r="AU150" i="11"/>
  <c r="AB150" i="11"/>
  <c r="AB151" i="11"/>
  <c r="AR150" i="11"/>
  <c r="AR151" i="11"/>
  <c r="AC150" i="11"/>
  <c r="AC151" i="11"/>
  <c r="AS150" i="11"/>
  <c r="AS151" i="11"/>
  <c r="Z151" i="11"/>
  <c r="Z150" i="11"/>
  <c r="AL151" i="11"/>
  <c r="AL150" i="11"/>
  <c r="Y151" i="11"/>
  <c r="Y157" i="11" s="1"/>
  <c r="AQ151" i="11"/>
  <c r="AQ150" i="11"/>
  <c r="AI151" i="11"/>
  <c r="AI150" i="11"/>
  <c r="AY151" i="11"/>
  <c r="AY150" i="11"/>
  <c r="AF150" i="11"/>
  <c r="AF151" i="11"/>
  <c r="AV150" i="11"/>
  <c r="AV151" i="11"/>
  <c r="AG150" i="11"/>
  <c r="AG151" i="11"/>
  <c r="AW150" i="11"/>
  <c r="AW151" i="11"/>
  <c r="AP151" i="11"/>
  <c r="AP150" i="11"/>
  <c r="AH151" i="11"/>
  <c r="AH150" i="11"/>
  <c r="AT151" i="11"/>
  <c r="AT150" i="11"/>
  <c r="AA151" i="11"/>
  <c r="AA150" i="11"/>
  <c r="AN150" i="11"/>
  <c r="AN151" i="11"/>
  <c r="AO150" i="11"/>
  <c r="AO151" i="11"/>
  <c r="X159" i="11"/>
  <c r="AM151" i="11"/>
  <c r="AM150" i="11"/>
  <c r="X156" i="11"/>
  <c r="AJ150" i="11"/>
  <c r="AJ151" i="11"/>
  <c r="AZ150" i="11"/>
  <c r="AZ151" i="11"/>
  <c r="AK150" i="11"/>
  <c r="AK151" i="11"/>
  <c r="BA150" i="11"/>
  <c r="BA151" i="11"/>
  <c r="AX151" i="11"/>
  <c r="AX150" i="11"/>
  <c r="U145" i="11"/>
  <c r="U146" i="11"/>
  <c r="U140" i="11"/>
  <c r="U141" i="11"/>
  <c r="U142" i="11"/>
  <c r="U143" i="11"/>
  <c r="U144" i="11"/>
  <c r="U147" i="11"/>
  <c r="U148" i="11"/>
  <c r="W182" i="11"/>
  <c r="W600" i="11" s="1"/>
  <c r="X182" i="11"/>
  <c r="X600" i="11" s="1"/>
  <c r="V182" i="11"/>
  <c r="V600" i="11" s="1"/>
  <c r="Y128" i="11"/>
  <c r="Z128" i="11"/>
  <c r="AA128" i="11"/>
  <c r="AB128" i="11"/>
  <c r="AC128" i="11"/>
  <c r="AD128" i="11"/>
  <c r="AE128" i="11"/>
  <c r="AF128" i="11"/>
  <c r="AG128" i="11"/>
  <c r="AH128" i="11"/>
  <c r="AI128" i="11"/>
  <c r="AJ128" i="11"/>
  <c r="AK128" i="11"/>
  <c r="AL128" i="11"/>
  <c r="AM128" i="11"/>
  <c r="AN128" i="11"/>
  <c r="AO128" i="11"/>
  <c r="AP128" i="11"/>
  <c r="AQ128" i="11"/>
  <c r="AR128" i="11"/>
  <c r="AS128" i="11"/>
  <c r="AT128" i="11"/>
  <c r="AU128" i="11"/>
  <c r="AV128" i="11"/>
  <c r="AW128" i="11"/>
  <c r="AX128" i="11"/>
  <c r="AY128" i="11"/>
  <c r="AZ128" i="11"/>
  <c r="BA128" i="11"/>
  <c r="X128" i="11"/>
  <c r="W181" i="11"/>
  <c r="W599" i="11" s="1"/>
  <c r="X181" i="11"/>
  <c r="X599" i="11" s="1"/>
  <c r="V181" i="11"/>
  <c r="V599" i="11" s="1"/>
  <c r="Y116" i="11"/>
  <c r="Z116" i="11"/>
  <c r="AA116" i="11"/>
  <c r="AB116" i="11"/>
  <c r="AC116" i="11"/>
  <c r="AD116" i="11"/>
  <c r="AE116" i="11"/>
  <c r="AF116" i="11"/>
  <c r="AG116" i="11"/>
  <c r="AH116" i="11"/>
  <c r="AI116" i="11"/>
  <c r="AJ116" i="11"/>
  <c r="AK116" i="11"/>
  <c r="AL116" i="11"/>
  <c r="AM116" i="11"/>
  <c r="AN116" i="11"/>
  <c r="AO116" i="11"/>
  <c r="AP116" i="11"/>
  <c r="AQ116" i="11"/>
  <c r="AR116" i="11"/>
  <c r="AS116" i="11"/>
  <c r="AT116" i="11"/>
  <c r="AU116" i="11"/>
  <c r="AV116" i="11"/>
  <c r="AW116" i="11"/>
  <c r="AX116" i="11"/>
  <c r="AY116" i="11"/>
  <c r="AZ116" i="11"/>
  <c r="BA116" i="11"/>
  <c r="X116" i="11"/>
  <c r="AA511" i="11" l="1"/>
  <c r="Z541" i="11"/>
  <c r="Z549" i="11" s="1"/>
  <c r="AA503" i="11"/>
  <c r="Z538" i="11"/>
  <c r="Z548" i="11" s="1"/>
  <c r="AF606" i="11"/>
  <c r="AD594" i="11"/>
  <c r="X160" i="11"/>
  <c r="Y158" i="11"/>
  <c r="AJ157" i="11"/>
  <c r="AJ156" i="11"/>
  <c r="AJ158" i="11"/>
  <c r="AJ159" i="11"/>
  <c r="AJ155" i="11"/>
  <c r="AN159" i="11"/>
  <c r="AN157" i="11"/>
  <c r="AN155" i="11"/>
  <c r="AN158" i="11"/>
  <c r="AN156" i="11"/>
  <c r="AG155" i="11"/>
  <c r="AG157" i="11"/>
  <c r="AG156" i="11"/>
  <c r="AG159" i="11"/>
  <c r="AG158" i="11"/>
  <c r="AL158" i="11"/>
  <c r="AL159" i="11"/>
  <c r="AL155" i="11"/>
  <c r="AL156" i="11"/>
  <c r="AL157" i="11"/>
  <c r="AU156" i="11"/>
  <c r="AU158" i="11"/>
  <c r="AU157" i="11"/>
  <c r="AU155" i="11"/>
  <c r="AU159" i="11"/>
  <c r="AD156" i="11"/>
  <c r="AD155" i="11"/>
  <c r="AD157" i="11"/>
  <c r="AD158" i="11"/>
  <c r="AD159" i="11"/>
  <c r="AA158" i="11"/>
  <c r="AA155" i="11"/>
  <c r="AA156" i="11"/>
  <c r="AA157" i="11"/>
  <c r="AA159" i="11"/>
  <c r="AH157" i="11"/>
  <c r="AH159" i="11"/>
  <c r="AH155" i="11"/>
  <c r="AH158" i="11"/>
  <c r="AH156" i="11"/>
  <c r="AY157" i="11"/>
  <c r="AY159" i="11"/>
  <c r="AY158" i="11"/>
  <c r="AY155" i="11"/>
  <c r="AY156" i="11"/>
  <c r="AQ158" i="11"/>
  <c r="AQ155" i="11"/>
  <c r="AQ156" i="11"/>
  <c r="AQ159" i="11"/>
  <c r="AQ157" i="11"/>
  <c r="AS156" i="11"/>
  <c r="AS155" i="11"/>
  <c r="AS157" i="11"/>
  <c r="AS159" i="11"/>
  <c r="AS158" i="11"/>
  <c r="AR155" i="11"/>
  <c r="AR158" i="11"/>
  <c r="AR159" i="11"/>
  <c r="AR156" i="11"/>
  <c r="AR157" i="11"/>
  <c r="Y159" i="11"/>
  <c r="AK156" i="11"/>
  <c r="AK155" i="11"/>
  <c r="AK157" i="11"/>
  <c r="AK159" i="11"/>
  <c r="AK158" i="11"/>
  <c r="BA156" i="11"/>
  <c r="BA155" i="11"/>
  <c r="BA157" i="11"/>
  <c r="BA159" i="11"/>
  <c r="BA158" i="11"/>
  <c r="AZ157" i="11"/>
  <c r="AZ158" i="11"/>
  <c r="AZ159" i="11"/>
  <c r="AZ155" i="11"/>
  <c r="AZ156" i="11"/>
  <c r="AM159" i="11"/>
  <c r="AM158" i="11"/>
  <c r="AM157" i="11"/>
  <c r="AM155" i="11"/>
  <c r="AM156" i="11"/>
  <c r="AO155" i="11"/>
  <c r="AO157" i="11"/>
  <c r="AO156" i="11"/>
  <c r="AO159" i="11"/>
  <c r="AO158" i="11"/>
  <c r="AW155" i="11"/>
  <c r="AW157" i="11"/>
  <c r="AW156" i="11"/>
  <c r="AW159" i="11"/>
  <c r="AW158" i="11"/>
  <c r="AV158" i="11"/>
  <c r="AV156" i="11"/>
  <c r="AV157" i="11"/>
  <c r="AV159" i="11"/>
  <c r="AV155" i="11"/>
  <c r="Z155" i="11"/>
  <c r="Z158" i="11"/>
  <c r="Z156" i="11"/>
  <c r="Z159" i="11"/>
  <c r="Z157" i="11"/>
  <c r="AE156" i="11"/>
  <c r="AE158" i="11"/>
  <c r="AE157" i="11"/>
  <c r="AE159" i="11"/>
  <c r="AE155" i="11"/>
  <c r="Y156" i="11"/>
  <c r="AF158" i="11"/>
  <c r="AF156" i="11"/>
  <c r="AF157" i="11"/>
  <c r="AF155" i="11"/>
  <c r="AF159" i="11"/>
  <c r="AX157" i="11"/>
  <c r="AX156" i="11"/>
  <c r="AX159" i="11"/>
  <c r="AX155" i="11"/>
  <c r="AX158" i="11"/>
  <c r="AT156" i="11"/>
  <c r="AT157" i="11"/>
  <c r="AT155" i="11"/>
  <c r="AT158" i="11"/>
  <c r="AT159" i="11"/>
  <c r="AP155" i="11"/>
  <c r="AP159" i="11"/>
  <c r="AP158" i="11"/>
  <c r="AP156" i="11"/>
  <c r="AP157" i="11"/>
  <c r="AI157" i="11"/>
  <c r="AI156" i="11"/>
  <c r="AI159" i="11"/>
  <c r="AI158" i="11"/>
  <c r="AI155" i="11"/>
  <c r="AC156" i="11"/>
  <c r="AC155" i="11"/>
  <c r="AC157" i="11"/>
  <c r="AC159" i="11"/>
  <c r="AC158" i="11"/>
  <c r="AB155" i="11"/>
  <c r="AB159" i="11"/>
  <c r="AB156" i="11"/>
  <c r="AB157" i="11"/>
  <c r="AB158" i="11"/>
  <c r="Y155" i="11"/>
  <c r="Y149" i="11"/>
  <c r="AC149" i="11"/>
  <c r="AG149" i="11"/>
  <c r="AK149" i="11"/>
  <c r="AO149" i="11"/>
  <c r="AS149" i="11"/>
  <c r="AW149" i="11"/>
  <c r="BA149" i="11"/>
  <c r="AF149" i="11"/>
  <c r="AR149" i="11"/>
  <c r="AZ149" i="11"/>
  <c r="Z149" i="11"/>
  <c r="AD149" i="11"/>
  <c r="AH149" i="11"/>
  <c r="AL149" i="11"/>
  <c r="AP149" i="11"/>
  <c r="AT149" i="11"/>
  <c r="AX149" i="11"/>
  <c r="X149" i="11"/>
  <c r="AB149" i="11"/>
  <c r="AJ149" i="11"/>
  <c r="AN149" i="11"/>
  <c r="AV149" i="11"/>
  <c r="AA149" i="11"/>
  <c r="AE149" i="11"/>
  <c r="AI149" i="11"/>
  <c r="AM149" i="11"/>
  <c r="AQ149" i="11"/>
  <c r="AU149" i="11"/>
  <c r="AY149" i="11"/>
  <c r="AJD41" i="10"/>
  <c r="XC41" i="10"/>
  <c r="XD41" i="10"/>
  <c r="XE41" i="10"/>
  <c r="XF41" i="10"/>
  <c r="XG41" i="10"/>
  <c r="XH41" i="10"/>
  <c r="XI41" i="10"/>
  <c r="XJ41" i="10"/>
  <c r="XK41" i="10"/>
  <c r="XL41" i="10"/>
  <c r="XM41" i="10"/>
  <c r="XN41" i="10"/>
  <c r="XO41" i="10"/>
  <c r="XP41" i="10"/>
  <c r="XQ41" i="10"/>
  <c r="XR41" i="10"/>
  <c r="XS41" i="10"/>
  <c r="XT41" i="10"/>
  <c r="XU41" i="10"/>
  <c r="XV41" i="10"/>
  <c r="XW41" i="10"/>
  <c r="XX41" i="10"/>
  <c r="XY41" i="10"/>
  <c r="XZ41" i="10"/>
  <c r="YA41" i="10"/>
  <c r="YB41" i="10"/>
  <c r="YC41" i="10"/>
  <c r="YD41" i="10"/>
  <c r="YE41" i="10"/>
  <c r="YF41" i="10"/>
  <c r="YG41" i="10"/>
  <c r="YH41" i="10"/>
  <c r="YI41" i="10"/>
  <c r="YJ41" i="10"/>
  <c r="YK41" i="10"/>
  <c r="YL41" i="10"/>
  <c r="YM41" i="10"/>
  <c r="YN41" i="10"/>
  <c r="YO41" i="10"/>
  <c r="YP41" i="10"/>
  <c r="YQ41" i="10"/>
  <c r="YR41" i="10"/>
  <c r="YS41" i="10"/>
  <c r="YT41" i="10"/>
  <c r="YU41" i="10"/>
  <c r="YV41" i="10"/>
  <c r="YW41" i="10"/>
  <c r="YX41" i="10"/>
  <c r="YY41" i="10"/>
  <c r="YZ41" i="10"/>
  <c r="ZA41" i="10"/>
  <c r="ZB41" i="10"/>
  <c r="ZC41" i="10"/>
  <c r="ZD41" i="10"/>
  <c r="ZE41" i="10"/>
  <c r="ZF41" i="10"/>
  <c r="ZG41" i="10"/>
  <c r="ZH41" i="10"/>
  <c r="ZI41" i="10"/>
  <c r="ZJ41" i="10"/>
  <c r="ZK41" i="10"/>
  <c r="ZL41" i="10"/>
  <c r="ZM41" i="10"/>
  <c r="ZN41" i="10"/>
  <c r="ZO41" i="10"/>
  <c r="ZP41" i="10"/>
  <c r="ZQ41" i="10"/>
  <c r="ZR41" i="10"/>
  <c r="ZS41" i="10"/>
  <c r="ZT41" i="10"/>
  <c r="ZU41" i="10"/>
  <c r="ZV41" i="10"/>
  <c r="ZW41" i="10"/>
  <c r="ZX41" i="10"/>
  <c r="ZY41" i="10"/>
  <c r="ZZ41" i="10"/>
  <c r="AAA41" i="10"/>
  <c r="AAB41" i="10"/>
  <c r="AAC41" i="10"/>
  <c r="AAD41" i="10"/>
  <c r="AAE41" i="10"/>
  <c r="AAF41" i="10"/>
  <c r="AAG41" i="10"/>
  <c r="AAH41" i="10"/>
  <c r="AAI41" i="10"/>
  <c r="AAJ41" i="10"/>
  <c r="AAK41" i="10"/>
  <c r="AAL41" i="10"/>
  <c r="AAM41" i="10"/>
  <c r="AAN41" i="10"/>
  <c r="AAO41" i="10"/>
  <c r="AAP41" i="10"/>
  <c r="AAQ41" i="10"/>
  <c r="AAR41" i="10"/>
  <c r="AAS41" i="10"/>
  <c r="AAT41" i="10"/>
  <c r="AAU41" i="10"/>
  <c r="AAV41" i="10"/>
  <c r="AAW41" i="10"/>
  <c r="AAX41" i="10"/>
  <c r="AAY41" i="10"/>
  <c r="AAZ41" i="10"/>
  <c r="ABA41" i="10"/>
  <c r="ABB41" i="10"/>
  <c r="ABC41" i="10"/>
  <c r="ABD41" i="10"/>
  <c r="ABE41" i="10"/>
  <c r="ABF41" i="10"/>
  <c r="ABG41" i="10"/>
  <c r="ABH41" i="10"/>
  <c r="ABI41" i="10"/>
  <c r="ABJ41" i="10"/>
  <c r="ABK41" i="10"/>
  <c r="ABL41" i="10"/>
  <c r="ABM41" i="10"/>
  <c r="ABN41" i="10"/>
  <c r="ABO41" i="10"/>
  <c r="ABP41" i="10"/>
  <c r="ABQ41" i="10"/>
  <c r="ABR41" i="10"/>
  <c r="ABS41" i="10"/>
  <c r="ABT41" i="10"/>
  <c r="ABU41" i="10"/>
  <c r="ABV41" i="10"/>
  <c r="ABW41" i="10"/>
  <c r="ABX41" i="10"/>
  <c r="ABY41" i="10"/>
  <c r="ABZ41" i="10"/>
  <c r="ACA41" i="10"/>
  <c r="ACB41" i="10"/>
  <c r="ACC41" i="10"/>
  <c r="ACD41" i="10"/>
  <c r="ACE41" i="10"/>
  <c r="ACF41" i="10"/>
  <c r="ACG41" i="10"/>
  <c r="ACH41" i="10"/>
  <c r="ACI41" i="10"/>
  <c r="ACJ41" i="10"/>
  <c r="ACK41" i="10"/>
  <c r="ACL41" i="10"/>
  <c r="ACM41" i="10"/>
  <c r="ACN41" i="10"/>
  <c r="ACO41" i="10"/>
  <c r="ACP41" i="10"/>
  <c r="ACQ41" i="10"/>
  <c r="ACR41" i="10"/>
  <c r="ACS41" i="10"/>
  <c r="ACT41" i="10"/>
  <c r="ACU41" i="10"/>
  <c r="ACV41" i="10"/>
  <c r="ACW41" i="10"/>
  <c r="ACX41" i="10"/>
  <c r="ACY41" i="10"/>
  <c r="ACZ41" i="10"/>
  <c r="ADA41" i="10"/>
  <c r="ADB41" i="10"/>
  <c r="ADC41" i="10"/>
  <c r="ADD41" i="10"/>
  <c r="ADE41" i="10"/>
  <c r="ADF41" i="10"/>
  <c r="ADG41" i="10"/>
  <c r="ADH41" i="10"/>
  <c r="ADI41" i="10"/>
  <c r="ADJ41" i="10"/>
  <c r="ADK41" i="10"/>
  <c r="ADL41" i="10"/>
  <c r="ADM41" i="10"/>
  <c r="ADN41" i="10"/>
  <c r="ADO41" i="10"/>
  <c r="ADP41" i="10"/>
  <c r="ADQ41" i="10"/>
  <c r="ADR41" i="10"/>
  <c r="ADS41" i="10"/>
  <c r="ADT41" i="10"/>
  <c r="ADU41" i="10"/>
  <c r="ADV41" i="10"/>
  <c r="ADW41" i="10"/>
  <c r="ADX41" i="10"/>
  <c r="ADY41" i="10"/>
  <c r="ADZ41" i="10"/>
  <c r="AEA41" i="10"/>
  <c r="AEB41" i="10"/>
  <c r="AEC41" i="10"/>
  <c r="AED41" i="10"/>
  <c r="AEE41" i="10"/>
  <c r="AEF41" i="10"/>
  <c r="AEG41" i="10"/>
  <c r="AEH41" i="10"/>
  <c r="AEI41" i="10"/>
  <c r="AEJ41" i="10"/>
  <c r="AEK41" i="10"/>
  <c r="AEL41" i="10"/>
  <c r="AEM41" i="10"/>
  <c r="AEN41" i="10"/>
  <c r="AEO41" i="10"/>
  <c r="AEP41" i="10"/>
  <c r="AEQ41" i="10"/>
  <c r="AER41" i="10"/>
  <c r="AES41" i="10"/>
  <c r="AET41" i="10"/>
  <c r="AEU41" i="10"/>
  <c r="AEV41" i="10"/>
  <c r="AEW41" i="10"/>
  <c r="AEX41" i="10"/>
  <c r="AEY41" i="10"/>
  <c r="AEZ41" i="10"/>
  <c r="AFA41" i="10"/>
  <c r="AFB41" i="10"/>
  <c r="AFC41" i="10"/>
  <c r="AFD41" i="10"/>
  <c r="AFE41" i="10"/>
  <c r="AFF41" i="10"/>
  <c r="AFG41" i="10"/>
  <c r="AFH41" i="10"/>
  <c r="AFI41" i="10"/>
  <c r="AFJ41" i="10"/>
  <c r="AFK41" i="10"/>
  <c r="AFL41" i="10"/>
  <c r="AFM41" i="10"/>
  <c r="AFN41" i="10"/>
  <c r="AFO41" i="10"/>
  <c r="AFP41" i="10"/>
  <c r="AFQ41" i="10"/>
  <c r="AFR41" i="10"/>
  <c r="AFS41" i="10"/>
  <c r="AFT41" i="10"/>
  <c r="AFU41" i="10"/>
  <c r="AFV41" i="10"/>
  <c r="AFW41" i="10"/>
  <c r="AFX41" i="10"/>
  <c r="AFY41" i="10"/>
  <c r="AFZ41" i="10"/>
  <c r="AGA41" i="10"/>
  <c r="AGB41" i="10"/>
  <c r="AGC41" i="10"/>
  <c r="AGD41" i="10"/>
  <c r="AGE41" i="10"/>
  <c r="AGF41" i="10"/>
  <c r="AGG41" i="10"/>
  <c r="AGH41" i="10"/>
  <c r="AGI41" i="10"/>
  <c r="AGJ41" i="10"/>
  <c r="AGK41" i="10"/>
  <c r="AGL41" i="10"/>
  <c r="AGM41" i="10"/>
  <c r="AGN41" i="10"/>
  <c r="AGO41" i="10"/>
  <c r="AGP41" i="10"/>
  <c r="AGQ41" i="10"/>
  <c r="AGR41" i="10"/>
  <c r="AGS41" i="10"/>
  <c r="AGT41" i="10"/>
  <c r="AGU41" i="10"/>
  <c r="AGV41" i="10"/>
  <c r="AGW41" i="10"/>
  <c r="AGX41" i="10"/>
  <c r="AGY41" i="10"/>
  <c r="AGZ41" i="10"/>
  <c r="AHA41" i="10"/>
  <c r="AHB41" i="10"/>
  <c r="AHC41" i="10"/>
  <c r="AHD41" i="10"/>
  <c r="AHE41" i="10"/>
  <c r="AHF41" i="10"/>
  <c r="AHG41" i="10"/>
  <c r="AHH41" i="10"/>
  <c r="AHI41" i="10"/>
  <c r="AHJ41" i="10"/>
  <c r="AHK41" i="10"/>
  <c r="AHL41" i="10"/>
  <c r="AHM41" i="10"/>
  <c r="AHN41" i="10"/>
  <c r="AHO41" i="10"/>
  <c r="AHP41" i="10"/>
  <c r="AHQ41" i="10"/>
  <c r="AHR41" i="10"/>
  <c r="AHS41" i="10"/>
  <c r="AHT41" i="10"/>
  <c r="AHU41" i="10"/>
  <c r="AHV41" i="10"/>
  <c r="AHW41" i="10"/>
  <c r="AHX41" i="10"/>
  <c r="AHY41" i="10"/>
  <c r="AHZ41" i="10"/>
  <c r="AIA41" i="10"/>
  <c r="AIB41" i="10"/>
  <c r="AIC41" i="10"/>
  <c r="AID41" i="10"/>
  <c r="AIE41" i="10"/>
  <c r="AIF41" i="10"/>
  <c r="AIG41" i="10"/>
  <c r="AIH41" i="10"/>
  <c r="AII41" i="10"/>
  <c r="AIJ41" i="10"/>
  <c r="AIK41" i="10"/>
  <c r="AIL41" i="10"/>
  <c r="AIM41" i="10"/>
  <c r="AIN41" i="10"/>
  <c r="AIO41" i="10"/>
  <c r="AIP41" i="10"/>
  <c r="AIQ41" i="10"/>
  <c r="AIR41" i="10"/>
  <c r="AIS41" i="10"/>
  <c r="AIT41" i="10"/>
  <c r="AIU41" i="10"/>
  <c r="AIV41" i="10"/>
  <c r="AIW41" i="10"/>
  <c r="AIX41" i="10"/>
  <c r="AIY41" i="10"/>
  <c r="AIZ41" i="10"/>
  <c r="AJA41" i="10"/>
  <c r="AJB41" i="10"/>
  <c r="AJC41" i="10"/>
  <c r="E41" i="10"/>
  <c r="F41" i="10"/>
  <c r="G41" i="10"/>
  <c r="H41" i="10"/>
  <c r="I41" i="10"/>
  <c r="J41" i="10"/>
  <c r="K41" i="10"/>
  <c r="L41" i="10"/>
  <c r="M41" i="10"/>
  <c r="N41" i="10"/>
  <c r="O41" i="10"/>
  <c r="P41" i="10"/>
  <c r="Q41" i="10"/>
  <c r="R41" i="10"/>
  <c r="S41" i="10"/>
  <c r="T41" i="10"/>
  <c r="U41" i="10"/>
  <c r="V41" i="10"/>
  <c r="W41" i="10"/>
  <c r="X41" i="10"/>
  <c r="Y41" i="10"/>
  <c r="Z41" i="10"/>
  <c r="AA41" i="10"/>
  <c r="AB41" i="10"/>
  <c r="AC41" i="10"/>
  <c r="AD41" i="10"/>
  <c r="AE41" i="10"/>
  <c r="AF41" i="10"/>
  <c r="AG41" i="10"/>
  <c r="AH41" i="10"/>
  <c r="AI41" i="10"/>
  <c r="AJ41" i="10"/>
  <c r="AK41" i="10"/>
  <c r="AL41" i="10"/>
  <c r="AM41" i="10"/>
  <c r="AN41" i="10"/>
  <c r="AO41" i="10"/>
  <c r="AP41" i="10"/>
  <c r="AQ41" i="10"/>
  <c r="AR41" i="10"/>
  <c r="AS41" i="10"/>
  <c r="AT41" i="10"/>
  <c r="AU41" i="10"/>
  <c r="AV41" i="10"/>
  <c r="AW41" i="10"/>
  <c r="AX41" i="10"/>
  <c r="AY41" i="10"/>
  <c r="AZ41" i="10"/>
  <c r="BA41" i="10"/>
  <c r="BB41" i="10"/>
  <c r="BC41" i="10"/>
  <c r="BD41" i="10"/>
  <c r="BE41" i="10"/>
  <c r="BF41" i="10"/>
  <c r="BG41" i="10"/>
  <c r="BH41" i="10"/>
  <c r="BI41" i="10"/>
  <c r="BJ41" i="10"/>
  <c r="BK41" i="10"/>
  <c r="BL41" i="10"/>
  <c r="BM41" i="10"/>
  <c r="BN41" i="10"/>
  <c r="BO41" i="10"/>
  <c r="BP41" i="10"/>
  <c r="BQ41" i="10"/>
  <c r="BR41" i="10"/>
  <c r="BS41" i="10"/>
  <c r="BT41" i="10"/>
  <c r="BU41" i="10"/>
  <c r="BV41" i="10"/>
  <c r="BW41" i="10"/>
  <c r="BX41" i="10"/>
  <c r="BY41" i="10"/>
  <c r="BZ41" i="10"/>
  <c r="CA41" i="10"/>
  <c r="CB41" i="10"/>
  <c r="CC41" i="10"/>
  <c r="CD41" i="10"/>
  <c r="CE41" i="10"/>
  <c r="CF41" i="10"/>
  <c r="CG41" i="10"/>
  <c r="CH41" i="10"/>
  <c r="CI41" i="10"/>
  <c r="CJ41" i="10"/>
  <c r="CK41" i="10"/>
  <c r="CL41" i="10"/>
  <c r="CM41" i="10"/>
  <c r="CN41" i="10"/>
  <c r="CO41" i="10"/>
  <c r="CP41" i="10"/>
  <c r="CQ41" i="10"/>
  <c r="CR41" i="10"/>
  <c r="CS41" i="10"/>
  <c r="CT41" i="10"/>
  <c r="CU41" i="10"/>
  <c r="CV41" i="10"/>
  <c r="CW41" i="10"/>
  <c r="CX41" i="10"/>
  <c r="CY41" i="10"/>
  <c r="CZ41" i="10"/>
  <c r="DA41" i="10"/>
  <c r="DB41" i="10"/>
  <c r="DH41" i="10"/>
  <c r="DI41" i="10"/>
  <c r="DK41" i="10"/>
  <c r="DL41" i="10"/>
  <c r="DM41" i="10"/>
  <c r="DN41" i="10"/>
  <c r="DO41" i="10"/>
  <c r="DP41" i="10"/>
  <c r="DQ41" i="10"/>
  <c r="DR41" i="10"/>
  <c r="DS41" i="10"/>
  <c r="DT41" i="10"/>
  <c r="DU41" i="10"/>
  <c r="DV41" i="10"/>
  <c r="DW41" i="10"/>
  <c r="DX41" i="10"/>
  <c r="DY41" i="10"/>
  <c r="DZ41" i="10"/>
  <c r="EA41" i="10"/>
  <c r="EB41" i="10"/>
  <c r="EC41" i="10"/>
  <c r="ED41" i="10"/>
  <c r="EE41" i="10"/>
  <c r="EF41" i="10"/>
  <c r="EG41" i="10"/>
  <c r="EH41" i="10"/>
  <c r="EI41" i="10"/>
  <c r="EJ41" i="10"/>
  <c r="EK41" i="10"/>
  <c r="EL41" i="10"/>
  <c r="EM41" i="10"/>
  <c r="EN41" i="10"/>
  <c r="EO41" i="10"/>
  <c r="EP41" i="10"/>
  <c r="EQ41" i="10"/>
  <c r="ER41" i="10"/>
  <c r="ES41" i="10"/>
  <c r="ET41" i="10"/>
  <c r="EU41" i="10"/>
  <c r="EV41" i="10"/>
  <c r="EW41" i="10"/>
  <c r="EX41" i="10"/>
  <c r="EY41" i="10"/>
  <c r="EZ41" i="10"/>
  <c r="FA41" i="10"/>
  <c r="FB41" i="10"/>
  <c r="FC41" i="10"/>
  <c r="FD41" i="10"/>
  <c r="FE41" i="10"/>
  <c r="FF41" i="10"/>
  <c r="FG41" i="10"/>
  <c r="FH41" i="10"/>
  <c r="FI41" i="10"/>
  <c r="FJ41" i="10"/>
  <c r="FK41" i="10"/>
  <c r="FL41" i="10"/>
  <c r="FM41" i="10"/>
  <c r="FN41" i="10"/>
  <c r="FO41" i="10"/>
  <c r="FP41" i="10"/>
  <c r="FQ41" i="10"/>
  <c r="FR41" i="10"/>
  <c r="FS41" i="10"/>
  <c r="FT41" i="10"/>
  <c r="FU41" i="10"/>
  <c r="FV41" i="10"/>
  <c r="FW41" i="10"/>
  <c r="FX41" i="10"/>
  <c r="FY41" i="10"/>
  <c r="FZ41" i="10"/>
  <c r="GA41" i="10"/>
  <c r="GB41" i="10"/>
  <c r="GC41" i="10"/>
  <c r="GD41" i="10"/>
  <c r="GE41" i="10"/>
  <c r="GF41" i="10"/>
  <c r="GG41" i="10"/>
  <c r="GH41" i="10"/>
  <c r="GI41" i="10"/>
  <c r="GJ41" i="10"/>
  <c r="GK41" i="10"/>
  <c r="GL41" i="10"/>
  <c r="GM41" i="10"/>
  <c r="GN41" i="10"/>
  <c r="GO41" i="10"/>
  <c r="GP41" i="10"/>
  <c r="GQ41" i="10"/>
  <c r="GR41" i="10"/>
  <c r="GS41" i="10"/>
  <c r="GT41" i="10"/>
  <c r="GU41" i="10"/>
  <c r="GV41" i="10"/>
  <c r="GW41" i="10"/>
  <c r="GX41" i="10"/>
  <c r="GY41" i="10"/>
  <c r="GZ41" i="10"/>
  <c r="HA41" i="10"/>
  <c r="HB41" i="10"/>
  <c r="HC41" i="10"/>
  <c r="HD41" i="10"/>
  <c r="HE41" i="10"/>
  <c r="HF41" i="10"/>
  <c r="HG41" i="10"/>
  <c r="HH41" i="10"/>
  <c r="HI41" i="10"/>
  <c r="HJ41" i="10"/>
  <c r="HK41" i="10"/>
  <c r="HL41" i="10"/>
  <c r="HM41" i="10"/>
  <c r="HN41" i="10"/>
  <c r="HO41" i="10"/>
  <c r="HP41" i="10"/>
  <c r="HQ41" i="10"/>
  <c r="HR41" i="10"/>
  <c r="HS41" i="10"/>
  <c r="HT41" i="10"/>
  <c r="HU41" i="10"/>
  <c r="HV41" i="10"/>
  <c r="HW41" i="10"/>
  <c r="HX41" i="10"/>
  <c r="HY41" i="10"/>
  <c r="HZ41" i="10"/>
  <c r="IA41" i="10"/>
  <c r="IB41" i="10"/>
  <c r="IC41" i="10"/>
  <c r="ID41" i="10"/>
  <c r="IE41" i="10"/>
  <c r="IF41" i="10"/>
  <c r="IG41" i="10"/>
  <c r="IH41" i="10"/>
  <c r="II41" i="10"/>
  <c r="IJ41" i="10"/>
  <c r="IK41" i="10"/>
  <c r="IL41" i="10"/>
  <c r="IM41" i="10"/>
  <c r="IN41" i="10"/>
  <c r="IO41" i="10"/>
  <c r="IP41" i="10"/>
  <c r="IQ41" i="10"/>
  <c r="IR41" i="10"/>
  <c r="IS41" i="10"/>
  <c r="IT41" i="10"/>
  <c r="IU41" i="10"/>
  <c r="IV41" i="10"/>
  <c r="IW41" i="10"/>
  <c r="IX41" i="10"/>
  <c r="IY41" i="10"/>
  <c r="IZ41" i="10"/>
  <c r="JA41" i="10"/>
  <c r="JB41" i="10"/>
  <c r="JC41" i="10"/>
  <c r="JD41" i="10"/>
  <c r="JE41" i="10"/>
  <c r="JF41" i="10"/>
  <c r="JG41" i="10"/>
  <c r="JH41" i="10"/>
  <c r="JI41" i="10"/>
  <c r="JJ41" i="10"/>
  <c r="JK41" i="10"/>
  <c r="JL41" i="10"/>
  <c r="JM41" i="10"/>
  <c r="JN41" i="10"/>
  <c r="JO41" i="10"/>
  <c r="JP41" i="10"/>
  <c r="JQ41" i="10"/>
  <c r="JR41" i="10"/>
  <c r="JT41" i="10"/>
  <c r="JU41" i="10"/>
  <c r="JV41" i="10"/>
  <c r="JW41" i="10"/>
  <c r="JX41" i="10"/>
  <c r="JY41" i="10"/>
  <c r="JZ41" i="10"/>
  <c r="KA41" i="10"/>
  <c r="KB41" i="10"/>
  <c r="KC41" i="10"/>
  <c r="LK41" i="10"/>
  <c r="LL41" i="10"/>
  <c r="LM41" i="10"/>
  <c r="LN41" i="10"/>
  <c r="LO41" i="10"/>
  <c r="LP41" i="10"/>
  <c r="LQ41" i="10"/>
  <c r="LR41" i="10"/>
  <c r="LS41" i="10"/>
  <c r="LT41" i="10"/>
  <c r="LV41" i="10"/>
  <c r="LW41" i="10"/>
  <c r="LX41" i="10"/>
  <c r="LY41" i="10"/>
  <c r="LZ41" i="10"/>
  <c r="MA41" i="10"/>
  <c r="MB41" i="10"/>
  <c r="MC41" i="10"/>
  <c r="MD41" i="10"/>
  <c r="ME41" i="10"/>
  <c r="MF41" i="10"/>
  <c r="MG41" i="10"/>
  <c r="MH41" i="10"/>
  <c r="MI41" i="10"/>
  <c r="MJ41" i="10"/>
  <c r="MK41" i="10"/>
  <c r="ML41" i="10"/>
  <c r="MM41" i="10"/>
  <c r="MN41" i="10"/>
  <c r="MO41" i="10"/>
  <c r="MP41" i="10"/>
  <c r="MQ41" i="10"/>
  <c r="MR41" i="10"/>
  <c r="MS41" i="10"/>
  <c r="MT41" i="10"/>
  <c r="MU41" i="10"/>
  <c r="MV41" i="10"/>
  <c r="MW41" i="10"/>
  <c r="MX41" i="10"/>
  <c r="MY41" i="10"/>
  <c r="MZ41" i="10"/>
  <c r="NA41" i="10"/>
  <c r="NB41" i="10"/>
  <c r="NC41" i="10"/>
  <c r="ND41" i="10"/>
  <c r="NE41" i="10"/>
  <c r="NF41" i="10"/>
  <c r="NG41" i="10"/>
  <c r="NH41" i="10"/>
  <c r="NI41" i="10"/>
  <c r="NJ41" i="10"/>
  <c r="NK41" i="10"/>
  <c r="NL41" i="10"/>
  <c r="NM41" i="10"/>
  <c r="NN41" i="10"/>
  <c r="NO41" i="10"/>
  <c r="NP41" i="10"/>
  <c r="NQ41" i="10"/>
  <c r="NR41" i="10"/>
  <c r="NS41" i="10"/>
  <c r="NT41" i="10"/>
  <c r="NU41" i="10"/>
  <c r="NV41" i="10"/>
  <c r="NW41" i="10"/>
  <c r="NX41" i="10"/>
  <c r="NY41" i="10"/>
  <c r="NZ41" i="10"/>
  <c r="OA41" i="10"/>
  <c r="OB41" i="10"/>
  <c r="OC41" i="10"/>
  <c r="OD41" i="10"/>
  <c r="OE41" i="10"/>
  <c r="OF41" i="10"/>
  <c r="OG41" i="10"/>
  <c r="OH41" i="10"/>
  <c r="OI41" i="10"/>
  <c r="OJ41" i="10"/>
  <c r="OK41" i="10"/>
  <c r="OL41" i="10"/>
  <c r="OM41" i="10"/>
  <c r="ON41" i="10"/>
  <c r="OO41" i="10"/>
  <c r="OP41" i="10"/>
  <c r="OQ41" i="10"/>
  <c r="OR41" i="10"/>
  <c r="OS41" i="10"/>
  <c r="OT41" i="10"/>
  <c r="OU41" i="10"/>
  <c r="OV41" i="10"/>
  <c r="OW41" i="10"/>
  <c r="OX41" i="10"/>
  <c r="OY41" i="10"/>
  <c r="OZ41" i="10"/>
  <c r="PA41" i="10"/>
  <c r="PB41" i="10"/>
  <c r="PC41" i="10"/>
  <c r="PD41" i="10"/>
  <c r="PE41" i="10"/>
  <c r="PF41" i="10"/>
  <c r="PG41" i="10"/>
  <c r="PH41" i="10"/>
  <c r="PI41" i="10"/>
  <c r="PJ41" i="10"/>
  <c r="PK41" i="10"/>
  <c r="PL41" i="10"/>
  <c r="PM41" i="10"/>
  <c r="PN41" i="10"/>
  <c r="PO41" i="10"/>
  <c r="PP41" i="10"/>
  <c r="PQ41" i="10"/>
  <c r="PR41" i="10"/>
  <c r="PS41" i="10"/>
  <c r="PT41" i="10"/>
  <c r="PU41" i="10"/>
  <c r="PV41" i="10"/>
  <c r="PW41" i="10"/>
  <c r="PX41" i="10"/>
  <c r="PY41" i="10"/>
  <c r="PZ41" i="10"/>
  <c r="QA41" i="10"/>
  <c r="QB41" i="10"/>
  <c r="QC41" i="10"/>
  <c r="QD41" i="10"/>
  <c r="QE41" i="10"/>
  <c r="QF41" i="10"/>
  <c r="QG41" i="10"/>
  <c r="QH41" i="10"/>
  <c r="QI41" i="10"/>
  <c r="QJ41" i="10"/>
  <c r="QK41" i="10"/>
  <c r="QL41" i="10"/>
  <c r="QM41" i="10"/>
  <c r="QN41" i="10"/>
  <c r="QO41" i="10"/>
  <c r="QP41" i="10"/>
  <c r="QQ41" i="10"/>
  <c r="QR41" i="10"/>
  <c r="QS41" i="10"/>
  <c r="QT41" i="10"/>
  <c r="QU41" i="10"/>
  <c r="QV41" i="10"/>
  <c r="QW41" i="10"/>
  <c r="QX41" i="10"/>
  <c r="QY41" i="10"/>
  <c r="QZ41" i="10"/>
  <c r="RA41" i="10"/>
  <c r="RB41" i="10"/>
  <c r="RC41" i="10"/>
  <c r="RD41" i="10"/>
  <c r="RE41" i="10"/>
  <c r="RF41" i="10"/>
  <c r="RG41" i="10"/>
  <c r="RH41" i="10"/>
  <c r="RI41" i="10"/>
  <c r="RJ41" i="10"/>
  <c r="RK41" i="10"/>
  <c r="RL41" i="10"/>
  <c r="RM41" i="10"/>
  <c r="RN41" i="10"/>
  <c r="RO41" i="10"/>
  <c r="RP41" i="10"/>
  <c r="RQ41" i="10"/>
  <c r="RR41" i="10"/>
  <c r="RS41" i="10"/>
  <c r="RT41" i="10"/>
  <c r="RU41" i="10"/>
  <c r="RV41" i="10"/>
  <c r="RW41" i="10"/>
  <c r="RX41" i="10"/>
  <c r="RY41" i="10"/>
  <c r="RZ41" i="10"/>
  <c r="SA41" i="10"/>
  <c r="SB41" i="10"/>
  <c r="SC41" i="10"/>
  <c r="SD41" i="10"/>
  <c r="SE41" i="10"/>
  <c r="SF41" i="10"/>
  <c r="SG41" i="10"/>
  <c r="SH41" i="10"/>
  <c r="SI41" i="10"/>
  <c r="SJ41" i="10"/>
  <c r="SK41" i="10"/>
  <c r="SL41" i="10"/>
  <c r="SM41" i="10"/>
  <c r="SN41" i="10"/>
  <c r="SO41" i="10"/>
  <c r="SP41" i="10"/>
  <c r="SQ41" i="10"/>
  <c r="SR41" i="10"/>
  <c r="SS41" i="10"/>
  <c r="ST41" i="10"/>
  <c r="SU41" i="10"/>
  <c r="SV41" i="10"/>
  <c r="SW41" i="10"/>
  <c r="SX41" i="10"/>
  <c r="SY41" i="10"/>
  <c r="SZ41" i="10"/>
  <c r="TA41" i="10"/>
  <c r="TB41" i="10"/>
  <c r="TC41" i="10"/>
  <c r="TD41" i="10"/>
  <c r="TE41" i="10"/>
  <c r="TF41" i="10"/>
  <c r="TG41" i="10"/>
  <c r="TH41" i="10"/>
  <c r="TI41" i="10"/>
  <c r="TJ41" i="10"/>
  <c r="TK41" i="10"/>
  <c r="TL41" i="10"/>
  <c r="TM41" i="10"/>
  <c r="TN41" i="10"/>
  <c r="TO41" i="10"/>
  <c r="TP41" i="10"/>
  <c r="TQ41" i="10"/>
  <c r="TR41" i="10"/>
  <c r="TS41" i="10"/>
  <c r="TT41" i="10"/>
  <c r="TU41" i="10"/>
  <c r="TV41" i="10"/>
  <c r="TW41" i="10"/>
  <c r="TX41" i="10"/>
  <c r="TY41" i="10"/>
  <c r="TZ41" i="10"/>
  <c r="UA41" i="10"/>
  <c r="UB41" i="10"/>
  <c r="UC41" i="10"/>
  <c r="UD41" i="10"/>
  <c r="UE41" i="10"/>
  <c r="UF41" i="10"/>
  <c r="UG41" i="10"/>
  <c r="UH41" i="10"/>
  <c r="UI41" i="10"/>
  <c r="UJ41" i="10"/>
  <c r="UK41" i="10"/>
  <c r="UL41" i="10"/>
  <c r="UM41" i="10"/>
  <c r="UN41" i="10"/>
  <c r="UO41" i="10"/>
  <c r="UP41" i="10"/>
  <c r="UQ41" i="10"/>
  <c r="UR41" i="10"/>
  <c r="US41" i="10"/>
  <c r="UT41" i="10"/>
  <c r="UU41" i="10"/>
  <c r="UV41" i="10"/>
  <c r="UW41" i="10"/>
  <c r="UX41" i="10"/>
  <c r="UY41" i="10"/>
  <c r="UZ41" i="10"/>
  <c r="VA41" i="10"/>
  <c r="VB41" i="10"/>
  <c r="VC41" i="10"/>
  <c r="VD41" i="10"/>
  <c r="VE41" i="10"/>
  <c r="VF41" i="10"/>
  <c r="VG41" i="10"/>
  <c r="VH41" i="10"/>
  <c r="VI41" i="10"/>
  <c r="VJ41" i="10"/>
  <c r="VK41" i="10"/>
  <c r="VL41" i="10"/>
  <c r="VM41" i="10"/>
  <c r="VN41" i="10"/>
  <c r="VO41" i="10"/>
  <c r="VP41" i="10"/>
  <c r="VQ41" i="10"/>
  <c r="VR41" i="10"/>
  <c r="VS41" i="10"/>
  <c r="VT41" i="10"/>
  <c r="VU41" i="10"/>
  <c r="VV41" i="10"/>
  <c r="VW41" i="10"/>
  <c r="VX41" i="10"/>
  <c r="VY41" i="10"/>
  <c r="VZ41" i="10"/>
  <c r="WA41" i="10"/>
  <c r="WB41" i="10"/>
  <c r="WC41" i="10"/>
  <c r="WD41" i="10"/>
  <c r="WE41" i="10"/>
  <c r="WF41" i="10"/>
  <c r="WG41" i="10"/>
  <c r="WH41" i="10"/>
  <c r="WI41" i="10"/>
  <c r="WJ41" i="10"/>
  <c r="WK41" i="10"/>
  <c r="WL41" i="10"/>
  <c r="WM41" i="10"/>
  <c r="WN41" i="10"/>
  <c r="WO41" i="10"/>
  <c r="WP41" i="10"/>
  <c r="WQ41" i="10"/>
  <c r="WR41" i="10"/>
  <c r="WS41" i="10"/>
  <c r="WT41" i="10"/>
  <c r="WU41" i="10"/>
  <c r="WV41" i="10"/>
  <c r="WW41" i="10"/>
  <c r="WX41" i="10"/>
  <c r="WY41" i="10"/>
  <c r="WZ41" i="10"/>
  <c r="XA41" i="10"/>
  <c r="XB41" i="10"/>
  <c r="AB503" i="11" l="1"/>
  <c r="AA538" i="11"/>
  <c r="AA548" i="11" s="1"/>
  <c r="AB511" i="11"/>
  <c r="AA541" i="11"/>
  <c r="AA549" i="11" s="1"/>
  <c r="AE594" i="11"/>
  <c r="AG606" i="11"/>
  <c r="Y160" i="11"/>
  <c r="AF160" i="11"/>
  <c r="AZ160" i="11"/>
  <c r="AK160" i="11"/>
  <c r="AP160" i="11"/>
  <c r="AQ160" i="11"/>
  <c r="AD160" i="11"/>
  <c r="AW160" i="11"/>
  <c r="AG160" i="11"/>
  <c r="AB160" i="11"/>
  <c r="AC160" i="11"/>
  <c r="AE160" i="11"/>
  <c r="AO160" i="11"/>
  <c r="AH160" i="11"/>
  <c r="AL160" i="11"/>
  <c r="Z160" i="11"/>
  <c r="AJ160" i="11"/>
  <c r="AI160" i="11"/>
  <c r="AT160" i="11"/>
  <c r="AX160" i="11"/>
  <c r="AV160" i="11"/>
  <c r="AM160" i="11"/>
  <c r="BA160" i="11"/>
  <c r="AR160" i="11"/>
  <c r="AS160" i="11"/>
  <c r="AY160" i="11"/>
  <c r="AA160" i="11"/>
  <c r="AU160" i="11"/>
  <c r="AN160" i="11"/>
  <c r="W190" i="11"/>
  <c r="W609" i="11" s="1"/>
  <c r="X190" i="11"/>
  <c r="X609" i="11" s="1"/>
  <c r="V190" i="11"/>
  <c r="V609" i="11" s="1"/>
  <c r="W179" i="11"/>
  <c r="W597" i="11" s="1"/>
  <c r="X179" i="11"/>
  <c r="X597" i="11" s="1"/>
  <c r="V179" i="11"/>
  <c r="V597" i="11" s="1"/>
  <c r="X92" i="11"/>
  <c r="AC511" i="11" l="1"/>
  <c r="AB541" i="11"/>
  <c r="AB549" i="11" s="1"/>
  <c r="AC503" i="11"/>
  <c r="AB538" i="11"/>
  <c r="AB548" i="11" s="1"/>
  <c r="AF594" i="11"/>
  <c r="AH606" i="11"/>
  <c r="W195" i="11"/>
  <c r="W614" i="11" s="1"/>
  <c r="X195" i="11"/>
  <c r="X614" i="11" s="1"/>
  <c r="V195" i="11"/>
  <c r="V614" i="11" s="1"/>
  <c r="W191" i="11"/>
  <c r="W610" i="11" s="1"/>
  <c r="X191" i="11"/>
  <c r="X610" i="11" s="1"/>
  <c r="V191" i="11"/>
  <c r="V610" i="11" s="1"/>
  <c r="W189" i="11"/>
  <c r="X189" i="11"/>
  <c r="V189" i="11"/>
  <c r="V188" i="11"/>
  <c r="W180" i="11"/>
  <c r="W598" i="11" s="1"/>
  <c r="X180" i="11"/>
  <c r="X598" i="11" s="1"/>
  <c r="V180" i="11"/>
  <c r="V598" i="11" s="1"/>
  <c r="W188" i="11"/>
  <c r="X188" i="11"/>
  <c r="X607" i="11" s="1"/>
  <c r="Y187" i="11"/>
  <c r="Z187" i="11" s="1"/>
  <c r="AA187" i="11" s="1"/>
  <c r="AB187" i="11" s="1"/>
  <c r="AC187" i="11" s="1"/>
  <c r="AD187" i="11" s="1"/>
  <c r="AE187" i="11" s="1"/>
  <c r="AF187" i="11" s="1"/>
  <c r="AG187" i="11" s="1"/>
  <c r="AH187" i="11" s="1"/>
  <c r="AI187" i="11" s="1"/>
  <c r="AJ187" i="11" s="1"/>
  <c r="AK187" i="11" s="1"/>
  <c r="AL187" i="11" s="1"/>
  <c r="AM187" i="11" s="1"/>
  <c r="AN187" i="11" s="1"/>
  <c r="AO187" i="11" s="1"/>
  <c r="AP187" i="11" s="1"/>
  <c r="AQ187" i="11" s="1"/>
  <c r="AR187" i="11" s="1"/>
  <c r="AS187" i="11" s="1"/>
  <c r="AT187" i="11" s="1"/>
  <c r="AU187" i="11" s="1"/>
  <c r="AV187" i="11" s="1"/>
  <c r="AW187" i="11" s="1"/>
  <c r="AX187" i="11" s="1"/>
  <c r="AY187" i="11" s="1"/>
  <c r="AZ187" i="11" s="1"/>
  <c r="BA187" i="11" s="1"/>
  <c r="W184" i="11"/>
  <c r="W602" i="11" s="1"/>
  <c r="X184" i="11"/>
  <c r="X602" i="11" s="1"/>
  <c r="V184" i="11"/>
  <c r="V602" i="11" s="1"/>
  <c r="W177" i="11"/>
  <c r="X177" i="11"/>
  <c r="W178" i="11"/>
  <c r="X178" i="11"/>
  <c r="V178" i="11"/>
  <c r="V177" i="11"/>
  <c r="Y176" i="11"/>
  <c r="AD503" i="11" l="1"/>
  <c r="AC538" i="11"/>
  <c r="AC548" i="11" s="1"/>
  <c r="AD511" i="11"/>
  <c r="AC541" i="11"/>
  <c r="AC549" i="11" s="1"/>
  <c r="W604" i="11"/>
  <c r="W616" i="11"/>
  <c r="AI606" i="11"/>
  <c r="AG594" i="11"/>
  <c r="Z176" i="11"/>
  <c r="W196" i="11"/>
  <c r="W615" i="11" s="1"/>
  <c r="W185" i="11"/>
  <c r="W603" i="11" s="1"/>
  <c r="X196" i="11"/>
  <c r="X615" i="11" s="1"/>
  <c r="V196" i="11"/>
  <c r="V615" i="11" s="1"/>
  <c r="V616" i="11" s="1"/>
  <c r="X185" i="11"/>
  <c r="X603" i="11" s="1"/>
  <c r="V185" i="11"/>
  <c r="V603" i="11" s="1"/>
  <c r="V604" i="11" s="1"/>
  <c r="X102"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77" i="11"/>
  <c r="U44" i="11"/>
  <c r="U43" i="11"/>
  <c r="U42" i="11"/>
  <c r="U41" i="11"/>
  <c r="Q84" i="13"/>
  <c r="S84" i="13"/>
  <c r="T84" i="13"/>
  <c r="W84" i="13"/>
  <c r="X84" i="13"/>
  <c r="Y84" i="13"/>
  <c r="Z84" i="13"/>
  <c r="AG84" i="13"/>
  <c r="AK84" i="13"/>
  <c r="Q85" i="13"/>
  <c r="S85" i="13"/>
  <c r="T85" i="13"/>
  <c r="W85" i="13"/>
  <c r="X85" i="13"/>
  <c r="Y85" i="13"/>
  <c r="Z85" i="13"/>
  <c r="AG85" i="13"/>
  <c r="AK85" i="13"/>
  <c r="Q86" i="13"/>
  <c r="S86" i="13"/>
  <c r="T86" i="13"/>
  <c r="W86" i="13"/>
  <c r="X86" i="13"/>
  <c r="Y86" i="13"/>
  <c r="Z86" i="13"/>
  <c r="AG86" i="13"/>
  <c r="AK86" i="13"/>
  <c r="Q87" i="13"/>
  <c r="S87" i="13"/>
  <c r="T87" i="13"/>
  <c r="V87" i="13"/>
  <c r="W87" i="13"/>
  <c r="X87" i="13"/>
  <c r="Y87" i="13"/>
  <c r="Z87" i="13"/>
  <c r="AB87" i="13"/>
  <c r="AF87" i="13"/>
  <c r="AG87" i="13"/>
  <c r="AK87" i="13"/>
  <c r="Q88" i="13"/>
  <c r="R88" i="13"/>
  <c r="S88" i="13"/>
  <c r="T88" i="13"/>
  <c r="V88" i="13"/>
  <c r="W88" i="13"/>
  <c r="X88" i="13"/>
  <c r="Y88" i="13"/>
  <c r="Z88" i="13"/>
  <c r="AA88" i="13"/>
  <c r="AB88" i="13"/>
  <c r="AF88" i="13"/>
  <c r="AG88" i="13"/>
  <c r="AI88" i="13"/>
  <c r="AK88" i="13"/>
  <c r="Q89" i="13"/>
  <c r="R89" i="13"/>
  <c r="S89" i="13"/>
  <c r="T89" i="13"/>
  <c r="V89" i="13"/>
  <c r="W89" i="13"/>
  <c r="X89" i="13"/>
  <c r="Y89" i="13"/>
  <c r="Z89" i="13"/>
  <c r="AA89" i="13"/>
  <c r="AB89" i="13"/>
  <c r="AD89" i="13"/>
  <c r="AF89" i="13"/>
  <c r="AG89" i="13"/>
  <c r="AI89" i="13"/>
  <c r="AK89" i="13"/>
  <c r="Q90" i="13"/>
  <c r="R90" i="13"/>
  <c r="S90" i="13"/>
  <c r="T90" i="13"/>
  <c r="V90" i="13"/>
  <c r="W90" i="13"/>
  <c r="X90" i="13"/>
  <c r="Y90" i="13"/>
  <c r="Z90" i="13"/>
  <c r="AA90" i="13"/>
  <c r="AB90" i="13"/>
  <c r="AD90" i="13"/>
  <c r="AF90" i="13"/>
  <c r="AG90" i="13"/>
  <c r="AI90" i="13"/>
  <c r="AJ90" i="13"/>
  <c r="AK90" i="13"/>
  <c r="Q91" i="13"/>
  <c r="R91" i="13"/>
  <c r="S91" i="13"/>
  <c r="T91" i="13"/>
  <c r="V91" i="13"/>
  <c r="W91" i="13"/>
  <c r="X91" i="13"/>
  <c r="Y91" i="13"/>
  <c r="Z91" i="13"/>
  <c r="AA91" i="13"/>
  <c r="AB91" i="13"/>
  <c r="AD91" i="13"/>
  <c r="AF91" i="13"/>
  <c r="AG91" i="13"/>
  <c r="AI91" i="13"/>
  <c r="AJ91" i="13"/>
  <c r="AK91" i="13"/>
  <c r="Q92" i="13"/>
  <c r="R92" i="13"/>
  <c r="S92" i="13"/>
  <c r="T92" i="13"/>
  <c r="V92" i="13"/>
  <c r="W92" i="13"/>
  <c r="X92" i="13"/>
  <c r="Y92" i="13"/>
  <c r="Z92" i="13"/>
  <c r="AA92" i="13"/>
  <c r="AB92" i="13"/>
  <c r="AD92" i="13"/>
  <c r="AF92" i="13"/>
  <c r="AG92" i="13"/>
  <c r="AI92" i="13"/>
  <c r="AJ92" i="13"/>
  <c r="AK92" i="13"/>
  <c r="Q93" i="13"/>
  <c r="R93" i="13"/>
  <c r="S93" i="13"/>
  <c r="T93" i="13"/>
  <c r="V93" i="13"/>
  <c r="W93" i="13"/>
  <c r="X93" i="13"/>
  <c r="Y93" i="13"/>
  <c r="Z93" i="13"/>
  <c r="AA93" i="13"/>
  <c r="AB93" i="13"/>
  <c r="AD93" i="13"/>
  <c r="AF93" i="13"/>
  <c r="AG93" i="13"/>
  <c r="AI93" i="13"/>
  <c r="AJ93" i="13"/>
  <c r="AK93" i="13"/>
  <c r="Q94" i="13"/>
  <c r="R94" i="13"/>
  <c r="S94" i="13"/>
  <c r="T94" i="13"/>
  <c r="V94" i="13"/>
  <c r="W94" i="13"/>
  <c r="X94" i="13"/>
  <c r="Y94" i="13"/>
  <c r="Z94" i="13"/>
  <c r="AA94" i="13"/>
  <c r="AB94" i="13"/>
  <c r="AD94" i="13"/>
  <c r="AF94" i="13"/>
  <c r="AG94" i="13"/>
  <c r="AI94" i="13"/>
  <c r="AJ94" i="13"/>
  <c r="AK94" i="13"/>
  <c r="Q95" i="13"/>
  <c r="R95" i="13"/>
  <c r="S95" i="13"/>
  <c r="T95" i="13"/>
  <c r="V95" i="13"/>
  <c r="W95" i="13"/>
  <c r="X95" i="13"/>
  <c r="Y95" i="13"/>
  <c r="Z95" i="13"/>
  <c r="AA95" i="13"/>
  <c r="AB95" i="13"/>
  <c r="AD95" i="13"/>
  <c r="AE95" i="13"/>
  <c r="AF95" i="13"/>
  <c r="AG95" i="13"/>
  <c r="AI95" i="13"/>
  <c r="AJ95" i="13"/>
  <c r="AK95" i="13"/>
  <c r="Q96" i="13"/>
  <c r="R96" i="13"/>
  <c r="S96" i="13"/>
  <c r="T96" i="13"/>
  <c r="V96" i="13"/>
  <c r="W96" i="13"/>
  <c r="X96" i="13"/>
  <c r="Y96" i="13"/>
  <c r="Z96" i="13"/>
  <c r="AA96" i="13"/>
  <c r="AB96" i="13"/>
  <c r="AD96" i="13"/>
  <c r="AE96" i="13"/>
  <c r="AF96" i="13"/>
  <c r="AG96" i="13"/>
  <c r="AI96" i="13"/>
  <c r="AJ96" i="13"/>
  <c r="AK96" i="13"/>
  <c r="Q97" i="13"/>
  <c r="R97" i="13"/>
  <c r="S97" i="13"/>
  <c r="T97" i="13"/>
  <c r="U97" i="13"/>
  <c r="V97" i="13"/>
  <c r="W97" i="13"/>
  <c r="X97" i="13"/>
  <c r="Y97" i="13"/>
  <c r="Z97" i="13"/>
  <c r="AA97" i="13"/>
  <c r="AB97" i="13"/>
  <c r="AD97" i="13"/>
  <c r="AE97" i="13"/>
  <c r="AF97" i="13"/>
  <c r="AG97" i="13"/>
  <c r="AH97" i="13"/>
  <c r="AI97" i="13"/>
  <c r="AJ97" i="13"/>
  <c r="AK97" i="13"/>
  <c r="Q98" i="13"/>
  <c r="R98" i="13"/>
  <c r="S98" i="13"/>
  <c r="T98" i="13"/>
  <c r="U98" i="13"/>
  <c r="V98" i="13"/>
  <c r="W98" i="13"/>
  <c r="X98" i="13"/>
  <c r="Y98" i="13"/>
  <c r="Z98" i="13"/>
  <c r="AA98" i="13"/>
  <c r="AB98" i="13"/>
  <c r="AD98" i="13"/>
  <c r="AE98" i="13"/>
  <c r="AF98" i="13"/>
  <c r="AG98" i="13"/>
  <c r="AH98" i="13"/>
  <c r="AI98" i="13"/>
  <c r="AJ98" i="13"/>
  <c r="AK98" i="13"/>
  <c r="Q99" i="13"/>
  <c r="R99" i="13"/>
  <c r="S99" i="13"/>
  <c r="T99" i="13"/>
  <c r="U99" i="13"/>
  <c r="V99" i="13"/>
  <c r="W99" i="13"/>
  <c r="X99" i="13"/>
  <c r="Y99" i="13"/>
  <c r="Z99" i="13"/>
  <c r="AA99" i="13"/>
  <c r="AB99" i="13"/>
  <c r="AD99" i="13"/>
  <c r="AE99" i="13"/>
  <c r="AF99" i="13"/>
  <c r="AG99" i="13"/>
  <c r="AH99" i="13"/>
  <c r="AI99" i="13"/>
  <c r="AJ99" i="13"/>
  <c r="AK99" i="13"/>
  <c r="Q100" i="13"/>
  <c r="R100" i="13"/>
  <c r="S100" i="13"/>
  <c r="T100" i="13"/>
  <c r="U100" i="13"/>
  <c r="V100" i="13"/>
  <c r="W100" i="13"/>
  <c r="X100" i="13"/>
  <c r="Y100" i="13"/>
  <c r="Z100" i="13"/>
  <c r="AA100" i="13"/>
  <c r="AB100" i="13"/>
  <c r="AD100" i="13"/>
  <c r="AE100" i="13"/>
  <c r="AF100" i="13"/>
  <c r="AG100" i="13"/>
  <c r="AH100" i="13"/>
  <c r="AI100" i="13"/>
  <c r="AJ100" i="13"/>
  <c r="AK100" i="13"/>
  <c r="Q101" i="13"/>
  <c r="R101" i="13"/>
  <c r="S101" i="13"/>
  <c r="T101" i="13"/>
  <c r="U101" i="13"/>
  <c r="V101" i="13"/>
  <c r="W101" i="13"/>
  <c r="X101" i="13"/>
  <c r="Y101" i="13"/>
  <c r="Z101" i="13"/>
  <c r="AA101" i="13"/>
  <c r="AB101" i="13"/>
  <c r="AC101" i="13"/>
  <c r="AD101" i="13"/>
  <c r="AE101" i="13"/>
  <c r="AF101" i="13"/>
  <c r="AG101" i="13"/>
  <c r="AH101" i="13"/>
  <c r="AI101" i="13"/>
  <c r="AJ101" i="13"/>
  <c r="AK101" i="13"/>
  <c r="Q102" i="13"/>
  <c r="R102" i="13"/>
  <c r="S102" i="13"/>
  <c r="T102" i="13"/>
  <c r="U102" i="13"/>
  <c r="V102" i="13"/>
  <c r="W102" i="13"/>
  <c r="X102" i="13"/>
  <c r="Y102" i="13"/>
  <c r="Z102" i="13"/>
  <c r="AA102" i="13"/>
  <c r="AB102" i="13"/>
  <c r="AC102" i="13"/>
  <c r="AD102" i="13"/>
  <c r="AE102" i="13"/>
  <c r="AF102" i="13"/>
  <c r="AG102" i="13"/>
  <c r="AH102" i="13"/>
  <c r="AI102" i="13"/>
  <c r="AJ102" i="13"/>
  <c r="AK102" i="13"/>
  <c r="Q103" i="13"/>
  <c r="R103" i="13"/>
  <c r="S103" i="13"/>
  <c r="T103" i="13"/>
  <c r="U103" i="13"/>
  <c r="V103" i="13"/>
  <c r="W103" i="13"/>
  <c r="X103" i="13"/>
  <c r="Y103" i="13"/>
  <c r="Z103" i="13"/>
  <c r="AA103" i="13"/>
  <c r="AB103" i="13"/>
  <c r="AC103" i="13"/>
  <c r="AD103" i="13"/>
  <c r="AE103" i="13"/>
  <c r="AF103" i="13"/>
  <c r="AG103" i="13"/>
  <c r="AH103" i="13"/>
  <c r="AI103" i="13"/>
  <c r="AJ103" i="13"/>
  <c r="AK103" i="13"/>
  <c r="Q104" i="13"/>
  <c r="R104" i="13"/>
  <c r="S104" i="13"/>
  <c r="T104" i="13"/>
  <c r="U104" i="13"/>
  <c r="V104" i="13"/>
  <c r="W104" i="13"/>
  <c r="X104" i="13"/>
  <c r="Y104" i="13"/>
  <c r="Z104" i="13"/>
  <c r="AA104" i="13"/>
  <c r="AB104" i="13"/>
  <c r="AC104" i="13"/>
  <c r="AD104" i="13"/>
  <c r="AE104" i="13"/>
  <c r="AF104" i="13"/>
  <c r="AG104" i="13"/>
  <c r="AH104" i="13"/>
  <c r="AI104" i="13"/>
  <c r="AJ104" i="13"/>
  <c r="AK104" i="13"/>
  <c r="Q105" i="13"/>
  <c r="R105" i="13"/>
  <c r="S105" i="13"/>
  <c r="T105" i="13"/>
  <c r="U105" i="13"/>
  <c r="V105" i="13"/>
  <c r="W105" i="13"/>
  <c r="X105" i="13"/>
  <c r="Y105" i="13"/>
  <c r="Z105" i="13"/>
  <c r="AA105" i="13"/>
  <c r="AB105" i="13"/>
  <c r="AC105" i="13"/>
  <c r="AD105" i="13"/>
  <c r="AE105" i="13"/>
  <c r="AF105" i="13"/>
  <c r="AG105" i="13"/>
  <c r="AH105" i="13"/>
  <c r="AI105" i="13"/>
  <c r="AJ105" i="13"/>
  <c r="AK105" i="13"/>
  <c r="Q106" i="13"/>
  <c r="R106" i="13"/>
  <c r="S106" i="13"/>
  <c r="T106" i="13"/>
  <c r="U106" i="13"/>
  <c r="V106" i="13"/>
  <c r="W106" i="13"/>
  <c r="X106" i="13"/>
  <c r="Y106" i="13"/>
  <c r="Z106" i="13"/>
  <c r="AA106" i="13"/>
  <c r="AB106" i="13"/>
  <c r="AC106" i="13"/>
  <c r="AD106" i="13"/>
  <c r="AE106" i="13"/>
  <c r="AF106" i="13"/>
  <c r="AG106" i="13"/>
  <c r="AH106" i="13"/>
  <c r="AI106" i="13"/>
  <c r="AJ106" i="13"/>
  <c r="AK106" i="13"/>
  <c r="Q107" i="13"/>
  <c r="R107" i="13"/>
  <c r="S107" i="13"/>
  <c r="T107" i="13"/>
  <c r="U107" i="13"/>
  <c r="V107" i="13"/>
  <c r="W107" i="13"/>
  <c r="X107" i="13"/>
  <c r="Y107" i="13"/>
  <c r="Z107" i="13"/>
  <c r="AA107" i="13"/>
  <c r="AB107" i="13"/>
  <c r="AC107" i="13"/>
  <c r="AD107" i="13"/>
  <c r="AE107" i="13"/>
  <c r="AF107" i="13"/>
  <c r="AG107" i="13"/>
  <c r="AH107" i="13"/>
  <c r="AI107" i="13"/>
  <c r="AJ107" i="13"/>
  <c r="AK107" i="13"/>
  <c r="Q108" i="13"/>
  <c r="R108" i="13"/>
  <c r="S108" i="13"/>
  <c r="T108" i="13"/>
  <c r="U108" i="13"/>
  <c r="V108" i="13"/>
  <c r="W108" i="13"/>
  <c r="X108" i="13"/>
  <c r="Y108" i="13"/>
  <c r="Z108" i="13"/>
  <c r="AA108" i="13"/>
  <c r="AB108" i="13"/>
  <c r="AC108" i="13"/>
  <c r="AD108" i="13"/>
  <c r="AE108" i="13"/>
  <c r="AF108" i="13"/>
  <c r="AG108" i="13"/>
  <c r="AH108" i="13"/>
  <c r="AI108" i="13"/>
  <c r="AJ108" i="13"/>
  <c r="AK108" i="13"/>
  <c r="Q109" i="13"/>
  <c r="R109" i="13"/>
  <c r="S109" i="13"/>
  <c r="T109" i="13"/>
  <c r="U109" i="13"/>
  <c r="V109" i="13"/>
  <c r="W109" i="13"/>
  <c r="X109" i="13"/>
  <c r="Y109" i="13"/>
  <c r="Z109" i="13"/>
  <c r="AA109" i="13"/>
  <c r="AB109" i="13"/>
  <c r="AC109" i="13"/>
  <c r="AD109" i="13"/>
  <c r="AE109" i="13"/>
  <c r="AF109" i="13"/>
  <c r="AG109" i="13"/>
  <c r="AH109" i="13"/>
  <c r="AI109" i="13"/>
  <c r="AJ109" i="13"/>
  <c r="AK109" i="13"/>
  <c r="Q110" i="13"/>
  <c r="R110" i="13"/>
  <c r="S110" i="13"/>
  <c r="T110" i="13"/>
  <c r="U110" i="13"/>
  <c r="V110" i="13"/>
  <c r="W110" i="13"/>
  <c r="X110" i="13"/>
  <c r="Y110" i="13"/>
  <c r="Z110" i="13"/>
  <c r="AA110" i="13"/>
  <c r="AB110" i="13"/>
  <c r="AC110" i="13"/>
  <c r="AD110" i="13"/>
  <c r="AE110" i="13"/>
  <c r="AF110" i="13"/>
  <c r="AG110" i="13"/>
  <c r="AH110" i="13"/>
  <c r="AI110" i="13"/>
  <c r="AJ110" i="13"/>
  <c r="AK110" i="13"/>
  <c r="Q111" i="13"/>
  <c r="R111" i="13"/>
  <c r="S111" i="13"/>
  <c r="T111" i="13"/>
  <c r="U111" i="13"/>
  <c r="V111" i="13"/>
  <c r="W111" i="13"/>
  <c r="X111" i="13"/>
  <c r="Y111" i="13"/>
  <c r="Z111" i="13"/>
  <c r="AA111" i="13"/>
  <c r="AB111" i="13"/>
  <c r="AC111" i="13"/>
  <c r="AD111" i="13"/>
  <c r="AE111" i="13"/>
  <c r="AF111" i="13"/>
  <c r="AG111" i="13"/>
  <c r="AH111" i="13"/>
  <c r="AI111" i="13"/>
  <c r="AJ111" i="13"/>
  <c r="AK111" i="13"/>
  <c r="Q112" i="13"/>
  <c r="R112" i="13"/>
  <c r="S112" i="13"/>
  <c r="T112" i="13"/>
  <c r="U112" i="13"/>
  <c r="V112" i="13"/>
  <c r="W112" i="13"/>
  <c r="X112" i="13"/>
  <c r="Y112" i="13"/>
  <c r="Z112" i="13"/>
  <c r="AA112" i="13"/>
  <c r="AB112" i="13"/>
  <c r="AC112" i="13"/>
  <c r="AD112" i="13"/>
  <c r="AE112" i="13"/>
  <c r="AF112" i="13"/>
  <c r="AG112" i="13"/>
  <c r="AH112" i="13"/>
  <c r="AI112" i="13"/>
  <c r="AJ112" i="13"/>
  <c r="AK112" i="13"/>
  <c r="Q113" i="13"/>
  <c r="R113" i="13"/>
  <c r="S113" i="13"/>
  <c r="T113" i="13"/>
  <c r="U113" i="13"/>
  <c r="V113" i="13"/>
  <c r="W113" i="13"/>
  <c r="X113" i="13"/>
  <c r="Y113" i="13"/>
  <c r="Z113" i="13"/>
  <c r="AA113" i="13"/>
  <c r="AB113" i="13"/>
  <c r="AC113" i="13"/>
  <c r="AD113" i="13"/>
  <c r="AE113" i="13"/>
  <c r="AF113" i="13"/>
  <c r="AG113" i="13"/>
  <c r="AH113" i="13"/>
  <c r="AI113" i="13"/>
  <c r="AJ113" i="13"/>
  <c r="AK113" i="13"/>
  <c r="Q114" i="13"/>
  <c r="R114" i="13"/>
  <c r="S114" i="13"/>
  <c r="T114" i="13"/>
  <c r="U114" i="13"/>
  <c r="V114" i="13"/>
  <c r="W114" i="13"/>
  <c r="X114" i="13"/>
  <c r="Y114" i="13"/>
  <c r="Z114" i="13"/>
  <c r="AA114" i="13"/>
  <c r="AB114" i="13"/>
  <c r="AC114" i="13"/>
  <c r="AD114" i="13"/>
  <c r="AE114" i="13"/>
  <c r="AF114" i="13"/>
  <c r="AG114" i="13"/>
  <c r="AH114" i="13"/>
  <c r="AI114" i="13"/>
  <c r="AJ114" i="13"/>
  <c r="AK114" i="13"/>
  <c r="Q115" i="13"/>
  <c r="R115" i="13"/>
  <c r="S115" i="13"/>
  <c r="T115" i="13"/>
  <c r="U115" i="13"/>
  <c r="V115" i="13"/>
  <c r="W115" i="13"/>
  <c r="X115" i="13"/>
  <c r="Y115" i="13"/>
  <c r="Z115" i="13"/>
  <c r="AA115" i="13"/>
  <c r="AB115" i="13"/>
  <c r="AC115" i="13"/>
  <c r="AD115" i="13"/>
  <c r="AE115" i="13"/>
  <c r="AF115" i="13"/>
  <c r="AG115" i="13"/>
  <c r="AH115" i="13"/>
  <c r="AI115" i="13"/>
  <c r="AJ115" i="13"/>
  <c r="AK115" i="13"/>
  <c r="Q116" i="13"/>
  <c r="R116" i="13"/>
  <c r="S116" i="13"/>
  <c r="T116" i="13"/>
  <c r="U116" i="13"/>
  <c r="V116" i="13"/>
  <c r="W116" i="13"/>
  <c r="X116" i="13"/>
  <c r="Y116" i="13"/>
  <c r="Z116" i="13"/>
  <c r="AA116" i="13"/>
  <c r="AB116" i="13"/>
  <c r="AC116" i="13"/>
  <c r="AD116" i="13"/>
  <c r="AE116" i="13"/>
  <c r="AF116" i="13"/>
  <c r="AG116" i="13"/>
  <c r="AH116" i="13"/>
  <c r="AI116" i="13"/>
  <c r="AJ116" i="13"/>
  <c r="AK116" i="13"/>
  <c r="Q117" i="13"/>
  <c r="R117" i="13"/>
  <c r="S117" i="13"/>
  <c r="T117" i="13"/>
  <c r="U117" i="13"/>
  <c r="V117" i="13"/>
  <c r="W117" i="13"/>
  <c r="X117" i="13"/>
  <c r="Y117" i="13"/>
  <c r="Z117" i="13"/>
  <c r="AA117" i="13"/>
  <c r="AB117" i="13"/>
  <c r="AC117" i="13"/>
  <c r="AD117" i="13"/>
  <c r="AE117" i="13"/>
  <c r="AF117" i="13"/>
  <c r="AG117" i="13"/>
  <c r="AH117" i="13"/>
  <c r="AI117" i="13"/>
  <c r="AJ117" i="13"/>
  <c r="AK117" i="13"/>
  <c r="Q118" i="13"/>
  <c r="R118" i="13"/>
  <c r="S118" i="13"/>
  <c r="T118" i="13"/>
  <c r="U118" i="13"/>
  <c r="V118" i="13"/>
  <c r="W118" i="13"/>
  <c r="X118" i="13"/>
  <c r="Y118" i="13"/>
  <c r="Z118" i="13"/>
  <c r="AA118" i="13"/>
  <c r="AB118" i="13"/>
  <c r="AC118" i="13"/>
  <c r="AD118" i="13"/>
  <c r="AE118" i="13"/>
  <c r="AF118" i="13"/>
  <c r="AG118" i="13"/>
  <c r="AH118" i="13"/>
  <c r="AI118" i="13"/>
  <c r="AJ118" i="13"/>
  <c r="AK118" i="13"/>
  <c r="Q119" i="13"/>
  <c r="R119" i="13"/>
  <c r="S119" i="13"/>
  <c r="T119" i="13"/>
  <c r="U119" i="13"/>
  <c r="V119" i="13"/>
  <c r="W119" i="13"/>
  <c r="X119" i="13"/>
  <c r="Y119" i="13"/>
  <c r="Z119" i="13"/>
  <c r="AA119" i="13"/>
  <c r="AB119" i="13"/>
  <c r="AC119" i="13"/>
  <c r="AD119" i="13"/>
  <c r="AE119" i="13"/>
  <c r="AF119" i="13"/>
  <c r="AG119" i="13"/>
  <c r="AH119" i="13"/>
  <c r="AI119" i="13"/>
  <c r="AJ119" i="13"/>
  <c r="AK119" i="13"/>
  <c r="Q120" i="13"/>
  <c r="R120" i="13"/>
  <c r="S120" i="13"/>
  <c r="T120" i="13"/>
  <c r="U120" i="13"/>
  <c r="V120" i="13"/>
  <c r="W120" i="13"/>
  <c r="X120" i="13"/>
  <c r="Y120" i="13"/>
  <c r="Z120" i="13"/>
  <c r="AA120" i="13"/>
  <c r="AB120" i="13"/>
  <c r="AC120" i="13"/>
  <c r="AD120" i="13"/>
  <c r="AE120" i="13"/>
  <c r="AF120" i="13"/>
  <c r="AG120" i="13"/>
  <c r="AH120" i="13"/>
  <c r="AI120" i="13"/>
  <c r="AJ120" i="13"/>
  <c r="AK120" i="13"/>
  <c r="Q121" i="13"/>
  <c r="R121" i="13"/>
  <c r="S121" i="13"/>
  <c r="T121" i="13"/>
  <c r="U121" i="13"/>
  <c r="V121" i="13"/>
  <c r="W121" i="13"/>
  <c r="X121" i="13"/>
  <c r="Y121" i="13"/>
  <c r="Z121" i="13"/>
  <c r="AA121" i="13"/>
  <c r="AB121" i="13"/>
  <c r="AC121" i="13"/>
  <c r="AD121" i="13"/>
  <c r="AE121" i="13"/>
  <c r="AF121" i="13"/>
  <c r="AG121" i="13"/>
  <c r="AH121" i="13"/>
  <c r="AI121" i="13"/>
  <c r="AJ121" i="13"/>
  <c r="AK121" i="13"/>
  <c r="Q122" i="13"/>
  <c r="R122" i="13"/>
  <c r="S122" i="13"/>
  <c r="T122" i="13"/>
  <c r="U122" i="13"/>
  <c r="V122" i="13"/>
  <c r="W122" i="13"/>
  <c r="X122" i="13"/>
  <c r="Y122" i="13"/>
  <c r="Z122" i="13"/>
  <c r="AA122" i="13"/>
  <c r="AB122" i="13"/>
  <c r="AC122" i="13"/>
  <c r="AD122" i="13"/>
  <c r="AE122" i="13"/>
  <c r="AF122" i="13"/>
  <c r="AG122" i="13"/>
  <c r="AH122" i="13"/>
  <c r="AI122" i="13"/>
  <c r="AJ122" i="13"/>
  <c r="AK122" i="13"/>
  <c r="Q123" i="13"/>
  <c r="R123" i="13"/>
  <c r="S123" i="13"/>
  <c r="T123" i="13"/>
  <c r="U123" i="13"/>
  <c r="V123" i="13"/>
  <c r="W123" i="13"/>
  <c r="X123" i="13"/>
  <c r="Y123" i="13"/>
  <c r="Z123" i="13"/>
  <c r="AA123" i="13"/>
  <c r="AB123" i="13"/>
  <c r="AC123" i="13"/>
  <c r="AD123" i="13"/>
  <c r="AE123" i="13"/>
  <c r="AF123" i="13"/>
  <c r="AG123" i="13"/>
  <c r="AH123" i="13"/>
  <c r="AI123" i="13"/>
  <c r="AJ123" i="13"/>
  <c r="AK123" i="13"/>
  <c r="Q124" i="13"/>
  <c r="R124" i="13"/>
  <c r="S124" i="13"/>
  <c r="T124" i="13"/>
  <c r="U124" i="13"/>
  <c r="V124" i="13"/>
  <c r="W124" i="13"/>
  <c r="X124" i="13"/>
  <c r="Y124" i="13"/>
  <c r="Z124" i="13"/>
  <c r="AA124" i="13"/>
  <c r="AB124" i="13"/>
  <c r="AC124" i="13"/>
  <c r="AD124" i="13"/>
  <c r="AE124" i="13"/>
  <c r="AF124" i="13"/>
  <c r="AG124" i="13"/>
  <c r="AH124" i="13"/>
  <c r="AI124" i="13"/>
  <c r="AJ124" i="13"/>
  <c r="AK124" i="13"/>
  <c r="Q125" i="13"/>
  <c r="R125" i="13"/>
  <c r="S125" i="13"/>
  <c r="T125" i="13"/>
  <c r="U125" i="13"/>
  <c r="V125" i="13"/>
  <c r="W125" i="13"/>
  <c r="X125" i="13"/>
  <c r="Y125" i="13"/>
  <c r="Z125" i="13"/>
  <c r="AA125" i="13"/>
  <c r="AB125" i="13"/>
  <c r="AC125" i="13"/>
  <c r="AD125" i="13"/>
  <c r="AE125" i="13"/>
  <c r="AF125" i="13"/>
  <c r="AG125" i="13"/>
  <c r="AH125" i="13"/>
  <c r="AI125" i="13"/>
  <c r="AJ125" i="13"/>
  <c r="AK125" i="13"/>
  <c r="Q126" i="13"/>
  <c r="R126" i="13"/>
  <c r="S126" i="13"/>
  <c r="T126" i="13"/>
  <c r="U126" i="13"/>
  <c r="V126" i="13"/>
  <c r="W126" i="13"/>
  <c r="X126" i="13"/>
  <c r="Y126" i="13"/>
  <c r="Z126" i="13"/>
  <c r="AA126" i="13"/>
  <c r="AB126" i="13"/>
  <c r="AC126" i="13"/>
  <c r="AD126" i="13"/>
  <c r="AE126" i="13"/>
  <c r="AF126" i="13"/>
  <c r="AG126" i="13"/>
  <c r="AH126" i="13"/>
  <c r="AI126" i="13"/>
  <c r="AJ126" i="13"/>
  <c r="AK126" i="13"/>
  <c r="Q127" i="13"/>
  <c r="R127" i="13"/>
  <c r="S127" i="13"/>
  <c r="T127" i="13"/>
  <c r="U127" i="13"/>
  <c r="V127" i="13"/>
  <c r="W127" i="13"/>
  <c r="X127" i="13"/>
  <c r="Y127" i="13"/>
  <c r="Z127" i="13"/>
  <c r="AA127" i="13"/>
  <c r="AB127" i="13"/>
  <c r="AC127" i="13"/>
  <c r="AD127" i="13"/>
  <c r="AE127" i="13"/>
  <c r="AF127" i="13"/>
  <c r="AG127" i="13"/>
  <c r="AH127" i="13"/>
  <c r="AI127" i="13"/>
  <c r="AJ127" i="13"/>
  <c r="AK127" i="13"/>
  <c r="Q128" i="13"/>
  <c r="R128" i="13"/>
  <c r="S128" i="13"/>
  <c r="T128" i="13"/>
  <c r="U128" i="13"/>
  <c r="V128" i="13"/>
  <c r="W128" i="13"/>
  <c r="X128" i="13"/>
  <c r="Y128" i="13"/>
  <c r="Z128" i="13"/>
  <c r="AA128" i="13"/>
  <c r="AB128" i="13"/>
  <c r="AC128" i="13"/>
  <c r="AD128" i="13"/>
  <c r="AE128" i="13"/>
  <c r="AF128" i="13"/>
  <c r="AG128" i="13"/>
  <c r="AH128" i="13"/>
  <c r="AI128" i="13"/>
  <c r="AJ128" i="13"/>
  <c r="AK128" i="13"/>
  <c r="Q129" i="13"/>
  <c r="R129" i="13"/>
  <c r="S129" i="13"/>
  <c r="T129" i="13"/>
  <c r="U129" i="13"/>
  <c r="V129" i="13"/>
  <c r="W129" i="13"/>
  <c r="X129" i="13"/>
  <c r="Y129" i="13"/>
  <c r="Z129" i="13"/>
  <c r="AA129" i="13"/>
  <c r="AB129" i="13"/>
  <c r="AC129" i="13"/>
  <c r="AD129" i="13"/>
  <c r="AE129" i="13"/>
  <c r="AF129" i="13"/>
  <c r="AG129" i="13"/>
  <c r="AH129" i="13"/>
  <c r="AI129" i="13"/>
  <c r="AJ129" i="13"/>
  <c r="AK129" i="13"/>
  <c r="Q130" i="13"/>
  <c r="R130" i="13"/>
  <c r="S130" i="13"/>
  <c r="T130" i="13"/>
  <c r="U130" i="13"/>
  <c r="V130" i="13"/>
  <c r="W130" i="13"/>
  <c r="X130" i="13"/>
  <c r="Y130" i="13"/>
  <c r="Z130" i="13"/>
  <c r="AA130" i="13"/>
  <c r="AB130" i="13"/>
  <c r="AC130" i="13"/>
  <c r="AD130" i="13"/>
  <c r="AE130" i="13"/>
  <c r="AF130" i="13"/>
  <c r="AG130" i="13"/>
  <c r="AH130" i="13"/>
  <c r="AI130" i="13"/>
  <c r="AJ130" i="13"/>
  <c r="AK130" i="13"/>
  <c r="Q131" i="13"/>
  <c r="R131" i="13"/>
  <c r="S131" i="13"/>
  <c r="T131" i="13"/>
  <c r="U131" i="13"/>
  <c r="V131" i="13"/>
  <c r="W131" i="13"/>
  <c r="X131" i="13"/>
  <c r="Y131" i="13"/>
  <c r="Z131" i="13"/>
  <c r="AA131" i="13"/>
  <c r="AB131" i="13"/>
  <c r="AC131" i="13"/>
  <c r="AD131" i="13"/>
  <c r="AE131" i="13"/>
  <c r="AF131" i="13"/>
  <c r="AG131" i="13"/>
  <c r="AH131" i="13"/>
  <c r="AI131" i="13"/>
  <c r="AJ131" i="13"/>
  <c r="AK131" i="13"/>
  <c r="Q132" i="13"/>
  <c r="R132" i="13"/>
  <c r="S132" i="13"/>
  <c r="T132" i="13"/>
  <c r="U132" i="13"/>
  <c r="V132" i="13"/>
  <c r="W132" i="13"/>
  <c r="X132" i="13"/>
  <c r="Y132" i="13"/>
  <c r="Z132" i="13"/>
  <c r="AA132" i="13"/>
  <c r="AB132" i="13"/>
  <c r="AC132" i="13"/>
  <c r="AD132" i="13"/>
  <c r="AE132" i="13"/>
  <c r="AF132" i="13"/>
  <c r="AG132" i="13"/>
  <c r="AH132" i="13"/>
  <c r="AI132" i="13"/>
  <c r="AJ132" i="13"/>
  <c r="AK132" i="13"/>
  <c r="Q133" i="13"/>
  <c r="R133" i="13"/>
  <c r="S133" i="13"/>
  <c r="T133" i="13"/>
  <c r="U133" i="13"/>
  <c r="V133" i="13"/>
  <c r="W133" i="13"/>
  <c r="X133" i="13"/>
  <c r="Y133" i="13"/>
  <c r="Z133" i="13"/>
  <c r="AA133" i="13"/>
  <c r="AB133" i="13"/>
  <c r="AC133" i="13"/>
  <c r="AD133" i="13"/>
  <c r="AE133" i="13"/>
  <c r="AF133" i="13"/>
  <c r="AG133" i="13"/>
  <c r="AH133" i="13"/>
  <c r="AI133" i="13"/>
  <c r="AJ133" i="13"/>
  <c r="AK133" i="13"/>
  <c r="Q134" i="13"/>
  <c r="R134" i="13"/>
  <c r="S134" i="13"/>
  <c r="T134" i="13"/>
  <c r="U134" i="13"/>
  <c r="V134" i="13"/>
  <c r="W134" i="13"/>
  <c r="X134" i="13"/>
  <c r="Y134" i="13"/>
  <c r="Z134" i="13"/>
  <c r="AA134" i="13"/>
  <c r="AB134" i="13"/>
  <c r="AC134" i="13"/>
  <c r="AD134" i="13"/>
  <c r="AE134" i="13"/>
  <c r="AF134" i="13"/>
  <c r="AG134" i="13"/>
  <c r="AH134" i="13"/>
  <c r="AI134" i="13"/>
  <c r="AJ134" i="13"/>
  <c r="AK134" i="13"/>
  <c r="Q135" i="13"/>
  <c r="R135" i="13"/>
  <c r="S135" i="13"/>
  <c r="T135" i="13"/>
  <c r="U135" i="13"/>
  <c r="V135" i="13"/>
  <c r="W135" i="13"/>
  <c r="X135" i="13"/>
  <c r="Y135" i="13"/>
  <c r="Z135" i="13"/>
  <c r="AA135" i="13"/>
  <c r="AB135" i="13"/>
  <c r="AC135" i="13"/>
  <c r="AD135" i="13"/>
  <c r="AE135" i="13"/>
  <c r="AF135" i="13"/>
  <c r="AG135" i="13"/>
  <c r="AH135" i="13"/>
  <c r="AI135" i="13"/>
  <c r="AJ135" i="13"/>
  <c r="AK135" i="13"/>
  <c r="Q136" i="13"/>
  <c r="R136" i="13"/>
  <c r="S136" i="13"/>
  <c r="T136" i="13"/>
  <c r="U136" i="13"/>
  <c r="V136" i="13"/>
  <c r="W136" i="13"/>
  <c r="X136" i="13"/>
  <c r="Y136" i="13"/>
  <c r="Z136" i="13"/>
  <c r="AA136" i="13"/>
  <c r="AB136" i="13"/>
  <c r="AC136" i="13"/>
  <c r="AD136" i="13"/>
  <c r="AE136" i="13"/>
  <c r="AF136" i="13"/>
  <c r="AG136" i="13"/>
  <c r="AH136" i="13"/>
  <c r="AI136" i="13"/>
  <c r="AJ136" i="13"/>
  <c r="AK136" i="13"/>
  <c r="Q137" i="13"/>
  <c r="R137" i="13"/>
  <c r="S137" i="13"/>
  <c r="T137" i="13"/>
  <c r="U137" i="13"/>
  <c r="V137" i="13"/>
  <c r="W137" i="13"/>
  <c r="X137" i="13"/>
  <c r="Y137" i="13"/>
  <c r="Z137" i="13"/>
  <c r="AA137" i="13"/>
  <c r="AB137" i="13"/>
  <c r="AC137" i="13"/>
  <c r="AD137" i="13"/>
  <c r="AE137" i="13"/>
  <c r="AF137" i="13"/>
  <c r="AG137" i="13"/>
  <c r="AH137" i="13"/>
  <c r="AI137" i="13"/>
  <c r="AJ137" i="13"/>
  <c r="AK137" i="13"/>
  <c r="Q138" i="13"/>
  <c r="R138" i="13"/>
  <c r="S138" i="13"/>
  <c r="T138" i="13"/>
  <c r="U138" i="13"/>
  <c r="V138" i="13"/>
  <c r="W138" i="13"/>
  <c r="X138" i="13"/>
  <c r="Y138" i="13"/>
  <c r="Z138" i="13"/>
  <c r="AA138" i="13"/>
  <c r="AB138" i="13"/>
  <c r="AC138" i="13"/>
  <c r="AD138" i="13"/>
  <c r="AE138" i="13"/>
  <c r="AF138" i="13"/>
  <c r="AG138" i="13"/>
  <c r="AH138" i="13"/>
  <c r="AI138" i="13"/>
  <c r="AJ138" i="13"/>
  <c r="AK138" i="13"/>
  <c r="Q139" i="13"/>
  <c r="R139" i="13"/>
  <c r="S139" i="13"/>
  <c r="T139" i="13"/>
  <c r="U139" i="13"/>
  <c r="V139" i="13"/>
  <c r="W139" i="13"/>
  <c r="X139" i="13"/>
  <c r="Y139" i="13"/>
  <c r="Z139" i="13"/>
  <c r="AA139" i="13"/>
  <c r="AB139" i="13"/>
  <c r="AC139" i="13"/>
  <c r="AD139" i="13"/>
  <c r="AE139" i="13"/>
  <c r="AF139" i="13"/>
  <c r="AG139" i="13"/>
  <c r="AH139" i="13"/>
  <c r="AI139" i="13"/>
  <c r="AJ139" i="13"/>
  <c r="AK139" i="13"/>
  <c r="Q140" i="13"/>
  <c r="R140" i="13"/>
  <c r="S140" i="13"/>
  <c r="T140" i="13"/>
  <c r="U140" i="13"/>
  <c r="V140" i="13"/>
  <c r="W140" i="13"/>
  <c r="X140" i="13"/>
  <c r="Y140" i="13"/>
  <c r="Z140" i="13"/>
  <c r="AA140" i="13"/>
  <c r="AB140" i="13"/>
  <c r="AC140" i="13"/>
  <c r="AD140" i="13"/>
  <c r="AE140" i="13"/>
  <c r="AF140" i="13"/>
  <c r="AG140" i="13"/>
  <c r="AH140" i="13"/>
  <c r="AI140" i="13"/>
  <c r="AJ140" i="13"/>
  <c r="AK140" i="13"/>
  <c r="Q141" i="13"/>
  <c r="R141" i="13"/>
  <c r="S141" i="13"/>
  <c r="T141" i="13"/>
  <c r="U141" i="13"/>
  <c r="V141" i="13"/>
  <c r="W141" i="13"/>
  <c r="X141" i="13"/>
  <c r="Y141" i="13"/>
  <c r="Z141" i="13"/>
  <c r="AA141" i="13"/>
  <c r="AB141" i="13"/>
  <c r="AC141" i="13"/>
  <c r="AD141" i="13"/>
  <c r="AE141" i="13"/>
  <c r="AF141" i="13"/>
  <c r="AG141" i="13"/>
  <c r="AH141" i="13"/>
  <c r="AI141" i="13"/>
  <c r="AJ141" i="13"/>
  <c r="AK141" i="13"/>
  <c r="H84" i="13"/>
  <c r="J84" i="13"/>
  <c r="L84" i="13"/>
  <c r="M84" i="13"/>
  <c r="P84" i="13"/>
  <c r="H85" i="13"/>
  <c r="J85" i="13"/>
  <c r="L85" i="13"/>
  <c r="M85" i="13"/>
  <c r="P85" i="13"/>
  <c r="H86" i="13"/>
  <c r="I86" i="13"/>
  <c r="J86" i="13"/>
  <c r="L86" i="13"/>
  <c r="M86" i="13"/>
  <c r="N86" i="13"/>
  <c r="P86" i="13"/>
  <c r="H87" i="13"/>
  <c r="I87" i="13"/>
  <c r="J87" i="13"/>
  <c r="L87" i="13"/>
  <c r="M87" i="13"/>
  <c r="N87" i="13"/>
  <c r="P87" i="13"/>
  <c r="H88" i="13"/>
  <c r="I88" i="13"/>
  <c r="J88" i="13"/>
  <c r="L88" i="13"/>
  <c r="M88" i="13"/>
  <c r="N88" i="13"/>
  <c r="P88" i="13"/>
  <c r="G89" i="13"/>
  <c r="H89" i="13"/>
  <c r="I89" i="13"/>
  <c r="J89" i="13"/>
  <c r="L89" i="13"/>
  <c r="M89" i="13"/>
  <c r="N89" i="13"/>
  <c r="P89" i="13"/>
  <c r="G90" i="13"/>
  <c r="H90" i="13"/>
  <c r="I90" i="13"/>
  <c r="J90" i="13"/>
  <c r="K90" i="13"/>
  <c r="L90" i="13"/>
  <c r="M90" i="13"/>
  <c r="N90" i="13"/>
  <c r="P90" i="13"/>
  <c r="G91" i="13"/>
  <c r="H91" i="13"/>
  <c r="I91" i="13"/>
  <c r="J91" i="13"/>
  <c r="K91" i="13"/>
  <c r="L91" i="13"/>
  <c r="M91" i="13"/>
  <c r="N91" i="13"/>
  <c r="P91" i="13"/>
  <c r="G92" i="13"/>
  <c r="H92" i="13"/>
  <c r="I92" i="13"/>
  <c r="J92" i="13"/>
  <c r="K92" i="13"/>
  <c r="L92" i="13"/>
  <c r="M92" i="13"/>
  <c r="N92" i="13"/>
  <c r="P92" i="13"/>
  <c r="G93" i="13"/>
  <c r="H93" i="13"/>
  <c r="I93" i="13"/>
  <c r="J93" i="13"/>
  <c r="K93" i="13"/>
  <c r="L93" i="13"/>
  <c r="M93" i="13"/>
  <c r="N93" i="13"/>
  <c r="P93" i="13"/>
  <c r="G94" i="13"/>
  <c r="H94" i="13"/>
  <c r="I94" i="13"/>
  <c r="J94" i="13"/>
  <c r="K94" i="13"/>
  <c r="L94" i="13"/>
  <c r="M94" i="13"/>
  <c r="N94" i="13"/>
  <c r="P94" i="13"/>
  <c r="G95" i="13"/>
  <c r="H95" i="13"/>
  <c r="I95" i="13"/>
  <c r="J95" i="13"/>
  <c r="K95" i="13"/>
  <c r="L95" i="13"/>
  <c r="M95" i="13"/>
  <c r="N95" i="13"/>
  <c r="P95" i="13"/>
  <c r="G96" i="13"/>
  <c r="H96" i="13"/>
  <c r="I96" i="13"/>
  <c r="J96" i="13"/>
  <c r="K96" i="13"/>
  <c r="L96" i="13"/>
  <c r="M96" i="13"/>
  <c r="N96" i="13"/>
  <c r="P96" i="13"/>
  <c r="G97" i="13"/>
  <c r="H97" i="13"/>
  <c r="I97" i="13"/>
  <c r="J97" i="13"/>
  <c r="K97" i="13"/>
  <c r="L97" i="13"/>
  <c r="M97" i="13"/>
  <c r="N97" i="13"/>
  <c r="P97" i="13"/>
  <c r="G98" i="13"/>
  <c r="H98" i="13"/>
  <c r="I98" i="13"/>
  <c r="J98" i="13"/>
  <c r="K98" i="13"/>
  <c r="L98" i="13"/>
  <c r="M98" i="13"/>
  <c r="N98" i="13"/>
  <c r="P98" i="13"/>
  <c r="G99" i="13"/>
  <c r="H99" i="13"/>
  <c r="I99" i="13"/>
  <c r="J99" i="13"/>
  <c r="K99" i="13"/>
  <c r="L99" i="13"/>
  <c r="M99" i="13"/>
  <c r="N99" i="13"/>
  <c r="P99" i="13"/>
  <c r="G100" i="13"/>
  <c r="H100" i="13"/>
  <c r="I100" i="13"/>
  <c r="J100" i="13"/>
  <c r="K100" i="13"/>
  <c r="L100" i="13"/>
  <c r="M100" i="13"/>
  <c r="N100" i="13"/>
  <c r="P100" i="13"/>
  <c r="G101" i="13"/>
  <c r="H101" i="13"/>
  <c r="I101" i="13"/>
  <c r="J101" i="13"/>
  <c r="K101" i="13"/>
  <c r="L101" i="13"/>
  <c r="M101" i="13"/>
  <c r="N101" i="13"/>
  <c r="P101" i="13"/>
  <c r="G102" i="13"/>
  <c r="H102" i="13"/>
  <c r="I102" i="13"/>
  <c r="J102" i="13"/>
  <c r="K102" i="13"/>
  <c r="L102" i="13"/>
  <c r="M102" i="13"/>
  <c r="N102" i="13"/>
  <c r="P102" i="13"/>
  <c r="G103" i="13"/>
  <c r="H103" i="13"/>
  <c r="I103" i="13"/>
  <c r="J103" i="13"/>
  <c r="K103" i="13"/>
  <c r="L103" i="13"/>
  <c r="M103" i="13"/>
  <c r="N103" i="13"/>
  <c r="P103" i="13"/>
  <c r="G104" i="13"/>
  <c r="H104" i="13"/>
  <c r="I104" i="13"/>
  <c r="J104" i="13"/>
  <c r="K104" i="13"/>
  <c r="L104" i="13"/>
  <c r="M104" i="13"/>
  <c r="N104" i="13"/>
  <c r="P104" i="13"/>
  <c r="G105" i="13"/>
  <c r="H105" i="13"/>
  <c r="I105" i="13"/>
  <c r="J105" i="13"/>
  <c r="K105" i="13"/>
  <c r="L105" i="13"/>
  <c r="M105" i="13"/>
  <c r="N105" i="13"/>
  <c r="P105" i="13"/>
  <c r="G106" i="13"/>
  <c r="H106" i="13"/>
  <c r="I106" i="13"/>
  <c r="J106" i="13"/>
  <c r="K106" i="13"/>
  <c r="L106" i="13"/>
  <c r="M106" i="13"/>
  <c r="N106" i="13"/>
  <c r="P106" i="13"/>
  <c r="G107" i="13"/>
  <c r="H107" i="13"/>
  <c r="I107" i="13"/>
  <c r="J107" i="13"/>
  <c r="K107" i="13"/>
  <c r="L107" i="13"/>
  <c r="M107" i="13"/>
  <c r="N107" i="13"/>
  <c r="P107" i="13"/>
  <c r="G108" i="13"/>
  <c r="H108" i="13"/>
  <c r="I108" i="13"/>
  <c r="J108" i="13"/>
  <c r="K108" i="13"/>
  <c r="L108" i="13"/>
  <c r="M108" i="13"/>
  <c r="N108" i="13"/>
  <c r="P108" i="13"/>
  <c r="G109" i="13"/>
  <c r="H109" i="13"/>
  <c r="I109" i="13"/>
  <c r="J109" i="13"/>
  <c r="K109" i="13"/>
  <c r="L109" i="13"/>
  <c r="M109" i="13"/>
  <c r="N109" i="13"/>
  <c r="P109" i="13"/>
  <c r="G110" i="13"/>
  <c r="H110" i="13"/>
  <c r="I110" i="13"/>
  <c r="J110" i="13"/>
  <c r="K110" i="13"/>
  <c r="L110" i="13"/>
  <c r="M110" i="13"/>
  <c r="N110" i="13"/>
  <c r="P110" i="13"/>
  <c r="G111" i="13"/>
  <c r="H111" i="13"/>
  <c r="I111" i="13"/>
  <c r="J111" i="13"/>
  <c r="K111" i="13"/>
  <c r="L111" i="13"/>
  <c r="M111" i="13"/>
  <c r="N111" i="13"/>
  <c r="P111" i="13"/>
  <c r="G112" i="13"/>
  <c r="H112" i="13"/>
  <c r="I112" i="13"/>
  <c r="J112" i="13"/>
  <c r="K112" i="13"/>
  <c r="L112" i="13"/>
  <c r="M112" i="13"/>
  <c r="N112" i="13"/>
  <c r="P112" i="13"/>
  <c r="G113" i="13"/>
  <c r="H113" i="13"/>
  <c r="I113" i="13"/>
  <c r="J113" i="13"/>
  <c r="K113" i="13"/>
  <c r="L113" i="13"/>
  <c r="M113" i="13"/>
  <c r="N113" i="13"/>
  <c r="P113" i="13"/>
  <c r="G114" i="13"/>
  <c r="H114" i="13"/>
  <c r="I114" i="13"/>
  <c r="J114" i="13"/>
  <c r="K114" i="13"/>
  <c r="L114" i="13"/>
  <c r="M114" i="13"/>
  <c r="N114" i="13"/>
  <c r="O114" i="13"/>
  <c r="P114" i="13"/>
  <c r="G115" i="13"/>
  <c r="H115" i="13"/>
  <c r="I115" i="13"/>
  <c r="J115" i="13"/>
  <c r="K115" i="13"/>
  <c r="L115" i="13"/>
  <c r="M115" i="13"/>
  <c r="N115" i="13"/>
  <c r="O115" i="13"/>
  <c r="P115" i="13"/>
  <c r="G116" i="13"/>
  <c r="H116" i="13"/>
  <c r="I116" i="13"/>
  <c r="J116" i="13"/>
  <c r="K116" i="13"/>
  <c r="L116" i="13"/>
  <c r="M116" i="13"/>
  <c r="N116" i="13"/>
  <c r="O116" i="13"/>
  <c r="P116" i="13"/>
  <c r="G117" i="13"/>
  <c r="H117" i="13"/>
  <c r="I117" i="13"/>
  <c r="J117" i="13"/>
  <c r="K117" i="13"/>
  <c r="L117" i="13"/>
  <c r="M117" i="13"/>
  <c r="N117" i="13"/>
  <c r="O117" i="13"/>
  <c r="P117" i="13"/>
  <c r="G118" i="13"/>
  <c r="H118" i="13"/>
  <c r="I118" i="13"/>
  <c r="J118" i="13"/>
  <c r="K118" i="13"/>
  <c r="L118" i="13"/>
  <c r="M118" i="13"/>
  <c r="N118" i="13"/>
  <c r="O118" i="13"/>
  <c r="P118" i="13"/>
  <c r="G119" i="13"/>
  <c r="H119" i="13"/>
  <c r="I119" i="13"/>
  <c r="J119" i="13"/>
  <c r="K119" i="13"/>
  <c r="L119" i="13"/>
  <c r="M119" i="13"/>
  <c r="N119" i="13"/>
  <c r="O119" i="13"/>
  <c r="P119" i="13"/>
  <c r="G120" i="13"/>
  <c r="H120" i="13"/>
  <c r="I120" i="13"/>
  <c r="J120" i="13"/>
  <c r="K120" i="13"/>
  <c r="L120" i="13"/>
  <c r="M120" i="13"/>
  <c r="N120" i="13"/>
  <c r="O120" i="13"/>
  <c r="P120" i="13"/>
  <c r="G121" i="13"/>
  <c r="H121" i="13"/>
  <c r="I121" i="13"/>
  <c r="J121" i="13"/>
  <c r="K121" i="13"/>
  <c r="L121" i="13"/>
  <c r="M121" i="13"/>
  <c r="N121" i="13"/>
  <c r="O121" i="13"/>
  <c r="P121" i="13"/>
  <c r="G122" i="13"/>
  <c r="H122" i="13"/>
  <c r="I122" i="13"/>
  <c r="J122" i="13"/>
  <c r="K122" i="13"/>
  <c r="L122" i="13"/>
  <c r="M122" i="13"/>
  <c r="N122" i="13"/>
  <c r="O122" i="13"/>
  <c r="P122" i="13"/>
  <c r="G123" i="13"/>
  <c r="H123" i="13"/>
  <c r="I123" i="13"/>
  <c r="J123" i="13"/>
  <c r="K123" i="13"/>
  <c r="L123" i="13"/>
  <c r="M123" i="13"/>
  <c r="N123" i="13"/>
  <c r="O123" i="13"/>
  <c r="P123" i="13"/>
  <c r="G124" i="13"/>
  <c r="H124" i="13"/>
  <c r="I124" i="13"/>
  <c r="J124" i="13"/>
  <c r="K124" i="13"/>
  <c r="L124" i="13"/>
  <c r="M124" i="13"/>
  <c r="N124" i="13"/>
  <c r="O124" i="13"/>
  <c r="P124" i="13"/>
  <c r="G125" i="13"/>
  <c r="H125" i="13"/>
  <c r="I125" i="13"/>
  <c r="J125" i="13"/>
  <c r="K125" i="13"/>
  <c r="L125" i="13"/>
  <c r="M125" i="13"/>
  <c r="N125" i="13"/>
  <c r="O125" i="13"/>
  <c r="P125" i="13"/>
  <c r="G126" i="13"/>
  <c r="H126" i="13"/>
  <c r="I126" i="13"/>
  <c r="J126" i="13"/>
  <c r="K126" i="13"/>
  <c r="L126" i="13"/>
  <c r="M126" i="13"/>
  <c r="N126" i="13"/>
  <c r="O126" i="13"/>
  <c r="P126" i="13"/>
  <c r="G127" i="13"/>
  <c r="H127" i="13"/>
  <c r="I127" i="13"/>
  <c r="J127" i="13"/>
  <c r="K127" i="13"/>
  <c r="L127" i="13"/>
  <c r="M127" i="13"/>
  <c r="N127" i="13"/>
  <c r="O127" i="13"/>
  <c r="P127" i="13"/>
  <c r="G128" i="13"/>
  <c r="H128" i="13"/>
  <c r="I128" i="13"/>
  <c r="J128" i="13"/>
  <c r="K128" i="13"/>
  <c r="L128" i="13"/>
  <c r="M128" i="13"/>
  <c r="N128" i="13"/>
  <c r="O128" i="13"/>
  <c r="P128" i="13"/>
  <c r="G129" i="13"/>
  <c r="H129" i="13"/>
  <c r="I129" i="13"/>
  <c r="J129" i="13"/>
  <c r="K129" i="13"/>
  <c r="L129" i="13"/>
  <c r="M129" i="13"/>
  <c r="N129" i="13"/>
  <c r="O129" i="13"/>
  <c r="P129" i="13"/>
  <c r="G130" i="13"/>
  <c r="H130" i="13"/>
  <c r="I130" i="13"/>
  <c r="J130" i="13"/>
  <c r="K130" i="13"/>
  <c r="L130" i="13"/>
  <c r="M130" i="13"/>
  <c r="N130" i="13"/>
  <c r="O130" i="13"/>
  <c r="P130" i="13"/>
  <c r="G131" i="13"/>
  <c r="H131" i="13"/>
  <c r="I131" i="13"/>
  <c r="J131" i="13"/>
  <c r="K131" i="13"/>
  <c r="L131" i="13"/>
  <c r="M131" i="13"/>
  <c r="N131" i="13"/>
  <c r="O131" i="13"/>
  <c r="P131" i="13"/>
  <c r="G132" i="13"/>
  <c r="H132" i="13"/>
  <c r="I132" i="13"/>
  <c r="J132" i="13"/>
  <c r="K132" i="13"/>
  <c r="L132" i="13"/>
  <c r="M132" i="13"/>
  <c r="N132" i="13"/>
  <c r="O132" i="13"/>
  <c r="P132" i="13"/>
  <c r="G133" i="13"/>
  <c r="H133" i="13"/>
  <c r="I133" i="13"/>
  <c r="J133" i="13"/>
  <c r="K133" i="13"/>
  <c r="L133" i="13"/>
  <c r="M133" i="13"/>
  <c r="N133" i="13"/>
  <c r="O133" i="13"/>
  <c r="P133" i="13"/>
  <c r="G134" i="13"/>
  <c r="H134" i="13"/>
  <c r="I134" i="13"/>
  <c r="J134" i="13"/>
  <c r="K134" i="13"/>
  <c r="L134" i="13"/>
  <c r="M134" i="13"/>
  <c r="N134" i="13"/>
  <c r="O134" i="13"/>
  <c r="P134" i="13"/>
  <c r="G135" i="13"/>
  <c r="H135" i="13"/>
  <c r="I135" i="13"/>
  <c r="J135" i="13"/>
  <c r="K135" i="13"/>
  <c r="L135" i="13"/>
  <c r="M135" i="13"/>
  <c r="N135" i="13"/>
  <c r="O135" i="13"/>
  <c r="P135" i="13"/>
  <c r="G136" i="13"/>
  <c r="H136" i="13"/>
  <c r="I136" i="13"/>
  <c r="J136" i="13"/>
  <c r="K136" i="13"/>
  <c r="L136" i="13"/>
  <c r="M136" i="13"/>
  <c r="N136" i="13"/>
  <c r="O136" i="13"/>
  <c r="P136" i="13"/>
  <c r="G137" i="13"/>
  <c r="H137" i="13"/>
  <c r="I137" i="13"/>
  <c r="J137" i="13"/>
  <c r="K137" i="13"/>
  <c r="L137" i="13"/>
  <c r="M137" i="13"/>
  <c r="N137" i="13"/>
  <c r="O137" i="13"/>
  <c r="P137" i="13"/>
  <c r="G138" i="13"/>
  <c r="H138" i="13"/>
  <c r="I138" i="13"/>
  <c r="J138" i="13"/>
  <c r="K138" i="13"/>
  <c r="L138" i="13"/>
  <c r="M138" i="13"/>
  <c r="N138" i="13"/>
  <c r="O138" i="13"/>
  <c r="P138" i="13"/>
  <c r="G139" i="13"/>
  <c r="H139" i="13"/>
  <c r="I139" i="13"/>
  <c r="J139" i="13"/>
  <c r="K139" i="13"/>
  <c r="L139" i="13"/>
  <c r="M139" i="13"/>
  <c r="N139" i="13"/>
  <c r="O139" i="13"/>
  <c r="P139" i="13"/>
  <c r="G140" i="13"/>
  <c r="H140" i="13"/>
  <c r="I140" i="13"/>
  <c r="J140" i="13"/>
  <c r="K140" i="13"/>
  <c r="L140" i="13"/>
  <c r="M140" i="13"/>
  <c r="N140" i="13"/>
  <c r="O140" i="13"/>
  <c r="P140" i="13"/>
  <c r="G141" i="13"/>
  <c r="H141" i="13"/>
  <c r="I141" i="13"/>
  <c r="J141" i="13"/>
  <c r="K141" i="13"/>
  <c r="L141" i="13"/>
  <c r="M141" i="13"/>
  <c r="N141" i="13"/>
  <c r="O141" i="13"/>
  <c r="P141"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F127" i="13"/>
  <c r="F128" i="13"/>
  <c r="F129" i="13"/>
  <c r="F130" i="13"/>
  <c r="F131" i="13"/>
  <c r="F132" i="13"/>
  <c r="F133" i="13"/>
  <c r="F134" i="13"/>
  <c r="F135" i="13"/>
  <c r="F136" i="13"/>
  <c r="F137" i="13"/>
  <c r="F138" i="13"/>
  <c r="F139" i="13"/>
  <c r="F140" i="13"/>
  <c r="F141" i="13"/>
  <c r="H82" i="13"/>
  <c r="I82" i="13"/>
  <c r="J82" i="13" s="1"/>
  <c r="K82" i="13" s="1"/>
  <c r="L82" i="13" s="1"/>
  <c r="M82" i="13" s="1"/>
  <c r="N82" i="13" s="1"/>
  <c r="O82" i="13" s="1"/>
  <c r="P82" i="13" s="1"/>
  <c r="Q82" i="13" s="1"/>
  <c r="R82" i="13" s="1"/>
  <c r="S82" i="13" s="1"/>
  <c r="T82" i="13" s="1"/>
  <c r="U82" i="13" s="1"/>
  <c r="V82" i="13" s="1"/>
  <c r="W82" i="13" s="1"/>
  <c r="X82" i="13" s="1"/>
  <c r="Y82" i="13" s="1"/>
  <c r="Z82" i="13" s="1"/>
  <c r="AA82" i="13" s="1"/>
  <c r="AB82" i="13" s="1"/>
  <c r="AC82" i="13" s="1"/>
  <c r="AD82" i="13" s="1"/>
  <c r="AE82" i="13" s="1"/>
  <c r="AF82" i="13" s="1"/>
  <c r="AG82" i="13" s="1"/>
  <c r="AH82" i="13" s="1"/>
  <c r="AI82" i="13" s="1"/>
  <c r="AJ82" i="13" s="1"/>
  <c r="AK82" i="13" s="1"/>
  <c r="G82" i="13"/>
  <c r="F23" i="13"/>
  <c r="G21" i="13"/>
  <c r="AJ89" i="13"/>
  <c r="AJ88" i="13"/>
  <c r="AJ87" i="13"/>
  <c r="AJ86" i="13"/>
  <c r="AJ85" i="13"/>
  <c r="AJ84" i="13"/>
  <c r="AI87" i="13"/>
  <c r="AI86" i="13"/>
  <c r="AI85" i="13"/>
  <c r="AI84" i="13"/>
  <c r="AH96" i="13"/>
  <c r="AH95" i="13"/>
  <c r="AH94" i="13"/>
  <c r="AH93" i="13"/>
  <c r="AH92" i="13"/>
  <c r="AH91" i="13"/>
  <c r="AH90" i="13"/>
  <c r="AH89" i="13"/>
  <c r="AH88" i="13"/>
  <c r="AH87" i="13"/>
  <c r="AH86" i="13"/>
  <c r="AH85" i="13"/>
  <c r="AH84" i="13"/>
  <c r="AF86" i="13"/>
  <c r="AF85" i="13"/>
  <c r="AF84" i="13"/>
  <c r="AE94" i="13"/>
  <c r="AE93" i="13"/>
  <c r="AE92" i="13"/>
  <c r="AE91" i="13"/>
  <c r="AE90" i="13"/>
  <c r="AE89" i="13"/>
  <c r="AE88" i="13"/>
  <c r="AE87" i="13"/>
  <c r="AE86" i="13"/>
  <c r="AE85" i="13"/>
  <c r="AE84" i="13"/>
  <c r="AD88" i="13"/>
  <c r="AD87" i="13"/>
  <c r="AD86" i="13"/>
  <c r="AD85" i="13"/>
  <c r="AD84" i="13"/>
  <c r="AC100" i="13"/>
  <c r="AC99" i="13"/>
  <c r="AC98" i="13"/>
  <c r="AC97" i="13"/>
  <c r="AC96" i="13"/>
  <c r="AC95" i="13"/>
  <c r="AC94" i="13"/>
  <c r="AC93" i="13"/>
  <c r="AC92" i="13"/>
  <c r="AC91" i="13"/>
  <c r="AC90" i="13"/>
  <c r="AC89" i="13"/>
  <c r="AC88" i="13"/>
  <c r="AC87" i="13"/>
  <c r="AC86" i="13"/>
  <c r="AC85" i="13"/>
  <c r="AC84" i="13"/>
  <c r="AB86" i="13"/>
  <c r="AB85" i="13"/>
  <c r="AB84" i="13"/>
  <c r="AA87" i="13"/>
  <c r="AA86" i="13"/>
  <c r="AA85" i="13"/>
  <c r="AA84" i="13"/>
  <c r="V86" i="13"/>
  <c r="V85" i="13"/>
  <c r="V84" i="13"/>
  <c r="U96" i="13"/>
  <c r="U95" i="13"/>
  <c r="U94" i="13"/>
  <c r="U93" i="13"/>
  <c r="U92" i="13"/>
  <c r="U91" i="13"/>
  <c r="U90" i="13"/>
  <c r="U89" i="13"/>
  <c r="U88" i="13"/>
  <c r="U87" i="13"/>
  <c r="U86" i="13"/>
  <c r="U85" i="13"/>
  <c r="U84" i="13"/>
  <c r="R87" i="13"/>
  <c r="R86" i="13"/>
  <c r="R85" i="13"/>
  <c r="R8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N85" i="13"/>
  <c r="N84" i="13"/>
  <c r="K89" i="13"/>
  <c r="K88" i="13"/>
  <c r="K87" i="13"/>
  <c r="K86" i="13"/>
  <c r="K85" i="13"/>
  <c r="K84" i="13"/>
  <c r="I85" i="13"/>
  <c r="I84" i="13"/>
  <c r="G88" i="13"/>
  <c r="G87" i="13"/>
  <c r="G86" i="13"/>
  <c r="G85" i="13"/>
  <c r="G84" i="13"/>
  <c r="F89" i="13"/>
  <c r="F88" i="13"/>
  <c r="F87" i="13"/>
  <c r="F86" i="13"/>
  <c r="F85" i="13"/>
  <c r="F84" i="13"/>
  <c r="EI4" i="10"/>
  <c r="EJ4" i="10" s="1"/>
  <c r="EK4" i="10" s="1"/>
  <c r="EL4" i="10" s="1"/>
  <c r="EM4" i="10" s="1"/>
  <c r="EN4" i="10" s="1"/>
  <c r="EO4" i="10" s="1"/>
  <c r="EP4" i="10" s="1"/>
  <c r="EQ4" i="10" s="1"/>
  <c r="ER4" i="10" s="1"/>
  <c r="ES4" i="10" s="1"/>
  <c r="ET4" i="10" s="1"/>
  <c r="EU4" i="10" s="1"/>
  <c r="EV4" i="10" s="1"/>
  <c r="EW4" i="10" s="1"/>
  <c r="EX4" i="10" s="1"/>
  <c r="EY4" i="10" s="1"/>
  <c r="EZ4" i="10" s="1"/>
  <c r="FA4" i="10" s="1"/>
  <c r="FB4" i="10" s="1"/>
  <c r="FC4" i="10" s="1"/>
  <c r="FD4" i="10" s="1"/>
  <c r="FE4" i="10" s="1"/>
  <c r="FF4" i="10" s="1"/>
  <c r="FG4" i="10" s="1"/>
  <c r="FH4" i="10" s="1"/>
  <c r="FI4" i="10" s="1"/>
  <c r="FJ4" i="10" s="1"/>
  <c r="FK4" i="10" s="1"/>
  <c r="FL4" i="10" s="1"/>
  <c r="FM4" i="10" s="1"/>
  <c r="FN4" i="10" s="1"/>
  <c r="FO4" i="10" s="1"/>
  <c r="FP4" i="10" s="1"/>
  <c r="FQ4" i="10" s="1"/>
  <c r="FR4" i="10" s="1"/>
  <c r="FS4" i="10" s="1"/>
  <c r="FT4" i="10" s="1"/>
  <c r="FU4" i="10" s="1"/>
  <c r="FV4" i="10" s="1"/>
  <c r="FW4" i="10" s="1"/>
  <c r="FX4" i="10" s="1"/>
  <c r="FY4" i="10" s="1"/>
  <c r="FZ4" i="10" s="1"/>
  <c r="GA4" i="10" s="1"/>
  <c r="GB4" i="10" s="1"/>
  <c r="GC4" i="10" s="1"/>
  <c r="GD4" i="10" s="1"/>
  <c r="GE4" i="10" s="1"/>
  <c r="GF4" i="10" s="1"/>
  <c r="GG4" i="10" s="1"/>
  <c r="GH4" i="10" s="1"/>
  <c r="GI4" i="10" s="1"/>
  <c r="GJ4" i="10" s="1"/>
  <c r="GK4" i="10" s="1"/>
  <c r="GL4" i="10" s="1"/>
  <c r="GM4" i="10" s="1"/>
  <c r="P13" i="13"/>
  <c r="Q13" i="13"/>
  <c r="R13" i="13"/>
  <c r="S13" i="13"/>
  <c r="T13" i="13"/>
  <c r="U13" i="13"/>
  <c r="V13" i="13"/>
  <c r="W13" i="13"/>
  <c r="X13" i="13"/>
  <c r="Y13" i="13"/>
  <c r="Z13" i="13"/>
  <c r="AA13" i="13"/>
  <c r="AB13" i="13"/>
  <c r="AC13" i="13"/>
  <c r="AD13" i="13"/>
  <c r="AE13" i="13"/>
  <c r="AF13" i="13"/>
  <c r="AG13" i="13"/>
  <c r="AH13" i="13"/>
  <c r="AI13" i="13"/>
  <c r="AJ13" i="13"/>
  <c r="AK13" i="13"/>
  <c r="P14" i="13"/>
  <c r="Q14" i="13"/>
  <c r="R14" i="13"/>
  <c r="S14" i="13"/>
  <c r="T14" i="13"/>
  <c r="U14" i="13"/>
  <c r="V14" i="13"/>
  <c r="W14" i="13"/>
  <c r="X14" i="13"/>
  <c r="Y14" i="13"/>
  <c r="Z14" i="13"/>
  <c r="AA14" i="13"/>
  <c r="AB14" i="13"/>
  <c r="AC14" i="13"/>
  <c r="AD14" i="13"/>
  <c r="AE14" i="13"/>
  <c r="AF14" i="13"/>
  <c r="AG14" i="13"/>
  <c r="AH14" i="13"/>
  <c r="AI14" i="13"/>
  <c r="AJ14" i="13"/>
  <c r="AK14" i="13"/>
  <c r="P15" i="13"/>
  <c r="Q15" i="13"/>
  <c r="R15" i="13"/>
  <c r="S15" i="13"/>
  <c r="T15" i="13"/>
  <c r="U15" i="13"/>
  <c r="V15" i="13"/>
  <c r="W15" i="13"/>
  <c r="X15" i="13"/>
  <c r="Y15" i="13"/>
  <c r="Z15" i="13"/>
  <c r="AA15" i="13"/>
  <c r="AB15" i="13"/>
  <c r="AC15" i="13"/>
  <c r="AD15" i="13"/>
  <c r="AE15" i="13"/>
  <c r="AF15" i="13"/>
  <c r="AG15" i="13"/>
  <c r="AH15" i="13"/>
  <c r="AI15" i="13"/>
  <c r="AJ15" i="13"/>
  <c r="AK15" i="13"/>
  <c r="P16" i="13"/>
  <c r="Q16" i="13"/>
  <c r="R16" i="13"/>
  <c r="S16" i="13"/>
  <c r="T16" i="13"/>
  <c r="U16" i="13"/>
  <c r="V16" i="13"/>
  <c r="W16" i="13"/>
  <c r="X16" i="13"/>
  <c r="Y16" i="13"/>
  <c r="Z16" i="13"/>
  <c r="AA16" i="13"/>
  <c r="AB16" i="13"/>
  <c r="AC16" i="13"/>
  <c r="AD16" i="13"/>
  <c r="AE16" i="13"/>
  <c r="AF16" i="13"/>
  <c r="AG16" i="13"/>
  <c r="AH16" i="13"/>
  <c r="AI16" i="13"/>
  <c r="AJ16" i="13"/>
  <c r="AK16" i="13"/>
  <c r="P17" i="13"/>
  <c r="Q17" i="13"/>
  <c r="R17" i="13"/>
  <c r="S17" i="13"/>
  <c r="T17" i="13"/>
  <c r="U17" i="13"/>
  <c r="V17" i="13"/>
  <c r="W17" i="13"/>
  <c r="X17" i="13"/>
  <c r="Y17" i="13"/>
  <c r="Z17" i="13"/>
  <c r="AA17" i="13"/>
  <c r="AB17" i="13"/>
  <c r="AC17" i="13"/>
  <c r="AD17" i="13"/>
  <c r="AE17" i="13"/>
  <c r="AF17" i="13"/>
  <c r="AG17" i="13"/>
  <c r="AH17" i="13"/>
  <c r="AI17" i="13"/>
  <c r="AJ17" i="13"/>
  <c r="AK17" i="13"/>
  <c r="P18" i="13"/>
  <c r="Q18" i="13"/>
  <c r="R18" i="13"/>
  <c r="S18" i="13"/>
  <c r="T18" i="13"/>
  <c r="U18" i="13"/>
  <c r="V18" i="13"/>
  <c r="W18" i="13"/>
  <c r="X18" i="13"/>
  <c r="Y18" i="13"/>
  <c r="Z18" i="13"/>
  <c r="AA18" i="13"/>
  <c r="AB18" i="13"/>
  <c r="AC18" i="13"/>
  <c r="AD18" i="13"/>
  <c r="AE18" i="13"/>
  <c r="AF18" i="13"/>
  <c r="AG18" i="13"/>
  <c r="AH18" i="13"/>
  <c r="AI18" i="13"/>
  <c r="AJ18" i="13"/>
  <c r="AK18" i="13"/>
  <c r="P19" i="13"/>
  <c r="Q19" i="13"/>
  <c r="R19" i="13"/>
  <c r="S19" i="13"/>
  <c r="T19" i="13"/>
  <c r="U19" i="13"/>
  <c r="V19" i="13"/>
  <c r="W19" i="13"/>
  <c r="X19" i="13"/>
  <c r="Y19" i="13"/>
  <c r="Z19" i="13"/>
  <c r="AA19" i="13"/>
  <c r="AB19" i="13"/>
  <c r="AC19" i="13"/>
  <c r="AD19" i="13"/>
  <c r="AE19" i="13"/>
  <c r="AF19" i="13"/>
  <c r="AG19" i="13"/>
  <c r="AH19" i="13"/>
  <c r="AI19" i="13"/>
  <c r="AJ19" i="13"/>
  <c r="AK19" i="13"/>
  <c r="O13" i="13"/>
  <c r="O14" i="13"/>
  <c r="O15" i="13"/>
  <c r="O16" i="13"/>
  <c r="O17" i="13"/>
  <c r="O18" i="13"/>
  <c r="O19" i="13"/>
  <c r="G13" i="13"/>
  <c r="H13" i="13"/>
  <c r="I13" i="13"/>
  <c r="J13" i="13"/>
  <c r="K13" i="13"/>
  <c r="L13" i="13"/>
  <c r="M13" i="13"/>
  <c r="N13" i="13"/>
  <c r="G14" i="13"/>
  <c r="H14" i="13"/>
  <c r="I14" i="13"/>
  <c r="J14" i="13"/>
  <c r="K14" i="13"/>
  <c r="L14" i="13"/>
  <c r="M14" i="13"/>
  <c r="N14" i="13"/>
  <c r="G15" i="13"/>
  <c r="H15" i="13"/>
  <c r="I15" i="13"/>
  <c r="J15" i="13"/>
  <c r="K15" i="13"/>
  <c r="L15" i="13"/>
  <c r="M15" i="13"/>
  <c r="N15" i="13"/>
  <c r="G16" i="13"/>
  <c r="H16" i="13"/>
  <c r="I16" i="13"/>
  <c r="J16" i="13"/>
  <c r="K16" i="13"/>
  <c r="L16" i="13"/>
  <c r="M16" i="13"/>
  <c r="N16" i="13"/>
  <c r="G17" i="13"/>
  <c r="H17" i="13"/>
  <c r="I17" i="13"/>
  <c r="J17" i="13"/>
  <c r="K17" i="13"/>
  <c r="L17" i="13"/>
  <c r="M17" i="13"/>
  <c r="N17" i="13"/>
  <c r="G18" i="13"/>
  <c r="H18" i="13"/>
  <c r="I18" i="13"/>
  <c r="J18" i="13"/>
  <c r="K18" i="13"/>
  <c r="L18" i="13"/>
  <c r="M18" i="13"/>
  <c r="N18" i="13"/>
  <c r="G19" i="13"/>
  <c r="H19" i="13"/>
  <c r="I19" i="13"/>
  <c r="J19" i="13"/>
  <c r="K19" i="13"/>
  <c r="L19" i="13"/>
  <c r="M19" i="13"/>
  <c r="N19" i="13"/>
  <c r="F14" i="13"/>
  <c r="F15" i="13"/>
  <c r="F16" i="13"/>
  <c r="F17" i="13"/>
  <c r="F18" i="13"/>
  <c r="F19" i="13"/>
  <c r="F13" i="13"/>
  <c r="G11" i="13"/>
  <c r="H11" i="13" s="1"/>
  <c r="I11" i="13" s="1"/>
  <c r="J11" i="13" s="1"/>
  <c r="K11" i="13" s="1"/>
  <c r="L11" i="13" s="1"/>
  <c r="M11" i="13" s="1"/>
  <c r="N11" i="13" s="1"/>
  <c r="O11" i="13" s="1"/>
  <c r="P11" i="13" s="1"/>
  <c r="Q11" i="13" s="1"/>
  <c r="R11" i="13" s="1"/>
  <c r="S11" i="13" s="1"/>
  <c r="T11" i="13" s="1"/>
  <c r="U11" i="13" s="1"/>
  <c r="V11" i="13" s="1"/>
  <c r="W11" i="13" s="1"/>
  <c r="X11" i="13" s="1"/>
  <c r="Y11" i="13" s="1"/>
  <c r="Z11" i="13" s="1"/>
  <c r="AA11" i="13" s="1"/>
  <c r="AB11" i="13" s="1"/>
  <c r="AC11" i="13" s="1"/>
  <c r="AD11" i="13" s="1"/>
  <c r="AE11" i="13" s="1"/>
  <c r="AF11" i="13" s="1"/>
  <c r="AG11" i="13" s="1"/>
  <c r="AH11" i="13" s="1"/>
  <c r="AI11" i="13" s="1"/>
  <c r="AJ11" i="13" s="1"/>
  <c r="AK11" i="13" s="1"/>
  <c r="W3" i="13"/>
  <c r="X3" i="13"/>
  <c r="Y3" i="13"/>
  <c r="Z3" i="13"/>
  <c r="AA3" i="13"/>
  <c r="AB3" i="13"/>
  <c r="AC3" i="13"/>
  <c r="AD3" i="13"/>
  <c r="AE3" i="13"/>
  <c r="AF3" i="13"/>
  <c r="AG3" i="13"/>
  <c r="AH3" i="13"/>
  <c r="AI3" i="13"/>
  <c r="AJ3" i="13"/>
  <c r="AK3" i="13"/>
  <c r="W4" i="13"/>
  <c r="X4" i="13"/>
  <c r="Y4" i="13"/>
  <c r="Z4" i="13"/>
  <c r="AA4" i="13"/>
  <c r="AB4" i="13"/>
  <c r="AC4" i="13"/>
  <c r="AD4" i="13"/>
  <c r="AE4" i="13"/>
  <c r="AF4" i="13"/>
  <c r="AG4" i="13"/>
  <c r="AH4" i="13"/>
  <c r="AI4" i="13"/>
  <c r="AJ4" i="13"/>
  <c r="AK4" i="13"/>
  <c r="W5" i="13"/>
  <c r="X5" i="13"/>
  <c r="Y5" i="13"/>
  <c r="Z5" i="13"/>
  <c r="AA5" i="13"/>
  <c r="AB5" i="13"/>
  <c r="AC5" i="13"/>
  <c r="AD5" i="13"/>
  <c r="AE5" i="13"/>
  <c r="AF5" i="13"/>
  <c r="AG5" i="13"/>
  <c r="AH5" i="13"/>
  <c r="AI5" i="13"/>
  <c r="AJ5" i="13"/>
  <c r="AK5" i="13"/>
  <c r="W6" i="13"/>
  <c r="X6" i="13"/>
  <c r="Y6" i="13"/>
  <c r="Z6" i="13"/>
  <c r="AA6" i="13"/>
  <c r="AB6" i="13"/>
  <c r="AC6" i="13"/>
  <c r="AD6" i="13"/>
  <c r="AE6" i="13"/>
  <c r="AF6" i="13"/>
  <c r="AG6" i="13"/>
  <c r="AH6" i="13"/>
  <c r="AI6" i="13"/>
  <c r="AJ6" i="13"/>
  <c r="AK6" i="13"/>
  <c r="W7" i="13"/>
  <c r="X7" i="13"/>
  <c r="Y7" i="13"/>
  <c r="Z7" i="13"/>
  <c r="AA7" i="13"/>
  <c r="AB7" i="13"/>
  <c r="AC7" i="13"/>
  <c r="AD7" i="13"/>
  <c r="AE7" i="13"/>
  <c r="AF7" i="13"/>
  <c r="AG7" i="13"/>
  <c r="AH7" i="13"/>
  <c r="AI7" i="13"/>
  <c r="AJ7" i="13"/>
  <c r="AK7" i="13"/>
  <c r="W8" i="13"/>
  <c r="X8" i="13"/>
  <c r="Y8" i="13"/>
  <c r="Z8" i="13"/>
  <c r="AA8" i="13"/>
  <c r="AB8" i="13"/>
  <c r="AC8" i="13"/>
  <c r="AD8" i="13"/>
  <c r="AE8" i="13"/>
  <c r="AF8" i="13"/>
  <c r="AG8" i="13"/>
  <c r="AH8" i="13"/>
  <c r="AI8" i="13"/>
  <c r="AJ8" i="13"/>
  <c r="AK8" i="13"/>
  <c r="W9" i="13"/>
  <c r="X9" i="13"/>
  <c r="Y9" i="13"/>
  <c r="Z9" i="13"/>
  <c r="AA9" i="13"/>
  <c r="AB9" i="13"/>
  <c r="AC9" i="13"/>
  <c r="AD9" i="13"/>
  <c r="AE9" i="13"/>
  <c r="AF9" i="13"/>
  <c r="AG9" i="13"/>
  <c r="AH9" i="13"/>
  <c r="AI9" i="13"/>
  <c r="AJ9" i="13"/>
  <c r="AK9" i="13"/>
  <c r="G3" i="13"/>
  <c r="H3" i="13"/>
  <c r="I3" i="13"/>
  <c r="J3" i="13"/>
  <c r="K3" i="13"/>
  <c r="L3" i="13"/>
  <c r="M3" i="13"/>
  <c r="N3" i="13"/>
  <c r="O3" i="13"/>
  <c r="P3" i="13"/>
  <c r="Q3" i="13"/>
  <c r="R3" i="13"/>
  <c r="S3" i="13"/>
  <c r="T3" i="13"/>
  <c r="U3" i="13"/>
  <c r="V3" i="13"/>
  <c r="G4" i="13"/>
  <c r="H4" i="13"/>
  <c r="I4" i="13"/>
  <c r="J4" i="13"/>
  <c r="K4" i="13"/>
  <c r="L4" i="13"/>
  <c r="M4" i="13"/>
  <c r="N4" i="13"/>
  <c r="O4" i="13"/>
  <c r="P4" i="13"/>
  <c r="Q4" i="13"/>
  <c r="R4" i="13"/>
  <c r="S4" i="13"/>
  <c r="T4" i="13"/>
  <c r="U4" i="13"/>
  <c r="V4" i="13"/>
  <c r="G5" i="13"/>
  <c r="H5" i="13"/>
  <c r="I5" i="13"/>
  <c r="J5" i="13"/>
  <c r="K5" i="13"/>
  <c r="L5" i="13"/>
  <c r="M5" i="13"/>
  <c r="N5" i="13"/>
  <c r="O5" i="13"/>
  <c r="P5" i="13"/>
  <c r="Q5" i="13"/>
  <c r="R5" i="13"/>
  <c r="S5" i="13"/>
  <c r="T5" i="13"/>
  <c r="U5" i="13"/>
  <c r="V5" i="13"/>
  <c r="G6" i="13"/>
  <c r="H6" i="13"/>
  <c r="I6" i="13"/>
  <c r="J6" i="13"/>
  <c r="K6" i="13"/>
  <c r="L6" i="13"/>
  <c r="M6" i="13"/>
  <c r="N6" i="13"/>
  <c r="O6" i="13"/>
  <c r="P6" i="13"/>
  <c r="Q6" i="13"/>
  <c r="R6" i="13"/>
  <c r="S6" i="13"/>
  <c r="T6" i="13"/>
  <c r="U6" i="13"/>
  <c r="V6" i="13"/>
  <c r="G7" i="13"/>
  <c r="H7" i="13"/>
  <c r="I7" i="13"/>
  <c r="J7" i="13"/>
  <c r="K7" i="13"/>
  <c r="L7" i="13"/>
  <c r="M7" i="13"/>
  <c r="N7" i="13"/>
  <c r="O7" i="13"/>
  <c r="P7" i="13"/>
  <c r="Q7" i="13"/>
  <c r="R7" i="13"/>
  <c r="S7" i="13"/>
  <c r="T7" i="13"/>
  <c r="U7" i="13"/>
  <c r="V7" i="13"/>
  <c r="G8" i="13"/>
  <c r="H8" i="13"/>
  <c r="I8" i="13"/>
  <c r="J8" i="13"/>
  <c r="K8" i="13"/>
  <c r="L8" i="13"/>
  <c r="M8" i="13"/>
  <c r="N8" i="13"/>
  <c r="O8" i="13"/>
  <c r="P8" i="13"/>
  <c r="Q8" i="13"/>
  <c r="R8" i="13"/>
  <c r="S8" i="13"/>
  <c r="T8" i="13"/>
  <c r="U8" i="13"/>
  <c r="V8" i="13"/>
  <c r="G9" i="13"/>
  <c r="H9" i="13"/>
  <c r="I9" i="13"/>
  <c r="J9" i="13"/>
  <c r="K9" i="13"/>
  <c r="L9" i="13"/>
  <c r="M9" i="13"/>
  <c r="N9" i="13"/>
  <c r="O9" i="13"/>
  <c r="P9" i="13"/>
  <c r="Q9" i="13"/>
  <c r="R9" i="13"/>
  <c r="S9" i="13"/>
  <c r="T9" i="13"/>
  <c r="U9" i="13"/>
  <c r="V9" i="13"/>
  <c r="F4" i="13"/>
  <c r="F5" i="13"/>
  <c r="F6" i="13"/>
  <c r="F7" i="13"/>
  <c r="F8" i="13"/>
  <c r="F9" i="13"/>
  <c r="F3" i="13"/>
  <c r="H1" i="13"/>
  <c r="I1" i="13" s="1"/>
  <c r="J1" i="13" s="1"/>
  <c r="K1" i="13" s="1"/>
  <c r="L1" i="13" s="1"/>
  <c r="M1" i="13" s="1"/>
  <c r="N1" i="13" s="1"/>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G1" i="13"/>
  <c r="Y162" i="11"/>
  <c r="Z162" i="11" s="1"/>
  <c r="AA162" i="11" s="1"/>
  <c r="AB162" i="11" s="1"/>
  <c r="AC162" i="11" s="1"/>
  <c r="AD162" i="11" s="1"/>
  <c r="AE162" i="11" s="1"/>
  <c r="AF162" i="11" s="1"/>
  <c r="AG162" i="11" s="1"/>
  <c r="AH162" i="11" s="1"/>
  <c r="AI162" i="11" s="1"/>
  <c r="AJ162" i="11" s="1"/>
  <c r="AK162" i="11" s="1"/>
  <c r="AL162" i="11" s="1"/>
  <c r="AM162" i="11" s="1"/>
  <c r="AN162" i="11" s="1"/>
  <c r="AO162" i="11" s="1"/>
  <c r="AP162" i="11" s="1"/>
  <c r="AQ162" i="11" s="1"/>
  <c r="AR162" i="11" s="1"/>
  <c r="AS162" i="11" s="1"/>
  <c r="AT162" i="11" s="1"/>
  <c r="AU162" i="11" s="1"/>
  <c r="AV162" i="11" s="1"/>
  <c r="AW162" i="11" s="1"/>
  <c r="AX162" i="11" s="1"/>
  <c r="AY162" i="11" s="1"/>
  <c r="AZ162" i="11" s="1"/>
  <c r="BA162" i="11" s="1"/>
  <c r="AE511" i="11" l="1"/>
  <c r="AD541" i="11"/>
  <c r="AD549" i="11" s="1"/>
  <c r="AE503" i="11"/>
  <c r="AD538" i="11"/>
  <c r="AD548" i="11" s="1"/>
  <c r="AH594" i="11"/>
  <c r="AJ606" i="11"/>
  <c r="AA176" i="11"/>
  <c r="BD135" i="11"/>
  <c r="G23" i="13"/>
  <c r="H21" i="13"/>
  <c r="Y172" i="11"/>
  <c r="Z172" i="11" s="1"/>
  <c r="AA172" i="11" s="1"/>
  <c r="AB172" i="11" s="1"/>
  <c r="AC172" i="11" s="1"/>
  <c r="AD172" i="11" s="1"/>
  <c r="AE172" i="11" s="1"/>
  <c r="AF172" i="11" s="1"/>
  <c r="AG172" i="11" s="1"/>
  <c r="AH172" i="11" s="1"/>
  <c r="AI172" i="11" s="1"/>
  <c r="AJ172" i="11" s="1"/>
  <c r="AK172" i="11" s="1"/>
  <c r="AL172" i="11" s="1"/>
  <c r="AM172" i="11" s="1"/>
  <c r="AN172" i="11" s="1"/>
  <c r="AO172" i="11" s="1"/>
  <c r="AP172" i="11" s="1"/>
  <c r="AQ172" i="11" s="1"/>
  <c r="AR172" i="11" s="1"/>
  <c r="AS172" i="11" s="1"/>
  <c r="AT172" i="11" s="1"/>
  <c r="AU172" i="11" s="1"/>
  <c r="AV172" i="11" s="1"/>
  <c r="AW172" i="11" s="1"/>
  <c r="AX172" i="11" s="1"/>
  <c r="AY172" i="11" s="1"/>
  <c r="AZ172" i="11" s="1"/>
  <c r="BA172" i="11" s="1"/>
  <c r="Y169" i="11"/>
  <c r="Z169" i="11" s="1"/>
  <c r="AA169" i="11" s="1"/>
  <c r="AB169" i="11" s="1"/>
  <c r="AC169" i="11" s="1"/>
  <c r="AD169" i="11" s="1"/>
  <c r="AE169" i="11" s="1"/>
  <c r="AF169" i="11" s="1"/>
  <c r="AG169" i="11" s="1"/>
  <c r="AH169" i="11" s="1"/>
  <c r="AI169" i="11" s="1"/>
  <c r="AJ169" i="11" s="1"/>
  <c r="AK169" i="11" s="1"/>
  <c r="AL169" i="11" s="1"/>
  <c r="AM169" i="11" s="1"/>
  <c r="AN169" i="11" s="1"/>
  <c r="AO169" i="11" s="1"/>
  <c r="AP169" i="11" s="1"/>
  <c r="AQ169" i="11" s="1"/>
  <c r="AR169" i="11" s="1"/>
  <c r="AS169" i="11" s="1"/>
  <c r="AT169" i="11" s="1"/>
  <c r="AU169" i="11" s="1"/>
  <c r="AV169" i="11" s="1"/>
  <c r="AW169" i="11" s="1"/>
  <c r="AX169" i="11" s="1"/>
  <c r="AY169" i="11" s="1"/>
  <c r="AZ169" i="11" s="1"/>
  <c r="BA169" i="11" s="1"/>
  <c r="AF503" i="11" l="1"/>
  <c r="AE538" i="11"/>
  <c r="AE548" i="11" s="1"/>
  <c r="AF511" i="11"/>
  <c r="AE541" i="11"/>
  <c r="AE549" i="11" s="1"/>
  <c r="AI594" i="11"/>
  <c r="AK606" i="11"/>
  <c r="AB176" i="11"/>
  <c r="H23" i="13"/>
  <c r="I21" i="13"/>
  <c r="V44" i="11"/>
  <c r="V43" i="11"/>
  <c r="V42" i="11"/>
  <c r="V41" i="11"/>
  <c r="U40" i="11"/>
  <c r="V40" i="11" s="1"/>
  <c r="T33" i="11"/>
  <c r="T32" i="11"/>
  <c r="X33" i="11"/>
  <c r="AG511" i="11" l="1"/>
  <c r="AF541" i="11"/>
  <c r="AF549" i="11" s="1"/>
  <c r="AG503" i="11"/>
  <c r="AF538" i="11"/>
  <c r="AF548" i="11" s="1"/>
  <c r="Y33" i="11"/>
  <c r="X433" i="11"/>
  <c r="X435" i="11" s="1"/>
  <c r="AL606" i="11"/>
  <c r="AJ594" i="11"/>
  <c r="AC176" i="11"/>
  <c r="J21" i="13"/>
  <c r="I23" i="13"/>
  <c r="T31" i="11"/>
  <c r="T30" i="11"/>
  <c r="T29" i="11"/>
  <c r="AH503" i="11" l="1"/>
  <c r="AG538" i="11"/>
  <c r="AG548" i="11" s="1"/>
  <c r="AH511" i="11"/>
  <c r="AG541" i="11"/>
  <c r="AG549" i="11" s="1"/>
  <c r="X445" i="11"/>
  <c r="Z33" i="11"/>
  <c r="Y433" i="11"/>
  <c r="Y435" i="11" s="1"/>
  <c r="AK594" i="11"/>
  <c r="AM606" i="11"/>
  <c r="AD176" i="11"/>
  <c r="K21" i="13"/>
  <c r="J23" i="13"/>
  <c r="Y166" i="11"/>
  <c r="Z166" i="11" s="1"/>
  <c r="AA166" i="11" s="1"/>
  <c r="AB166" i="11" s="1"/>
  <c r="AC166" i="11" s="1"/>
  <c r="AD166" i="11" s="1"/>
  <c r="AE166" i="11" s="1"/>
  <c r="AF166" i="11" s="1"/>
  <c r="AG166" i="11" s="1"/>
  <c r="AH166" i="11" s="1"/>
  <c r="AI166" i="11" s="1"/>
  <c r="AJ166" i="11" s="1"/>
  <c r="AK166" i="11" s="1"/>
  <c r="AL166" i="11" s="1"/>
  <c r="AM166" i="11" s="1"/>
  <c r="AN166" i="11" s="1"/>
  <c r="AO166" i="11" s="1"/>
  <c r="AP166" i="11" s="1"/>
  <c r="AQ166" i="11" s="1"/>
  <c r="AR166" i="11" s="1"/>
  <c r="AS166" i="11" s="1"/>
  <c r="AT166" i="11" s="1"/>
  <c r="AU166" i="11" s="1"/>
  <c r="AV166" i="11" s="1"/>
  <c r="AW166" i="11" s="1"/>
  <c r="AX166" i="11" s="1"/>
  <c r="AY166" i="11" s="1"/>
  <c r="AZ166" i="11" s="1"/>
  <c r="BA166" i="11" s="1"/>
  <c r="C176" i="20"/>
  <c r="D176" i="20" s="1"/>
  <c r="E176" i="20" s="1"/>
  <c r="F176" i="20" s="1"/>
  <c r="G176" i="20" s="1"/>
  <c r="H176" i="20" s="1"/>
  <c r="I176" i="20" s="1"/>
  <c r="J176" i="20" s="1"/>
  <c r="K176" i="20" s="1"/>
  <c r="L176" i="20" s="1"/>
  <c r="M176" i="20" s="1"/>
  <c r="N176" i="20" s="1"/>
  <c r="O176" i="20" s="1"/>
  <c r="P176" i="20" s="1"/>
  <c r="Q176" i="20" s="1"/>
  <c r="R176" i="20" s="1"/>
  <c r="S176" i="20" s="1"/>
  <c r="T176" i="20" s="1"/>
  <c r="U176" i="20" s="1"/>
  <c r="V176" i="20" s="1"/>
  <c r="W176" i="20" s="1"/>
  <c r="X176" i="20" s="1"/>
  <c r="Y176" i="20" s="1"/>
  <c r="Z176" i="20" s="1"/>
  <c r="AA176" i="20" s="1"/>
  <c r="AB176" i="20" s="1"/>
  <c r="AC176" i="20" s="1"/>
  <c r="AD176" i="20" s="1"/>
  <c r="AI511" i="11" l="1"/>
  <c r="AH541" i="11"/>
  <c r="AH549" i="11" s="1"/>
  <c r="AI503" i="11"/>
  <c r="AH538" i="11"/>
  <c r="AH548" i="11" s="1"/>
  <c r="Y445" i="11"/>
  <c r="AA33" i="11"/>
  <c r="Z433" i="11"/>
  <c r="Z435" i="11" s="1"/>
  <c r="AN606" i="11"/>
  <c r="AL594" i="11"/>
  <c r="AE176" i="11"/>
  <c r="L21" i="13"/>
  <c r="K23" i="13"/>
  <c r="D3" i="12"/>
  <c r="AJ503" i="11" l="1"/>
  <c r="AI538" i="11"/>
  <c r="AI548" i="11" s="1"/>
  <c r="AJ511" i="11"/>
  <c r="AI541" i="11"/>
  <c r="AI549" i="11" s="1"/>
  <c r="Z445" i="11"/>
  <c r="AB33" i="11"/>
  <c r="AA433" i="11"/>
  <c r="AO606" i="11"/>
  <c r="AM594" i="11"/>
  <c r="AF176" i="11"/>
  <c r="M21" i="13"/>
  <c r="L23" i="13"/>
  <c r="D18" i="17"/>
  <c r="E18" i="17" s="1"/>
  <c r="F18" i="17" s="1"/>
  <c r="G18" i="17" s="1"/>
  <c r="H18" i="17" s="1"/>
  <c r="I18" i="17" s="1"/>
  <c r="J18" i="17" s="1"/>
  <c r="K18" i="17" s="1"/>
  <c r="L18" i="17" s="1"/>
  <c r="M18" i="17" s="1"/>
  <c r="N18" i="17" s="1"/>
  <c r="O18" i="17" s="1"/>
  <c r="P18" i="17" s="1"/>
  <c r="Q18" i="17" s="1"/>
  <c r="R18" i="17" s="1"/>
  <c r="S18" i="17" s="1"/>
  <c r="T18" i="17" s="1"/>
  <c r="U18" i="17" s="1"/>
  <c r="V18" i="17" s="1"/>
  <c r="W18" i="17" s="1"/>
  <c r="X18" i="17" s="1"/>
  <c r="Y18" i="17" s="1"/>
  <c r="Z18" i="17" s="1"/>
  <c r="AA18" i="17" s="1"/>
  <c r="AB18" i="17" s="1"/>
  <c r="AC18" i="17" s="1"/>
  <c r="AD18" i="17" s="1"/>
  <c r="AE18" i="17" s="1"/>
  <c r="C4" i="17"/>
  <c r="C3" i="17"/>
  <c r="D8" i="17"/>
  <c r="E8" i="17" s="1"/>
  <c r="F8" i="17" s="1"/>
  <c r="G8" i="17" s="1"/>
  <c r="H8" i="17" s="1"/>
  <c r="I8" i="17" s="1"/>
  <c r="J8" i="17" s="1"/>
  <c r="K8" i="17" s="1"/>
  <c r="L8" i="17" s="1"/>
  <c r="M8" i="17" s="1"/>
  <c r="N8" i="17" s="1"/>
  <c r="O8" i="17" s="1"/>
  <c r="P8" i="17" s="1"/>
  <c r="Q8" i="17" s="1"/>
  <c r="R8" i="17" s="1"/>
  <c r="S8" i="17" s="1"/>
  <c r="T8" i="17" s="1"/>
  <c r="U8" i="17" s="1"/>
  <c r="V8" i="17" s="1"/>
  <c r="W8" i="17" s="1"/>
  <c r="X8" i="17" s="1"/>
  <c r="Y8" i="17" s="1"/>
  <c r="Z8" i="17" s="1"/>
  <c r="AA8" i="17" s="1"/>
  <c r="AB8" i="17" s="1"/>
  <c r="AC8" i="17" s="1"/>
  <c r="AD8" i="17" s="1"/>
  <c r="AE8" i="17" s="1"/>
  <c r="AK511" i="11" l="1"/>
  <c r="AJ541" i="11"/>
  <c r="AJ549" i="11" s="1"/>
  <c r="AK503" i="11"/>
  <c r="AJ538" i="11"/>
  <c r="AJ548" i="11" s="1"/>
  <c r="AE434" i="11"/>
  <c r="AI434" i="11"/>
  <c r="AB434" i="11"/>
  <c r="AF434" i="11"/>
  <c r="AJ434" i="11"/>
  <c r="AC434" i="11"/>
  <c r="AG434" i="11"/>
  <c r="AK434" i="11"/>
  <c r="AD434" i="11"/>
  <c r="AH434" i="11"/>
  <c r="AA435" i="11"/>
  <c r="AA445" i="11" s="1"/>
  <c r="AC33" i="11"/>
  <c r="AB433" i="11"/>
  <c r="AN594" i="11"/>
  <c r="AP606" i="11"/>
  <c r="AG176" i="11"/>
  <c r="N21" i="13"/>
  <c r="M23" i="13"/>
  <c r="AE981" i="20"/>
  <c r="AE982" i="20" s="1"/>
  <c r="AE983" i="20" s="1"/>
  <c r="AE984" i="20" s="1"/>
  <c r="AE985" i="20" s="1"/>
  <c r="AE986" i="20" s="1"/>
  <c r="AE987" i="20" s="1"/>
  <c r="AE988" i="20" s="1"/>
  <c r="AE989" i="20" s="1"/>
  <c r="AM979" i="20"/>
  <c r="AN979" i="20" s="1"/>
  <c r="AO979" i="20" s="1"/>
  <c r="AP979" i="20" s="1"/>
  <c r="AQ979" i="20" s="1"/>
  <c r="AR979" i="20" s="1"/>
  <c r="AS979" i="20" s="1"/>
  <c r="AT979" i="20" s="1"/>
  <c r="AU979" i="20" s="1"/>
  <c r="AV979" i="20" s="1"/>
  <c r="AW979" i="20" s="1"/>
  <c r="AX979" i="20" s="1"/>
  <c r="AY979" i="20" s="1"/>
  <c r="AZ979" i="20" s="1"/>
  <c r="BA979" i="20" s="1"/>
  <c r="BB979" i="20" s="1"/>
  <c r="BC979" i="20" s="1"/>
  <c r="BD979" i="20" s="1"/>
  <c r="BE979" i="20" s="1"/>
  <c r="BF979" i="20" s="1"/>
  <c r="BG979" i="20" s="1"/>
  <c r="BH979" i="20" s="1"/>
  <c r="BI979" i="20" s="1"/>
  <c r="BJ979" i="20" s="1"/>
  <c r="BK979" i="20" s="1"/>
  <c r="BL979" i="20" s="1"/>
  <c r="BM979" i="20" s="1"/>
  <c r="BN979" i="20" s="1"/>
  <c r="AF989" i="20"/>
  <c r="AF988" i="20"/>
  <c r="AF987" i="20"/>
  <c r="AF986" i="20"/>
  <c r="AF985" i="20"/>
  <c r="AF984" i="20"/>
  <c r="AF983" i="20"/>
  <c r="AF982" i="20"/>
  <c r="AF981" i="20"/>
  <c r="AF980" i="20"/>
  <c r="AL503" i="11" l="1"/>
  <c r="AK538" i="11"/>
  <c r="AK548" i="11" s="1"/>
  <c r="AL511" i="11"/>
  <c r="AK541" i="11"/>
  <c r="AK549" i="11" s="1"/>
  <c r="AB435" i="11"/>
  <c r="AB445" i="11" s="1"/>
  <c r="AD33" i="11"/>
  <c r="AC433" i="11"/>
  <c r="AQ606" i="11"/>
  <c r="AO594" i="11"/>
  <c r="AH176" i="11"/>
  <c r="O21" i="13"/>
  <c r="N23" i="13"/>
  <c r="BQ850" i="20"/>
  <c r="BQ849" i="20"/>
  <c r="BQ848" i="20"/>
  <c r="BQ847" i="20"/>
  <c r="BQ846" i="20"/>
  <c r="BQ845" i="20"/>
  <c r="BQ844" i="20"/>
  <c r="BQ843" i="20"/>
  <c r="BQ839" i="20"/>
  <c r="BQ838" i="20"/>
  <c r="BQ837" i="20"/>
  <c r="BQ836" i="20"/>
  <c r="BQ835" i="20"/>
  <c r="BQ834" i="20"/>
  <c r="BQ833" i="20"/>
  <c r="BQ832" i="20"/>
  <c r="BQ828" i="20"/>
  <c r="BQ827" i="20"/>
  <c r="BQ826" i="20"/>
  <c r="BQ825" i="20"/>
  <c r="BQ824" i="20"/>
  <c r="BQ823" i="20"/>
  <c r="BQ822" i="20"/>
  <c r="BQ821" i="20"/>
  <c r="BQ817" i="20"/>
  <c r="BQ816" i="20"/>
  <c r="BQ815" i="20"/>
  <c r="BQ814" i="20"/>
  <c r="BQ813" i="20"/>
  <c r="BQ812" i="20"/>
  <c r="BQ811" i="20"/>
  <c r="BQ810" i="20"/>
  <c r="BQ806" i="20"/>
  <c r="BQ805" i="20"/>
  <c r="BQ804" i="20"/>
  <c r="BQ803" i="20"/>
  <c r="BQ802" i="20"/>
  <c r="BQ801" i="20"/>
  <c r="BQ800" i="20"/>
  <c r="BQ799" i="20"/>
  <c r="BQ795" i="20"/>
  <c r="BQ794" i="20"/>
  <c r="BQ793" i="20"/>
  <c r="BQ792" i="20"/>
  <c r="BQ791" i="20"/>
  <c r="BQ790" i="20"/>
  <c r="BQ789" i="20"/>
  <c r="BQ788" i="20"/>
  <c r="BQ777" i="20"/>
  <c r="BQ778" i="20"/>
  <c r="BQ779" i="20"/>
  <c r="BQ780" i="20"/>
  <c r="BQ781" i="20"/>
  <c r="BQ782" i="20"/>
  <c r="BQ783" i="20"/>
  <c r="BQ776" i="20"/>
  <c r="BQ766" i="20"/>
  <c r="BQ767" i="20"/>
  <c r="BQ768" i="20"/>
  <c r="BQ769" i="20"/>
  <c r="BQ770" i="20"/>
  <c r="BQ771" i="20"/>
  <c r="BQ772" i="20"/>
  <c r="BQ765" i="20"/>
  <c r="BQ755" i="20"/>
  <c r="BQ756" i="20"/>
  <c r="BQ757" i="20"/>
  <c r="BQ758" i="20"/>
  <c r="BQ759" i="20"/>
  <c r="BQ760" i="20"/>
  <c r="BQ761" i="20"/>
  <c r="BQ754" i="20"/>
  <c r="BQ750" i="20"/>
  <c r="BQ744" i="20"/>
  <c r="BQ745" i="20"/>
  <c r="BQ746" i="20"/>
  <c r="BQ747" i="20"/>
  <c r="BQ748" i="20"/>
  <c r="BQ749" i="20"/>
  <c r="BQ743" i="20"/>
  <c r="BQ739" i="20"/>
  <c r="BQ733" i="20"/>
  <c r="BQ734" i="20"/>
  <c r="BQ735" i="20"/>
  <c r="BQ736" i="20"/>
  <c r="BQ737" i="20"/>
  <c r="BQ738" i="20"/>
  <c r="BQ732" i="20"/>
  <c r="BQ722" i="20"/>
  <c r="BQ723" i="20"/>
  <c r="BQ724" i="20"/>
  <c r="BQ725" i="20"/>
  <c r="BQ726" i="20"/>
  <c r="BQ727" i="20"/>
  <c r="BQ728" i="20"/>
  <c r="BQ721" i="20"/>
  <c r="AM511" i="11" l="1"/>
  <c r="AL541" i="11"/>
  <c r="AL549" i="11" s="1"/>
  <c r="AM503" i="11"/>
  <c r="AL538" i="11"/>
  <c r="AL548" i="11" s="1"/>
  <c r="AC435" i="11"/>
  <c r="AE33" i="11"/>
  <c r="AD433" i="11"/>
  <c r="AP594" i="11"/>
  <c r="AR606" i="11"/>
  <c r="AI176" i="11"/>
  <c r="P21" i="13"/>
  <c r="O23" i="13"/>
  <c r="BQ671" i="20"/>
  <c r="BQ672" i="20"/>
  <c r="BQ673" i="20"/>
  <c r="BQ674" i="20"/>
  <c r="BQ675" i="20"/>
  <c r="BQ676" i="20"/>
  <c r="BQ677" i="20"/>
  <c r="BQ670" i="20"/>
  <c r="BQ660" i="20"/>
  <c r="BQ661" i="20"/>
  <c r="BQ662" i="20"/>
  <c r="BQ663" i="20"/>
  <c r="BQ664" i="20"/>
  <c r="BQ665" i="20"/>
  <c r="BQ666" i="20"/>
  <c r="BQ659" i="20"/>
  <c r="BQ649" i="20"/>
  <c r="BQ650" i="20"/>
  <c r="BQ651" i="20"/>
  <c r="BQ652" i="20"/>
  <c r="BQ653" i="20"/>
  <c r="BQ654" i="20"/>
  <c r="BQ655" i="20"/>
  <c r="BQ648" i="20"/>
  <c r="BQ638" i="20"/>
  <c r="BQ639" i="20"/>
  <c r="BQ640" i="20"/>
  <c r="BQ641" i="20"/>
  <c r="BQ642" i="20"/>
  <c r="BQ643" i="20"/>
  <c r="BQ644" i="20"/>
  <c r="BQ637" i="20"/>
  <c r="BQ627" i="20"/>
  <c r="BQ628" i="20"/>
  <c r="BQ629" i="20"/>
  <c r="BQ630" i="20"/>
  <c r="BQ631" i="20"/>
  <c r="BQ632" i="20"/>
  <c r="BQ633" i="20"/>
  <c r="BQ616" i="20"/>
  <c r="BQ617" i="20"/>
  <c r="BQ618" i="20"/>
  <c r="BQ619" i="20"/>
  <c r="BQ620" i="20"/>
  <c r="BQ621" i="20"/>
  <c r="BQ622" i="20"/>
  <c r="BQ626" i="20"/>
  <c r="BQ615" i="20"/>
  <c r="BQ549" i="20"/>
  <c r="BQ550" i="20"/>
  <c r="BQ551" i="20"/>
  <c r="BQ552" i="20"/>
  <c r="BQ553" i="20"/>
  <c r="BQ554" i="20"/>
  <c r="BQ555" i="20"/>
  <c r="BQ548" i="20"/>
  <c r="BQ537" i="20"/>
  <c r="BQ527" i="20"/>
  <c r="BQ528" i="20"/>
  <c r="BQ529" i="20"/>
  <c r="BQ530" i="20"/>
  <c r="BQ531" i="20"/>
  <c r="BQ532" i="20"/>
  <c r="BQ533" i="20"/>
  <c r="BQ526" i="20"/>
  <c r="BQ516" i="20"/>
  <c r="BQ517" i="20"/>
  <c r="BQ518" i="20"/>
  <c r="BQ519" i="20"/>
  <c r="BQ520" i="20"/>
  <c r="BQ521" i="20"/>
  <c r="BQ522" i="20"/>
  <c r="BQ515" i="20"/>
  <c r="BQ571" i="20"/>
  <c r="BQ572" i="20"/>
  <c r="BQ573" i="20"/>
  <c r="BQ574" i="20"/>
  <c r="BQ575" i="20"/>
  <c r="BQ576" i="20"/>
  <c r="BQ577" i="20"/>
  <c r="BQ570" i="20"/>
  <c r="BQ560" i="20"/>
  <c r="BQ561" i="20"/>
  <c r="BQ562" i="20"/>
  <c r="BQ563" i="20"/>
  <c r="BQ564" i="20"/>
  <c r="BQ565" i="20"/>
  <c r="BQ566" i="20"/>
  <c r="BQ559" i="20"/>
  <c r="AL721" i="20"/>
  <c r="BQ538" i="20"/>
  <c r="BQ539" i="20"/>
  <c r="BQ540" i="20"/>
  <c r="BQ541" i="20"/>
  <c r="BQ542" i="20"/>
  <c r="BQ543" i="20"/>
  <c r="BQ544" i="20"/>
  <c r="AL533" i="20"/>
  <c r="AM533" i="20" s="1"/>
  <c r="AN533" i="20" s="1"/>
  <c r="AO533" i="20" s="1"/>
  <c r="AP533" i="20" s="1"/>
  <c r="AQ533" i="20" s="1"/>
  <c r="AR533" i="20" s="1"/>
  <c r="AS533" i="20" s="1"/>
  <c r="AL532" i="20"/>
  <c r="AM532" i="20" s="1"/>
  <c r="AN532" i="20" s="1"/>
  <c r="AO532" i="20" s="1"/>
  <c r="AP532" i="20" s="1"/>
  <c r="AQ532" i="20" s="1"/>
  <c r="AR532" i="20" s="1"/>
  <c r="AS532" i="20" s="1"/>
  <c r="AL531" i="20"/>
  <c r="AM531" i="20" s="1"/>
  <c r="AN531" i="20" s="1"/>
  <c r="AO531" i="20" s="1"/>
  <c r="AP531" i="20" s="1"/>
  <c r="AQ531" i="20" s="1"/>
  <c r="AR531" i="20" s="1"/>
  <c r="AS531" i="20" s="1"/>
  <c r="AL530" i="20"/>
  <c r="AM530" i="20" s="1"/>
  <c r="AN530" i="20" s="1"/>
  <c r="AO530" i="20" s="1"/>
  <c r="AP530" i="20" s="1"/>
  <c r="AQ530" i="20" s="1"/>
  <c r="AR530" i="20" s="1"/>
  <c r="AS530" i="20" s="1"/>
  <c r="AL529" i="20"/>
  <c r="AM529" i="20" s="1"/>
  <c r="AN529" i="20" s="1"/>
  <c r="AO529" i="20" s="1"/>
  <c r="AP529" i="20" s="1"/>
  <c r="AQ529" i="20" s="1"/>
  <c r="AR529" i="20" s="1"/>
  <c r="AS529" i="20" s="1"/>
  <c r="AL528" i="20"/>
  <c r="AM528" i="20" s="1"/>
  <c r="AN528" i="20" s="1"/>
  <c r="AO528" i="20" s="1"/>
  <c r="AP528" i="20" s="1"/>
  <c r="AQ528" i="20" s="1"/>
  <c r="AR528" i="20" s="1"/>
  <c r="AS528" i="20" s="1"/>
  <c r="AL527" i="20"/>
  <c r="AM527" i="20" s="1"/>
  <c r="AN527" i="20" s="1"/>
  <c r="AO527" i="20" s="1"/>
  <c r="AP527" i="20" s="1"/>
  <c r="AQ527" i="20" s="1"/>
  <c r="AR527" i="20" s="1"/>
  <c r="AS527" i="20" s="1"/>
  <c r="AL526" i="20"/>
  <c r="AM526" i="20" s="1"/>
  <c r="AN526" i="20" s="1"/>
  <c r="AO526" i="20" s="1"/>
  <c r="AP526" i="20" s="1"/>
  <c r="AQ526" i="20" s="1"/>
  <c r="AR526" i="20" s="1"/>
  <c r="AS526" i="20" s="1"/>
  <c r="AI515" i="20"/>
  <c r="AL522" i="20"/>
  <c r="AL521" i="20"/>
  <c r="AL520" i="20"/>
  <c r="AL519" i="20"/>
  <c r="AL518" i="20"/>
  <c r="AL516" i="20"/>
  <c r="AL517" i="20"/>
  <c r="AL515" i="20"/>
  <c r="AN503" i="11" l="1"/>
  <c r="AM538" i="11"/>
  <c r="AM548" i="11" s="1"/>
  <c r="AN511" i="11"/>
  <c r="AM541" i="11"/>
  <c r="AM549" i="11" s="1"/>
  <c r="AC445" i="11"/>
  <c r="AD435" i="11"/>
  <c r="AF33" i="11"/>
  <c r="AE433" i="11"/>
  <c r="AQ594" i="11"/>
  <c r="AS606" i="11"/>
  <c r="AJ176" i="11"/>
  <c r="Q21" i="13"/>
  <c r="P23" i="13"/>
  <c r="Y131" i="11"/>
  <c r="Z131" i="11" s="1"/>
  <c r="AA131" i="11" s="1"/>
  <c r="AB131" i="11" s="1"/>
  <c r="AC131" i="11" s="1"/>
  <c r="AD131" i="11" s="1"/>
  <c r="AE131" i="11" s="1"/>
  <c r="AF131" i="11" s="1"/>
  <c r="AG131" i="11" s="1"/>
  <c r="AH131" i="11" s="1"/>
  <c r="AI131" i="11" s="1"/>
  <c r="AJ131" i="11" s="1"/>
  <c r="AK131" i="11" s="1"/>
  <c r="AL131" i="11" s="1"/>
  <c r="AM131" i="11" s="1"/>
  <c r="AN131" i="11" s="1"/>
  <c r="AO131" i="11" s="1"/>
  <c r="AP131" i="11" s="1"/>
  <c r="AQ131" i="11" s="1"/>
  <c r="AR131" i="11" s="1"/>
  <c r="AS131" i="11" s="1"/>
  <c r="AT131" i="11" s="1"/>
  <c r="AU131" i="11" s="1"/>
  <c r="AV131" i="11" s="1"/>
  <c r="AW131" i="11" s="1"/>
  <c r="AX131" i="11" s="1"/>
  <c r="AY131" i="11" s="1"/>
  <c r="AZ131" i="11" s="1"/>
  <c r="BA131" i="11" s="1"/>
  <c r="Y126" i="11"/>
  <c r="Z126" i="11" s="1"/>
  <c r="AA126" i="11" s="1"/>
  <c r="AB126" i="11" s="1"/>
  <c r="AC126" i="11" s="1"/>
  <c r="AD126" i="11" s="1"/>
  <c r="AE126" i="11" s="1"/>
  <c r="AF126" i="11" s="1"/>
  <c r="AG126" i="11" s="1"/>
  <c r="AH126" i="11" s="1"/>
  <c r="AI126" i="11" s="1"/>
  <c r="AJ126" i="11" s="1"/>
  <c r="AK126" i="11" s="1"/>
  <c r="AL126" i="11" s="1"/>
  <c r="AM126" i="11" s="1"/>
  <c r="AN126" i="11" s="1"/>
  <c r="AO126" i="11" s="1"/>
  <c r="AP126" i="11" s="1"/>
  <c r="AQ126" i="11" s="1"/>
  <c r="AR126" i="11" s="1"/>
  <c r="AS126" i="11" s="1"/>
  <c r="AT126" i="11" s="1"/>
  <c r="AU126" i="11" s="1"/>
  <c r="AV126" i="11" s="1"/>
  <c r="AW126" i="11" s="1"/>
  <c r="AX126" i="11" s="1"/>
  <c r="AY126" i="11" s="1"/>
  <c r="AZ126" i="11" s="1"/>
  <c r="BA126" i="11" s="1"/>
  <c r="Y135" i="11"/>
  <c r="Z135" i="11" s="1"/>
  <c r="AA135" i="11" s="1"/>
  <c r="AB135" i="11" s="1"/>
  <c r="AC135" i="11" s="1"/>
  <c r="AD135" i="11" s="1"/>
  <c r="AE135" i="11" s="1"/>
  <c r="AF135" i="11" s="1"/>
  <c r="AG135" i="11" s="1"/>
  <c r="AH135" i="11" s="1"/>
  <c r="AI135" i="11" s="1"/>
  <c r="AJ135" i="11" s="1"/>
  <c r="AK135" i="11" s="1"/>
  <c r="AL135" i="11" s="1"/>
  <c r="AM135" i="11" s="1"/>
  <c r="AN135" i="11" s="1"/>
  <c r="AO135" i="11" s="1"/>
  <c r="AP135" i="11" s="1"/>
  <c r="AQ135" i="11" s="1"/>
  <c r="AR135" i="11" s="1"/>
  <c r="AS135" i="11" s="1"/>
  <c r="AT135" i="11" s="1"/>
  <c r="AU135" i="11" s="1"/>
  <c r="AV135" i="11" s="1"/>
  <c r="AW135" i="11" s="1"/>
  <c r="AX135" i="11" s="1"/>
  <c r="AY135" i="11" s="1"/>
  <c r="AZ135" i="11" s="1"/>
  <c r="BA135" i="11" s="1"/>
  <c r="Y123" i="11"/>
  <c r="Z123" i="11" s="1"/>
  <c r="AA123" i="11" s="1"/>
  <c r="AB123" i="11" s="1"/>
  <c r="AC123" i="11" s="1"/>
  <c r="AD123" i="11" s="1"/>
  <c r="AE123" i="11" s="1"/>
  <c r="AF123" i="11" s="1"/>
  <c r="AG123" i="11" s="1"/>
  <c r="AH123" i="11" s="1"/>
  <c r="AI123" i="11" s="1"/>
  <c r="AJ123" i="11" s="1"/>
  <c r="AK123" i="11" s="1"/>
  <c r="AL123" i="11" s="1"/>
  <c r="AM123" i="11" s="1"/>
  <c r="AN123" i="11" s="1"/>
  <c r="AO123" i="11" s="1"/>
  <c r="AP123" i="11" s="1"/>
  <c r="AQ123" i="11" s="1"/>
  <c r="AR123" i="11" s="1"/>
  <c r="AS123" i="11" s="1"/>
  <c r="AT123" i="11" s="1"/>
  <c r="AU123" i="11" s="1"/>
  <c r="AV123" i="11" s="1"/>
  <c r="AW123" i="11" s="1"/>
  <c r="AX123" i="11" s="1"/>
  <c r="AY123" i="11" s="1"/>
  <c r="AZ123" i="11" s="1"/>
  <c r="BA123" i="11" s="1"/>
  <c r="AO511" i="11" l="1"/>
  <c r="AN541" i="11"/>
  <c r="AN549" i="11" s="1"/>
  <c r="AO503" i="11"/>
  <c r="AN538" i="11"/>
  <c r="AN548" i="11" s="1"/>
  <c r="AD445" i="11"/>
  <c r="AE435" i="11"/>
  <c r="AG33" i="11"/>
  <c r="AF433" i="11"/>
  <c r="AT606" i="11"/>
  <c r="AR594" i="11"/>
  <c r="AK176" i="11"/>
  <c r="R21" i="13"/>
  <c r="Q23" i="13"/>
  <c r="T57" i="11"/>
  <c r="T58" i="11"/>
  <c r="T59" i="11"/>
  <c r="T60" i="11"/>
  <c r="T61" i="11"/>
  <c r="T62" i="11"/>
  <c r="T63" i="11"/>
  <c r="T64" i="11"/>
  <c r="T65" i="11"/>
  <c r="T66" i="11"/>
  <c r="T67" i="11"/>
  <c r="T68" i="11"/>
  <c r="T69" i="11"/>
  <c r="T70" i="11"/>
  <c r="T56" i="11"/>
  <c r="V33" i="11"/>
  <c r="V32" i="11"/>
  <c r="V31" i="11"/>
  <c r="V30" i="11"/>
  <c r="V29" i="11"/>
  <c r="W33" i="11"/>
  <c r="W32" i="11"/>
  <c r="W31" i="11"/>
  <c r="W30" i="11"/>
  <c r="W29" i="11"/>
  <c r="W70" i="11"/>
  <c r="W69" i="11"/>
  <c r="W68" i="11"/>
  <c r="W67" i="11"/>
  <c r="W66" i="11"/>
  <c r="W65" i="11"/>
  <c r="W64" i="11"/>
  <c r="W63" i="11"/>
  <c r="W62" i="11"/>
  <c r="W61" i="11"/>
  <c r="W60" i="11"/>
  <c r="W59" i="11"/>
  <c r="W58" i="11"/>
  <c r="W57" i="11"/>
  <c r="W56" i="11"/>
  <c r="V70" i="11"/>
  <c r="V69" i="11"/>
  <c r="V68" i="11"/>
  <c r="V67" i="11"/>
  <c r="V66" i="11"/>
  <c r="V65" i="11"/>
  <c r="V64" i="11"/>
  <c r="V63" i="11"/>
  <c r="V62" i="11"/>
  <c r="V61" i="11"/>
  <c r="V60" i="11"/>
  <c r="V59" i="11"/>
  <c r="V58" i="11"/>
  <c r="V57" i="11"/>
  <c r="V56" i="11"/>
  <c r="Y7" i="11"/>
  <c r="Z7" i="11" s="1"/>
  <c r="AA7" i="11" s="1"/>
  <c r="AB7" i="11" s="1"/>
  <c r="AC7" i="11" s="1"/>
  <c r="AD7" i="11" s="1"/>
  <c r="AE7" i="11" s="1"/>
  <c r="AF7" i="11" s="1"/>
  <c r="AG7" i="11" s="1"/>
  <c r="AH7" i="11" s="1"/>
  <c r="AI7" i="11" s="1"/>
  <c r="AJ7" i="11" s="1"/>
  <c r="AK7" i="11" s="1"/>
  <c r="AL7" i="11" s="1"/>
  <c r="AM7" i="11" s="1"/>
  <c r="AN7" i="11" s="1"/>
  <c r="AO7" i="11" s="1"/>
  <c r="AP7" i="11" s="1"/>
  <c r="AQ7" i="11" s="1"/>
  <c r="AR7" i="11" s="1"/>
  <c r="AS7" i="11" s="1"/>
  <c r="AT7" i="11" s="1"/>
  <c r="AU7" i="11" s="1"/>
  <c r="AV7" i="11" s="1"/>
  <c r="AW7" i="11" s="1"/>
  <c r="AX7" i="11" s="1"/>
  <c r="AY7" i="11" s="1"/>
  <c r="AZ7" i="11" s="1"/>
  <c r="BA7" i="11" s="1"/>
  <c r="AP503" i="11" l="1"/>
  <c r="AO538" i="11"/>
  <c r="AO548" i="11" s="1"/>
  <c r="AP511" i="11"/>
  <c r="AO541" i="11"/>
  <c r="AO549" i="11" s="1"/>
  <c r="AE445" i="11"/>
  <c r="AF435" i="11"/>
  <c r="AH33" i="11"/>
  <c r="AG433" i="11"/>
  <c r="U70" i="11"/>
  <c r="AS594" i="11"/>
  <c r="AU606" i="11"/>
  <c r="AL176" i="11"/>
  <c r="U29" i="11"/>
  <c r="S21" i="13"/>
  <c r="R23" i="13"/>
  <c r="U56" i="11"/>
  <c r="U64" i="11"/>
  <c r="U68" i="11"/>
  <c r="U30" i="11"/>
  <c r="U60" i="11"/>
  <c r="U59" i="11"/>
  <c r="U63" i="11"/>
  <c r="U67" i="11"/>
  <c r="U61" i="11"/>
  <c r="U65" i="11"/>
  <c r="U69" i="11"/>
  <c r="U57" i="11"/>
  <c r="U58" i="11"/>
  <c r="U62" i="11"/>
  <c r="U66" i="11"/>
  <c r="U31" i="11"/>
  <c r="U32" i="11"/>
  <c r="A20" i="20"/>
  <c r="A19" i="20"/>
  <c r="A18" i="20"/>
  <c r="A17" i="20"/>
  <c r="A16" i="20"/>
  <c r="A15" i="20"/>
  <c r="A10" i="20"/>
  <c r="A9" i="20"/>
  <c r="A8" i="20"/>
  <c r="A7" i="20"/>
  <c r="AQ511" i="11" l="1"/>
  <c r="AP541" i="11"/>
  <c r="AP549" i="11" s="1"/>
  <c r="AQ503" i="11"/>
  <c r="AP538" i="11"/>
  <c r="AP548" i="11" s="1"/>
  <c r="AF445" i="11"/>
  <c r="AG435" i="11"/>
  <c r="AI33" i="11"/>
  <c r="AH433" i="11"/>
  <c r="AV606" i="11"/>
  <c r="AT594" i="11"/>
  <c r="AM176" i="11"/>
  <c r="T21" i="13"/>
  <c r="S23" i="13"/>
  <c r="F202" i="11"/>
  <c r="G202" i="11"/>
  <c r="AR503" i="11" l="1"/>
  <c r="AQ538" i="11"/>
  <c r="AQ548" i="11" s="1"/>
  <c r="AR511" i="11"/>
  <c r="AQ541" i="11"/>
  <c r="AQ549" i="11" s="1"/>
  <c r="AG445" i="11"/>
  <c r="AH435" i="11"/>
  <c r="AJ33" i="11"/>
  <c r="AI433" i="11"/>
  <c r="AU594" i="11"/>
  <c r="AW606" i="11"/>
  <c r="AN176" i="11"/>
  <c r="U21" i="13"/>
  <c r="T23" i="13"/>
  <c r="BP215" i="20"/>
  <c r="BP214" i="20"/>
  <c r="BP213" i="20"/>
  <c r="BP212" i="20"/>
  <c r="BP211" i="20"/>
  <c r="BP210" i="20"/>
  <c r="BP209" i="20"/>
  <c r="BP208" i="20"/>
  <c r="BP202" i="20"/>
  <c r="BP201" i="20"/>
  <c r="BP200" i="20"/>
  <c r="BP199" i="20"/>
  <c r="BP198" i="20"/>
  <c r="BP197" i="20"/>
  <c r="BP196" i="20"/>
  <c r="BP195" i="20"/>
  <c r="BP189" i="20"/>
  <c r="BP188" i="20"/>
  <c r="BP187" i="20"/>
  <c r="BP186" i="20"/>
  <c r="BP185" i="20"/>
  <c r="BP184" i="20"/>
  <c r="BP183" i="20"/>
  <c r="BP182" i="20"/>
  <c r="BP176" i="20"/>
  <c r="BP175" i="20"/>
  <c r="BP174" i="20"/>
  <c r="BP173" i="20"/>
  <c r="BP172" i="20"/>
  <c r="BP171" i="20"/>
  <c r="BP170" i="20"/>
  <c r="BP169" i="20"/>
  <c r="BP163" i="20"/>
  <c r="BP162" i="20"/>
  <c r="BP161" i="20"/>
  <c r="BP160" i="20"/>
  <c r="BP159" i="20"/>
  <c r="BP158" i="20"/>
  <c r="BP157" i="20"/>
  <c r="BP156" i="20"/>
  <c r="BP150" i="20"/>
  <c r="BP149" i="20"/>
  <c r="BP148" i="20"/>
  <c r="BP147" i="20"/>
  <c r="BP146" i="20"/>
  <c r="BP145" i="20"/>
  <c r="BP144" i="20"/>
  <c r="BP143" i="20"/>
  <c r="AS511" i="11" l="1"/>
  <c r="AR541" i="11"/>
  <c r="AR549" i="11" s="1"/>
  <c r="AS503" i="11"/>
  <c r="AR538" i="11"/>
  <c r="AR548" i="11" s="1"/>
  <c r="AH445" i="11"/>
  <c r="AI435" i="11"/>
  <c r="AK33" i="11"/>
  <c r="AJ433" i="11"/>
  <c r="F194" i="11" s="1"/>
  <c r="AX606" i="11"/>
  <c r="AV594" i="11"/>
  <c r="AO176" i="11"/>
  <c r="V21" i="13"/>
  <c r="U23" i="13"/>
  <c r="BP106" i="20"/>
  <c r="BP105" i="20"/>
  <c r="BP104" i="20"/>
  <c r="BP103" i="20"/>
  <c r="BP102" i="20"/>
  <c r="BP101" i="20"/>
  <c r="BP100" i="20"/>
  <c r="BP99" i="20"/>
  <c r="BP86" i="20"/>
  <c r="BP85" i="20"/>
  <c r="BP84" i="20"/>
  <c r="BP83" i="20"/>
  <c r="BP82" i="20"/>
  <c r="BP81" i="20"/>
  <c r="BP80" i="20"/>
  <c r="BP79" i="20"/>
  <c r="BP68" i="20"/>
  <c r="BP67" i="20"/>
  <c r="BP66" i="20"/>
  <c r="BP65" i="20"/>
  <c r="BP64" i="20"/>
  <c r="BP63" i="20"/>
  <c r="BP62" i="20"/>
  <c r="BP61" i="20"/>
  <c r="AT503" i="11" l="1"/>
  <c r="AS538" i="11"/>
  <c r="AS548" i="11" s="1"/>
  <c r="AT511" i="11"/>
  <c r="AS541" i="11"/>
  <c r="AS549" i="11" s="1"/>
  <c r="AI445" i="11"/>
  <c r="AJ435" i="11"/>
  <c r="AL33" i="11"/>
  <c r="AK433" i="11"/>
  <c r="AW594" i="11"/>
  <c r="AY606" i="11"/>
  <c r="AP176" i="11"/>
  <c r="W21" i="13"/>
  <c r="V23" i="13"/>
  <c r="BP44" i="20"/>
  <c r="BP45" i="20"/>
  <c r="BP46" i="20"/>
  <c r="BP47" i="20"/>
  <c r="BP48" i="20"/>
  <c r="BP49" i="20"/>
  <c r="BP50" i="20"/>
  <c r="BP43" i="20"/>
  <c r="AU511" i="11" l="1"/>
  <c r="AT541" i="11"/>
  <c r="AT549" i="11" s="1"/>
  <c r="AU503" i="11"/>
  <c r="AT538" i="11"/>
  <c r="AT548" i="11" s="1"/>
  <c r="AJ445" i="11"/>
  <c r="AK435" i="11"/>
  <c r="AM33" i="11"/>
  <c r="AL433" i="11"/>
  <c r="AZ606" i="11"/>
  <c r="AX594" i="11"/>
  <c r="AQ176" i="11"/>
  <c r="X21" i="13"/>
  <c r="W23" i="13"/>
  <c r="BN975" i="20"/>
  <c r="BM975" i="20"/>
  <c r="BL975" i="20"/>
  <c r="BK975" i="20"/>
  <c r="BJ975" i="20"/>
  <c r="BI975" i="20"/>
  <c r="BH975" i="20"/>
  <c r="BG975" i="20"/>
  <c r="BF975" i="20"/>
  <c r="BE975" i="20"/>
  <c r="BD975" i="20"/>
  <c r="BC975" i="20"/>
  <c r="BB975" i="20"/>
  <c r="BA975" i="20"/>
  <c r="AZ975" i="20"/>
  <c r="AY975" i="20"/>
  <c r="AX975" i="20"/>
  <c r="AW975" i="20"/>
  <c r="AV975" i="20"/>
  <c r="AU975" i="20"/>
  <c r="AT975" i="20"/>
  <c r="AS975" i="20"/>
  <c r="AR975" i="20"/>
  <c r="AQ975" i="20"/>
  <c r="AP975" i="20"/>
  <c r="AO975" i="20"/>
  <c r="AN975" i="20"/>
  <c r="AM975" i="20"/>
  <c r="AL975" i="20"/>
  <c r="BN974" i="20"/>
  <c r="BM974" i="20"/>
  <c r="BL974" i="20"/>
  <c r="BK974" i="20"/>
  <c r="BJ974" i="20"/>
  <c r="BI974" i="20"/>
  <c r="BH974" i="20"/>
  <c r="BG974" i="20"/>
  <c r="BF974" i="20"/>
  <c r="BE974" i="20"/>
  <c r="BD974" i="20"/>
  <c r="BC974" i="20"/>
  <c r="BB974" i="20"/>
  <c r="BA974" i="20"/>
  <c r="AZ974" i="20"/>
  <c r="AY974" i="20"/>
  <c r="AX974" i="20"/>
  <c r="AW974" i="20"/>
  <c r="AV974" i="20"/>
  <c r="AU974" i="20"/>
  <c r="AT974" i="20"/>
  <c r="AS974" i="20"/>
  <c r="AR974" i="20"/>
  <c r="AQ974" i="20"/>
  <c r="AP974" i="20"/>
  <c r="AO974" i="20"/>
  <c r="AN974" i="20"/>
  <c r="AM974" i="20"/>
  <c r="AL974" i="20"/>
  <c r="BN973" i="20"/>
  <c r="BM973" i="20"/>
  <c r="BL973" i="20"/>
  <c r="BK973" i="20"/>
  <c r="BJ973" i="20"/>
  <c r="BI973" i="20"/>
  <c r="BH973" i="20"/>
  <c r="BG973" i="20"/>
  <c r="BF973" i="20"/>
  <c r="BE973" i="20"/>
  <c r="BD973" i="20"/>
  <c r="BC973" i="20"/>
  <c r="BB973" i="20"/>
  <c r="BA973" i="20"/>
  <c r="AZ973" i="20"/>
  <c r="AY973" i="20"/>
  <c r="AX973" i="20"/>
  <c r="AW973" i="20"/>
  <c r="AV973" i="20"/>
  <c r="AU973" i="20"/>
  <c r="AT973" i="20"/>
  <c r="AS973" i="20"/>
  <c r="AR973" i="20"/>
  <c r="AQ973" i="20"/>
  <c r="AP973" i="20"/>
  <c r="AO973" i="20"/>
  <c r="AN973" i="20"/>
  <c r="AM973" i="20"/>
  <c r="AL973" i="20"/>
  <c r="BN972" i="20"/>
  <c r="BM972" i="20"/>
  <c r="BL972" i="20"/>
  <c r="BK972" i="20"/>
  <c r="BJ972" i="20"/>
  <c r="BI972" i="20"/>
  <c r="BH972" i="20"/>
  <c r="BG972" i="20"/>
  <c r="BF972" i="20"/>
  <c r="BE972" i="20"/>
  <c r="BD972" i="20"/>
  <c r="BC972" i="20"/>
  <c r="BB972" i="20"/>
  <c r="BA972" i="20"/>
  <c r="AZ972" i="20"/>
  <c r="AY972" i="20"/>
  <c r="AX972" i="20"/>
  <c r="AW972" i="20"/>
  <c r="AV972" i="20"/>
  <c r="AU972" i="20"/>
  <c r="AT972" i="20"/>
  <c r="AS972" i="20"/>
  <c r="AR972" i="20"/>
  <c r="AQ972" i="20"/>
  <c r="AP972" i="20"/>
  <c r="AO972" i="20"/>
  <c r="AN972" i="20"/>
  <c r="AM972" i="20"/>
  <c r="AL972" i="20"/>
  <c r="BN971" i="20"/>
  <c r="BM971" i="20"/>
  <c r="BL971" i="20"/>
  <c r="BK971" i="20"/>
  <c r="BJ971" i="20"/>
  <c r="BI971" i="20"/>
  <c r="BH971" i="20"/>
  <c r="BG971" i="20"/>
  <c r="BF971" i="20"/>
  <c r="BE971" i="20"/>
  <c r="BD971" i="20"/>
  <c r="BC971" i="20"/>
  <c r="BB971" i="20"/>
  <c r="BA971" i="20"/>
  <c r="AZ971" i="20"/>
  <c r="AY971" i="20"/>
  <c r="AX971" i="20"/>
  <c r="AW971" i="20"/>
  <c r="AV971" i="20"/>
  <c r="AU971" i="20"/>
  <c r="AT971" i="20"/>
  <c r="AS971" i="20"/>
  <c r="AR971" i="20"/>
  <c r="AQ971" i="20"/>
  <c r="AP971" i="20"/>
  <c r="AO971" i="20"/>
  <c r="AN971" i="20"/>
  <c r="AM971" i="20"/>
  <c r="AL971" i="20"/>
  <c r="BN963" i="20"/>
  <c r="BM963" i="20"/>
  <c r="BL963" i="20"/>
  <c r="BK963" i="20"/>
  <c r="BJ963" i="20"/>
  <c r="BI963" i="20"/>
  <c r="BH963" i="20"/>
  <c r="BG963" i="20"/>
  <c r="BF963" i="20"/>
  <c r="BE963" i="20"/>
  <c r="BD963" i="20"/>
  <c r="BC963" i="20"/>
  <c r="BB963" i="20"/>
  <c r="BA963" i="20"/>
  <c r="AZ963" i="20"/>
  <c r="AY963" i="20"/>
  <c r="AX963" i="20"/>
  <c r="AW963" i="20"/>
  <c r="AV963" i="20"/>
  <c r="AU963" i="20"/>
  <c r="AT963" i="20"/>
  <c r="AS963" i="20"/>
  <c r="AR963" i="20"/>
  <c r="AQ963" i="20"/>
  <c r="AP963" i="20"/>
  <c r="AO963" i="20"/>
  <c r="AN963" i="20"/>
  <c r="AM963" i="20"/>
  <c r="AL963" i="20"/>
  <c r="BN962" i="20"/>
  <c r="BM962" i="20"/>
  <c r="BL962" i="20"/>
  <c r="BK962" i="20"/>
  <c r="BJ962" i="20"/>
  <c r="BI962" i="20"/>
  <c r="BH962" i="20"/>
  <c r="BG962" i="20"/>
  <c r="BF962" i="20"/>
  <c r="BE962" i="20"/>
  <c r="BD962" i="20"/>
  <c r="BC962" i="20"/>
  <c r="BB962" i="20"/>
  <c r="BA962" i="20"/>
  <c r="AZ962" i="20"/>
  <c r="AY962" i="20"/>
  <c r="AX962" i="20"/>
  <c r="AW962" i="20"/>
  <c r="AV962" i="20"/>
  <c r="AU962" i="20"/>
  <c r="AT962" i="20"/>
  <c r="AS962" i="20"/>
  <c r="AR962" i="20"/>
  <c r="AQ962" i="20"/>
  <c r="AP962" i="20"/>
  <c r="AO962" i="20"/>
  <c r="AN962" i="20"/>
  <c r="AM962" i="20"/>
  <c r="AL962" i="20"/>
  <c r="BN961" i="20"/>
  <c r="BM961" i="20"/>
  <c r="BL961" i="20"/>
  <c r="BK961" i="20"/>
  <c r="BJ961" i="20"/>
  <c r="BI961" i="20"/>
  <c r="BH961" i="20"/>
  <c r="BG961" i="20"/>
  <c r="BF961" i="20"/>
  <c r="BE961" i="20"/>
  <c r="BD961" i="20"/>
  <c r="BC961" i="20"/>
  <c r="BB961" i="20"/>
  <c r="BA961" i="20"/>
  <c r="AZ961" i="20"/>
  <c r="AY961" i="20"/>
  <c r="AX961" i="20"/>
  <c r="AW961" i="20"/>
  <c r="AV961" i="20"/>
  <c r="AU961" i="20"/>
  <c r="AT961" i="20"/>
  <c r="AS961" i="20"/>
  <c r="AR961" i="20"/>
  <c r="AQ961" i="20"/>
  <c r="AP961" i="20"/>
  <c r="AO961" i="20"/>
  <c r="AN961" i="20"/>
  <c r="AM961" i="20"/>
  <c r="AL961" i="20"/>
  <c r="BN960" i="20"/>
  <c r="BM960" i="20"/>
  <c r="BL960" i="20"/>
  <c r="BK960" i="20"/>
  <c r="BJ960" i="20"/>
  <c r="BI960" i="20"/>
  <c r="BH960" i="20"/>
  <c r="BG960" i="20"/>
  <c r="BF960" i="20"/>
  <c r="BE960" i="20"/>
  <c r="BD960" i="20"/>
  <c r="BC960" i="20"/>
  <c r="BB960" i="20"/>
  <c r="BA960" i="20"/>
  <c r="AZ960" i="20"/>
  <c r="AY960" i="20"/>
  <c r="AX960" i="20"/>
  <c r="AW960" i="20"/>
  <c r="AV960" i="20"/>
  <c r="AU960" i="20"/>
  <c r="AT960" i="20"/>
  <c r="AS960" i="20"/>
  <c r="AR960" i="20"/>
  <c r="AQ960" i="20"/>
  <c r="AP960" i="20"/>
  <c r="AO960" i="20"/>
  <c r="AN960" i="20"/>
  <c r="AM960" i="20"/>
  <c r="AL960" i="20"/>
  <c r="BN957" i="20"/>
  <c r="BM957" i="20"/>
  <c r="BL957" i="20"/>
  <c r="BK957" i="20"/>
  <c r="BJ957" i="20"/>
  <c r="BI957" i="20"/>
  <c r="BH957" i="20"/>
  <c r="BG957" i="20"/>
  <c r="BF957" i="20"/>
  <c r="BE957" i="20"/>
  <c r="BD957" i="20"/>
  <c r="BC957" i="20"/>
  <c r="BB957" i="20"/>
  <c r="BA957" i="20"/>
  <c r="AZ957" i="20"/>
  <c r="AY957" i="20"/>
  <c r="AX957" i="20"/>
  <c r="AW957" i="20"/>
  <c r="AV957" i="20"/>
  <c r="AU957" i="20"/>
  <c r="AT957" i="20"/>
  <c r="AS957" i="20"/>
  <c r="AR957" i="20"/>
  <c r="AQ957" i="20"/>
  <c r="AP957" i="20"/>
  <c r="AO957" i="20"/>
  <c r="AN957" i="20"/>
  <c r="AM957" i="20"/>
  <c r="AL957" i="20"/>
  <c r="BN956" i="20"/>
  <c r="BM956" i="20"/>
  <c r="BL956" i="20"/>
  <c r="BK956" i="20"/>
  <c r="BJ956" i="20"/>
  <c r="BI956" i="20"/>
  <c r="BH956" i="20"/>
  <c r="BG956" i="20"/>
  <c r="BF956" i="20"/>
  <c r="BE956" i="20"/>
  <c r="BD956" i="20"/>
  <c r="BC956" i="20"/>
  <c r="BB956" i="20"/>
  <c r="BA956" i="20"/>
  <c r="AZ956" i="20"/>
  <c r="AY956" i="20"/>
  <c r="AX956" i="20"/>
  <c r="AW956" i="20"/>
  <c r="AV956" i="20"/>
  <c r="AU956" i="20"/>
  <c r="AT956" i="20"/>
  <c r="AS956" i="20"/>
  <c r="AR956" i="20"/>
  <c r="AQ956" i="20"/>
  <c r="AP956" i="20"/>
  <c r="AO956" i="20"/>
  <c r="AN956" i="20"/>
  <c r="AM956" i="20"/>
  <c r="AL956" i="20"/>
  <c r="BN955" i="20"/>
  <c r="BM955" i="20"/>
  <c r="BL955" i="20"/>
  <c r="BK955" i="20"/>
  <c r="BJ955" i="20"/>
  <c r="BI955" i="20"/>
  <c r="BH955" i="20"/>
  <c r="BG955" i="20"/>
  <c r="BF955" i="20"/>
  <c r="BE955" i="20"/>
  <c r="BD955" i="20"/>
  <c r="BC955" i="20"/>
  <c r="BB955" i="20"/>
  <c r="BA955" i="20"/>
  <c r="AZ955" i="20"/>
  <c r="AY955" i="20"/>
  <c r="AX955" i="20"/>
  <c r="AW955" i="20"/>
  <c r="AV955" i="20"/>
  <c r="AU955" i="20"/>
  <c r="AT955" i="20"/>
  <c r="AS955" i="20"/>
  <c r="AR955" i="20"/>
  <c r="AQ955" i="20"/>
  <c r="AP955" i="20"/>
  <c r="AO955" i="20"/>
  <c r="AN955" i="20"/>
  <c r="AM955" i="20"/>
  <c r="AL955" i="20"/>
  <c r="AM954" i="20"/>
  <c r="AN954" i="20" s="1"/>
  <c r="BN950" i="20"/>
  <c r="BM950" i="20"/>
  <c r="BL950" i="20"/>
  <c r="BK950" i="20"/>
  <c r="BJ950" i="20"/>
  <c r="BI950" i="20"/>
  <c r="BH950" i="20"/>
  <c r="BG950" i="20"/>
  <c r="BF950" i="20"/>
  <c r="BE950" i="20"/>
  <c r="BD950" i="20"/>
  <c r="BC950" i="20"/>
  <c r="BB950" i="20"/>
  <c r="BA950" i="20"/>
  <c r="AZ950" i="20"/>
  <c r="AY950" i="20"/>
  <c r="AX950" i="20"/>
  <c r="AW950" i="20"/>
  <c r="AV950" i="20"/>
  <c r="AU950" i="20"/>
  <c r="AT950" i="20"/>
  <c r="AS950" i="20"/>
  <c r="AR950" i="20"/>
  <c r="AQ950" i="20"/>
  <c r="AP950" i="20"/>
  <c r="AO950" i="20"/>
  <c r="AN950" i="20"/>
  <c r="AM950" i="20"/>
  <c r="AL950" i="20"/>
  <c r="BN949" i="20"/>
  <c r="BM949" i="20"/>
  <c r="BL949" i="20"/>
  <c r="BK949" i="20"/>
  <c r="BJ949" i="20"/>
  <c r="BI949" i="20"/>
  <c r="BH949" i="20"/>
  <c r="BG949" i="20"/>
  <c r="BF949" i="20"/>
  <c r="BE949" i="20"/>
  <c r="BD949" i="20"/>
  <c r="BC949" i="20"/>
  <c r="BB949" i="20"/>
  <c r="BA949" i="20"/>
  <c r="AZ949" i="20"/>
  <c r="AY949" i="20"/>
  <c r="AX949" i="20"/>
  <c r="AW949" i="20"/>
  <c r="AV949" i="20"/>
  <c r="AU949" i="20"/>
  <c r="AT949" i="20"/>
  <c r="AS949" i="20"/>
  <c r="AR949" i="20"/>
  <c r="AQ949" i="20"/>
  <c r="AP949" i="20"/>
  <c r="AO949" i="20"/>
  <c r="AN949" i="20"/>
  <c r="AM949" i="20"/>
  <c r="AL949" i="20"/>
  <c r="BN948" i="20"/>
  <c r="BM948" i="20"/>
  <c r="BL948" i="20"/>
  <c r="BK948" i="20"/>
  <c r="BJ948" i="20"/>
  <c r="BI948" i="20"/>
  <c r="BH948" i="20"/>
  <c r="BG948" i="20"/>
  <c r="BF948" i="20"/>
  <c r="BE948" i="20"/>
  <c r="BD948" i="20"/>
  <c r="BC948" i="20"/>
  <c r="BB948" i="20"/>
  <c r="BA948" i="20"/>
  <c r="AZ948" i="20"/>
  <c r="AY948" i="20"/>
  <c r="AX948" i="20"/>
  <c r="AW948" i="20"/>
  <c r="AV948" i="20"/>
  <c r="AU948" i="20"/>
  <c r="AT948" i="20"/>
  <c r="AS948" i="20"/>
  <c r="AR948" i="20"/>
  <c r="AQ948" i="20"/>
  <c r="AP948" i="20"/>
  <c r="AO948" i="20"/>
  <c r="AN948" i="20"/>
  <c r="AM948" i="20"/>
  <c r="AL948" i="20"/>
  <c r="BN947" i="20"/>
  <c r="BM947" i="20"/>
  <c r="BL947" i="20"/>
  <c r="BK947" i="20"/>
  <c r="BJ947" i="20"/>
  <c r="BI947" i="20"/>
  <c r="BH947" i="20"/>
  <c r="BG947" i="20"/>
  <c r="BF947" i="20"/>
  <c r="BE947" i="20"/>
  <c r="BD947" i="20"/>
  <c r="BC947" i="20"/>
  <c r="BB947" i="20"/>
  <c r="BA947" i="20"/>
  <c r="AZ947" i="20"/>
  <c r="AY947" i="20"/>
  <c r="AX947" i="20"/>
  <c r="AW947" i="20"/>
  <c r="AV947" i="20"/>
  <c r="AU947" i="20"/>
  <c r="AT947" i="20"/>
  <c r="AS947" i="20"/>
  <c r="AR947" i="20"/>
  <c r="AQ947" i="20"/>
  <c r="AP947" i="20"/>
  <c r="AO947" i="20"/>
  <c r="AN947" i="20"/>
  <c r="AM947" i="20"/>
  <c r="AL947" i="20"/>
  <c r="BN946" i="20"/>
  <c r="BM946" i="20"/>
  <c r="BL946" i="20"/>
  <c r="BK946" i="20"/>
  <c r="BJ946" i="20"/>
  <c r="BI946" i="20"/>
  <c r="BH946" i="20"/>
  <c r="BG946" i="20"/>
  <c r="BF946" i="20"/>
  <c r="BE946" i="20"/>
  <c r="BD946" i="20"/>
  <c r="BC946" i="20"/>
  <c r="BB946" i="20"/>
  <c r="BA946" i="20"/>
  <c r="AZ946" i="20"/>
  <c r="AY946" i="20"/>
  <c r="AX946" i="20"/>
  <c r="AW946" i="20"/>
  <c r="AV946" i="20"/>
  <c r="AU946" i="20"/>
  <c r="AT946" i="20"/>
  <c r="AS946" i="20"/>
  <c r="AR946" i="20"/>
  <c r="AQ946" i="20"/>
  <c r="AP946" i="20"/>
  <c r="AO946" i="20"/>
  <c r="AN946" i="20"/>
  <c r="AM946" i="20"/>
  <c r="AL946" i="20"/>
  <c r="BN938" i="20"/>
  <c r="BM938" i="20"/>
  <c r="BL938" i="20"/>
  <c r="BK938" i="20"/>
  <c r="BJ938" i="20"/>
  <c r="BI938" i="20"/>
  <c r="BH938" i="20"/>
  <c r="BG938" i="20"/>
  <c r="BF938" i="20"/>
  <c r="BE938" i="20"/>
  <c r="BD938" i="20"/>
  <c r="BC938" i="20"/>
  <c r="BB938" i="20"/>
  <c r="BA938" i="20"/>
  <c r="AZ938" i="20"/>
  <c r="AY938" i="20"/>
  <c r="AX938" i="20"/>
  <c r="AW938" i="20"/>
  <c r="AV938" i="20"/>
  <c r="AU938" i="20"/>
  <c r="AT938" i="20"/>
  <c r="AS938" i="20"/>
  <c r="AR938" i="20"/>
  <c r="AQ938" i="20"/>
  <c r="AP938" i="20"/>
  <c r="AO938" i="20"/>
  <c r="AN938" i="20"/>
  <c r="AM938" i="20"/>
  <c r="AL938" i="20"/>
  <c r="BN937" i="20"/>
  <c r="BM937" i="20"/>
  <c r="BL937" i="20"/>
  <c r="BK937" i="20"/>
  <c r="BJ937" i="20"/>
  <c r="BI937" i="20"/>
  <c r="BH937" i="20"/>
  <c r="BG937" i="20"/>
  <c r="BF937" i="20"/>
  <c r="BE937" i="20"/>
  <c r="BD937" i="20"/>
  <c r="BC937" i="20"/>
  <c r="BB937" i="20"/>
  <c r="BA937" i="20"/>
  <c r="AZ937" i="20"/>
  <c r="AY937" i="20"/>
  <c r="AX937" i="20"/>
  <c r="AW937" i="20"/>
  <c r="AV937" i="20"/>
  <c r="AU937" i="20"/>
  <c r="AT937" i="20"/>
  <c r="AS937" i="20"/>
  <c r="AR937" i="20"/>
  <c r="AQ937" i="20"/>
  <c r="AP937" i="20"/>
  <c r="AO937" i="20"/>
  <c r="AN937" i="20"/>
  <c r="AM937" i="20"/>
  <c r="AL937" i="20"/>
  <c r="BN936" i="20"/>
  <c r="BM936" i="20"/>
  <c r="BL936" i="20"/>
  <c r="BK936" i="20"/>
  <c r="BJ936" i="20"/>
  <c r="BI936" i="20"/>
  <c r="BH936" i="20"/>
  <c r="BG936" i="20"/>
  <c r="BF936" i="20"/>
  <c r="BE936" i="20"/>
  <c r="BD936" i="20"/>
  <c r="BC936" i="20"/>
  <c r="BB936" i="20"/>
  <c r="BA936" i="20"/>
  <c r="AZ936" i="20"/>
  <c r="AY936" i="20"/>
  <c r="AX936" i="20"/>
  <c r="AW936" i="20"/>
  <c r="AV936" i="20"/>
  <c r="AU936" i="20"/>
  <c r="AT936" i="20"/>
  <c r="AS936" i="20"/>
  <c r="AR936" i="20"/>
  <c r="AQ936" i="20"/>
  <c r="AP936" i="20"/>
  <c r="AO936" i="20"/>
  <c r="AN936" i="20"/>
  <c r="AM936" i="20"/>
  <c r="AL936" i="20"/>
  <c r="BN935" i="20"/>
  <c r="BM935" i="20"/>
  <c r="BL935" i="20"/>
  <c r="BK935" i="20"/>
  <c r="BJ935" i="20"/>
  <c r="BI935" i="20"/>
  <c r="BH935" i="20"/>
  <c r="BG935" i="20"/>
  <c r="BF935" i="20"/>
  <c r="BE935" i="20"/>
  <c r="BD935" i="20"/>
  <c r="BC935" i="20"/>
  <c r="BB935" i="20"/>
  <c r="BA935" i="20"/>
  <c r="AZ935" i="20"/>
  <c r="AY935" i="20"/>
  <c r="AX935" i="20"/>
  <c r="AW935" i="20"/>
  <c r="AV935" i="20"/>
  <c r="AU935" i="20"/>
  <c r="AT935" i="20"/>
  <c r="AS935" i="20"/>
  <c r="AR935" i="20"/>
  <c r="AQ935" i="20"/>
  <c r="AP935" i="20"/>
  <c r="AO935" i="20"/>
  <c r="AN935" i="20"/>
  <c r="AM935" i="20"/>
  <c r="AL935" i="20"/>
  <c r="BN925" i="20"/>
  <c r="BM925" i="20"/>
  <c r="BL925" i="20"/>
  <c r="BK925" i="20"/>
  <c r="BJ925" i="20"/>
  <c r="BI925" i="20"/>
  <c r="BH925" i="20"/>
  <c r="BG925" i="20"/>
  <c r="BF925" i="20"/>
  <c r="BE925" i="20"/>
  <c r="BD925" i="20"/>
  <c r="BC925" i="20"/>
  <c r="BB925" i="20"/>
  <c r="BA925" i="20"/>
  <c r="AZ925" i="20"/>
  <c r="AY925" i="20"/>
  <c r="AX925" i="20"/>
  <c r="AW925" i="20"/>
  <c r="AV925" i="20"/>
  <c r="AU925" i="20"/>
  <c r="AT925" i="20"/>
  <c r="AS925" i="20"/>
  <c r="AR925" i="20"/>
  <c r="AQ925" i="20"/>
  <c r="AP925" i="20"/>
  <c r="AO925" i="20"/>
  <c r="AN925" i="20"/>
  <c r="AM925" i="20"/>
  <c r="AL925" i="20"/>
  <c r="BN924" i="20"/>
  <c r="BM924" i="20"/>
  <c r="BL924" i="20"/>
  <c r="BK924" i="20"/>
  <c r="BJ924" i="20"/>
  <c r="BI924" i="20"/>
  <c r="BH924" i="20"/>
  <c r="BG924" i="20"/>
  <c r="BF924" i="20"/>
  <c r="BE924" i="20"/>
  <c r="BD924" i="20"/>
  <c r="BC924" i="20"/>
  <c r="BB924" i="20"/>
  <c r="BA924" i="20"/>
  <c r="AZ924" i="20"/>
  <c r="AY924" i="20"/>
  <c r="AX924" i="20"/>
  <c r="AW924" i="20"/>
  <c r="AV924" i="20"/>
  <c r="AU924" i="20"/>
  <c r="AT924" i="20"/>
  <c r="AS924" i="20"/>
  <c r="AR924" i="20"/>
  <c r="AQ924" i="20"/>
  <c r="AP924" i="20"/>
  <c r="AO924" i="20"/>
  <c r="AN924" i="20"/>
  <c r="AM924" i="20"/>
  <c r="AL924" i="20"/>
  <c r="BN923" i="20"/>
  <c r="BM923" i="20"/>
  <c r="BL923" i="20"/>
  <c r="BK923" i="20"/>
  <c r="BJ923" i="20"/>
  <c r="BI923" i="20"/>
  <c r="BH923" i="20"/>
  <c r="BG923" i="20"/>
  <c r="BF923" i="20"/>
  <c r="BE923" i="20"/>
  <c r="BD923" i="20"/>
  <c r="BC923" i="20"/>
  <c r="BB923" i="20"/>
  <c r="BA923" i="20"/>
  <c r="AZ923" i="20"/>
  <c r="AY923" i="20"/>
  <c r="AX923" i="20"/>
  <c r="AW923" i="20"/>
  <c r="AV923" i="20"/>
  <c r="AU923" i="20"/>
  <c r="AT923" i="20"/>
  <c r="AS923" i="20"/>
  <c r="AR923" i="20"/>
  <c r="AQ923" i="20"/>
  <c r="AP923" i="20"/>
  <c r="AO923" i="20"/>
  <c r="AN923" i="20"/>
  <c r="AM923" i="20"/>
  <c r="AL923" i="20"/>
  <c r="BN922" i="20"/>
  <c r="BM922" i="20"/>
  <c r="BL922" i="20"/>
  <c r="BK922" i="20"/>
  <c r="BJ922" i="20"/>
  <c r="BI922" i="20"/>
  <c r="BH922" i="20"/>
  <c r="BG922" i="20"/>
  <c r="BF922" i="20"/>
  <c r="BE922" i="20"/>
  <c r="BD922" i="20"/>
  <c r="BC922" i="20"/>
  <c r="BB922" i="20"/>
  <c r="BA922" i="20"/>
  <c r="AZ922" i="20"/>
  <c r="AY922" i="20"/>
  <c r="AX922" i="20"/>
  <c r="AW922" i="20"/>
  <c r="AV922" i="20"/>
  <c r="AU922" i="20"/>
  <c r="AT922" i="20"/>
  <c r="AS922" i="20"/>
  <c r="AR922" i="20"/>
  <c r="AQ922" i="20"/>
  <c r="AP922" i="20"/>
  <c r="AO922" i="20"/>
  <c r="AN922" i="20"/>
  <c r="AM922" i="20"/>
  <c r="AL922" i="20"/>
  <c r="BN921" i="20"/>
  <c r="BM921" i="20"/>
  <c r="BL921" i="20"/>
  <c r="BK921" i="20"/>
  <c r="BJ921" i="20"/>
  <c r="BI921" i="20"/>
  <c r="BH921" i="20"/>
  <c r="BG921" i="20"/>
  <c r="BF921" i="20"/>
  <c r="BE921" i="20"/>
  <c r="BD921" i="20"/>
  <c r="BC921" i="20"/>
  <c r="BB921" i="20"/>
  <c r="BA921" i="20"/>
  <c r="AZ921" i="20"/>
  <c r="AY921" i="20"/>
  <c r="AX921" i="20"/>
  <c r="AW921" i="20"/>
  <c r="AV921" i="20"/>
  <c r="AU921" i="20"/>
  <c r="AT921" i="20"/>
  <c r="AS921" i="20"/>
  <c r="AR921" i="20"/>
  <c r="AQ921" i="20"/>
  <c r="AP921" i="20"/>
  <c r="AO921" i="20"/>
  <c r="AN921" i="20"/>
  <c r="AM921" i="20"/>
  <c r="AL921" i="20"/>
  <c r="BN913" i="20"/>
  <c r="BM913" i="20"/>
  <c r="BL913" i="20"/>
  <c r="BK913" i="20"/>
  <c r="BJ913" i="20"/>
  <c r="BI913" i="20"/>
  <c r="BH913" i="20"/>
  <c r="BG913" i="20"/>
  <c r="BF913" i="20"/>
  <c r="BE913" i="20"/>
  <c r="BD913" i="20"/>
  <c r="BC913" i="20"/>
  <c r="BB913" i="20"/>
  <c r="BA913" i="20"/>
  <c r="AZ913" i="20"/>
  <c r="AY913" i="20"/>
  <c r="AX913" i="20"/>
  <c r="AW913" i="20"/>
  <c r="AV913" i="20"/>
  <c r="AU913" i="20"/>
  <c r="AT913" i="20"/>
  <c r="AS913" i="20"/>
  <c r="AR913" i="20"/>
  <c r="AQ913" i="20"/>
  <c r="AP913" i="20"/>
  <c r="AO913" i="20"/>
  <c r="AN913" i="20"/>
  <c r="AM913" i="20"/>
  <c r="AL913" i="20"/>
  <c r="BN912" i="20"/>
  <c r="BM912" i="20"/>
  <c r="BL912" i="20"/>
  <c r="BK912" i="20"/>
  <c r="BJ912" i="20"/>
  <c r="BI912" i="20"/>
  <c r="BH912" i="20"/>
  <c r="BG912" i="20"/>
  <c r="BF912" i="20"/>
  <c r="BE912" i="20"/>
  <c r="BD912" i="20"/>
  <c r="BC912" i="20"/>
  <c r="BB912" i="20"/>
  <c r="BA912" i="20"/>
  <c r="AZ912" i="20"/>
  <c r="AY912" i="20"/>
  <c r="AX912" i="20"/>
  <c r="AW912" i="20"/>
  <c r="AV912" i="20"/>
  <c r="AU912" i="20"/>
  <c r="AT912" i="20"/>
  <c r="AS912" i="20"/>
  <c r="AR912" i="20"/>
  <c r="AQ912" i="20"/>
  <c r="AP912" i="20"/>
  <c r="AO912" i="20"/>
  <c r="AN912" i="20"/>
  <c r="AM912" i="20"/>
  <c r="AL912" i="20"/>
  <c r="BN911" i="20"/>
  <c r="BM911" i="20"/>
  <c r="BL911" i="20"/>
  <c r="BK911" i="20"/>
  <c r="BJ911" i="20"/>
  <c r="BI911" i="20"/>
  <c r="BH911" i="20"/>
  <c r="BG911" i="20"/>
  <c r="BF911" i="20"/>
  <c r="BE911" i="20"/>
  <c r="BD911" i="20"/>
  <c r="BC911" i="20"/>
  <c r="BB911" i="20"/>
  <c r="BA911" i="20"/>
  <c r="AZ911" i="20"/>
  <c r="AY911" i="20"/>
  <c r="AX911" i="20"/>
  <c r="AW911" i="20"/>
  <c r="AV911" i="20"/>
  <c r="AU911" i="20"/>
  <c r="AT911" i="20"/>
  <c r="AS911" i="20"/>
  <c r="AR911" i="20"/>
  <c r="AQ911" i="20"/>
  <c r="AP911" i="20"/>
  <c r="AO911" i="20"/>
  <c r="AN911" i="20"/>
  <c r="AM911" i="20"/>
  <c r="AL911" i="20"/>
  <c r="BN910" i="20"/>
  <c r="BM910" i="20"/>
  <c r="BL910" i="20"/>
  <c r="BK910" i="20"/>
  <c r="BJ910" i="20"/>
  <c r="BI910" i="20"/>
  <c r="BH910" i="20"/>
  <c r="BG910" i="20"/>
  <c r="BF910" i="20"/>
  <c r="BE910" i="20"/>
  <c r="BD910" i="20"/>
  <c r="BC910" i="20"/>
  <c r="BB910" i="20"/>
  <c r="BA910" i="20"/>
  <c r="AZ910" i="20"/>
  <c r="AY910" i="20"/>
  <c r="AX910" i="20"/>
  <c r="AW910" i="20"/>
  <c r="AV910" i="20"/>
  <c r="AU910" i="20"/>
  <c r="AT910" i="20"/>
  <c r="AS910" i="20"/>
  <c r="AR910" i="20"/>
  <c r="AQ910" i="20"/>
  <c r="AP910" i="20"/>
  <c r="AO910" i="20"/>
  <c r="AN910" i="20"/>
  <c r="AM910" i="20"/>
  <c r="AL910" i="20"/>
  <c r="BN900" i="20"/>
  <c r="BM900" i="20"/>
  <c r="BL900" i="20"/>
  <c r="BK900" i="20"/>
  <c r="BJ900" i="20"/>
  <c r="BI900" i="20"/>
  <c r="BH900" i="20"/>
  <c r="BG900" i="20"/>
  <c r="BF900" i="20"/>
  <c r="BE900" i="20"/>
  <c r="BD900" i="20"/>
  <c r="BC900" i="20"/>
  <c r="BB900" i="20"/>
  <c r="BA900" i="20"/>
  <c r="AZ900" i="20"/>
  <c r="AY900" i="20"/>
  <c r="AX900" i="20"/>
  <c r="AW900" i="20"/>
  <c r="AV900" i="20"/>
  <c r="AU900" i="20"/>
  <c r="AT900" i="20"/>
  <c r="AS900" i="20"/>
  <c r="AR900" i="20"/>
  <c r="AQ900" i="20"/>
  <c r="AP900" i="20"/>
  <c r="AO900" i="20"/>
  <c r="AN900" i="20"/>
  <c r="AM900" i="20"/>
  <c r="AL900" i="20"/>
  <c r="BN899" i="20"/>
  <c r="BM899" i="20"/>
  <c r="BL899" i="20"/>
  <c r="BK899" i="20"/>
  <c r="BJ899" i="20"/>
  <c r="BI899" i="20"/>
  <c r="BH899" i="20"/>
  <c r="BG899" i="20"/>
  <c r="BF899" i="20"/>
  <c r="BE899" i="20"/>
  <c r="BD899" i="20"/>
  <c r="BC899" i="20"/>
  <c r="BB899" i="20"/>
  <c r="BA899" i="20"/>
  <c r="AZ899" i="20"/>
  <c r="AY899" i="20"/>
  <c r="AX899" i="20"/>
  <c r="AW899" i="20"/>
  <c r="AV899" i="20"/>
  <c r="AU899" i="20"/>
  <c r="AT899" i="20"/>
  <c r="AS899" i="20"/>
  <c r="AR899" i="20"/>
  <c r="AQ899" i="20"/>
  <c r="AP899" i="20"/>
  <c r="AO899" i="20"/>
  <c r="AN899" i="20"/>
  <c r="AM899" i="20"/>
  <c r="AL899" i="20"/>
  <c r="BN898" i="20"/>
  <c r="BM898" i="20"/>
  <c r="BL898" i="20"/>
  <c r="BK898" i="20"/>
  <c r="BJ898" i="20"/>
  <c r="BI898" i="20"/>
  <c r="BH898" i="20"/>
  <c r="BG898" i="20"/>
  <c r="BF898" i="20"/>
  <c r="BE898" i="20"/>
  <c r="BD898" i="20"/>
  <c r="BC898" i="20"/>
  <c r="BB898" i="20"/>
  <c r="BA898" i="20"/>
  <c r="AZ898" i="20"/>
  <c r="AY898" i="20"/>
  <c r="AX898" i="20"/>
  <c r="AW898" i="20"/>
  <c r="AV898" i="20"/>
  <c r="AU898" i="20"/>
  <c r="AT898" i="20"/>
  <c r="AS898" i="20"/>
  <c r="AR898" i="20"/>
  <c r="AQ898" i="20"/>
  <c r="AP898" i="20"/>
  <c r="AO898" i="20"/>
  <c r="AN898" i="20"/>
  <c r="AM898" i="20"/>
  <c r="AL898" i="20"/>
  <c r="BN897" i="20"/>
  <c r="BM897" i="20"/>
  <c r="BL897" i="20"/>
  <c r="BK897" i="20"/>
  <c r="BJ897" i="20"/>
  <c r="BI897" i="20"/>
  <c r="BH897" i="20"/>
  <c r="BG897" i="20"/>
  <c r="BF897" i="20"/>
  <c r="BE897" i="20"/>
  <c r="BD897" i="20"/>
  <c r="BC897" i="20"/>
  <c r="BB897" i="20"/>
  <c r="BA897" i="20"/>
  <c r="AZ897" i="20"/>
  <c r="AY897" i="20"/>
  <c r="AX897" i="20"/>
  <c r="AW897" i="20"/>
  <c r="AV897" i="20"/>
  <c r="AU897" i="20"/>
  <c r="AT897" i="20"/>
  <c r="AS897" i="20"/>
  <c r="AR897" i="20"/>
  <c r="AQ897" i="20"/>
  <c r="AP897" i="20"/>
  <c r="AO897" i="20"/>
  <c r="AN897" i="20"/>
  <c r="AM897" i="20"/>
  <c r="AL897" i="20"/>
  <c r="BN896" i="20"/>
  <c r="BM896" i="20"/>
  <c r="BL896" i="20"/>
  <c r="BK896" i="20"/>
  <c r="BJ896" i="20"/>
  <c r="BI896" i="20"/>
  <c r="BH896" i="20"/>
  <c r="BG896" i="20"/>
  <c r="BF896" i="20"/>
  <c r="BE896" i="20"/>
  <c r="BD896" i="20"/>
  <c r="BC896" i="20"/>
  <c r="BB896" i="20"/>
  <c r="BA896" i="20"/>
  <c r="AZ896" i="20"/>
  <c r="AY896" i="20"/>
  <c r="AX896" i="20"/>
  <c r="AW896" i="20"/>
  <c r="AV896" i="20"/>
  <c r="AU896" i="20"/>
  <c r="AT896" i="20"/>
  <c r="AS896" i="20"/>
  <c r="AR896" i="20"/>
  <c r="AQ896" i="20"/>
  <c r="AP896" i="20"/>
  <c r="AO896" i="20"/>
  <c r="AN896" i="20"/>
  <c r="AM896" i="20"/>
  <c r="AL896" i="20"/>
  <c r="BN894" i="20"/>
  <c r="BM894" i="20"/>
  <c r="BL894" i="20"/>
  <c r="BK894" i="20"/>
  <c r="BJ894" i="20"/>
  <c r="BI894" i="20"/>
  <c r="BH894" i="20"/>
  <c r="BG894" i="20"/>
  <c r="BF894" i="20"/>
  <c r="BE894" i="20"/>
  <c r="BD894" i="20"/>
  <c r="BC894" i="20"/>
  <c r="BB894" i="20"/>
  <c r="BA894" i="20"/>
  <c r="AZ894" i="20"/>
  <c r="AY894" i="20"/>
  <c r="AX894" i="20"/>
  <c r="AW894" i="20"/>
  <c r="AV894" i="20"/>
  <c r="AU894" i="20"/>
  <c r="AT894" i="20"/>
  <c r="AS894" i="20"/>
  <c r="AR894" i="20"/>
  <c r="AQ894" i="20"/>
  <c r="AP894" i="20"/>
  <c r="AO894" i="20"/>
  <c r="AN894" i="20"/>
  <c r="AM894" i="20"/>
  <c r="AL894" i="20"/>
  <c r="BN893" i="20"/>
  <c r="BM893" i="20"/>
  <c r="BL893" i="20"/>
  <c r="BK893" i="20"/>
  <c r="BJ893" i="20"/>
  <c r="BI893" i="20"/>
  <c r="BH893" i="20"/>
  <c r="BG893" i="20"/>
  <c r="BF893" i="20"/>
  <c r="BE893" i="20"/>
  <c r="BD893" i="20"/>
  <c r="BC893" i="20"/>
  <c r="BB893" i="20"/>
  <c r="BA893" i="20"/>
  <c r="AZ893" i="20"/>
  <c r="AY893" i="20"/>
  <c r="AX893" i="20"/>
  <c r="AW893" i="20"/>
  <c r="AV893" i="20"/>
  <c r="AU893" i="20"/>
  <c r="AT893" i="20"/>
  <c r="AS893" i="20"/>
  <c r="AR893" i="20"/>
  <c r="AQ893" i="20"/>
  <c r="AP893" i="20"/>
  <c r="AO893" i="20"/>
  <c r="AN893" i="20"/>
  <c r="AM893" i="20"/>
  <c r="AL893" i="20"/>
  <c r="AL892" i="20"/>
  <c r="BN888" i="20"/>
  <c r="BM888" i="20"/>
  <c r="BL888" i="20"/>
  <c r="BK888" i="20"/>
  <c r="BJ888" i="20"/>
  <c r="BI888" i="20"/>
  <c r="BH888" i="20"/>
  <c r="BG888" i="20"/>
  <c r="BF888" i="20"/>
  <c r="BE888" i="20"/>
  <c r="BD888" i="20"/>
  <c r="BC888" i="20"/>
  <c r="BB888" i="20"/>
  <c r="BA888" i="20"/>
  <c r="AZ888" i="20"/>
  <c r="AY888" i="20"/>
  <c r="AX888" i="20"/>
  <c r="AW888" i="20"/>
  <c r="AV888" i="20"/>
  <c r="AU888" i="20"/>
  <c r="AT888" i="20"/>
  <c r="AS888" i="20"/>
  <c r="AR888" i="20"/>
  <c r="AQ888" i="20"/>
  <c r="AP888" i="20"/>
  <c r="AO888" i="20"/>
  <c r="AN888" i="20"/>
  <c r="AM888" i="20"/>
  <c r="AL888" i="20"/>
  <c r="BN887" i="20"/>
  <c r="BM887" i="20"/>
  <c r="BL887" i="20"/>
  <c r="BK887" i="20"/>
  <c r="BJ887" i="20"/>
  <c r="BI887" i="20"/>
  <c r="BH887" i="20"/>
  <c r="BG887" i="20"/>
  <c r="BF887" i="20"/>
  <c r="BE887" i="20"/>
  <c r="BD887" i="20"/>
  <c r="BC887" i="20"/>
  <c r="BB887" i="20"/>
  <c r="BA887" i="20"/>
  <c r="AZ887" i="20"/>
  <c r="AY887" i="20"/>
  <c r="AX887" i="20"/>
  <c r="AW887" i="20"/>
  <c r="AV887" i="20"/>
  <c r="AU887" i="20"/>
  <c r="AT887" i="20"/>
  <c r="AS887" i="20"/>
  <c r="AR887" i="20"/>
  <c r="AQ887" i="20"/>
  <c r="AP887" i="20"/>
  <c r="AO887" i="20"/>
  <c r="AN887" i="20"/>
  <c r="AM887" i="20"/>
  <c r="AL887" i="20"/>
  <c r="BN886" i="20"/>
  <c r="BM886" i="20"/>
  <c r="BL886" i="20"/>
  <c r="BK886" i="20"/>
  <c r="BJ886" i="20"/>
  <c r="BI886" i="20"/>
  <c r="BH886" i="20"/>
  <c r="BG886" i="20"/>
  <c r="BF886" i="20"/>
  <c r="BE886" i="20"/>
  <c r="BD886" i="20"/>
  <c r="BC886" i="20"/>
  <c r="BB886" i="20"/>
  <c r="BA886" i="20"/>
  <c r="AZ886" i="20"/>
  <c r="AY886" i="20"/>
  <c r="AX886" i="20"/>
  <c r="AW886" i="20"/>
  <c r="AV886" i="20"/>
  <c r="AU886" i="20"/>
  <c r="AT886" i="20"/>
  <c r="AS886" i="20"/>
  <c r="AR886" i="20"/>
  <c r="AQ886" i="20"/>
  <c r="AP886" i="20"/>
  <c r="AO886" i="20"/>
  <c r="AN886" i="20"/>
  <c r="AM886" i="20"/>
  <c r="AL886" i="20"/>
  <c r="BN885" i="20"/>
  <c r="BM885" i="20"/>
  <c r="BL885" i="20"/>
  <c r="BK885" i="20"/>
  <c r="BJ885" i="20"/>
  <c r="BI885" i="20"/>
  <c r="BH885" i="20"/>
  <c r="BG885" i="20"/>
  <c r="BF885" i="20"/>
  <c r="BE885" i="20"/>
  <c r="BD885" i="20"/>
  <c r="BC885" i="20"/>
  <c r="BB885" i="20"/>
  <c r="BA885" i="20"/>
  <c r="AZ885" i="20"/>
  <c r="AY885" i="20"/>
  <c r="AX885" i="20"/>
  <c r="AW885" i="20"/>
  <c r="AV885" i="20"/>
  <c r="AU885" i="20"/>
  <c r="AT885" i="20"/>
  <c r="AS885" i="20"/>
  <c r="AR885" i="20"/>
  <c r="AQ885" i="20"/>
  <c r="AP885" i="20"/>
  <c r="AO885" i="20"/>
  <c r="AN885" i="20"/>
  <c r="AM885" i="20"/>
  <c r="AL885" i="20"/>
  <c r="AM929" i="20"/>
  <c r="AN929" i="20" s="1"/>
  <c r="AM904" i="20"/>
  <c r="AN904" i="20" s="1"/>
  <c r="AM879" i="20"/>
  <c r="AN879" i="20" s="1"/>
  <c r="AO879" i="20" s="1"/>
  <c r="AM871" i="20"/>
  <c r="AN871" i="20"/>
  <c r="AO871" i="20"/>
  <c r="AP871" i="20"/>
  <c r="AQ871" i="20"/>
  <c r="AR871" i="20"/>
  <c r="AS871" i="20"/>
  <c r="AT871" i="20"/>
  <c r="AU871" i="20"/>
  <c r="AV871" i="20"/>
  <c r="AW871" i="20"/>
  <c r="AX871" i="20"/>
  <c r="AY871" i="20"/>
  <c r="AZ871" i="20"/>
  <c r="BA871" i="20"/>
  <c r="BB871" i="20"/>
  <c r="BC871" i="20"/>
  <c r="BD871" i="20"/>
  <c r="BE871" i="20"/>
  <c r="BF871" i="20"/>
  <c r="BG871" i="20"/>
  <c r="BH871" i="20"/>
  <c r="BI871" i="20"/>
  <c r="BJ871" i="20"/>
  <c r="BK871" i="20"/>
  <c r="BL871" i="20"/>
  <c r="BM871" i="20"/>
  <c r="BN871" i="20"/>
  <c r="AM872" i="20"/>
  <c r="AN872" i="20"/>
  <c r="AO872" i="20"/>
  <c r="AP872" i="20"/>
  <c r="AQ872" i="20"/>
  <c r="AR872" i="20"/>
  <c r="AS872" i="20"/>
  <c r="AT872" i="20"/>
  <c r="AU872" i="20"/>
  <c r="AV872" i="20"/>
  <c r="AW872" i="20"/>
  <c r="AX872" i="20"/>
  <c r="AY872" i="20"/>
  <c r="AZ872" i="20"/>
  <c r="BA872" i="20"/>
  <c r="BB872" i="20"/>
  <c r="BC872" i="20"/>
  <c r="BD872" i="20"/>
  <c r="BE872" i="20"/>
  <c r="BF872" i="20"/>
  <c r="BG872" i="20"/>
  <c r="BH872" i="20"/>
  <c r="BI872" i="20"/>
  <c r="BJ872" i="20"/>
  <c r="BK872" i="20"/>
  <c r="BL872" i="20"/>
  <c r="BM872" i="20"/>
  <c r="BN872" i="20"/>
  <c r="AM873" i="20"/>
  <c r="AM968" i="20" s="1"/>
  <c r="AN873" i="20"/>
  <c r="AN968" i="20" s="1"/>
  <c r="AO873" i="20"/>
  <c r="AO968" i="20" s="1"/>
  <c r="AP873" i="20"/>
  <c r="AP968" i="20" s="1"/>
  <c r="AQ873" i="20"/>
  <c r="AQ968" i="20" s="1"/>
  <c r="AR873" i="20"/>
  <c r="AR968" i="20" s="1"/>
  <c r="AS873" i="20"/>
  <c r="AS968" i="20" s="1"/>
  <c r="AT873" i="20"/>
  <c r="AT968" i="20" s="1"/>
  <c r="AU873" i="20"/>
  <c r="AU968" i="20" s="1"/>
  <c r="AV873" i="20"/>
  <c r="AV968" i="20" s="1"/>
  <c r="AW873" i="20"/>
  <c r="AW968" i="20" s="1"/>
  <c r="AX873" i="20"/>
  <c r="AX968" i="20" s="1"/>
  <c r="AY873" i="20"/>
  <c r="AY968" i="20" s="1"/>
  <c r="AZ873" i="20"/>
  <c r="AZ968" i="20" s="1"/>
  <c r="BA873" i="20"/>
  <c r="BA968" i="20" s="1"/>
  <c r="BB873" i="20"/>
  <c r="BB968" i="20" s="1"/>
  <c r="BC873" i="20"/>
  <c r="BC968" i="20" s="1"/>
  <c r="BD873" i="20"/>
  <c r="BD968" i="20" s="1"/>
  <c r="BE873" i="20"/>
  <c r="BE968" i="20" s="1"/>
  <c r="BF873" i="20"/>
  <c r="BF968" i="20" s="1"/>
  <c r="BG873" i="20"/>
  <c r="BG968" i="20" s="1"/>
  <c r="BH873" i="20"/>
  <c r="BH968" i="20" s="1"/>
  <c r="BI873" i="20"/>
  <c r="BI968" i="20" s="1"/>
  <c r="BJ873" i="20"/>
  <c r="BJ968" i="20" s="1"/>
  <c r="BK873" i="20"/>
  <c r="BK968" i="20" s="1"/>
  <c r="BL873" i="20"/>
  <c r="BL968" i="20" s="1"/>
  <c r="BM873" i="20"/>
  <c r="BM968" i="20" s="1"/>
  <c r="BN873" i="20"/>
  <c r="BN968" i="20" s="1"/>
  <c r="AM874" i="20"/>
  <c r="AN874" i="20"/>
  <c r="AO874" i="20"/>
  <c r="AP874" i="20"/>
  <c r="AQ874" i="20"/>
  <c r="AR874" i="20"/>
  <c r="AS874" i="20"/>
  <c r="AT874" i="20"/>
  <c r="AU874" i="20"/>
  <c r="AV874" i="20"/>
  <c r="AW874" i="20"/>
  <c r="AX874" i="20"/>
  <c r="AY874" i="20"/>
  <c r="AZ874" i="20"/>
  <c r="BA874" i="20"/>
  <c r="BB874" i="20"/>
  <c r="BC874" i="20"/>
  <c r="BD874" i="20"/>
  <c r="BE874" i="20"/>
  <c r="BF874" i="20"/>
  <c r="BG874" i="20"/>
  <c r="BH874" i="20"/>
  <c r="BI874" i="20"/>
  <c r="BJ874" i="20"/>
  <c r="BK874" i="20"/>
  <c r="BL874" i="20"/>
  <c r="BM874" i="20"/>
  <c r="BN874" i="20"/>
  <c r="AM875" i="20"/>
  <c r="AN875" i="20"/>
  <c r="AO875" i="20"/>
  <c r="AP875" i="20"/>
  <c r="AQ875" i="20"/>
  <c r="AR875" i="20"/>
  <c r="AS875" i="20"/>
  <c r="AT875" i="20"/>
  <c r="AU875" i="20"/>
  <c r="AV875" i="20"/>
  <c r="AW875" i="20"/>
  <c r="AX875" i="20"/>
  <c r="AY875" i="20"/>
  <c r="AZ875" i="20"/>
  <c r="BA875" i="20"/>
  <c r="BB875" i="20"/>
  <c r="BC875" i="20"/>
  <c r="BD875" i="20"/>
  <c r="BE875" i="20"/>
  <c r="BF875" i="20"/>
  <c r="BG875" i="20"/>
  <c r="BH875" i="20"/>
  <c r="BI875" i="20"/>
  <c r="BJ875" i="20"/>
  <c r="BK875" i="20"/>
  <c r="BL875" i="20"/>
  <c r="BM875" i="20"/>
  <c r="BN875" i="20"/>
  <c r="AL875" i="20"/>
  <c r="AL874" i="20"/>
  <c r="AL873" i="20"/>
  <c r="AL968" i="20" s="1"/>
  <c r="AL872" i="20"/>
  <c r="AL871" i="20"/>
  <c r="AM860" i="20"/>
  <c r="AN860" i="20"/>
  <c r="AO860" i="20"/>
  <c r="AP860" i="20"/>
  <c r="AQ860" i="20"/>
  <c r="AR860" i="20"/>
  <c r="AS860" i="20"/>
  <c r="AT860" i="20"/>
  <c r="AU860" i="20"/>
  <c r="AV860" i="20"/>
  <c r="AW860" i="20"/>
  <c r="AX860" i="20"/>
  <c r="AY860" i="20"/>
  <c r="AZ860" i="20"/>
  <c r="BA860" i="20"/>
  <c r="BB860" i="20"/>
  <c r="BC860" i="20"/>
  <c r="BD860" i="20"/>
  <c r="BE860" i="20"/>
  <c r="BF860" i="20"/>
  <c r="BG860" i="20"/>
  <c r="BH860" i="20"/>
  <c r="BI860" i="20"/>
  <c r="BJ860" i="20"/>
  <c r="BK860" i="20"/>
  <c r="BL860" i="20"/>
  <c r="BM860" i="20"/>
  <c r="BN860" i="20"/>
  <c r="AM861" i="20"/>
  <c r="AN861" i="20"/>
  <c r="AO861" i="20"/>
  <c r="AP861" i="20"/>
  <c r="AQ861" i="20"/>
  <c r="AR861" i="20"/>
  <c r="AS861" i="20"/>
  <c r="AT861" i="20"/>
  <c r="AU861" i="20"/>
  <c r="AV861" i="20"/>
  <c r="AW861" i="20"/>
  <c r="AX861" i="20"/>
  <c r="AY861" i="20"/>
  <c r="AZ861" i="20"/>
  <c r="BA861" i="20"/>
  <c r="BB861" i="20"/>
  <c r="BC861" i="20"/>
  <c r="BD861" i="20"/>
  <c r="BE861" i="20"/>
  <c r="BF861" i="20"/>
  <c r="BG861" i="20"/>
  <c r="BH861" i="20"/>
  <c r="BI861" i="20"/>
  <c r="BJ861" i="20"/>
  <c r="BK861" i="20"/>
  <c r="BL861" i="20"/>
  <c r="BM861" i="20"/>
  <c r="BN861" i="20"/>
  <c r="AM862" i="20"/>
  <c r="AM967" i="20" s="1"/>
  <c r="AN862" i="20"/>
  <c r="AN967" i="20" s="1"/>
  <c r="AO862" i="20"/>
  <c r="AO967" i="20" s="1"/>
  <c r="AP862" i="20"/>
  <c r="AP967" i="20" s="1"/>
  <c r="AQ862" i="20"/>
  <c r="AQ967" i="20" s="1"/>
  <c r="AR862" i="20"/>
  <c r="AR967" i="20" s="1"/>
  <c r="AS862" i="20"/>
  <c r="AS967" i="20" s="1"/>
  <c r="AT862" i="20"/>
  <c r="AT967" i="20" s="1"/>
  <c r="AU862" i="20"/>
  <c r="AU967" i="20" s="1"/>
  <c r="AV862" i="20"/>
  <c r="AV967" i="20" s="1"/>
  <c r="AW862" i="20"/>
  <c r="AW967" i="20" s="1"/>
  <c r="AX862" i="20"/>
  <c r="AX967" i="20" s="1"/>
  <c r="AY862" i="20"/>
  <c r="AY967" i="20" s="1"/>
  <c r="AZ862" i="20"/>
  <c r="AZ967" i="20" s="1"/>
  <c r="BA862" i="20"/>
  <c r="BA967" i="20" s="1"/>
  <c r="BB862" i="20"/>
  <c r="BB967" i="20" s="1"/>
  <c r="BC862" i="20"/>
  <c r="BC967" i="20" s="1"/>
  <c r="BD862" i="20"/>
  <c r="BD967" i="20" s="1"/>
  <c r="BE862" i="20"/>
  <c r="BE967" i="20" s="1"/>
  <c r="BF862" i="20"/>
  <c r="BF967" i="20" s="1"/>
  <c r="BG862" i="20"/>
  <c r="BG967" i="20" s="1"/>
  <c r="BH862" i="20"/>
  <c r="BH967" i="20" s="1"/>
  <c r="BI862" i="20"/>
  <c r="BI967" i="20" s="1"/>
  <c r="BJ862" i="20"/>
  <c r="BJ967" i="20" s="1"/>
  <c r="BK862" i="20"/>
  <c r="BK967" i="20" s="1"/>
  <c r="BL862" i="20"/>
  <c r="BL967" i="20" s="1"/>
  <c r="BM862" i="20"/>
  <c r="BM967" i="20" s="1"/>
  <c r="BN862" i="20"/>
  <c r="BN967" i="20" s="1"/>
  <c r="AM863" i="20"/>
  <c r="AN863" i="20"/>
  <c r="AO863" i="20"/>
  <c r="AP863" i="20"/>
  <c r="AQ863" i="20"/>
  <c r="AR863" i="20"/>
  <c r="AS863" i="20"/>
  <c r="AT863" i="20"/>
  <c r="AU863" i="20"/>
  <c r="AV863" i="20"/>
  <c r="AW863" i="20"/>
  <c r="AX863" i="20"/>
  <c r="AY863" i="20"/>
  <c r="AZ863" i="20"/>
  <c r="BA863" i="20"/>
  <c r="BB863" i="20"/>
  <c r="BC863" i="20"/>
  <c r="BD863" i="20"/>
  <c r="BE863" i="20"/>
  <c r="BF863" i="20"/>
  <c r="BG863" i="20"/>
  <c r="BH863" i="20"/>
  <c r="BI863" i="20"/>
  <c r="BJ863" i="20"/>
  <c r="BK863" i="20"/>
  <c r="BL863" i="20"/>
  <c r="BM863" i="20"/>
  <c r="BN863" i="20"/>
  <c r="AL863" i="20"/>
  <c r="AL862" i="20"/>
  <c r="AL967" i="20" s="1"/>
  <c r="AL861" i="20"/>
  <c r="AL860" i="20"/>
  <c r="AM854" i="20"/>
  <c r="AN854" i="20" s="1"/>
  <c r="AO854" i="20" s="1"/>
  <c r="AP854" i="20" s="1"/>
  <c r="AQ854" i="20" s="1"/>
  <c r="AR854" i="20" s="1"/>
  <c r="AS854" i="20" s="1"/>
  <c r="AT854" i="20" s="1"/>
  <c r="AU854" i="20" s="1"/>
  <c r="AV854" i="20" s="1"/>
  <c r="AW854" i="20" s="1"/>
  <c r="AX854" i="20" s="1"/>
  <c r="AY854" i="20" s="1"/>
  <c r="AZ854" i="20" s="1"/>
  <c r="BA854" i="20" s="1"/>
  <c r="BB854" i="20" s="1"/>
  <c r="BC854" i="20" s="1"/>
  <c r="BD854" i="20" s="1"/>
  <c r="BE854" i="20" s="1"/>
  <c r="BF854" i="20" s="1"/>
  <c r="BG854" i="20" s="1"/>
  <c r="BH854" i="20" s="1"/>
  <c r="BI854" i="20" s="1"/>
  <c r="BJ854" i="20" s="1"/>
  <c r="BK854" i="20" s="1"/>
  <c r="BL854" i="20" s="1"/>
  <c r="BM854" i="20" s="1"/>
  <c r="BN854" i="20" s="1"/>
  <c r="AV503" i="11" l="1"/>
  <c r="AU538" i="11"/>
  <c r="AU548" i="11" s="1"/>
  <c r="AV511" i="11"/>
  <c r="AU541" i="11"/>
  <c r="AU549" i="11" s="1"/>
  <c r="AL435" i="11"/>
  <c r="AK445" i="11"/>
  <c r="AN33" i="11"/>
  <c r="AM433" i="11"/>
  <c r="AY594" i="11"/>
  <c r="BA606" i="11"/>
  <c r="AR176" i="11"/>
  <c r="Y21" i="13"/>
  <c r="X23" i="13"/>
  <c r="AO954" i="20"/>
  <c r="AO929" i="20"/>
  <c r="AO904" i="20"/>
  <c r="AP879" i="20"/>
  <c r="AW511" i="11" l="1"/>
  <c r="AV541" i="11"/>
  <c r="AV549" i="11" s="1"/>
  <c r="AW503" i="11"/>
  <c r="AV538" i="11"/>
  <c r="AV548" i="11" s="1"/>
  <c r="AM435" i="11"/>
  <c r="AL445" i="11"/>
  <c r="AO33" i="11"/>
  <c r="AN433" i="11"/>
  <c r="AZ594" i="11"/>
  <c r="AS176" i="11"/>
  <c r="Z21" i="13"/>
  <c r="Y23" i="13"/>
  <c r="AP954" i="20"/>
  <c r="AP929" i="20"/>
  <c r="AP904" i="20"/>
  <c r="AQ879" i="20"/>
  <c r="B145" i="20"/>
  <c r="AL677" i="20"/>
  <c r="AL676" i="20"/>
  <c r="AL675" i="20"/>
  <c r="AL674" i="20"/>
  <c r="AL673" i="20"/>
  <c r="AL672" i="20"/>
  <c r="AL671" i="20"/>
  <c r="AL670" i="20"/>
  <c r="AL666" i="20"/>
  <c r="AL665" i="20"/>
  <c r="AL664" i="20"/>
  <c r="AL663" i="20"/>
  <c r="AL662" i="20"/>
  <c r="AL661" i="20"/>
  <c r="AL660" i="20"/>
  <c r="AL659" i="20"/>
  <c r="AL655" i="20"/>
  <c r="AL654" i="20"/>
  <c r="AL653" i="20"/>
  <c r="AL652" i="20"/>
  <c r="AL651" i="20"/>
  <c r="AL650" i="20"/>
  <c r="AL649" i="20"/>
  <c r="AL648" i="20"/>
  <c r="AL644" i="20"/>
  <c r="AL643" i="20"/>
  <c r="AL642" i="20"/>
  <c r="AL934" i="20" s="1"/>
  <c r="AL641" i="20"/>
  <c r="AL640" i="20"/>
  <c r="AL639" i="20"/>
  <c r="AL638" i="20"/>
  <c r="AL637" i="20"/>
  <c r="AL633" i="20"/>
  <c r="AL632" i="20"/>
  <c r="AL631" i="20"/>
  <c r="AL933" i="20" s="1"/>
  <c r="AL630" i="20"/>
  <c r="AL629" i="20"/>
  <c r="AL628" i="20"/>
  <c r="AL627" i="20"/>
  <c r="AL626" i="20"/>
  <c r="AL622" i="20"/>
  <c r="AL621" i="20"/>
  <c r="AL620" i="20"/>
  <c r="AL619" i="20"/>
  <c r="AL618" i="20"/>
  <c r="AL617" i="20"/>
  <c r="AL909" i="20" s="1"/>
  <c r="AL616" i="20"/>
  <c r="AL615" i="20"/>
  <c r="AX503" i="11" l="1"/>
  <c r="AW538" i="11"/>
  <c r="AW548" i="11" s="1"/>
  <c r="AX511" i="11"/>
  <c r="AW541" i="11"/>
  <c r="AW549" i="11" s="1"/>
  <c r="AN435" i="11"/>
  <c r="AM445" i="11"/>
  <c r="AP33" i="11"/>
  <c r="AO433" i="11"/>
  <c r="BA594" i="11"/>
  <c r="AT176" i="11"/>
  <c r="AA21" i="13"/>
  <c r="Z23" i="13"/>
  <c r="AQ954" i="20"/>
  <c r="AQ929" i="20"/>
  <c r="AQ904" i="20"/>
  <c r="AR879" i="20"/>
  <c r="AY511" i="11" l="1"/>
  <c r="AX541" i="11"/>
  <c r="AX549" i="11" s="1"/>
  <c r="AY503" i="11"/>
  <c r="AX538" i="11"/>
  <c r="AX548" i="11" s="1"/>
  <c r="AN445" i="11"/>
  <c r="AO435" i="11"/>
  <c r="AQ33" i="11"/>
  <c r="AP433" i="11"/>
  <c r="AU176" i="11"/>
  <c r="AB21" i="13"/>
  <c r="AA23" i="13"/>
  <c r="AR954" i="20"/>
  <c r="AR929" i="20"/>
  <c r="AR904" i="20"/>
  <c r="AS879" i="20"/>
  <c r="AL850" i="20"/>
  <c r="AL849" i="20"/>
  <c r="AL848" i="20"/>
  <c r="AL943" i="20" s="1"/>
  <c r="AL847" i="20"/>
  <c r="AL846" i="20"/>
  <c r="AL845" i="20"/>
  <c r="AL844" i="20"/>
  <c r="AL843" i="20"/>
  <c r="AL839" i="20"/>
  <c r="AL838" i="20"/>
  <c r="AL837" i="20"/>
  <c r="AL942" i="20" s="1"/>
  <c r="AL836" i="20"/>
  <c r="AL835" i="20"/>
  <c r="AL834" i="20"/>
  <c r="AL919" i="20" s="1"/>
  <c r="AL833" i="20"/>
  <c r="AL832" i="20"/>
  <c r="AL828" i="20"/>
  <c r="AL827" i="20"/>
  <c r="AL826" i="20"/>
  <c r="AL941" i="20" s="1"/>
  <c r="AL825" i="20"/>
  <c r="AL824" i="20"/>
  <c r="AL823" i="20"/>
  <c r="AL918" i="20" s="1"/>
  <c r="AL822" i="20"/>
  <c r="AL821" i="20"/>
  <c r="AL817" i="20"/>
  <c r="AL816" i="20"/>
  <c r="AL815" i="20"/>
  <c r="AL940" i="20" s="1"/>
  <c r="AL814" i="20"/>
  <c r="AL813" i="20"/>
  <c r="AL812" i="20"/>
  <c r="AL917" i="20" s="1"/>
  <c r="AL811" i="20"/>
  <c r="AL810" i="20"/>
  <c r="AL806" i="20"/>
  <c r="AM806" i="20" s="1"/>
  <c r="AL805" i="20"/>
  <c r="AM805" i="20" s="1"/>
  <c r="AL804" i="20"/>
  <c r="AL945" i="20" s="1"/>
  <c r="AL803" i="20"/>
  <c r="AM803" i="20" s="1"/>
  <c r="AL802" i="20"/>
  <c r="AM802" i="20" s="1"/>
  <c r="AL801" i="20"/>
  <c r="AL800" i="20"/>
  <c r="AM800" i="20" s="1"/>
  <c r="AL799" i="20"/>
  <c r="AM799" i="20" s="1"/>
  <c r="AZ503" i="11" l="1"/>
  <c r="AY538" i="11"/>
  <c r="AY548" i="11" s="1"/>
  <c r="AZ511" i="11"/>
  <c r="AY541" i="11"/>
  <c r="AY549" i="11" s="1"/>
  <c r="AP435" i="11"/>
  <c r="AO445" i="11"/>
  <c r="AR33" i="11"/>
  <c r="AQ433" i="11"/>
  <c r="AV176" i="11"/>
  <c r="AC21" i="13"/>
  <c r="AB23" i="13"/>
  <c r="AS954" i="20"/>
  <c r="AM804" i="20"/>
  <c r="AL939" i="20"/>
  <c r="AM801" i="20"/>
  <c r="AM916" i="20" s="1"/>
  <c r="AL916" i="20"/>
  <c r="AS929" i="20"/>
  <c r="AS904" i="20"/>
  <c r="AT879" i="20"/>
  <c r="AL795" i="20"/>
  <c r="AL790" i="20"/>
  <c r="AL915" i="20" s="1"/>
  <c r="AL791" i="20"/>
  <c r="AL792" i="20"/>
  <c r="AL793" i="20"/>
  <c r="AL794" i="20"/>
  <c r="AL789" i="20"/>
  <c r="AL788" i="20"/>
  <c r="AL783" i="20"/>
  <c r="AL782" i="20"/>
  <c r="AL781" i="20"/>
  <c r="AL780" i="20"/>
  <c r="AL779" i="20"/>
  <c r="AL778" i="20"/>
  <c r="AL777" i="20"/>
  <c r="BA511" i="11" l="1"/>
  <c r="BA541" i="11" s="1"/>
  <c r="BA549" i="11" s="1"/>
  <c r="AZ541" i="11"/>
  <c r="AZ549" i="11" s="1"/>
  <c r="BA503" i="11"/>
  <c r="BA538" i="11" s="1"/>
  <c r="BA548" i="11" s="1"/>
  <c r="AZ538" i="11"/>
  <c r="AZ548" i="11" s="1"/>
  <c r="AQ435" i="11"/>
  <c r="AP445" i="11"/>
  <c r="AS33" i="11"/>
  <c r="AR433" i="11"/>
  <c r="AW176" i="11"/>
  <c r="AD21" i="13"/>
  <c r="AC23" i="13"/>
  <c r="AM939" i="20"/>
  <c r="AM945" i="20"/>
  <c r="AL914" i="20"/>
  <c r="AL920" i="20"/>
  <c r="AT954" i="20"/>
  <c r="AT929" i="20"/>
  <c r="AT904" i="20"/>
  <c r="AU879" i="20"/>
  <c r="AL776" i="20"/>
  <c r="AL891" i="20" s="1"/>
  <c r="AL772" i="20"/>
  <c r="AL771" i="20"/>
  <c r="AL770" i="20"/>
  <c r="AL769" i="20"/>
  <c r="AL768" i="20"/>
  <c r="AL767" i="20"/>
  <c r="AL766" i="20"/>
  <c r="AL765" i="20"/>
  <c r="AL890" i="20" s="1"/>
  <c r="AL761" i="20"/>
  <c r="AL760" i="20"/>
  <c r="AL759" i="20"/>
  <c r="AL758" i="20"/>
  <c r="AL757" i="20"/>
  <c r="AL756" i="20"/>
  <c r="AL755" i="20"/>
  <c r="AL754" i="20"/>
  <c r="AL750" i="20"/>
  <c r="AL749" i="20"/>
  <c r="AL748" i="20"/>
  <c r="AL747" i="20"/>
  <c r="AL746" i="20"/>
  <c r="AL745" i="20"/>
  <c r="AL744" i="20"/>
  <c r="AL743" i="20"/>
  <c r="AR435" i="11" l="1"/>
  <c r="AQ445" i="11"/>
  <c r="AT33" i="11"/>
  <c r="AS433" i="11"/>
  <c r="AX176" i="11"/>
  <c r="AE21" i="13"/>
  <c r="AD23" i="13"/>
  <c r="AL889" i="20"/>
  <c r="AL895" i="20"/>
  <c r="AU954" i="20"/>
  <c r="AU929" i="20"/>
  <c r="AU904" i="20"/>
  <c r="AV879" i="20"/>
  <c r="AL733" i="20"/>
  <c r="AM733" i="20" s="1"/>
  <c r="AL739" i="20"/>
  <c r="AM739" i="20" s="1"/>
  <c r="AL738" i="20"/>
  <c r="AM738" i="20" s="1"/>
  <c r="AL737" i="20"/>
  <c r="AM737" i="20" s="1"/>
  <c r="AL736" i="20"/>
  <c r="AM736" i="20" s="1"/>
  <c r="AL735" i="20"/>
  <c r="AM735" i="20" s="1"/>
  <c r="AL734" i="20"/>
  <c r="AM734" i="20" s="1"/>
  <c r="AL732" i="20"/>
  <c r="AM732" i="20" s="1"/>
  <c r="AL728" i="20"/>
  <c r="AL727" i="20"/>
  <c r="AL726" i="20"/>
  <c r="AL725" i="20"/>
  <c r="AL724" i="20"/>
  <c r="AL723" i="20"/>
  <c r="AL722" i="20"/>
  <c r="AF721" i="20"/>
  <c r="AF843" i="20"/>
  <c r="AF832" i="20"/>
  <c r="AF821" i="20"/>
  <c r="AF810" i="20"/>
  <c r="AF799" i="20"/>
  <c r="AF788" i="20"/>
  <c r="AF776" i="20"/>
  <c r="AF765" i="20"/>
  <c r="AF754" i="20"/>
  <c r="AF743" i="20"/>
  <c r="AF732" i="20"/>
  <c r="AM787" i="20"/>
  <c r="AS435" i="11" l="1"/>
  <c r="AR445" i="11"/>
  <c r="AU33" i="11"/>
  <c r="AT433" i="11"/>
  <c r="AY176" i="11"/>
  <c r="AF21" i="13"/>
  <c r="AE23" i="13"/>
  <c r="AN787" i="20"/>
  <c r="AM892" i="20"/>
  <c r="AV954" i="20"/>
  <c r="AV929" i="20"/>
  <c r="AV904" i="20"/>
  <c r="AW879" i="20"/>
  <c r="AL807" i="20"/>
  <c r="AL818" i="20"/>
  <c r="AL796" i="20"/>
  <c r="AL829" i="20"/>
  <c r="AL840" i="20"/>
  <c r="AL965" i="20" s="1"/>
  <c r="AL851" i="20"/>
  <c r="AL966" i="20" s="1"/>
  <c r="AT435" i="11" l="1"/>
  <c r="AS445" i="11"/>
  <c r="AV33" i="11"/>
  <c r="AU433" i="11"/>
  <c r="AZ176" i="11"/>
  <c r="AG21" i="13"/>
  <c r="AF23" i="13"/>
  <c r="AL964" i="20"/>
  <c r="AL970" i="20"/>
  <c r="AO787" i="20"/>
  <c r="AN892" i="20"/>
  <c r="AW954" i="20"/>
  <c r="AW929" i="20"/>
  <c r="AW904" i="20"/>
  <c r="AX879" i="20"/>
  <c r="AL751" i="20"/>
  <c r="AL866" i="20" s="1"/>
  <c r="AM720" i="20"/>
  <c r="AU435" i="11" l="1"/>
  <c r="AT445" i="11"/>
  <c r="AW33" i="11"/>
  <c r="AV433" i="11"/>
  <c r="BA176" i="11"/>
  <c r="AH21" i="13"/>
  <c r="AG23" i="13"/>
  <c r="AP787" i="20"/>
  <c r="AO892" i="20"/>
  <c r="AX954" i="20"/>
  <c r="AN939" i="20"/>
  <c r="AX929" i="20"/>
  <c r="AX904" i="20"/>
  <c r="AY879" i="20"/>
  <c r="AN720" i="20"/>
  <c r="AO720" i="20" s="1"/>
  <c r="AP720" i="20" s="1"/>
  <c r="AQ720" i="20" s="1"/>
  <c r="AR720" i="20" s="1"/>
  <c r="AS720" i="20" s="1"/>
  <c r="AT720" i="20" s="1"/>
  <c r="AU720" i="20" s="1"/>
  <c r="AV720" i="20" s="1"/>
  <c r="AW720" i="20" s="1"/>
  <c r="AX720" i="20" s="1"/>
  <c r="AY720" i="20" s="1"/>
  <c r="AZ720" i="20" s="1"/>
  <c r="BA720" i="20" s="1"/>
  <c r="BB720" i="20" s="1"/>
  <c r="BC720" i="20" s="1"/>
  <c r="BD720" i="20" s="1"/>
  <c r="BE720" i="20" s="1"/>
  <c r="BF720" i="20" s="1"/>
  <c r="BG720" i="20" s="1"/>
  <c r="BH720" i="20" s="1"/>
  <c r="BI720" i="20" s="1"/>
  <c r="BJ720" i="20" s="1"/>
  <c r="BK720" i="20" s="1"/>
  <c r="BL720" i="20" s="1"/>
  <c r="BM720" i="20" s="1"/>
  <c r="BN720" i="20" s="1"/>
  <c r="AM725" i="20"/>
  <c r="AM721" i="20"/>
  <c r="AM726" i="20"/>
  <c r="AM724" i="20"/>
  <c r="AM723" i="20"/>
  <c r="AM728" i="20"/>
  <c r="AM727" i="20"/>
  <c r="AM722" i="20"/>
  <c r="AL729" i="20"/>
  <c r="AL740" i="20"/>
  <c r="AL865" i="20" s="1"/>
  <c r="AL762" i="20"/>
  <c r="AL867" i="20" s="1"/>
  <c r="AM740" i="20"/>
  <c r="AM865" i="20" s="1"/>
  <c r="AL773" i="20"/>
  <c r="AL868" i="20" s="1"/>
  <c r="AL784" i="20"/>
  <c r="AL869" i="20" s="1"/>
  <c r="AF670" i="20"/>
  <c r="AF659" i="20"/>
  <c r="AF648" i="20"/>
  <c r="AF637" i="20"/>
  <c r="AF626" i="20"/>
  <c r="AF615" i="20"/>
  <c r="AL678" i="20"/>
  <c r="AL667" i="20"/>
  <c r="AL959" i="20" s="1"/>
  <c r="AL623" i="20"/>
  <c r="AM614" i="20"/>
  <c r="AN614" i="20" s="1"/>
  <c r="AO614" i="20" s="1"/>
  <c r="AP614" i="20" s="1"/>
  <c r="AQ614" i="20" s="1"/>
  <c r="AR614" i="20" s="1"/>
  <c r="AS614" i="20" s="1"/>
  <c r="AT614" i="20" s="1"/>
  <c r="AU614" i="20" s="1"/>
  <c r="AV614" i="20" s="1"/>
  <c r="AW614" i="20" s="1"/>
  <c r="AX614" i="20" s="1"/>
  <c r="AY614" i="20" s="1"/>
  <c r="AZ614" i="20" s="1"/>
  <c r="BA614" i="20" s="1"/>
  <c r="BB614" i="20" s="1"/>
  <c r="BC614" i="20" s="1"/>
  <c r="BD614" i="20" s="1"/>
  <c r="BE614" i="20" s="1"/>
  <c r="BF614" i="20" s="1"/>
  <c r="BG614" i="20" s="1"/>
  <c r="BH614" i="20" s="1"/>
  <c r="BI614" i="20" s="1"/>
  <c r="BJ614" i="20" s="1"/>
  <c r="BK614" i="20" s="1"/>
  <c r="BL614" i="20" s="1"/>
  <c r="BM614" i="20" s="1"/>
  <c r="BN614" i="20" s="1"/>
  <c r="AL577" i="20"/>
  <c r="AM577" i="20" s="1"/>
  <c r="AN577" i="20" s="1"/>
  <c r="AL576" i="20"/>
  <c r="AM576" i="20" s="1"/>
  <c r="AN576" i="20" s="1"/>
  <c r="AL575" i="20"/>
  <c r="AM575" i="20" s="1"/>
  <c r="AN575" i="20" s="1"/>
  <c r="AL574" i="20"/>
  <c r="AM574" i="20" s="1"/>
  <c r="AN574" i="20" s="1"/>
  <c r="AL573" i="20"/>
  <c r="AL572" i="20"/>
  <c r="AM572" i="20" s="1"/>
  <c r="AN572" i="20" s="1"/>
  <c r="AL571" i="20"/>
  <c r="AM571" i="20" s="1"/>
  <c r="AN571" i="20" s="1"/>
  <c r="AL570" i="20"/>
  <c r="AM570" i="20" s="1"/>
  <c r="AL566" i="20"/>
  <c r="AM566" i="20" s="1"/>
  <c r="AN566" i="20" s="1"/>
  <c r="AL565" i="20"/>
  <c r="AM565" i="20" s="1"/>
  <c r="AN565" i="20" s="1"/>
  <c r="AL564" i="20"/>
  <c r="AM564" i="20" s="1"/>
  <c r="AN564" i="20" s="1"/>
  <c r="AL563" i="20"/>
  <c r="AM563" i="20" s="1"/>
  <c r="AN563" i="20" s="1"/>
  <c r="AL562" i="20"/>
  <c r="AM562" i="20" s="1"/>
  <c r="AN562" i="20" s="1"/>
  <c r="AL561" i="20"/>
  <c r="AM561" i="20" s="1"/>
  <c r="AN561" i="20" s="1"/>
  <c r="AL560" i="20"/>
  <c r="AM560" i="20" s="1"/>
  <c r="AN560" i="20" s="1"/>
  <c r="AL559" i="20"/>
  <c r="AL884" i="20" s="1"/>
  <c r="AL969" i="20" s="1"/>
  <c r="AL555" i="20"/>
  <c r="AM555" i="20" s="1"/>
  <c r="AN555" i="20" s="1"/>
  <c r="AL554" i="20"/>
  <c r="AM554" i="20" s="1"/>
  <c r="AN554" i="20" s="1"/>
  <c r="AL553" i="20"/>
  <c r="AM553" i="20" s="1"/>
  <c r="AN553" i="20" s="1"/>
  <c r="AL552" i="20"/>
  <c r="AM552" i="20" s="1"/>
  <c r="AN552" i="20" s="1"/>
  <c r="AL551" i="20"/>
  <c r="AM551" i="20" s="1"/>
  <c r="AN551" i="20" s="1"/>
  <c r="AL550" i="20"/>
  <c r="AM550" i="20" s="1"/>
  <c r="AN550" i="20" s="1"/>
  <c r="AL549" i="20"/>
  <c r="AM549" i="20" s="1"/>
  <c r="AN549" i="20" s="1"/>
  <c r="AL548" i="20"/>
  <c r="AL883" i="20" s="1"/>
  <c r="AL543" i="20"/>
  <c r="AL542" i="20"/>
  <c r="AM542" i="20" s="1"/>
  <c r="AL541" i="20"/>
  <c r="AM541" i="20" s="1"/>
  <c r="AL540" i="20"/>
  <c r="AM540" i="20" s="1"/>
  <c r="AN540" i="20" s="1"/>
  <c r="AL539" i="20"/>
  <c r="AM539" i="20" s="1"/>
  <c r="AL538" i="20"/>
  <c r="AM538" i="20" s="1"/>
  <c r="AL537" i="20"/>
  <c r="AM537" i="20" s="1"/>
  <c r="AL544" i="20"/>
  <c r="AM544" i="20" s="1"/>
  <c r="AN544" i="20" s="1"/>
  <c r="AJ577" i="20"/>
  <c r="AJ576" i="20"/>
  <c r="AJ575" i="20"/>
  <c r="AJ574" i="20"/>
  <c r="AJ573" i="20"/>
  <c r="AJ572" i="20"/>
  <c r="AJ571" i="20"/>
  <c r="AJ570" i="20"/>
  <c r="AI577" i="20"/>
  <c r="AI576" i="20"/>
  <c r="AI575" i="20"/>
  <c r="AI574" i="20"/>
  <c r="AI573" i="20"/>
  <c r="AI572" i="20"/>
  <c r="AI571" i="20"/>
  <c r="AI570" i="20"/>
  <c r="AJ566" i="20"/>
  <c r="AJ565" i="20"/>
  <c r="AJ564" i="20"/>
  <c r="AJ563" i="20"/>
  <c r="AJ562" i="20"/>
  <c r="AJ561" i="20"/>
  <c r="AJ560" i="20"/>
  <c r="AJ559" i="20"/>
  <c r="AI566" i="20"/>
  <c r="AI565" i="20"/>
  <c r="AI564" i="20"/>
  <c r="AI563" i="20"/>
  <c r="AI562" i="20"/>
  <c r="AI561" i="20"/>
  <c r="AI560" i="20"/>
  <c r="AI559" i="20"/>
  <c r="AJ555" i="20"/>
  <c r="AJ554" i="20"/>
  <c r="AJ553" i="20"/>
  <c r="AJ552" i="20"/>
  <c r="AJ551" i="20"/>
  <c r="AJ550" i="20"/>
  <c r="AJ549" i="20"/>
  <c r="AJ548" i="20"/>
  <c r="AI555" i="20"/>
  <c r="AI554" i="20"/>
  <c r="AI553" i="20"/>
  <c r="AI552" i="20"/>
  <c r="AI551" i="20"/>
  <c r="AI550" i="20"/>
  <c r="AI549" i="20"/>
  <c r="AI548" i="20"/>
  <c r="AJ544" i="20"/>
  <c r="AJ543" i="20"/>
  <c r="AJ542" i="20"/>
  <c r="AJ541" i="20"/>
  <c r="AJ540" i="20"/>
  <c r="AJ539" i="20"/>
  <c r="AJ538" i="20"/>
  <c r="AJ537" i="20"/>
  <c r="AI544" i="20"/>
  <c r="AI543" i="20"/>
  <c r="AI542" i="20"/>
  <c r="AI541" i="20"/>
  <c r="AI540" i="20"/>
  <c r="AI539" i="20"/>
  <c r="AI538" i="20"/>
  <c r="AI537" i="20"/>
  <c r="AJ526" i="20"/>
  <c r="AJ533" i="20"/>
  <c r="AI533" i="20"/>
  <c r="AJ532" i="20"/>
  <c r="AI532" i="20"/>
  <c r="AJ531" i="20"/>
  <c r="AI531" i="20"/>
  <c r="AJ530" i="20"/>
  <c r="AI530" i="20"/>
  <c r="AJ529" i="20"/>
  <c r="AI529" i="20"/>
  <c r="AJ528" i="20"/>
  <c r="AI528" i="20"/>
  <c r="AJ527" i="20"/>
  <c r="AI527" i="20"/>
  <c r="AI526" i="20"/>
  <c r="AF570" i="20"/>
  <c r="AF559" i="20"/>
  <c r="AF548" i="20"/>
  <c r="AF537" i="20"/>
  <c r="AF526" i="20"/>
  <c r="AK355" i="20"/>
  <c r="AK345" i="20"/>
  <c r="AK335" i="20"/>
  <c r="AK325" i="20"/>
  <c r="AK315" i="20"/>
  <c r="AK305" i="20"/>
  <c r="AK293" i="20"/>
  <c r="AK283" i="20"/>
  <c r="AK273" i="20"/>
  <c r="AK263" i="20"/>
  <c r="AJ522" i="20"/>
  <c r="AJ521" i="20"/>
  <c r="AJ520" i="20"/>
  <c r="AJ519" i="20"/>
  <c r="AJ518" i="20"/>
  <c r="AJ517" i="20"/>
  <c r="AJ516" i="20"/>
  <c r="AJ515" i="20"/>
  <c r="AI522" i="20"/>
  <c r="AI521" i="20"/>
  <c r="AI520" i="20"/>
  <c r="AI519" i="20"/>
  <c r="AI518" i="20"/>
  <c r="AI517" i="20"/>
  <c r="AI516" i="20"/>
  <c r="AF515" i="20"/>
  <c r="AV435" i="11" l="1"/>
  <c r="AU445" i="11"/>
  <c r="AX33" i="11"/>
  <c r="AW433" i="11"/>
  <c r="AI21" i="13"/>
  <c r="AH23" i="13"/>
  <c r="AL864" i="20"/>
  <c r="AL870" i="20"/>
  <c r="AN725" i="20"/>
  <c r="AO725" i="20" s="1"/>
  <c r="AP725" i="20" s="1"/>
  <c r="AQ725" i="20" s="1"/>
  <c r="AR725" i="20" s="1"/>
  <c r="AS725" i="20" s="1"/>
  <c r="AT725" i="20" s="1"/>
  <c r="AU725" i="20" s="1"/>
  <c r="AV725" i="20" s="1"/>
  <c r="AW725" i="20" s="1"/>
  <c r="AX725" i="20" s="1"/>
  <c r="AQ787" i="20"/>
  <c r="AP892" i="20"/>
  <c r="AY954" i="20"/>
  <c r="AM573" i="20"/>
  <c r="AM578" i="20" s="1"/>
  <c r="AL908" i="20"/>
  <c r="AM934" i="20"/>
  <c r="AM914" i="20"/>
  <c r="AO939" i="20"/>
  <c r="AY929" i="20"/>
  <c r="AY904" i="20"/>
  <c r="AM559" i="20"/>
  <c r="AM884" i="20" s="1"/>
  <c r="AM969" i="20" s="1"/>
  <c r="AZ879" i="20"/>
  <c r="AM729" i="20"/>
  <c r="AN726" i="20"/>
  <c r="AO726" i="20" s="1"/>
  <c r="AP726" i="20" s="1"/>
  <c r="AQ726" i="20" s="1"/>
  <c r="AR726" i="20" s="1"/>
  <c r="AS726" i="20" s="1"/>
  <c r="AT726" i="20" s="1"/>
  <c r="AU726" i="20" s="1"/>
  <c r="AV726" i="20" s="1"/>
  <c r="AW726" i="20" s="1"/>
  <c r="AX726" i="20" s="1"/>
  <c r="AN722" i="20"/>
  <c r="AO722" i="20" s="1"/>
  <c r="AP722" i="20" s="1"/>
  <c r="AN727" i="20"/>
  <c r="AO727" i="20" s="1"/>
  <c r="AP727" i="20" s="1"/>
  <c r="AQ727" i="20" s="1"/>
  <c r="AR727" i="20" s="1"/>
  <c r="AS727" i="20" s="1"/>
  <c r="AT727" i="20" s="1"/>
  <c r="AU727" i="20" s="1"/>
  <c r="AV727" i="20" s="1"/>
  <c r="AW727" i="20" s="1"/>
  <c r="AX727" i="20" s="1"/>
  <c r="AN724" i="20"/>
  <c r="AO724" i="20" s="1"/>
  <c r="AP724" i="20" s="1"/>
  <c r="AQ724" i="20" s="1"/>
  <c r="AR724" i="20" s="1"/>
  <c r="AS724" i="20" s="1"/>
  <c r="AT724" i="20" s="1"/>
  <c r="AU724" i="20" s="1"/>
  <c r="AV724" i="20" s="1"/>
  <c r="AW724" i="20" s="1"/>
  <c r="AX724" i="20" s="1"/>
  <c r="AN723" i="20"/>
  <c r="AO723" i="20" s="1"/>
  <c r="AP723" i="20" s="1"/>
  <c r="AQ723" i="20" s="1"/>
  <c r="AR723" i="20" s="1"/>
  <c r="AS723" i="20" s="1"/>
  <c r="AT723" i="20" s="1"/>
  <c r="AU723" i="20" s="1"/>
  <c r="AV723" i="20" s="1"/>
  <c r="AW723" i="20" s="1"/>
  <c r="AX723" i="20" s="1"/>
  <c r="AL656" i="20"/>
  <c r="AL958" i="20" s="1"/>
  <c r="AL976" i="20" s="1"/>
  <c r="AL634" i="20"/>
  <c r="AL645" i="20"/>
  <c r="AM543" i="20"/>
  <c r="AN543" i="20" s="1"/>
  <c r="AN537" i="20"/>
  <c r="AN541" i="20"/>
  <c r="AN538" i="20"/>
  <c r="AN542" i="20"/>
  <c r="AN539" i="20"/>
  <c r="AL556" i="20"/>
  <c r="AN570" i="20"/>
  <c r="AM548" i="20"/>
  <c r="AM883" i="20" s="1"/>
  <c r="AL545" i="20"/>
  <c r="AL578" i="20"/>
  <c r="AL567" i="20"/>
  <c r="AM534" i="20"/>
  <c r="AM859" i="20" s="1"/>
  <c r="AM944" i="20" s="1"/>
  <c r="AL534" i="20"/>
  <c r="AL859" i="20" s="1"/>
  <c r="AL944" i="20" s="1"/>
  <c r="AN534" i="20"/>
  <c r="AN859" i="20" s="1"/>
  <c r="AN944" i="20" s="1"/>
  <c r="AL471" i="20"/>
  <c r="AL470" i="20"/>
  <c r="AL469" i="20"/>
  <c r="AL468" i="20"/>
  <c r="AL467" i="20"/>
  <c r="AL466" i="20"/>
  <c r="AL465" i="20"/>
  <c r="AL464" i="20"/>
  <c r="AL461" i="20"/>
  <c r="AL460" i="20"/>
  <c r="AL459" i="20"/>
  <c r="AL458" i="20"/>
  <c r="AL457" i="20"/>
  <c r="AL932" i="20" s="1"/>
  <c r="AL456" i="20"/>
  <c r="AL455" i="20"/>
  <c r="AL454" i="20"/>
  <c r="AL451" i="20"/>
  <c r="AL450" i="20"/>
  <c r="AL449" i="20"/>
  <c r="AL448" i="20"/>
  <c r="AL447" i="20"/>
  <c r="AL446" i="20"/>
  <c r="AL445" i="20"/>
  <c r="AL444" i="20"/>
  <c r="AL441" i="20"/>
  <c r="AL440" i="20"/>
  <c r="AL439" i="20"/>
  <c r="AL438" i="20"/>
  <c r="AL437" i="20"/>
  <c r="AL436" i="20"/>
  <c r="AL435" i="20"/>
  <c r="AL434" i="20"/>
  <c r="AL431" i="20"/>
  <c r="AL430" i="20"/>
  <c r="AL429" i="20"/>
  <c r="AL428" i="20"/>
  <c r="AL427" i="20"/>
  <c r="AL426" i="20"/>
  <c r="AL425" i="20"/>
  <c r="AL424" i="20"/>
  <c r="AL421" i="20"/>
  <c r="AL420" i="20"/>
  <c r="AL419" i="20"/>
  <c r="AL418" i="20"/>
  <c r="AL417" i="20"/>
  <c r="AL416" i="20"/>
  <c r="AL415" i="20"/>
  <c r="AL414" i="20"/>
  <c r="AL272" i="20"/>
  <c r="AL271" i="20"/>
  <c r="AL270" i="20"/>
  <c r="AL269" i="20"/>
  <c r="AL268" i="20"/>
  <c r="AL267" i="20"/>
  <c r="AL266" i="20"/>
  <c r="AL265" i="20"/>
  <c r="AW435" i="11" l="1"/>
  <c r="AV445" i="11"/>
  <c r="AY33" i="11"/>
  <c r="AX433" i="11"/>
  <c r="AJ21" i="13"/>
  <c r="AI23" i="13"/>
  <c r="AM567" i="20"/>
  <c r="AM864" i="20"/>
  <c r="AM870" i="20"/>
  <c r="AR787" i="20"/>
  <c r="AQ892" i="20"/>
  <c r="AM545" i="20"/>
  <c r="AZ954" i="20"/>
  <c r="AM909" i="20"/>
  <c r="AP939" i="20"/>
  <c r="AN914" i="20"/>
  <c r="AN573" i="20"/>
  <c r="AN578" i="20" s="1"/>
  <c r="AM908" i="20"/>
  <c r="AN934" i="20"/>
  <c r="AZ929" i="20"/>
  <c r="AZ904" i="20"/>
  <c r="AN559" i="20"/>
  <c r="AN884" i="20" s="1"/>
  <c r="AN969" i="20" s="1"/>
  <c r="BA879" i="20"/>
  <c r="AQ722" i="20"/>
  <c r="AN545" i="20"/>
  <c r="AL523" i="20"/>
  <c r="AL858" i="20" s="1"/>
  <c r="AN548" i="20"/>
  <c r="AN883" i="20" s="1"/>
  <c r="AM556" i="20"/>
  <c r="AL472" i="20"/>
  <c r="AL452" i="20"/>
  <c r="AL442" i="20"/>
  <c r="AL432" i="20"/>
  <c r="AL907" i="20" s="1"/>
  <c r="AL422" i="20"/>
  <c r="AL462" i="20"/>
  <c r="AL337" i="20"/>
  <c r="AL354" i="20"/>
  <c r="AL353" i="20"/>
  <c r="AL352" i="20"/>
  <c r="AL351" i="20"/>
  <c r="AL350" i="20"/>
  <c r="AL349" i="20"/>
  <c r="AL348" i="20"/>
  <c r="AL347" i="20"/>
  <c r="AL344" i="20"/>
  <c r="AL339" i="20"/>
  <c r="AL340" i="20"/>
  <c r="AL341" i="20"/>
  <c r="AL342" i="20"/>
  <c r="AL343" i="20"/>
  <c r="AL338" i="20"/>
  <c r="AL931" i="20" s="1"/>
  <c r="AL334" i="20"/>
  <c r="AL333" i="20"/>
  <c r="AL332" i="20"/>
  <c r="AL331" i="20"/>
  <c r="AL330" i="20"/>
  <c r="AL329" i="20"/>
  <c r="AL328" i="20"/>
  <c r="AL327" i="20"/>
  <c r="AL317" i="20"/>
  <c r="AL324" i="20"/>
  <c r="AL323" i="20"/>
  <c r="AL322" i="20"/>
  <c r="AL321" i="20"/>
  <c r="AL320" i="20"/>
  <c r="AL319" i="20"/>
  <c r="AL318" i="20"/>
  <c r="AL314" i="20"/>
  <c r="AL313" i="20"/>
  <c r="AL906" i="20" s="1"/>
  <c r="AL312" i="20"/>
  <c r="AL311" i="20"/>
  <c r="AL310" i="20"/>
  <c r="AL309" i="20"/>
  <c r="AL308" i="20"/>
  <c r="AL307" i="20"/>
  <c r="AL304" i="20"/>
  <c r="AL303" i="20"/>
  <c r="AL302" i="20"/>
  <c r="AL301" i="20"/>
  <c r="AL300" i="20"/>
  <c r="AL299" i="20"/>
  <c r="AL298" i="20"/>
  <c r="AL297" i="20"/>
  <c r="AX435" i="11" l="1"/>
  <c r="AW445" i="11"/>
  <c r="AZ33" i="11"/>
  <c r="AY433" i="11"/>
  <c r="AK21" i="13"/>
  <c r="AJ23" i="13"/>
  <c r="AS787" i="20"/>
  <c r="AR892" i="20"/>
  <c r="BA954" i="20"/>
  <c r="AO914" i="20"/>
  <c r="AO934" i="20"/>
  <c r="AN908" i="20"/>
  <c r="AQ939" i="20"/>
  <c r="AN909" i="20"/>
  <c r="BA929" i="20"/>
  <c r="BA904" i="20"/>
  <c r="AN567" i="20"/>
  <c r="BB879" i="20"/>
  <c r="AR722" i="20"/>
  <c r="AN556" i="20"/>
  <c r="AL305" i="20"/>
  <c r="AL335" i="20"/>
  <c r="AL315" i="20"/>
  <c r="AL325" i="20"/>
  <c r="AL355" i="20"/>
  <c r="AL345" i="20"/>
  <c r="AM296" i="20"/>
  <c r="AL411" i="20"/>
  <c r="AL410" i="20"/>
  <c r="AL409" i="20"/>
  <c r="AL408" i="20"/>
  <c r="AL407" i="20"/>
  <c r="AL882" i="20" s="1"/>
  <c r="AL406" i="20"/>
  <c r="AL405" i="20"/>
  <c r="AL404" i="20"/>
  <c r="AL401" i="20"/>
  <c r="AL400" i="20"/>
  <c r="AL399" i="20"/>
  <c r="AL398" i="20"/>
  <c r="AL397" i="20"/>
  <c r="AL396" i="20"/>
  <c r="AL395" i="20"/>
  <c r="AL394" i="20"/>
  <c r="AL391" i="20"/>
  <c r="AL390" i="20"/>
  <c r="AL389" i="20"/>
  <c r="AL388" i="20"/>
  <c r="AL387" i="20"/>
  <c r="AL386" i="20"/>
  <c r="AL385" i="20"/>
  <c r="AL384" i="20"/>
  <c r="AL374" i="20"/>
  <c r="AL381" i="20"/>
  <c r="AL380" i="20"/>
  <c r="AL379" i="20"/>
  <c r="AL378" i="20"/>
  <c r="AL377" i="20"/>
  <c r="AL376" i="20"/>
  <c r="AL375" i="20"/>
  <c r="AL292" i="20"/>
  <c r="AL291" i="20"/>
  <c r="AL290" i="20"/>
  <c r="AL289" i="20"/>
  <c r="AL288" i="20"/>
  <c r="AL881" i="20" s="1"/>
  <c r="AL287" i="20"/>
  <c r="AL286" i="20"/>
  <c r="AL285" i="20"/>
  <c r="AL282" i="20"/>
  <c r="AL281" i="20"/>
  <c r="AL280" i="20"/>
  <c r="AL279" i="20"/>
  <c r="AL278" i="20"/>
  <c r="AL277" i="20"/>
  <c r="AL276" i="20"/>
  <c r="AL275" i="20"/>
  <c r="AJ411" i="20"/>
  <c r="AJ410" i="20"/>
  <c r="AJ409" i="20"/>
  <c r="AJ408" i="20"/>
  <c r="AJ407" i="20"/>
  <c r="AJ406" i="20"/>
  <c r="AJ405" i="20"/>
  <c r="AJ404" i="20"/>
  <c r="AJ401" i="20"/>
  <c r="AJ400" i="20"/>
  <c r="AJ399" i="20"/>
  <c r="AJ398" i="20"/>
  <c r="AJ397" i="20"/>
  <c r="AJ396" i="20"/>
  <c r="AJ395" i="20"/>
  <c r="AJ394" i="20"/>
  <c r="AJ391" i="20"/>
  <c r="AJ390" i="20"/>
  <c r="AJ389" i="20"/>
  <c r="AJ388" i="20"/>
  <c r="AJ387" i="20"/>
  <c r="AJ386" i="20"/>
  <c r="AJ385" i="20"/>
  <c r="AJ384" i="20"/>
  <c r="AJ381" i="20"/>
  <c r="AJ380" i="20"/>
  <c r="AJ379" i="20"/>
  <c r="AJ378" i="20"/>
  <c r="AJ377" i="20"/>
  <c r="AJ376" i="20"/>
  <c r="AJ375" i="20"/>
  <c r="AJ374" i="20"/>
  <c r="AM373" i="20"/>
  <c r="AJ292" i="20"/>
  <c r="AJ291" i="20"/>
  <c r="AJ290" i="20"/>
  <c r="AJ289" i="20"/>
  <c r="AJ288" i="20"/>
  <c r="AJ287" i="20"/>
  <c r="AJ286" i="20"/>
  <c r="AJ285" i="20"/>
  <c r="AJ282" i="20"/>
  <c r="AJ281" i="20"/>
  <c r="AJ280" i="20"/>
  <c r="AJ279" i="20"/>
  <c r="AJ278" i="20"/>
  <c r="AJ277" i="20"/>
  <c r="AJ276" i="20"/>
  <c r="AJ275" i="20"/>
  <c r="AJ272" i="20"/>
  <c r="AJ271" i="20"/>
  <c r="AJ270" i="20"/>
  <c r="AJ269" i="20"/>
  <c r="AJ268" i="20"/>
  <c r="AJ267" i="20"/>
  <c r="AJ266" i="20"/>
  <c r="AJ265" i="20"/>
  <c r="AJ262" i="20"/>
  <c r="AJ261" i="20"/>
  <c r="AJ260" i="20"/>
  <c r="AJ259" i="20"/>
  <c r="AJ258" i="20"/>
  <c r="AJ257" i="20"/>
  <c r="AJ256" i="20"/>
  <c r="AJ255" i="20"/>
  <c r="AY435" i="11" l="1"/>
  <c r="AX445" i="11"/>
  <c r="BA33" i="11"/>
  <c r="BA433" i="11" s="1"/>
  <c r="AZ433" i="11"/>
  <c r="AK23" i="13"/>
  <c r="AT787" i="20"/>
  <c r="AS892" i="20"/>
  <c r="BB954" i="20"/>
  <c r="AO909" i="20"/>
  <c r="AP914" i="20"/>
  <c r="AR939" i="20"/>
  <c r="AP934" i="20"/>
  <c r="BB929" i="20"/>
  <c r="BB904" i="20"/>
  <c r="BC879" i="20"/>
  <c r="AS722" i="20"/>
  <c r="AM377" i="20"/>
  <c r="AM381" i="20"/>
  <c r="AM386" i="20"/>
  <c r="AM390" i="20"/>
  <c r="AM396" i="20"/>
  <c r="AM400" i="20"/>
  <c r="AM406" i="20"/>
  <c r="AM410" i="20"/>
  <c r="AN373" i="20"/>
  <c r="AM456" i="20"/>
  <c r="AM460" i="20"/>
  <c r="AM447" i="20"/>
  <c r="AM437" i="20"/>
  <c r="AN437" i="20" s="1"/>
  <c r="AM418" i="20"/>
  <c r="AM468" i="20"/>
  <c r="AM459" i="20"/>
  <c r="AM450" i="20"/>
  <c r="AN450" i="20" s="1"/>
  <c r="AM436" i="20"/>
  <c r="AM465" i="20"/>
  <c r="AM467" i="20"/>
  <c r="AM469" i="20"/>
  <c r="AM470" i="20"/>
  <c r="AM457" i="20"/>
  <c r="AM448" i="20"/>
  <c r="AM438" i="20"/>
  <c r="AN438" i="20" s="1"/>
  <c r="AM415" i="20"/>
  <c r="AM419" i="20"/>
  <c r="AM440" i="20"/>
  <c r="AM458" i="20"/>
  <c r="AN458" i="20" s="1"/>
  <c r="AM445" i="20"/>
  <c r="AM449" i="20"/>
  <c r="AM435" i="20"/>
  <c r="AM439" i="20"/>
  <c r="AN439" i="20" s="1"/>
  <c r="AM425" i="20"/>
  <c r="AM426" i="20"/>
  <c r="AM427" i="20"/>
  <c r="AM428" i="20"/>
  <c r="AM429" i="20"/>
  <c r="AM430" i="20"/>
  <c r="AM416" i="20"/>
  <c r="AM420" i="20"/>
  <c r="AN420" i="20" s="1"/>
  <c r="AM466" i="20"/>
  <c r="AM455" i="20"/>
  <c r="AM446" i="20"/>
  <c r="AM417" i="20"/>
  <c r="AN417" i="20" s="1"/>
  <c r="AM378" i="20"/>
  <c r="AM374" i="20"/>
  <c r="AM387" i="20"/>
  <c r="AM391" i="20"/>
  <c r="AN391" i="20" s="1"/>
  <c r="AM397" i="20"/>
  <c r="AM401" i="20"/>
  <c r="AM407" i="20"/>
  <c r="AM882" i="20" s="1"/>
  <c r="AM411" i="20"/>
  <c r="AN411" i="20" s="1"/>
  <c r="AM375" i="20"/>
  <c r="AM379" i="20"/>
  <c r="AM384" i="20"/>
  <c r="AM388" i="20"/>
  <c r="AN388" i="20" s="1"/>
  <c r="AM394" i="20"/>
  <c r="AM398" i="20"/>
  <c r="AM404" i="20"/>
  <c r="AM408" i="20"/>
  <c r="AN408" i="20" s="1"/>
  <c r="AN296" i="20"/>
  <c r="AM351" i="20"/>
  <c r="AM339" i="20"/>
  <c r="AM343" i="20"/>
  <c r="AM330" i="20"/>
  <c r="AN330" i="20" s="1"/>
  <c r="AM320" i="20"/>
  <c r="AM310" i="20"/>
  <c r="AM301" i="20"/>
  <c r="AM323" i="20"/>
  <c r="AN323" i="20" s="1"/>
  <c r="AM348" i="20"/>
  <c r="AM352" i="20"/>
  <c r="AM340" i="20"/>
  <c r="AM331" i="20"/>
  <c r="AN331" i="20" s="1"/>
  <c r="AM318" i="20"/>
  <c r="AM321" i="20"/>
  <c r="AM311" i="20"/>
  <c r="AM298" i="20"/>
  <c r="AN298" i="20" s="1"/>
  <c r="AM302" i="20"/>
  <c r="AM333" i="20"/>
  <c r="AM319" i="20"/>
  <c r="AM300" i="20"/>
  <c r="AN300" i="20" s="1"/>
  <c r="AM349" i="20"/>
  <c r="AM353" i="20"/>
  <c r="AM341" i="20"/>
  <c r="AM328" i="20"/>
  <c r="AN328" i="20" s="1"/>
  <c r="AM332" i="20"/>
  <c r="AM322" i="20"/>
  <c r="AM308" i="20"/>
  <c r="AM312" i="20"/>
  <c r="AN312" i="20" s="1"/>
  <c r="AM299" i="20"/>
  <c r="AM303" i="20"/>
  <c r="AM350" i="20"/>
  <c r="AM338" i="20"/>
  <c r="AM342" i="20"/>
  <c r="AM329" i="20"/>
  <c r="AM309" i="20"/>
  <c r="AM313" i="20"/>
  <c r="AM376" i="20"/>
  <c r="AM380" i="20"/>
  <c r="AM385" i="20"/>
  <c r="AN385" i="20" s="1"/>
  <c r="AM389" i="20"/>
  <c r="AM395" i="20"/>
  <c r="AM399" i="20"/>
  <c r="AM405" i="20"/>
  <c r="AN405" i="20" s="1"/>
  <c r="AM409" i="20"/>
  <c r="AL402" i="20"/>
  <c r="AL412" i="20"/>
  <c r="AL382" i="20"/>
  <c r="AL857" i="20" s="1"/>
  <c r="AL392" i="20"/>
  <c r="AL293" i="20"/>
  <c r="AL283" i="20"/>
  <c r="AL273" i="20"/>
  <c r="AM514" i="20"/>
  <c r="AZ435" i="11" l="1"/>
  <c r="AY445" i="11"/>
  <c r="AN409" i="20"/>
  <c r="AN389" i="20"/>
  <c r="AN394" i="20"/>
  <c r="AN399" i="20"/>
  <c r="AN380" i="20"/>
  <c r="AN329" i="20"/>
  <c r="AN303" i="20"/>
  <c r="AN322" i="20"/>
  <c r="AN353" i="20"/>
  <c r="AN333" i="20"/>
  <c r="AN321" i="20"/>
  <c r="AN404" i="20"/>
  <c r="AN384" i="20"/>
  <c r="AN387" i="20"/>
  <c r="AN446" i="20"/>
  <c r="AN416" i="20"/>
  <c r="AN435" i="20"/>
  <c r="AN448" i="20"/>
  <c r="AN459" i="20"/>
  <c r="AM522" i="20"/>
  <c r="AM518" i="20"/>
  <c r="AM519" i="20"/>
  <c r="AM521" i="20"/>
  <c r="AM516" i="20"/>
  <c r="AM517" i="20"/>
  <c r="AM515" i="20"/>
  <c r="AM520" i="20"/>
  <c r="AN395" i="20"/>
  <c r="AN376" i="20"/>
  <c r="AN398" i="20"/>
  <c r="AN379" i="20"/>
  <c r="AN401" i="20"/>
  <c r="AN374" i="20"/>
  <c r="AN455" i="20"/>
  <c r="AN449" i="20"/>
  <c r="AN419" i="20"/>
  <c r="AN375" i="20"/>
  <c r="AN397" i="20"/>
  <c r="AN378" i="20"/>
  <c r="AN445" i="20"/>
  <c r="AN415" i="20"/>
  <c r="AN436" i="20"/>
  <c r="AN418" i="20"/>
  <c r="AN386" i="20"/>
  <c r="AN381" i="20"/>
  <c r="AN396" i="20"/>
  <c r="AN377" i="20"/>
  <c r="AU787" i="20"/>
  <c r="AT892" i="20"/>
  <c r="BC954" i="20"/>
  <c r="AN313" i="20"/>
  <c r="AN906" i="20" s="1"/>
  <c r="AM906" i="20"/>
  <c r="AN338" i="20"/>
  <c r="AN931" i="20" s="1"/>
  <c r="AM931" i="20"/>
  <c r="AN457" i="20"/>
  <c r="AN932" i="20" s="1"/>
  <c r="AM932" i="20"/>
  <c r="AQ934" i="20"/>
  <c r="AS939" i="20"/>
  <c r="AQ914" i="20"/>
  <c r="AP909" i="20"/>
  <c r="BC929" i="20"/>
  <c r="BC904" i="20"/>
  <c r="AN407" i="20"/>
  <c r="AN882" i="20" s="1"/>
  <c r="BD879" i="20"/>
  <c r="AN400" i="20"/>
  <c r="AN352" i="20"/>
  <c r="AN310" i="20"/>
  <c r="AN339" i="20"/>
  <c r="AN460" i="20"/>
  <c r="AN406" i="20"/>
  <c r="AT722" i="20"/>
  <c r="AN456" i="20"/>
  <c r="AN447" i="20"/>
  <c r="AN410" i="20"/>
  <c r="AN514" i="20"/>
  <c r="AN342" i="20"/>
  <c r="AN299" i="20"/>
  <c r="AN332" i="20"/>
  <c r="AN349" i="20"/>
  <c r="AN302" i="20"/>
  <c r="AN348" i="20"/>
  <c r="AN320" i="20"/>
  <c r="AN351" i="20"/>
  <c r="AN309" i="20"/>
  <c r="AN350" i="20"/>
  <c r="AN308" i="20"/>
  <c r="AN341" i="20"/>
  <c r="AN319" i="20"/>
  <c r="AN311" i="20"/>
  <c r="AN340" i="20"/>
  <c r="AN301" i="20"/>
  <c r="AN343" i="20"/>
  <c r="AO296" i="20"/>
  <c r="AP296" i="20" s="1"/>
  <c r="AQ296" i="20" s="1"/>
  <c r="AR296" i="20" s="1"/>
  <c r="AS296" i="20" s="1"/>
  <c r="AT296" i="20" s="1"/>
  <c r="AU296" i="20" s="1"/>
  <c r="AV296" i="20" s="1"/>
  <c r="AW296" i="20" s="1"/>
  <c r="AX296" i="20" s="1"/>
  <c r="AY296" i="20" s="1"/>
  <c r="AZ296" i="20" s="1"/>
  <c r="BA296" i="20" s="1"/>
  <c r="BB296" i="20" s="1"/>
  <c r="BC296" i="20" s="1"/>
  <c r="BD296" i="20" s="1"/>
  <c r="BE296" i="20" s="1"/>
  <c r="BF296" i="20" s="1"/>
  <c r="BG296" i="20" s="1"/>
  <c r="BH296" i="20" s="1"/>
  <c r="BI296" i="20" s="1"/>
  <c r="BJ296" i="20" s="1"/>
  <c r="BK296" i="20" s="1"/>
  <c r="BL296" i="20" s="1"/>
  <c r="BM296" i="20" s="1"/>
  <c r="BN296" i="20" s="1"/>
  <c r="AN318" i="20"/>
  <c r="AO373" i="20"/>
  <c r="AN466" i="20"/>
  <c r="AN468" i="20"/>
  <c r="AN440" i="20"/>
  <c r="AN425" i="20"/>
  <c r="AN428" i="20"/>
  <c r="AN426" i="20"/>
  <c r="AN429" i="20"/>
  <c r="AN465" i="20"/>
  <c r="AO465" i="20" s="1"/>
  <c r="AN467" i="20"/>
  <c r="AN469" i="20"/>
  <c r="AN470" i="20"/>
  <c r="AN427" i="20"/>
  <c r="AN430" i="20"/>
  <c r="AN390" i="20"/>
  <c r="BA435" i="11" l="1"/>
  <c r="BA445" i="11" s="1"/>
  <c r="AZ445" i="11"/>
  <c r="AN520" i="20"/>
  <c r="AN521" i="20"/>
  <c r="AN515" i="20"/>
  <c r="AN519" i="20"/>
  <c r="AN517" i="20"/>
  <c r="AN518" i="20"/>
  <c r="AN516" i="20"/>
  <c r="AN522" i="20"/>
  <c r="AV787" i="20"/>
  <c r="AU892" i="20"/>
  <c r="BD954" i="20"/>
  <c r="AR934" i="20"/>
  <c r="AQ909" i="20"/>
  <c r="AR914" i="20"/>
  <c r="AT939" i="20"/>
  <c r="BD929" i="20"/>
  <c r="BD904" i="20"/>
  <c r="BE879" i="20"/>
  <c r="AO419" i="20"/>
  <c r="AO450" i="20"/>
  <c r="AU722" i="20"/>
  <c r="AO514" i="20"/>
  <c r="AO456" i="20"/>
  <c r="AO340" i="20"/>
  <c r="AP340" i="20" s="1"/>
  <c r="AQ340" i="20" s="1"/>
  <c r="AR340" i="20" s="1"/>
  <c r="AS340" i="20" s="1"/>
  <c r="AT340" i="20" s="1"/>
  <c r="AU340" i="20" s="1"/>
  <c r="AV340" i="20" s="1"/>
  <c r="AW340" i="20" s="1"/>
  <c r="AX340" i="20" s="1"/>
  <c r="AY340" i="20" s="1"/>
  <c r="AZ340" i="20" s="1"/>
  <c r="BA340" i="20" s="1"/>
  <c r="BB340" i="20" s="1"/>
  <c r="BC340" i="20" s="1"/>
  <c r="BD340" i="20" s="1"/>
  <c r="BE340" i="20" s="1"/>
  <c r="BF340" i="20" s="1"/>
  <c r="BG340" i="20" s="1"/>
  <c r="BH340" i="20" s="1"/>
  <c r="BI340" i="20" s="1"/>
  <c r="BJ340" i="20" s="1"/>
  <c r="BK340" i="20" s="1"/>
  <c r="BL340" i="20" s="1"/>
  <c r="BM340" i="20" s="1"/>
  <c r="BN340" i="20" s="1"/>
  <c r="AO460" i="20"/>
  <c r="AO470" i="20"/>
  <c r="AO440" i="20"/>
  <c r="AO447" i="20"/>
  <c r="AO449" i="20"/>
  <c r="AO333" i="20"/>
  <c r="AP333" i="20" s="1"/>
  <c r="AQ333" i="20" s="1"/>
  <c r="AR333" i="20" s="1"/>
  <c r="AS333" i="20" s="1"/>
  <c r="AO309" i="20"/>
  <c r="AP309" i="20" s="1"/>
  <c r="AQ309" i="20" s="1"/>
  <c r="AR309" i="20" s="1"/>
  <c r="AS309" i="20" s="1"/>
  <c r="AO312" i="20"/>
  <c r="AP312" i="20" s="1"/>
  <c r="AQ312" i="20" s="1"/>
  <c r="AR312" i="20" s="1"/>
  <c r="AS312" i="20" s="1"/>
  <c r="AO348" i="20"/>
  <c r="AP348" i="20" s="1"/>
  <c r="AQ348" i="20" s="1"/>
  <c r="AR348" i="20" s="1"/>
  <c r="AS348" i="20" s="1"/>
  <c r="AO329" i="20"/>
  <c r="AP329" i="20" s="1"/>
  <c r="AQ329" i="20" s="1"/>
  <c r="AR329" i="20" s="1"/>
  <c r="AS329" i="20" s="1"/>
  <c r="AO339" i="20"/>
  <c r="AP339" i="20" s="1"/>
  <c r="AQ339" i="20" s="1"/>
  <c r="AR339" i="20" s="1"/>
  <c r="AS339" i="20" s="1"/>
  <c r="AT339" i="20" s="1"/>
  <c r="AU339" i="20" s="1"/>
  <c r="AV339" i="20" s="1"/>
  <c r="AW339" i="20" s="1"/>
  <c r="AX339" i="20" s="1"/>
  <c r="AY339" i="20" s="1"/>
  <c r="AZ339" i="20" s="1"/>
  <c r="BA339" i="20" s="1"/>
  <c r="BB339" i="20" s="1"/>
  <c r="BC339" i="20" s="1"/>
  <c r="BD339" i="20" s="1"/>
  <c r="BE339" i="20" s="1"/>
  <c r="BF339" i="20" s="1"/>
  <c r="BG339" i="20" s="1"/>
  <c r="BH339" i="20" s="1"/>
  <c r="BI339" i="20" s="1"/>
  <c r="BJ339" i="20" s="1"/>
  <c r="BK339" i="20" s="1"/>
  <c r="BL339" i="20" s="1"/>
  <c r="BM339" i="20" s="1"/>
  <c r="BN339" i="20" s="1"/>
  <c r="AO341" i="20"/>
  <c r="AP341" i="20" s="1"/>
  <c r="AQ341" i="20" s="1"/>
  <c r="AR341" i="20" s="1"/>
  <c r="AS341" i="20" s="1"/>
  <c r="AT341" i="20" s="1"/>
  <c r="AU341" i="20" s="1"/>
  <c r="AV341" i="20" s="1"/>
  <c r="AW341" i="20" s="1"/>
  <c r="AX341" i="20" s="1"/>
  <c r="AY341" i="20" s="1"/>
  <c r="AZ341" i="20" s="1"/>
  <c r="BA341" i="20" s="1"/>
  <c r="BB341" i="20" s="1"/>
  <c r="BC341" i="20" s="1"/>
  <c r="BD341" i="20" s="1"/>
  <c r="BE341" i="20" s="1"/>
  <c r="BF341" i="20" s="1"/>
  <c r="BG341" i="20" s="1"/>
  <c r="BH341" i="20" s="1"/>
  <c r="BI341" i="20" s="1"/>
  <c r="BJ341" i="20" s="1"/>
  <c r="BK341" i="20" s="1"/>
  <c r="BL341" i="20" s="1"/>
  <c r="BM341" i="20" s="1"/>
  <c r="BN341" i="20" s="1"/>
  <c r="AO331" i="20"/>
  <c r="AP331" i="20" s="1"/>
  <c r="AQ331" i="20" s="1"/>
  <c r="AR331" i="20" s="1"/>
  <c r="AS331" i="20" s="1"/>
  <c r="AO318" i="20"/>
  <c r="AP318" i="20" s="1"/>
  <c r="AQ318" i="20" s="1"/>
  <c r="AR318" i="20" s="1"/>
  <c r="AS318" i="20" s="1"/>
  <c r="AO417" i="20"/>
  <c r="AO299" i="20"/>
  <c r="AP299" i="20" s="1"/>
  <c r="AQ299" i="20" s="1"/>
  <c r="AR299" i="20" s="1"/>
  <c r="AS299" i="20" s="1"/>
  <c r="AO298" i="20"/>
  <c r="AP298" i="20" s="1"/>
  <c r="AQ298" i="20" s="1"/>
  <c r="AR298" i="20" s="1"/>
  <c r="AS298" i="20" s="1"/>
  <c r="AO338" i="20"/>
  <c r="AO301" i="20"/>
  <c r="AP301" i="20" s="1"/>
  <c r="AQ301" i="20" s="1"/>
  <c r="AR301" i="20" s="1"/>
  <c r="AS301" i="20" s="1"/>
  <c r="AO437" i="20"/>
  <c r="AO455" i="20"/>
  <c r="AO302" i="20"/>
  <c r="AP302" i="20" s="1"/>
  <c r="AQ302" i="20" s="1"/>
  <c r="AR302" i="20" s="1"/>
  <c r="AS302" i="20" s="1"/>
  <c r="AO342" i="20"/>
  <c r="AP342" i="20" s="1"/>
  <c r="AQ342" i="20" s="1"/>
  <c r="AR342" i="20" s="1"/>
  <c r="AS342" i="20" s="1"/>
  <c r="AT342" i="20" s="1"/>
  <c r="AU342" i="20" s="1"/>
  <c r="AV342" i="20" s="1"/>
  <c r="AW342" i="20" s="1"/>
  <c r="AX342" i="20" s="1"/>
  <c r="AY342" i="20" s="1"/>
  <c r="AZ342" i="20" s="1"/>
  <c r="BA342" i="20" s="1"/>
  <c r="BB342" i="20" s="1"/>
  <c r="BC342" i="20" s="1"/>
  <c r="BD342" i="20" s="1"/>
  <c r="BE342" i="20" s="1"/>
  <c r="BF342" i="20" s="1"/>
  <c r="BG342" i="20" s="1"/>
  <c r="BH342" i="20" s="1"/>
  <c r="BI342" i="20" s="1"/>
  <c r="BJ342" i="20" s="1"/>
  <c r="BK342" i="20" s="1"/>
  <c r="BL342" i="20" s="1"/>
  <c r="BM342" i="20" s="1"/>
  <c r="BN342" i="20" s="1"/>
  <c r="AO310" i="20"/>
  <c r="AP310" i="20" s="1"/>
  <c r="AQ310" i="20" s="1"/>
  <c r="AR310" i="20" s="1"/>
  <c r="AS310" i="20" s="1"/>
  <c r="AO353" i="20"/>
  <c r="AP353" i="20" s="1"/>
  <c r="AQ353" i="20" s="1"/>
  <c r="AR353" i="20" s="1"/>
  <c r="AS353" i="20" s="1"/>
  <c r="AO436" i="20"/>
  <c r="AO343" i="20"/>
  <c r="AP343" i="20" s="1"/>
  <c r="AQ343" i="20" s="1"/>
  <c r="AR343" i="20" s="1"/>
  <c r="AS343" i="20" s="1"/>
  <c r="AT343" i="20" s="1"/>
  <c r="AU343" i="20" s="1"/>
  <c r="AV343" i="20" s="1"/>
  <c r="AW343" i="20" s="1"/>
  <c r="AX343" i="20" s="1"/>
  <c r="AY343" i="20" s="1"/>
  <c r="AZ343" i="20" s="1"/>
  <c r="BA343" i="20" s="1"/>
  <c r="BB343" i="20" s="1"/>
  <c r="BC343" i="20" s="1"/>
  <c r="BD343" i="20" s="1"/>
  <c r="BE343" i="20" s="1"/>
  <c r="BF343" i="20" s="1"/>
  <c r="BG343" i="20" s="1"/>
  <c r="BH343" i="20" s="1"/>
  <c r="BI343" i="20" s="1"/>
  <c r="BJ343" i="20" s="1"/>
  <c r="BK343" i="20" s="1"/>
  <c r="BL343" i="20" s="1"/>
  <c r="BM343" i="20" s="1"/>
  <c r="BN343" i="20" s="1"/>
  <c r="AO420" i="20"/>
  <c r="AO438" i="20"/>
  <c r="AO469" i="20"/>
  <c r="AO468" i="20"/>
  <c r="AO418" i="20"/>
  <c r="AO415" i="20"/>
  <c r="AO467" i="20"/>
  <c r="AO466" i="20"/>
  <c r="AO439" i="20"/>
  <c r="AO448" i="20"/>
  <c r="AO330" i="20"/>
  <c r="AP330" i="20" s="1"/>
  <c r="AQ330" i="20" s="1"/>
  <c r="AR330" i="20" s="1"/>
  <c r="AS330" i="20" s="1"/>
  <c r="AO300" i="20"/>
  <c r="AP300" i="20" s="1"/>
  <c r="AQ300" i="20" s="1"/>
  <c r="AR300" i="20" s="1"/>
  <c r="AS300" i="20" s="1"/>
  <c r="AO313" i="20"/>
  <c r="AO319" i="20"/>
  <c r="AP319" i="20" s="1"/>
  <c r="AQ319" i="20" s="1"/>
  <c r="AR319" i="20" s="1"/>
  <c r="AS319" i="20" s="1"/>
  <c r="AO459" i="20"/>
  <c r="AO351" i="20"/>
  <c r="AP351" i="20" s="1"/>
  <c r="AQ351" i="20" s="1"/>
  <c r="AR351" i="20" s="1"/>
  <c r="AS351" i="20" s="1"/>
  <c r="AO349" i="20"/>
  <c r="AP349" i="20" s="1"/>
  <c r="AQ349" i="20" s="1"/>
  <c r="AR349" i="20" s="1"/>
  <c r="AS349" i="20" s="1"/>
  <c r="AO435" i="20"/>
  <c r="AO352" i="20"/>
  <c r="AP352" i="20" s="1"/>
  <c r="AQ352" i="20" s="1"/>
  <c r="AR352" i="20" s="1"/>
  <c r="AS352" i="20" s="1"/>
  <c r="AO322" i="20"/>
  <c r="AP322" i="20" s="1"/>
  <c r="AQ322" i="20" s="1"/>
  <c r="AR322" i="20" s="1"/>
  <c r="AS322" i="20" s="1"/>
  <c r="AO311" i="20"/>
  <c r="AP311" i="20" s="1"/>
  <c r="AQ311" i="20" s="1"/>
  <c r="AR311" i="20" s="1"/>
  <c r="AS311" i="20" s="1"/>
  <c r="AP373" i="20"/>
  <c r="AO425" i="20"/>
  <c r="AO426" i="20"/>
  <c r="AO427" i="20"/>
  <c r="AO428" i="20"/>
  <c r="AO429" i="20"/>
  <c r="AO430" i="20"/>
  <c r="AO410" i="20"/>
  <c r="AO385" i="20"/>
  <c r="AP385" i="20" s="1"/>
  <c r="AO405" i="20"/>
  <c r="AO396" i="20"/>
  <c r="AO387" i="20"/>
  <c r="AO388" i="20"/>
  <c r="AP388" i="20" s="1"/>
  <c r="AO378" i="20"/>
  <c r="AO389" i="20"/>
  <c r="AO400" i="20"/>
  <c r="AO397" i="20"/>
  <c r="AP397" i="20" s="1"/>
  <c r="AO398" i="20"/>
  <c r="AO399" i="20"/>
  <c r="AO390" i="20"/>
  <c r="AO375" i="20"/>
  <c r="AP375" i="20" s="1"/>
  <c r="AO380" i="20"/>
  <c r="AO409" i="20"/>
  <c r="AO379" i="20"/>
  <c r="AO395" i="20"/>
  <c r="AP395" i="20" s="1"/>
  <c r="AO386" i="20"/>
  <c r="AO406" i="20"/>
  <c r="AO407" i="20"/>
  <c r="AO882" i="20" s="1"/>
  <c r="AO408" i="20"/>
  <c r="AP408" i="20" s="1"/>
  <c r="AO376" i="20"/>
  <c r="AO377" i="20"/>
  <c r="AO445" i="20"/>
  <c r="AO323" i="20"/>
  <c r="AP323" i="20" s="1"/>
  <c r="AQ323" i="20" s="1"/>
  <c r="AR323" i="20" s="1"/>
  <c r="AS323" i="20" s="1"/>
  <c r="AO328" i="20"/>
  <c r="AP328" i="20" s="1"/>
  <c r="AQ328" i="20" s="1"/>
  <c r="AR328" i="20" s="1"/>
  <c r="AS328" i="20" s="1"/>
  <c r="AO416" i="20"/>
  <c r="AO350" i="20"/>
  <c r="AP350" i="20" s="1"/>
  <c r="AQ350" i="20" s="1"/>
  <c r="AR350" i="20" s="1"/>
  <c r="AS350" i="20" s="1"/>
  <c r="AO457" i="20"/>
  <c r="AO320" i="20"/>
  <c r="AP320" i="20" s="1"/>
  <c r="AQ320" i="20" s="1"/>
  <c r="AR320" i="20" s="1"/>
  <c r="AS320" i="20" s="1"/>
  <c r="AO332" i="20"/>
  <c r="AP332" i="20" s="1"/>
  <c r="AQ332" i="20" s="1"/>
  <c r="AR332" i="20" s="1"/>
  <c r="AS332" i="20" s="1"/>
  <c r="AO446" i="20"/>
  <c r="AO321" i="20"/>
  <c r="AP321" i="20" s="1"/>
  <c r="AQ321" i="20" s="1"/>
  <c r="AR321" i="20" s="1"/>
  <c r="AS321" i="20" s="1"/>
  <c r="AO303" i="20"/>
  <c r="AP303" i="20" s="1"/>
  <c r="AQ303" i="20" s="1"/>
  <c r="AR303" i="20" s="1"/>
  <c r="AS303" i="20" s="1"/>
  <c r="AO458" i="20"/>
  <c r="AO308" i="20"/>
  <c r="AP308" i="20" s="1"/>
  <c r="AQ308" i="20" s="1"/>
  <c r="AR308" i="20" s="1"/>
  <c r="AS308" i="20" s="1"/>
  <c r="AM254" i="20"/>
  <c r="AF265" i="20"/>
  <c r="AF275" i="20"/>
  <c r="AF285" i="20"/>
  <c r="AF297" i="20"/>
  <c r="AF307" i="20"/>
  <c r="AF317" i="20"/>
  <c r="AF327" i="20"/>
  <c r="AF337" i="20"/>
  <c r="AF347" i="20"/>
  <c r="AF255" i="20"/>
  <c r="H102" i="20"/>
  <c r="H103" i="20"/>
  <c r="H104" i="20"/>
  <c r="H105" i="20"/>
  <c r="H106" i="20"/>
  <c r="H95" i="20"/>
  <c r="H96" i="20"/>
  <c r="H97" i="20"/>
  <c r="H94" i="20"/>
  <c r="H101" i="20"/>
  <c r="B21" i="20"/>
  <c r="AO522" i="20" l="1"/>
  <c r="AO519" i="20"/>
  <c r="AO520" i="20"/>
  <c r="AO516" i="20"/>
  <c r="AO515" i="20"/>
  <c r="AO517" i="20"/>
  <c r="AO518" i="20"/>
  <c r="AO521" i="20"/>
  <c r="AW787" i="20"/>
  <c r="AV892" i="20"/>
  <c r="BE954" i="20"/>
  <c r="AP457" i="20"/>
  <c r="AP932" i="20" s="1"/>
  <c r="AO932" i="20"/>
  <c r="AP338" i="20"/>
  <c r="AO931" i="20"/>
  <c r="AS914" i="20"/>
  <c r="AR909" i="20"/>
  <c r="AP313" i="20"/>
  <c r="AO906" i="20"/>
  <c r="AU939" i="20"/>
  <c r="AS934" i="20"/>
  <c r="BE929" i="20"/>
  <c r="BE904" i="20"/>
  <c r="BF879" i="20"/>
  <c r="AP440" i="20"/>
  <c r="AV722" i="20"/>
  <c r="AP514" i="20"/>
  <c r="AP437" i="20"/>
  <c r="AP447" i="20"/>
  <c r="AP458" i="20"/>
  <c r="AP376" i="20"/>
  <c r="AP386" i="20"/>
  <c r="AP380" i="20"/>
  <c r="AP398" i="20"/>
  <c r="AP378" i="20"/>
  <c r="AP405" i="20"/>
  <c r="AP417" i="20"/>
  <c r="AP446" i="20"/>
  <c r="AP445" i="20"/>
  <c r="AP407" i="20"/>
  <c r="AP882" i="20" s="1"/>
  <c r="AP379" i="20"/>
  <c r="AP390" i="20"/>
  <c r="AP400" i="20"/>
  <c r="AP387" i="20"/>
  <c r="AP410" i="20"/>
  <c r="AP460" i="20"/>
  <c r="AP435" i="20"/>
  <c r="AP448" i="20"/>
  <c r="AP415" i="20"/>
  <c r="AP438" i="20"/>
  <c r="AP430" i="20"/>
  <c r="AP439" i="20"/>
  <c r="AP418" i="20"/>
  <c r="AP420" i="20"/>
  <c r="AQ373" i="20"/>
  <c r="AP425" i="20"/>
  <c r="AP426" i="20"/>
  <c r="AP427" i="20"/>
  <c r="AP428" i="20"/>
  <c r="AQ428" i="20" s="1"/>
  <c r="AP429" i="20"/>
  <c r="AP470" i="20"/>
  <c r="AP466" i="20"/>
  <c r="AP468" i="20"/>
  <c r="AQ468" i="20" s="1"/>
  <c r="AP449" i="20"/>
  <c r="AP436" i="20"/>
  <c r="AP450" i="20"/>
  <c r="AM272" i="20"/>
  <c r="AM267" i="20"/>
  <c r="AM265" i="20"/>
  <c r="AM268" i="20"/>
  <c r="AM271" i="20"/>
  <c r="AM266" i="20"/>
  <c r="AM270" i="20"/>
  <c r="AM269" i="20"/>
  <c r="AP416" i="20"/>
  <c r="AP377" i="20"/>
  <c r="AP406" i="20"/>
  <c r="AP409" i="20"/>
  <c r="AP399" i="20"/>
  <c r="AP389" i="20"/>
  <c r="AP396" i="20"/>
  <c r="AP465" i="20"/>
  <c r="AP459" i="20"/>
  <c r="AP467" i="20"/>
  <c r="AP469" i="20"/>
  <c r="AP456" i="20"/>
  <c r="AP455" i="20"/>
  <c r="AP419" i="20"/>
  <c r="AM285" i="20"/>
  <c r="AM290" i="20"/>
  <c r="AM292" i="20"/>
  <c r="AM286" i="20"/>
  <c r="AM287" i="20"/>
  <c r="AM288" i="20"/>
  <c r="AM881" i="20" s="1"/>
  <c r="AM289" i="20"/>
  <c r="AM291" i="20"/>
  <c r="AM275" i="20"/>
  <c r="AM276" i="20"/>
  <c r="AM277" i="20"/>
  <c r="AM278" i="20"/>
  <c r="AM279" i="20"/>
  <c r="AM280" i="20"/>
  <c r="AM281" i="20"/>
  <c r="AM282" i="20"/>
  <c r="AN254" i="20"/>
  <c r="AQ456" i="20" l="1"/>
  <c r="AQ409" i="20"/>
  <c r="AQ465" i="20"/>
  <c r="AP521" i="20"/>
  <c r="AP516" i="20"/>
  <c r="AP518" i="20"/>
  <c r="AP520" i="20"/>
  <c r="AP517" i="20"/>
  <c r="AP519" i="20"/>
  <c r="AP515" i="20"/>
  <c r="AP522" i="20"/>
  <c r="AQ457" i="20"/>
  <c r="AQ932" i="20" s="1"/>
  <c r="AX787" i="20"/>
  <c r="AW892" i="20"/>
  <c r="BF954" i="20"/>
  <c r="AT934" i="20"/>
  <c r="AQ313" i="20"/>
  <c r="AP906" i="20"/>
  <c r="AS909" i="20"/>
  <c r="AT914" i="20"/>
  <c r="AQ338" i="20"/>
  <c r="AP931" i="20"/>
  <c r="AV939" i="20"/>
  <c r="BF929" i="20"/>
  <c r="BF904" i="20"/>
  <c r="BG879" i="20"/>
  <c r="AQ469" i="20"/>
  <c r="AQ458" i="20"/>
  <c r="AQ467" i="20"/>
  <c r="AQ389" i="20"/>
  <c r="AQ377" i="20"/>
  <c r="AQ436" i="20"/>
  <c r="AQ470" i="20"/>
  <c r="AQ426" i="20"/>
  <c r="AQ419" i="20"/>
  <c r="AW722" i="20"/>
  <c r="AQ446" i="20"/>
  <c r="AQ396" i="20"/>
  <c r="AQ406" i="20"/>
  <c r="AQ449" i="20"/>
  <c r="AQ429" i="20"/>
  <c r="AQ425" i="20"/>
  <c r="AQ415" i="20"/>
  <c r="AQ410" i="20"/>
  <c r="AQ379" i="20"/>
  <c r="AQ398" i="20"/>
  <c r="AQ514" i="20"/>
  <c r="AQ455" i="20"/>
  <c r="AQ459" i="20"/>
  <c r="AQ399" i="20"/>
  <c r="AQ416" i="20"/>
  <c r="AQ450" i="20"/>
  <c r="AQ466" i="20"/>
  <c r="AQ427" i="20"/>
  <c r="AQ438" i="20"/>
  <c r="AQ430" i="20"/>
  <c r="AQ435" i="20"/>
  <c r="AQ400" i="20"/>
  <c r="AQ420" i="20"/>
  <c r="AQ439" i="20"/>
  <c r="AQ445" i="20"/>
  <c r="AR373" i="20"/>
  <c r="AQ390" i="20"/>
  <c r="AQ417" i="20"/>
  <c r="AQ460" i="20"/>
  <c r="AQ376" i="20"/>
  <c r="AR376" i="20" s="1"/>
  <c r="AQ385" i="20"/>
  <c r="AQ395" i="20"/>
  <c r="AQ380" i="20"/>
  <c r="AN265" i="20"/>
  <c r="AQ388" i="20"/>
  <c r="AQ408" i="20"/>
  <c r="AQ378" i="20"/>
  <c r="AN267" i="20"/>
  <c r="AN269" i="20"/>
  <c r="AN272" i="20"/>
  <c r="AN270" i="20"/>
  <c r="AN268" i="20"/>
  <c r="AN271" i="20"/>
  <c r="AN266" i="20"/>
  <c r="AQ387" i="20"/>
  <c r="AQ407" i="20"/>
  <c r="AQ882" i="20" s="1"/>
  <c r="AQ448" i="20"/>
  <c r="AQ405" i="20"/>
  <c r="AQ418" i="20"/>
  <c r="AQ397" i="20"/>
  <c r="AQ447" i="20"/>
  <c r="AQ386" i="20"/>
  <c r="AQ375" i="20"/>
  <c r="AQ437" i="20"/>
  <c r="AQ440" i="20"/>
  <c r="AM273" i="20"/>
  <c r="AM402" i="20"/>
  <c r="AM412" i="20"/>
  <c r="AN290" i="20"/>
  <c r="AN292" i="20"/>
  <c r="AN286" i="20"/>
  <c r="AN287" i="20"/>
  <c r="AN288" i="20"/>
  <c r="AN881" i="20" s="1"/>
  <c r="AN289" i="20"/>
  <c r="AN291" i="20"/>
  <c r="AN275" i="20"/>
  <c r="AN276" i="20"/>
  <c r="AN277" i="20"/>
  <c r="AN278" i="20"/>
  <c r="AN279" i="20"/>
  <c r="AN280" i="20"/>
  <c r="AN281" i="20"/>
  <c r="AN282" i="20"/>
  <c r="AM382" i="20"/>
  <c r="AM857" i="20" s="1"/>
  <c r="AM283" i="20"/>
  <c r="AM392" i="20"/>
  <c r="AN285" i="20"/>
  <c r="AM293" i="20"/>
  <c r="AO254" i="20"/>
  <c r="AK216" i="20"/>
  <c r="AL207" i="20"/>
  <c r="AM207" i="20" s="1"/>
  <c r="AN207" i="20" s="1"/>
  <c r="AO207" i="20" s="1"/>
  <c r="AP207" i="20" s="1"/>
  <c r="AQ207" i="20" s="1"/>
  <c r="AR207" i="20" s="1"/>
  <c r="AS207" i="20" s="1"/>
  <c r="AT207" i="20" s="1"/>
  <c r="AU207" i="20" s="1"/>
  <c r="AV207" i="20" s="1"/>
  <c r="AW207" i="20" s="1"/>
  <c r="AX207" i="20" s="1"/>
  <c r="AY207" i="20" s="1"/>
  <c r="AZ207" i="20" s="1"/>
  <c r="BA207" i="20" s="1"/>
  <c r="BB207" i="20" s="1"/>
  <c r="BC207" i="20" s="1"/>
  <c r="BD207" i="20" s="1"/>
  <c r="BE207" i="20" s="1"/>
  <c r="BF207" i="20" s="1"/>
  <c r="BG207" i="20" s="1"/>
  <c r="BH207" i="20" s="1"/>
  <c r="BI207" i="20" s="1"/>
  <c r="BJ207" i="20" s="1"/>
  <c r="BK207" i="20" s="1"/>
  <c r="BL207" i="20" s="1"/>
  <c r="BM207" i="20" s="1"/>
  <c r="BN207" i="20" s="1"/>
  <c r="AK203" i="20"/>
  <c r="AL194" i="20"/>
  <c r="AM194" i="20" s="1"/>
  <c r="AN194" i="20" s="1"/>
  <c r="AO194" i="20" s="1"/>
  <c r="AP194" i="20" s="1"/>
  <c r="AQ194" i="20" s="1"/>
  <c r="AR194" i="20" s="1"/>
  <c r="AS194" i="20" s="1"/>
  <c r="AT194" i="20" s="1"/>
  <c r="AU194" i="20" s="1"/>
  <c r="AV194" i="20" s="1"/>
  <c r="AW194" i="20" s="1"/>
  <c r="AX194" i="20" s="1"/>
  <c r="AY194" i="20" s="1"/>
  <c r="AZ194" i="20" s="1"/>
  <c r="BA194" i="20" s="1"/>
  <c r="BB194" i="20" s="1"/>
  <c r="BC194" i="20" s="1"/>
  <c r="BD194" i="20" s="1"/>
  <c r="BE194" i="20" s="1"/>
  <c r="BF194" i="20" s="1"/>
  <c r="BG194" i="20" s="1"/>
  <c r="BH194" i="20" s="1"/>
  <c r="BI194" i="20" s="1"/>
  <c r="BJ194" i="20" s="1"/>
  <c r="BK194" i="20" s="1"/>
  <c r="BL194" i="20" s="1"/>
  <c r="BM194" i="20" s="1"/>
  <c r="BN194" i="20" s="1"/>
  <c r="AK190" i="20"/>
  <c r="AL181" i="20"/>
  <c r="AM181" i="20" s="1"/>
  <c r="AN181" i="20" s="1"/>
  <c r="AO181" i="20" s="1"/>
  <c r="AP181" i="20" s="1"/>
  <c r="AQ181" i="20" s="1"/>
  <c r="AR181" i="20" s="1"/>
  <c r="AS181" i="20" s="1"/>
  <c r="AT181" i="20" s="1"/>
  <c r="AU181" i="20" s="1"/>
  <c r="AV181" i="20" s="1"/>
  <c r="AW181" i="20" s="1"/>
  <c r="AX181" i="20" s="1"/>
  <c r="AY181" i="20" s="1"/>
  <c r="AZ181" i="20" s="1"/>
  <c r="BA181" i="20" s="1"/>
  <c r="BB181" i="20" s="1"/>
  <c r="BC181" i="20" s="1"/>
  <c r="BD181" i="20" s="1"/>
  <c r="BE181" i="20" s="1"/>
  <c r="BF181" i="20" s="1"/>
  <c r="BG181" i="20" s="1"/>
  <c r="BH181" i="20" s="1"/>
  <c r="BI181" i="20" s="1"/>
  <c r="BJ181" i="20" s="1"/>
  <c r="BK181" i="20" s="1"/>
  <c r="BL181" i="20" s="1"/>
  <c r="BM181" i="20" s="1"/>
  <c r="BN181" i="20" s="1"/>
  <c r="AK177" i="20"/>
  <c r="AL168" i="20"/>
  <c r="AM168" i="20" s="1"/>
  <c r="AN168" i="20" s="1"/>
  <c r="AO168" i="20" s="1"/>
  <c r="AP168" i="20" s="1"/>
  <c r="AQ168" i="20" s="1"/>
  <c r="AR168" i="20" s="1"/>
  <c r="AS168" i="20" s="1"/>
  <c r="AT168" i="20" s="1"/>
  <c r="AU168" i="20" s="1"/>
  <c r="AV168" i="20" s="1"/>
  <c r="AW168" i="20" s="1"/>
  <c r="AX168" i="20" s="1"/>
  <c r="AY168" i="20" s="1"/>
  <c r="AZ168" i="20" s="1"/>
  <c r="BA168" i="20" s="1"/>
  <c r="BB168" i="20" s="1"/>
  <c r="BC168" i="20" s="1"/>
  <c r="BD168" i="20" s="1"/>
  <c r="BE168" i="20" s="1"/>
  <c r="BF168" i="20" s="1"/>
  <c r="BG168" i="20" s="1"/>
  <c r="BH168" i="20" s="1"/>
  <c r="BI168" i="20" s="1"/>
  <c r="BJ168" i="20" s="1"/>
  <c r="BK168" i="20" s="1"/>
  <c r="BL168" i="20" s="1"/>
  <c r="BM168" i="20" s="1"/>
  <c r="BN168" i="20" s="1"/>
  <c r="AK164" i="20"/>
  <c r="AL155" i="20"/>
  <c r="AM155" i="20" s="1"/>
  <c r="AN155" i="20" s="1"/>
  <c r="AO155" i="20" s="1"/>
  <c r="AP155" i="20" s="1"/>
  <c r="AQ155" i="20" s="1"/>
  <c r="AR155" i="20" s="1"/>
  <c r="AS155" i="20" s="1"/>
  <c r="AT155" i="20" s="1"/>
  <c r="AU155" i="20" s="1"/>
  <c r="AV155" i="20" s="1"/>
  <c r="AW155" i="20" s="1"/>
  <c r="AX155" i="20" s="1"/>
  <c r="AY155" i="20" s="1"/>
  <c r="AZ155" i="20" s="1"/>
  <c r="BA155" i="20" s="1"/>
  <c r="BB155" i="20" s="1"/>
  <c r="BC155" i="20" s="1"/>
  <c r="BD155" i="20" s="1"/>
  <c r="BE155" i="20" s="1"/>
  <c r="BF155" i="20" s="1"/>
  <c r="BG155" i="20" s="1"/>
  <c r="BH155" i="20" s="1"/>
  <c r="BI155" i="20" s="1"/>
  <c r="BJ155" i="20" s="1"/>
  <c r="BK155" i="20" s="1"/>
  <c r="BL155" i="20" s="1"/>
  <c r="BM155" i="20" s="1"/>
  <c r="BN155" i="20" s="1"/>
  <c r="AL142" i="20"/>
  <c r="AM142" i="20" s="1"/>
  <c r="AN142" i="20" s="1"/>
  <c r="AO142" i="20" s="1"/>
  <c r="AP142" i="20" s="1"/>
  <c r="AQ142" i="20" s="1"/>
  <c r="AR142" i="20" s="1"/>
  <c r="AS142" i="20" s="1"/>
  <c r="AT142" i="20" s="1"/>
  <c r="AU142" i="20" s="1"/>
  <c r="AV142" i="20" s="1"/>
  <c r="AW142" i="20" s="1"/>
  <c r="AX142" i="20" s="1"/>
  <c r="AY142" i="20" s="1"/>
  <c r="AZ142" i="20" s="1"/>
  <c r="BA142" i="20" s="1"/>
  <c r="BB142" i="20" s="1"/>
  <c r="BC142" i="20" s="1"/>
  <c r="BD142" i="20" s="1"/>
  <c r="BE142" i="20" s="1"/>
  <c r="BF142" i="20" s="1"/>
  <c r="BG142" i="20" s="1"/>
  <c r="BH142" i="20" s="1"/>
  <c r="BI142" i="20" s="1"/>
  <c r="BJ142" i="20" s="1"/>
  <c r="BK142" i="20" s="1"/>
  <c r="BL142" i="20" s="1"/>
  <c r="BM142" i="20" s="1"/>
  <c r="BN142" i="20" s="1"/>
  <c r="AK151" i="20"/>
  <c r="AK138" i="20"/>
  <c r="AL131" i="20"/>
  <c r="AM219" i="20"/>
  <c r="AN219" i="20" s="1"/>
  <c r="AO219" i="20" s="1"/>
  <c r="AP219" i="20" s="1"/>
  <c r="AQ219" i="20" s="1"/>
  <c r="AR219" i="20" s="1"/>
  <c r="AS219" i="20" s="1"/>
  <c r="AT219" i="20" s="1"/>
  <c r="AU219" i="20" s="1"/>
  <c r="AV219" i="20" s="1"/>
  <c r="AW219" i="20" s="1"/>
  <c r="AX219" i="20" s="1"/>
  <c r="AY219" i="20" s="1"/>
  <c r="AZ219" i="20" s="1"/>
  <c r="BA219" i="20" s="1"/>
  <c r="BB219" i="20" s="1"/>
  <c r="BC219" i="20" s="1"/>
  <c r="BD219" i="20" s="1"/>
  <c r="BE219" i="20" s="1"/>
  <c r="BF219" i="20" s="1"/>
  <c r="BG219" i="20" s="1"/>
  <c r="BH219" i="20" s="1"/>
  <c r="BI219" i="20" s="1"/>
  <c r="BJ219" i="20" s="1"/>
  <c r="BK219" i="20" s="1"/>
  <c r="BL219" i="20" s="1"/>
  <c r="BM219" i="20" s="1"/>
  <c r="BN219" i="20" s="1"/>
  <c r="AK6" i="20"/>
  <c r="AL6" i="20" s="1"/>
  <c r="AM6" i="20" s="1"/>
  <c r="AR456" i="20" l="1"/>
  <c r="AQ521" i="20"/>
  <c r="AQ522" i="20"/>
  <c r="AQ520" i="20"/>
  <c r="AQ515" i="20"/>
  <c r="AQ518" i="20"/>
  <c r="AR400" i="20"/>
  <c r="AQ519" i="20"/>
  <c r="AQ516" i="20"/>
  <c r="AQ517" i="20"/>
  <c r="AY787" i="20"/>
  <c r="AX892" i="20"/>
  <c r="AR419" i="20"/>
  <c r="AR415" i="20"/>
  <c r="BG954" i="20"/>
  <c r="AW939" i="20"/>
  <c r="AR338" i="20"/>
  <c r="AQ931" i="20"/>
  <c r="AT909" i="20"/>
  <c r="AR313" i="20"/>
  <c r="AQ906" i="20"/>
  <c r="AU914" i="20"/>
  <c r="AU934" i="20"/>
  <c r="BG929" i="20"/>
  <c r="BG904" i="20"/>
  <c r="BH879" i="20"/>
  <c r="AR406" i="20"/>
  <c r="AX722" i="20"/>
  <c r="AR514" i="20"/>
  <c r="AR470" i="20"/>
  <c r="AR430" i="20"/>
  <c r="AR375" i="20"/>
  <c r="AR447" i="20"/>
  <c r="AR448" i="20"/>
  <c r="AR378" i="20"/>
  <c r="AR427" i="20"/>
  <c r="AR439" i="20"/>
  <c r="AR425" i="20"/>
  <c r="AR416" i="20"/>
  <c r="AR397" i="20"/>
  <c r="AR407" i="20"/>
  <c r="AR882" i="20" s="1"/>
  <c r="AR449" i="20"/>
  <c r="AR377" i="20"/>
  <c r="AR396" i="20"/>
  <c r="AR408" i="20"/>
  <c r="AR438" i="20"/>
  <c r="AR436" i="20"/>
  <c r="AR380" i="20"/>
  <c r="AR460" i="20"/>
  <c r="AR445" i="20"/>
  <c r="AR440" i="20"/>
  <c r="AR398" i="20"/>
  <c r="AR429" i="20"/>
  <c r="AR459" i="20"/>
  <c r="AR418" i="20"/>
  <c r="AR387" i="20"/>
  <c r="AR457" i="20"/>
  <c r="AR932" i="20" s="1"/>
  <c r="AR389" i="20"/>
  <c r="AR469" i="20"/>
  <c r="AR388" i="20"/>
  <c r="AR379" i="20"/>
  <c r="AR446" i="20"/>
  <c r="AR395" i="20"/>
  <c r="AR417" i="20"/>
  <c r="AR437" i="20"/>
  <c r="AR435" i="20"/>
  <c r="AR468" i="20"/>
  <c r="AR386" i="20"/>
  <c r="AR405" i="20"/>
  <c r="AR426" i="20"/>
  <c r="AR467" i="20"/>
  <c r="AR420" i="20"/>
  <c r="AR410" i="20"/>
  <c r="AR385" i="20"/>
  <c r="AR390" i="20"/>
  <c r="AR450" i="20"/>
  <c r="AM461" i="20"/>
  <c r="AM451" i="20"/>
  <c r="AM471" i="20"/>
  <c r="AM421" i="20"/>
  <c r="AM441" i="20"/>
  <c r="AR466" i="20"/>
  <c r="AR465" i="20"/>
  <c r="AO267" i="20"/>
  <c r="AO265" i="20"/>
  <c r="AO266" i="20"/>
  <c r="AS373" i="20"/>
  <c r="AR458" i="20"/>
  <c r="AR399" i="20"/>
  <c r="AO270" i="20"/>
  <c r="AO269" i="20"/>
  <c r="AO272" i="20"/>
  <c r="AO271" i="20"/>
  <c r="AO268" i="20"/>
  <c r="AR428" i="20"/>
  <c r="AR409" i="20"/>
  <c r="AR455" i="20"/>
  <c r="AN6" i="20"/>
  <c r="AM344" i="20"/>
  <c r="AM334" i="20"/>
  <c r="AM324" i="20"/>
  <c r="AM354" i="20"/>
  <c r="AN354" i="20" s="1"/>
  <c r="AO354" i="20" s="1"/>
  <c r="AP354" i="20" s="1"/>
  <c r="AQ354" i="20" s="1"/>
  <c r="AR354" i="20" s="1"/>
  <c r="AS354" i="20" s="1"/>
  <c r="AM314" i="20"/>
  <c r="AM304" i="20"/>
  <c r="AO287" i="20"/>
  <c r="AO288" i="20"/>
  <c r="AO881" i="20" s="1"/>
  <c r="AO289" i="20"/>
  <c r="AO291" i="20"/>
  <c r="AO275" i="20"/>
  <c r="AO277" i="20"/>
  <c r="AO279" i="20"/>
  <c r="AO290" i="20"/>
  <c r="AO292" i="20"/>
  <c r="AO286" i="20"/>
  <c r="AO276" i="20"/>
  <c r="AO278" i="20"/>
  <c r="AO280" i="20"/>
  <c r="AO281" i="20"/>
  <c r="AO282" i="20"/>
  <c r="AN392" i="20"/>
  <c r="AN382" i="20"/>
  <c r="AN857" i="20" s="1"/>
  <c r="AN402" i="20"/>
  <c r="AN273" i="20"/>
  <c r="AO285" i="20"/>
  <c r="AN293" i="20"/>
  <c r="AN412" i="20"/>
  <c r="AN283" i="20"/>
  <c r="AP254" i="20"/>
  <c r="AM131" i="20"/>
  <c r="AN131" i="20" s="1"/>
  <c r="AO131" i="20" s="1"/>
  <c r="AP131" i="20" s="1"/>
  <c r="AQ131" i="20" s="1"/>
  <c r="AR131" i="20" s="1"/>
  <c r="AS131" i="20" s="1"/>
  <c r="AT131" i="20" s="1"/>
  <c r="AU131" i="20" s="1"/>
  <c r="AV131" i="20" s="1"/>
  <c r="AW131" i="20" s="1"/>
  <c r="AX131" i="20" s="1"/>
  <c r="AY131" i="20" s="1"/>
  <c r="AZ131" i="20" s="1"/>
  <c r="BA131" i="20" s="1"/>
  <c r="BB131" i="20" s="1"/>
  <c r="BC131" i="20" s="1"/>
  <c r="BD131" i="20" s="1"/>
  <c r="BE131" i="20" s="1"/>
  <c r="BF131" i="20" s="1"/>
  <c r="BG131" i="20" s="1"/>
  <c r="BH131" i="20" s="1"/>
  <c r="BI131" i="20" s="1"/>
  <c r="BJ131" i="20" s="1"/>
  <c r="BK131" i="20" s="1"/>
  <c r="BL131" i="20" s="1"/>
  <c r="BM131" i="20" s="1"/>
  <c r="BN131" i="20" s="1"/>
  <c r="AR521" i="20" l="1"/>
  <c r="AR516" i="20"/>
  <c r="AR518" i="20"/>
  <c r="AR519" i="20"/>
  <c r="AR515" i="20"/>
  <c r="AR520" i="20"/>
  <c r="AR517" i="20"/>
  <c r="AR522" i="20"/>
  <c r="AZ787" i="20"/>
  <c r="AY892" i="20"/>
  <c r="BH954" i="20"/>
  <c r="AV934" i="20"/>
  <c r="AU909" i="20"/>
  <c r="AV914" i="20"/>
  <c r="AS313" i="20"/>
  <c r="AR906" i="20"/>
  <c r="AS338" i="20"/>
  <c r="AR931" i="20"/>
  <c r="AX939" i="20"/>
  <c r="BH929" i="20"/>
  <c r="BH904" i="20"/>
  <c r="BI879" i="20"/>
  <c r="AS398" i="20"/>
  <c r="AS449" i="20"/>
  <c r="AS460" i="20"/>
  <c r="AO6" i="20"/>
  <c r="AN728" i="20"/>
  <c r="AO728" i="20" s="1"/>
  <c r="AP728" i="20" s="1"/>
  <c r="AQ728" i="20" s="1"/>
  <c r="AR728" i="20" s="1"/>
  <c r="AS728" i="20" s="1"/>
  <c r="AS439" i="20"/>
  <c r="AS514" i="20"/>
  <c r="AS521" i="20" s="1"/>
  <c r="AS436" i="20"/>
  <c r="AS407" i="20"/>
  <c r="AS882" i="20" s="1"/>
  <c r="AS440" i="20"/>
  <c r="AS376" i="20"/>
  <c r="AS409" i="20"/>
  <c r="AS438" i="20"/>
  <c r="AS397" i="20"/>
  <c r="AS428" i="20"/>
  <c r="AS408" i="20"/>
  <c r="AS396" i="20"/>
  <c r="AS425" i="20"/>
  <c r="AN324" i="20"/>
  <c r="AO324" i="20" s="1"/>
  <c r="AP324" i="20" s="1"/>
  <c r="AQ324" i="20" s="1"/>
  <c r="AR324" i="20" s="1"/>
  <c r="AS324" i="20" s="1"/>
  <c r="AS455" i="20"/>
  <c r="AS380" i="20"/>
  <c r="AS377" i="20"/>
  <c r="AS416" i="20"/>
  <c r="AS399" i="20"/>
  <c r="AS406" i="20"/>
  <c r="AS448" i="20"/>
  <c r="AS378" i="20"/>
  <c r="AN314" i="20"/>
  <c r="AO314" i="20" s="1"/>
  <c r="AP314" i="20" s="1"/>
  <c r="AQ314" i="20" s="1"/>
  <c r="AR314" i="20" s="1"/>
  <c r="AS314" i="20" s="1"/>
  <c r="AN344" i="20"/>
  <c r="AO344" i="20" s="1"/>
  <c r="AP344" i="20" s="1"/>
  <c r="AQ344" i="20" s="1"/>
  <c r="AR344" i="20" s="1"/>
  <c r="AS344" i="20" s="1"/>
  <c r="AP268" i="20"/>
  <c r="AP269" i="20"/>
  <c r="AT373" i="20"/>
  <c r="AS430" i="20"/>
  <c r="AP266" i="20"/>
  <c r="AS415" i="20"/>
  <c r="AS390" i="20"/>
  <c r="AS420" i="20"/>
  <c r="AS405" i="20"/>
  <c r="AS375" i="20"/>
  <c r="AS395" i="20"/>
  <c r="AS387" i="20"/>
  <c r="AS435" i="20"/>
  <c r="AN471" i="20"/>
  <c r="AO471" i="20" s="1"/>
  <c r="AP471" i="20" s="1"/>
  <c r="AQ471" i="20" s="1"/>
  <c r="AR471" i="20" s="1"/>
  <c r="AS471" i="20" s="1"/>
  <c r="AP270" i="20"/>
  <c r="AS470" i="20"/>
  <c r="AS400" i="20"/>
  <c r="AS385" i="20"/>
  <c r="AP267" i="20"/>
  <c r="AS467" i="20"/>
  <c r="AS386" i="20"/>
  <c r="AS465" i="20"/>
  <c r="AS446" i="20"/>
  <c r="AS469" i="20"/>
  <c r="AS418" i="20"/>
  <c r="AS437" i="20"/>
  <c r="AN451" i="20"/>
  <c r="AO451" i="20" s="1"/>
  <c r="AP451" i="20" s="1"/>
  <c r="AQ451" i="20" s="1"/>
  <c r="AR451" i="20" s="1"/>
  <c r="AS451" i="20" s="1"/>
  <c r="AP271" i="20"/>
  <c r="AP265" i="20"/>
  <c r="AS468" i="20"/>
  <c r="AS466" i="20"/>
  <c r="AS379" i="20"/>
  <c r="AS389" i="20"/>
  <c r="AS459" i="20"/>
  <c r="AN441" i="20"/>
  <c r="AO441" i="20" s="1"/>
  <c r="AP441" i="20" s="1"/>
  <c r="AQ441" i="20" s="1"/>
  <c r="AR441" i="20" s="1"/>
  <c r="AS441" i="20" s="1"/>
  <c r="AN461" i="20"/>
  <c r="AO461" i="20" s="1"/>
  <c r="AP461" i="20" s="1"/>
  <c r="AQ461" i="20" s="1"/>
  <c r="AR461" i="20" s="1"/>
  <c r="AS461" i="20" s="1"/>
  <c r="AN304" i="20"/>
  <c r="AO304" i="20" s="1"/>
  <c r="AP304" i="20" s="1"/>
  <c r="AQ304" i="20" s="1"/>
  <c r="AR304" i="20" s="1"/>
  <c r="AS304" i="20" s="1"/>
  <c r="AN334" i="20"/>
  <c r="AO334" i="20" s="1"/>
  <c r="AP334" i="20" s="1"/>
  <c r="AQ334" i="20" s="1"/>
  <c r="AR334" i="20" s="1"/>
  <c r="AS334" i="20" s="1"/>
  <c r="AP272" i="20"/>
  <c r="AS458" i="20"/>
  <c r="AS427" i="20"/>
  <c r="AS419" i="20"/>
  <c r="AS447" i="20"/>
  <c r="AS450" i="20"/>
  <c r="AS410" i="20"/>
  <c r="AS426" i="20"/>
  <c r="AS445" i="20"/>
  <c r="AS417" i="20"/>
  <c r="AS388" i="20"/>
  <c r="AS457" i="20"/>
  <c r="AS932" i="20" s="1"/>
  <c r="AS429" i="20"/>
  <c r="AN421" i="20"/>
  <c r="AO421" i="20" s="1"/>
  <c r="AP421" i="20" s="1"/>
  <c r="AQ421" i="20" s="1"/>
  <c r="AR421" i="20" s="1"/>
  <c r="AS421" i="20" s="1"/>
  <c r="AS456" i="20"/>
  <c r="AO283" i="20"/>
  <c r="AP286" i="20"/>
  <c r="AP287" i="20"/>
  <c r="AP288" i="20"/>
  <c r="AP881" i="20" s="1"/>
  <c r="AP289" i="20"/>
  <c r="AP291" i="20"/>
  <c r="AP275" i="20"/>
  <c r="AP276" i="20"/>
  <c r="AP277" i="20"/>
  <c r="AP278" i="20"/>
  <c r="AP279" i="20"/>
  <c r="AP280" i="20"/>
  <c r="AP281" i="20"/>
  <c r="AP290" i="20"/>
  <c r="AP292" i="20"/>
  <c r="AP285" i="20"/>
  <c r="AO293" i="20"/>
  <c r="AO273" i="20"/>
  <c r="AP282" i="20"/>
  <c r="AQ254" i="20"/>
  <c r="AS522" i="20" l="1"/>
  <c r="AS519" i="20"/>
  <c r="AS517" i="20"/>
  <c r="AS518" i="20"/>
  <c r="AS520" i="20"/>
  <c r="AS516" i="20"/>
  <c r="AS515" i="20"/>
  <c r="BA787" i="20"/>
  <c r="AZ892" i="20"/>
  <c r="AO577" i="20"/>
  <c r="AP577" i="20" s="1"/>
  <c r="AQ577" i="20" s="1"/>
  <c r="AR577" i="20" s="1"/>
  <c r="AS577" i="20" s="1"/>
  <c r="AT577" i="20" s="1"/>
  <c r="AU577" i="20" s="1"/>
  <c r="AV577" i="20" s="1"/>
  <c r="AW577" i="20" s="1"/>
  <c r="AX577" i="20" s="1"/>
  <c r="AY577" i="20" s="1"/>
  <c r="AZ577" i="20" s="1"/>
  <c r="BA577" i="20" s="1"/>
  <c r="BB577" i="20" s="1"/>
  <c r="BC577" i="20" s="1"/>
  <c r="BD577" i="20" s="1"/>
  <c r="BE577" i="20" s="1"/>
  <c r="BF577" i="20" s="1"/>
  <c r="BG577" i="20" s="1"/>
  <c r="BH577" i="20" s="1"/>
  <c r="BI577" i="20" s="1"/>
  <c r="BJ577" i="20" s="1"/>
  <c r="BK577" i="20" s="1"/>
  <c r="BL577" i="20" s="1"/>
  <c r="BM577" i="20" s="1"/>
  <c r="BN577" i="20" s="1"/>
  <c r="BI954" i="20"/>
  <c r="AY939" i="20"/>
  <c r="AS906" i="20"/>
  <c r="AV909" i="20"/>
  <c r="AT338" i="20"/>
  <c r="AS931" i="20"/>
  <c r="AW914" i="20"/>
  <c r="AW934" i="20"/>
  <c r="BI929" i="20"/>
  <c r="BI904" i="20"/>
  <c r="BJ879" i="20"/>
  <c r="AO401" i="20"/>
  <c r="AO391" i="20"/>
  <c r="AO381" i="20"/>
  <c r="AP381" i="20" s="1"/>
  <c r="AQ381" i="20" s="1"/>
  <c r="AR381" i="20" s="1"/>
  <c r="AS381" i="20" s="1"/>
  <c r="AO555" i="20"/>
  <c r="AP555" i="20" s="1"/>
  <c r="AQ555" i="20" s="1"/>
  <c r="AR555" i="20" s="1"/>
  <c r="AS555" i="20" s="1"/>
  <c r="AT555" i="20" s="1"/>
  <c r="AU555" i="20" s="1"/>
  <c r="AV555" i="20" s="1"/>
  <c r="AW555" i="20" s="1"/>
  <c r="AX555" i="20" s="1"/>
  <c r="AY555" i="20" s="1"/>
  <c r="AZ555" i="20" s="1"/>
  <c r="BA555" i="20" s="1"/>
  <c r="BB555" i="20" s="1"/>
  <c r="BC555" i="20" s="1"/>
  <c r="BD555" i="20" s="1"/>
  <c r="BE555" i="20" s="1"/>
  <c r="BF555" i="20" s="1"/>
  <c r="BG555" i="20" s="1"/>
  <c r="BH555" i="20" s="1"/>
  <c r="BI555" i="20" s="1"/>
  <c r="BJ555" i="20" s="1"/>
  <c r="BK555" i="20" s="1"/>
  <c r="BL555" i="20" s="1"/>
  <c r="BM555" i="20" s="1"/>
  <c r="BN555" i="20" s="1"/>
  <c r="AO544" i="20"/>
  <c r="AP544" i="20" s="1"/>
  <c r="AQ544" i="20" s="1"/>
  <c r="AR544" i="20" s="1"/>
  <c r="AS544" i="20" s="1"/>
  <c r="AT544" i="20" s="1"/>
  <c r="AU544" i="20" s="1"/>
  <c r="AV544" i="20" s="1"/>
  <c r="AW544" i="20" s="1"/>
  <c r="AX544" i="20" s="1"/>
  <c r="AY544" i="20" s="1"/>
  <c r="AZ544" i="20" s="1"/>
  <c r="BA544" i="20" s="1"/>
  <c r="BB544" i="20" s="1"/>
  <c r="BC544" i="20" s="1"/>
  <c r="BD544" i="20" s="1"/>
  <c r="BE544" i="20" s="1"/>
  <c r="BF544" i="20" s="1"/>
  <c r="BG544" i="20" s="1"/>
  <c r="BH544" i="20" s="1"/>
  <c r="BI544" i="20" s="1"/>
  <c r="BJ544" i="20" s="1"/>
  <c r="BK544" i="20" s="1"/>
  <c r="BL544" i="20" s="1"/>
  <c r="BM544" i="20" s="1"/>
  <c r="BN544" i="20" s="1"/>
  <c r="AO411" i="20"/>
  <c r="AP6" i="20"/>
  <c r="AQ6" i="20" s="1"/>
  <c r="AR6" i="20" s="1"/>
  <c r="AS6" i="20" s="1"/>
  <c r="AT6" i="20" s="1"/>
  <c r="AO566" i="20"/>
  <c r="AP566" i="20" s="1"/>
  <c r="AQ566" i="20" s="1"/>
  <c r="AR566" i="20" s="1"/>
  <c r="AS566" i="20" s="1"/>
  <c r="AT566" i="20" s="1"/>
  <c r="AU566" i="20" s="1"/>
  <c r="AV566" i="20" s="1"/>
  <c r="AW566" i="20" s="1"/>
  <c r="AX566" i="20" s="1"/>
  <c r="AY566" i="20" s="1"/>
  <c r="AZ566" i="20" s="1"/>
  <c r="BA566" i="20" s="1"/>
  <c r="BB566" i="20" s="1"/>
  <c r="BC566" i="20" s="1"/>
  <c r="BD566" i="20" s="1"/>
  <c r="BE566" i="20" s="1"/>
  <c r="BF566" i="20" s="1"/>
  <c r="BG566" i="20" s="1"/>
  <c r="BH566" i="20" s="1"/>
  <c r="BI566" i="20" s="1"/>
  <c r="BJ566" i="20" s="1"/>
  <c r="BK566" i="20" s="1"/>
  <c r="BL566" i="20" s="1"/>
  <c r="BM566" i="20" s="1"/>
  <c r="BN566" i="20" s="1"/>
  <c r="AT514" i="20"/>
  <c r="AQ272" i="20"/>
  <c r="AQ265" i="20"/>
  <c r="AQ266" i="20"/>
  <c r="AQ267" i="20"/>
  <c r="AQ271" i="20"/>
  <c r="AU373" i="20"/>
  <c r="AQ268" i="20"/>
  <c r="AQ270" i="20"/>
  <c r="AQ269" i="20"/>
  <c r="AQ292" i="20"/>
  <c r="AQ280" i="20"/>
  <c r="AQ276" i="20"/>
  <c r="AQ288" i="20"/>
  <c r="AQ881" i="20" s="1"/>
  <c r="AQ282" i="20"/>
  <c r="AQ279" i="20"/>
  <c r="AQ287" i="20"/>
  <c r="AQ285" i="20"/>
  <c r="AP293" i="20"/>
  <c r="AQ275" i="20"/>
  <c r="AP283" i="20"/>
  <c r="AQ290" i="20"/>
  <c r="AQ278" i="20"/>
  <c r="AQ291" i="20"/>
  <c r="AQ286" i="20"/>
  <c r="AP273" i="20"/>
  <c r="AQ281" i="20"/>
  <c r="AQ277" i="20"/>
  <c r="AQ289" i="20"/>
  <c r="AR254" i="20"/>
  <c r="AK107" i="20"/>
  <c r="AK87" i="20"/>
  <c r="AK69" i="20"/>
  <c r="B25" i="20"/>
  <c r="AK96" i="20"/>
  <c r="AK76" i="20"/>
  <c r="AK58" i="20"/>
  <c r="AL98" i="20"/>
  <c r="AL78" i="20"/>
  <c r="AL60" i="20"/>
  <c r="AL36" i="20"/>
  <c r="AK51" i="20"/>
  <c r="AL42" i="20"/>
  <c r="AL92" i="20"/>
  <c r="AM92" i="20" s="1"/>
  <c r="AN92" i="20" s="1"/>
  <c r="AO92" i="20" s="1"/>
  <c r="AP92" i="20" s="1"/>
  <c r="AQ92" i="20" s="1"/>
  <c r="AR92" i="20" s="1"/>
  <c r="AS92" i="20" s="1"/>
  <c r="AT92" i="20" s="1"/>
  <c r="AU92" i="20" s="1"/>
  <c r="AV92" i="20" s="1"/>
  <c r="AW92" i="20" s="1"/>
  <c r="AX92" i="20" s="1"/>
  <c r="AY92" i="20" s="1"/>
  <c r="AZ92" i="20" s="1"/>
  <c r="BA92" i="20" s="1"/>
  <c r="BB92" i="20" s="1"/>
  <c r="BC92" i="20" s="1"/>
  <c r="BD92" i="20" s="1"/>
  <c r="BE92" i="20" s="1"/>
  <c r="BF92" i="20" s="1"/>
  <c r="BG92" i="20" s="1"/>
  <c r="BH92" i="20" s="1"/>
  <c r="BI92" i="20" s="1"/>
  <c r="BJ92" i="20" s="1"/>
  <c r="BK92" i="20" s="1"/>
  <c r="BL92" i="20" s="1"/>
  <c r="BM92" i="20" s="1"/>
  <c r="BN92" i="20" s="1"/>
  <c r="AL72" i="20"/>
  <c r="AM72" i="20" s="1"/>
  <c r="AN72" i="20" s="1"/>
  <c r="AO72" i="20" s="1"/>
  <c r="AP72" i="20" s="1"/>
  <c r="AQ72" i="20" s="1"/>
  <c r="AR72" i="20" s="1"/>
  <c r="AS72" i="20" s="1"/>
  <c r="AT72" i="20" s="1"/>
  <c r="AU72" i="20" s="1"/>
  <c r="AV72" i="20" s="1"/>
  <c r="AW72" i="20" s="1"/>
  <c r="AX72" i="20" s="1"/>
  <c r="AY72" i="20" s="1"/>
  <c r="AZ72" i="20" s="1"/>
  <c r="BA72" i="20" s="1"/>
  <c r="BB72" i="20" s="1"/>
  <c r="BC72" i="20" s="1"/>
  <c r="BD72" i="20" s="1"/>
  <c r="BE72" i="20" s="1"/>
  <c r="BF72" i="20" s="1"/>
  <c r="BG72" i="20" s="1"/>
  <c r="BH72" i="20" s="1"/>
  <c r="BI72" i="20" s="1"/>
  <c r="BJ72" i="20" s="1"/>
  <c r="BK72" i="20" s="1"/>
  <c r="BL72" i="20" s="1"/>
  <c r="BM72" i="20" s="1"/>
  <c r="BN72" i="20" s="1"/>
  <c r="AL54" i="20"/>
  <c r="AM54" i="20" s="1"/>
  <c r="AN54" i="20" s="1"/>
  <c r="AO54" i="20" s="1"/>
  <c r="AP54" i="20" s="1"/>
  <c r="AQ54" i="20" s="1"/>
  <c r="AR54" i="20" s="1"/>
  <c r="AS54" i="20" s="1"/>
  <c r="AT54" i="20" s="1"/>
  <c r="AU54" i="20" s="1"/>
  <c r="AV54" i="20" s="1"/>
  <c r="AW54" i="20" s="1"/>
  <c r="AX54" i="20" s="1"/>
  <c r="AY54" i="20" s="1"/>
  <c r="AZ54" i="20" s="1"/>
  <c r="BA54" i="20" s="1"/>
  <c r="BB54" i="20" s="1"/>
  <c r="BC54" i="20" s="1"/>
  <c r="BD54" i="20" s="1"/>
  <c r="BE54" i="20" s="1"/>
  <c r="BF54" i="20" s="1"/>
  <c r="BG54" i="20" s="1"/>
  <c r="BH54" i="20" s="1"/>
  <c r="BI54" i="20" s="1"/>
  <c r="BJ54" i="20" s="1"/>
  <c r="BK54" i="20" s="1"/>
  <c r="BL54" i="20" s="1"/>
  <c r="BM54" i="20" s="1"/>
  <c r="BN54" i="20" s="1"/>
  <c r="AK40" i="20"/>
  <c r="AT728" i="20" l="1"/>
  <c r="AT381" i="20"/>
  <c r="AU381" i="20" s="1"/>
  <c r="AT344" i="20"/>
  <c r="AU344" i="20" s="1"/>
  <c r="AV344" i="20" s="1"/>
  <c r="AW344" i="20" s="1"/>
  <c r="AX344" i="20" s="1"/>
  <c r="AY344" i="20" s="1"/>
  <c r="AZ344" i="20" s="1"/>
  <c r="BA344" i="20" s="1"/>
  <c r="BB344" i="20" s="1"/>
  <c r="BC344" i="20" s="1"/>
  <c r="BD344" i="20" s="1"/>
  <c r="BE344" i="20" s="1"/>
  <c r="BF344" i="20" s="1"/>
  <c r="BG344" i="20" s="1"/>
  <c r="BH344" i="20" s="1"/>
  <c r="BI344" i="20" s="1"/>
  <c r="BJ344" i="20" s="1"/>
  <c r="BK344" i="20" s="1"/>
  <c r="BL344" i="20" s="1"/>
  <c r="BM344" i="20" s="1"/>
  <c r="BN344" i="20" s="1"/>
  <c r="AU6" i="20"/>
  <c r="AV6" i="20" s="1"/>
  <c r="AW6" i="20" s="1"/>
  <c r="AX6" i="20" s="1"/>
  <c r="AY6" i="20" s="1"/>
  <c r="AZ6" i="20" s="1"/>
  <c r="BA6" i="20" s="1"/>
  <c r="BB6" i="20" s="1"/>
  <c r="BC6" i="20" s="1"/>
  <c r="BD6" i="20" s="1"/>
  <c r="BE6" i="20" s="1"/>
  <c r="BF6" i="20" s="1"/>
  <c r="BG6" i="20" s="1"/>
  <c r="BH6" i="20" s="1"/>
  <c r="BI6" i="20" s="1"/>
  <c r="BJ6" i="20" s="1"/>
  <c r="BK6" i="20" s="1"/>
  <c r="BL6" i="20" s="1"/>
  <c r="BM6" i="20" s="1"/>
  <c r="BN6" i="20" s="1"/>
  <c r="AT522" i="20"/>
  <c r="AT533" i="20"/>
  <c r="BB787" i="20"/>
  <c r="BA892" i="20"/>
  <c r="BJ954" i="20"/>
  <c r="AX934" i="20"/>
  <c r="AX914" i="20"/>
  <c r="AU338" i="20"/>
  <c r="AT931" i="20"/>
  <c r="AW909" i="20"/>
  <c r="AZ939" i="20"/>
  <c r="BJ929" i="20"/>
  <c r="BJ904" i="20"/>
  <c r="BK879" i="20"/>
  <c r="AR280" i="20"/>
  <c r="AP411" i="20"/>
  <c r="AQ411" i="20" s="1"/>
  <c r="AR411" i="20" s="1"/>
  <c r="AS411" i="20" s="1"/>
  <c r="AT411" i="20" s="1"/>
  <c r="AP401" i="20"/>
  <c r="AQ401" i="20" s="1"/>
  <c r="AR401" i="20" s="1"/>
  <c r="AS401" i="20" s="1"/>
  <c r="AT401" i="20" s="1"/>
  <c r="AU401" i="20" s="1"/>
  <c r="AP391" i="20"/>
  <c r="AQ391" i="20" s="1"/>
  <c r="AR391" i="20" s="1"/>
  <c r="AS391" i="20" s="1"/>
  <c r="AT391" i="20" s="1"/>
  <c r="AU391" i="20" s="1"/>
  <c r="AU514" i="20"/>
  <c r="AR269" i="20"/>
  <c r="AR267" i="20"/>
  <c r="AR270" i="20"/>
  <c r="AV373" i="20"/>
  <c r="AR265" i="20"/>
  <c r="AR272" i="20"/>
  <c r="AR268" i="20"/>
  <c r="AR271" i="20"/>
  <c r="AR266" i="20"/>
  <c r="AR286" i="20"/>
  <c r="AR290" i="20"/>
  <c r="AR276" i="20"/>
  <c r="AR281" i="20"/>
  <c r="AR291" i="20"/>
  <c r="AR279" i="20"/>
  <c r="AR285" i="20"/>
  <c r="AQ293" i="20"/>
  <c r="AR292" i="20"/>
  <c r="AR289" i="20"/>
  <c r="AQ273" i="20"/>
  <c r="AR282" i="20"/>
  <c r="AR278" i="20"/>
  <c r="AR287" i="20"/>
  <c r="AR275" i="20"/>
  <c r="AQ283" i="20"/>
  <c r="AR277" i="20"/>
  <c r="AR288" i="20"/>
  <c r="AR881" i="20" s="1"/>
  <c r="AS254" i="20"/>
  <c r="AM42" i="20"/>
  <c r="AL57" i="20"/>
  <c r="AM60" i="20"/>
  <c r="AL94" i="20"/>
  <c r="AM98" i="20"/>
  <c r="AL75" i="20"/>
  <c r="AM36" i="20"/>
  <c r="AN36" i="20" s="1"/>
  <c r="AO36" i="20" s="1"/>
  <c r="AP36" i="20" s="1"/>
  <c r="AQ36" i="20" s="1"/>
  <c r="AR36" i="20" s="1"/>
  <c r="AS36" i="20" s="1"/>
  <c r="AT36" i="20" s="1"/>
  <c r="AU36" i="20" s="1"/>
  <c r="AV36" i="20" s="1"/>
  <c r="AW36" i="20" s="1"/>
  <c r="AX36" i="20" s="1"/>
  <c r="AY36" i="20" s="1"/>
  <c r="AZ36" i="20" s="1"/>
  <c r="BA36" i="20" s="1"/>
  <c r="BB36" i="20" s="1"/>
  <c r="BC36" i="20" s="1"/>
  <c r="BD36" i="20" s="1"/>
  <c r="BE36" i="20" s="1"/>
  <c r="BF36" i="20" s="1"/>
  <c r="BG36" i="20" s="1"/>
  <c r="BH36" i="20" s="1"/>
  <c r="BI36" i="20" s="1"/>
  <c r="BJ36" i="20" s="1"/>
  <c r="BK36" i="20" s="1"/>
  <c r="BL36" i="20" s="1"/>
  <c r="BM36" i="20" s="1"/>
  <c r="BN36" i="20" s="1"/>
  <c r="AL95" i="20"/>
  <c r="AM78" i="20"/>
  <c r="AL56" i="20"/>
  <c r="AL74" i="20"/>
  <c r="AU533" i="20" l="1"/>
  <c r="AV533" i="20" s="1"/>
  <c r="AW533" i="20" s="1"/>
  <c r="AX533" i="20" s="1"/>
  <c r="AY533" i="20" s="1"/>
  <c r="AZ533" i="20" s="1"/>
  <c r="BA533" i="20" s="1"/>
  <c r="BB533" i="20" s="1"/>
  <c r="BC533" i="20" s="1"/>
  <c r="BD533" i="20" s="1"/>
  <c r="BE533" i="20" s="1"/>
  <c r="BF533" i="20" s="1"/>
  <c r="BG533" i="20" s="1"/>
  <c r="BH533" i="20" s="1"/>
  <c r="BI533" i="20" s="1"/>
  <c r="BJ533" i="20" s="1"/>
  <c r="BK533" i="20" s="1"/>
  <c r="BL533" i="20" s="1"/>
  <c r="BM533" i="20" s="1"/>
  <c r="BN533" i="20" s="1"/>
  <c r="AU411" i="20"/>
  <c r="AU728" i="20"/>
  <c r="AV728" i="20" s="1"/>
  <c r="AW728" i="20" s="1"/>
  <c r="AX728" i="20" s="1"/>
  <c r="AU522" i="20"/>
  <c r="BC787" i="20"/>
  <c r="BB892" i="20"/>
  <c r="BK954" i="20"/>
  <c r="AV338" i="20"/>
  <c r="AU931" i="20"/>
  <c r="AY914" i="20"/>
  <c r="AY934" i="20"/>
  <c r="AX909" i="20"/>
  <c r="BA939" i="20"/>
  <c r="BK929" i="20"/>
  <c r="BK904" i="20"/>
  <c r="BL879" i="20"/>
  <c r="AV514" i="20"/>
  <c r="AV381" i="20"/>
  <c r="AV411" i="20"/>
  <c r="AV401" i="20"/>
  <c r="AV391" i="20"/>
  <c r="AS268" i="20"/>
  <c r="AS271" i="20"/>
  <c r="AS272" i="20"/>
  <c r="AS270" i="20"/>
  <c r="AS266" i="20"/>
  <c r="AS265" i="20"/>
  <c r="AW373" i="20"/>
  <c r="AS269" i="20"/>
  <c r="AS267" i="20"/>
  <c r="AS288" i="20"/>
  <c r="AS881" i="20" s="1"/>
  <c r="AS292" i="20"/>
  <c r="AS285" i="20"/>
  <c r="AR293" i="20"/>
  <c r="AS282" i="20"/>
  <c r="AS289" i="20"/>
  <c r="AS279" i="20"/>
  <c r="AS275" i="20"/>
  <c r="AR283" i="20"/>
  <c r="AS278" i="20"/>
  <c r="AS286" i="20"/>
  <c r="AS280" i="20"/>
  <c r="AS277" i="20"/>
  <c r="AS290" i="20"/>
  <c r="AS287" i="20"/>
  <c r="AR273" i="20"/>
  <c r="AS276" i="20"/>
  <c r="AS291" i="20"/>
  <c r="AS281" i="20"/>
  <c r="AT254" i="20"/>
  <c r="AN78" i="20"/>
  <c r="AN42" i="20"/>
  <c r="AN98" i="20"/>
  <c r="AN60" i="20"/>
  <c r="AV522" i="20" l="1"/>
  <c r="BD787" i="20"/>
  <c r="BC892" i="20"/>
  <c r="BL954" i="20"/>
  <c r="AY909" i="20"/>
  <c r="AZ934" i="20"/>
  <c r="BB939" i="20"/>
  <c r="AZ914" i="20"/>
  <c r="AW338" i="20"/>
  <c r="AV931" i="20"/>
  <c r="BL929" i="20"/>
  <c r="BL904" i="20"/>
  <c r="BM879" i="20"/>
  <c r="AW411" i="20"/>
  <c r="AW514" i="20"/>
  <c r="AT272" i="20"/>
  <c r="AW391" i="20"/>
  <c r="AW381" i="20"/>
  <c r="AW401" i="20"/>
  <c r="AX373" i="20"/>
  <c r="AT287" i="20"/>
  <c r="AT282" i="20"/>
  <c r="AS293" i="20"/>
  <c r="AS283" i="20"/>
  <c r="AS273" i="20"/>
  <c r="AT290" i="20"/>
  <c r="AT292" i="20"/>
  <c r="AT289" i="20"/>
  <c r="AT291" i="20"/>
  <c r="AT286" i="20"/>
  <c r="AT288" i="20"/>
  <c r="AT881" i="20" s="1"/>
  <c r="AU254" i="20"/>
  <c r="AO60" i="20"/>
  <c r="AP60" i="20" s="1"/>
  <c r="AQ60" i="20" s="1"/>
  <c r="AR60" i="20" s="1"/>
  <c r="AS60" i="20" s="1"/>
  <c r="AT60" i="20" s="1"/>
  <c r="AU60" i="20" s="1"/>
  <c r="AV60" i="20" s="1"/>
  <c r="AW60" i="20" s="1"/>
  <c r="AX60" i="20" s="1"/>
  <c r="AY60" i="20" s="1"/>
  <c r="AZ60" i="20" s="1"/>
  <c r="BA60" i="20" s="1"/>
  <c r="BB60" i="20" s="1"/>
  <c r="BC60" i="20" s="1"/>
  <c r="BD60" i="20" s="1"/>
  <c r="BE60" i="20" s="1"/>
  <c r="BF60" i="20" s="1"/>
  <c r="BG60" i="20" s="1"/>
  <c r="BH60" i="20" s="1"/>
  <c r="BI60" i="20" s="1"/>
  <c r="BJ60" i="20" s="1"/>
  <c r="BK60" i="20" s="1"/>
  <c r="BL60" i="20" s="1"/>
  <c r="BM60" i="20" s="1"/>
  <c r="BN60" i="20" s="1"/>
  <c r="AO98" i="20"/>
  <c r="AP98" i="20" s="1"/>
  <c r="AQ98" i="20" s="1"/>
  <c r="AR98" i="20" s="1"/>
  <c r="AS98" i="20" s="1"/>
  <c r="AT98" i="20" s="1"/>
  <c r="AU98" i="20" s="1"/>
  <c r="AV98" i="20" s="1"/>
  <c r="AW98" i="20" s="1"/>
  <c r="AX98" i="20" s="1"/>
  <c r="AY98" i="20" s="1"/>
  <c r="AZ98" i="20" s="1"/>
  <c r="BA98" i="20" s="1"/>
  <c r="BB98" i="20" s="1"/>
  <c r="BC98" i="20" s="1"/>
  <c r="BD98" i="20" s="1"/>
  <c r="BE98" i="20" s="1"/>
  <c r="BF98" i="20" s="1"/>
  <c r="BG98" i="20" s="1"/>
  <c r="BH98" i="20" s="1"/>
  <c r="BI98" i="20" s="1"/>
  <c r="BJ98" i="20" s="1"/>
  <c r="BK98" i="20" s="1"/>
  <c r="BL98" i="20" s="1"/>
  <c r="BM98" i="20" s="1"/>
  <c r="BN98" i="20" s="1"/>
  <c r="AO42" i="20"/>
  <c r="AP42" i="20" s="1"/>
  <c r="AQ42" i="20" s="1"/>
  <c r="AR42" i="20" s="1"/>
  <c r="AS42" i="20" s="1"/>
  <c r="AT42" i="20" s="1"/>
  <c r="AU42" i="20" s="1"/>
  <c r="AV42" i="20" s="1"/>
  <c r="AW42" i="20" s="1"/>
  <c r="AX42" i="20" s="1"/>
  <c r="AY42" i="20" s="1"/>
  <c r="AZ42" i="20" s="1"/>
  <c r="BA42" i="20" s="1"/>
  <c r="BB42" i="20" s="1"/>
  <c r="BC42" i="20" s="1"/>
  <c r="BD42" i="20" s="1"/>
  <c r="BE42" i="20" s="1"/>
  <c r="BF42" i="20" s="1"/>
  <c r="BG42" i="20" s="1"/>
  <c r="BH42" i="20" s="1"/>
  <c r="BI42" i="20" s="1"/>
  <c r="BJ42" i="20" s="1"/>
  <c r="BK42" i="20" s="1"/>
  <c r="BL42" i="20" s="1"/>
  <c r="BM42" i="20" s="1"/>
  <c r="BN42" i="20" s="1"/>
  <c r="AO78" i="20"/>
  <c r="AP78" i="20" s="1"/>
  <c r="AQ78" i="20" s="1"/>
  <c r="AR78" i="20" s="1"/>
  <c r="AS78" i="20" s="1"/>
  <c r="AT78" i="20" s="1"/>
  <c r="AU78" i="20" s="1"/>
  <c r="AV78" i="20" s="1"/>
  <c r="AW78" i="20" s="1"/>
  <c r="AX78" i="20" s="1"/>
  <c r="AY78" i="20" s="1"/>
  <c r="AZ78" i="20" s="1"/>
  <c r="BA78" i="20" s="1"/>
  <c r="BB78" i="20" s="1"/>
  <c r="BC78" i="20" s="1"/>
  <c r="BD78" i="20" s="1"/>
  <c r="BE78" i="20" s="1"/>
  <c r="BF78" i="20" s="1"/>
  <c r="BG78" i="20" s="1"/>
  <c r="BH78" i="20" s="1"/>
  <c r="BI78" i="20" s="1"/>
  <c r="BJ78" i="20" s="1"/>
  <c r="BK78" i="20" s="1"/>
  <c r="BL78" i="20" s="1"/>
  <c r="BM78" i="20" s="1"/>
  <c r="BN78" i="20" s="1"/>
  <c r="AW522" i="20" l="1"/>
  <c r="BE787" i="20"/>
  <c r="BD892" i="20"/>
  <c r="BM954" i="20"/>
  <c r="BA934" i="20"/>
  <c r="AX338" i="20"/>
  <c r="AW931" i="20"/>
  <c r="BA914" i="20"/>
  <c r="BC939" i="20"/>
  <c r="AZ909" i="20"/>
  <c r="BM929" i="20"/>
  <c r="BM904" i="20"/>
  <c r="BN879" i="20"/>
  <c r="AX514" i="20"/>
  <c r="AX401" i="20"/>
  <c r="AY373" i="20"/>
  <c r="AX391" i="20"/>
  <c r="AU272" i="20"/>
  <c r="AX411" i="20"/>
  <c r="AX381" i="20"/>
  <c r="AU286" i="20"/>
  <c r="AU292" i="20"/>
  <c r="AU288" i="20"/>
  <c r="AU881" i="20" s="1"/>
  <c r="AU290" i="20"/>
  <c r="AU287" i="20"/>
  <c r="AU291" i="20"/>
  <c r="AU289" i="20"/>
  <c r="AU282" i="20"/>
  <c r="AV254" i="20"/>
  <c r="AX522" i="20" l="1"/>
  <c r="BF787" i="20"/>
  <c r="BE892" i="20"/>
  <c r="BN954" i="20"/>
  <c r="BD939" i="20"/>
  <c r="BA909" i="20"/>
  <c r="BB914" i="20"/>
  <c r="AY338" i="20"/>
  <c r="AX931" i="20"/>
  <c r="BB934" i="20"/>
  <c r="BN929" i="20"/>
  <c r="BN904" i="20"/>
  <c r="AY514" i="20"/>
  <c r="AY401" i="20"/>
  <c r="AY411" i="20"/>
  <c r="AY391" i="20"/>
  <c r="AY381" i="20"/>
  <c r="AV272" i="20"/>
  <c r="AZ373" i="20"/>
  <c r="AV287" i="20"/>
  <c r="AV292" i="20"/>
  <c r="AV290" i="20"/>
  <c r="AV289" i="20"/>
  <c r="AV286" i="20"/>
  <c r="AV282" i="20"/>
  <c r="AV291" i="20"/>
  <c r="AV288" i="20"/>
  <c r="AV881" i="20" s="1"/>
  <c r="AW254" i="20"/>
  <c r="AY522" i="20" l="1"/>
  <c r="BG787" i="20"/>
  <c r="BF892" i="20"/>
  <c r="BC934" i="20"/>
  <c r="BC914" i="20"/>
  <c r="BB909" i="20"/>
  <c r="AZ338" i="20"/>
  <c r="AY931" i="20"/>
  <c r="BE939" i="20"/>
  <c r="AZ514" i="20"/>
  <c r="AZ401" i="20"/>
  <c r="AW272" i="20"/>
  <c r="AZ391" i="20"/>
  <c r="AZ411" i="20"/>
  <c r="BA373" i="20"/>
  <c r="AZ381" i="20"/>
  <c r="AW289" i="20"/>
  <c r="AW290" i="20"/>
  <c r="AW292" i="20"/>
  <c r="AW288" i="20"/>
  <c r="AW881" i="20" s="1"/>
  <c r="AW291" i="20"/>
  <c r="AW282" i="20"/>
  <c r="AW287" i="20"/>
  <c r="AW286" i="20"/>
  <c r="AX254" i="20"/>
  <c r="BA381" i="20" l="1"/>
  <c r="AZ522" i="20"/>
  <c r="BH787" i="20"/>
  <c r="BG892" i="20"/>
  <c r="BA338" i="20"/>
  <c r="AZ931" i="20"/>
  <c r="BD914" i="20"/>
  <c r="BF939" i="20"/>
  <c r="BC909" i="20"/>
  <c r="BD934" i="20"/>
  <c r="BA514" i="20"/>
  <c r="BA411" i="20"/>
  <c r="BB373" i="20"/>
  <c r="AX272" i="20"/>
  <c r="BA391" i="20"/>
  <c r="BA401" i="20"/>
  <c r="AX286" i="20"/>
  <c r="AX288" i="20"/>
  <c r="AX881" i="20" s="1"/>
  <c r="AX292" i="20"/>
  <c r="AX289" i="20"/>
  <c r="AX291" i="20"/>
  <c r="AX287" i="20"/>
  <c r="AX282" i="20"/>
  <c r="AX290" i="20"/>
  <c r="AY254" i="20"/>
  <c r="BB381" i="20" l="1"/>
  <c r="BB401" i="20"/>
  <c r="BA522" i="20"/>
  <c r="BB391" i="20"/>
  <c r="BI787" i="20"/>
  <c r="BH892" i="20"/>
  <c r="BE934" i="20"/>
  <c r="BB338" i="20"/>
  <c r="BA931" i="20"/>
  <c r="BE914" i="20"/>
  <c r="BD909" i="20"/>
  <c r="BG939" i="20"/>
  <c r="BB411" i="20"/>
  <c r="BB514" i="20"/>
  <c r="AY272" i="20"/>
  <c r="BC373" i="20"/>
  <c r="AY282" i="20"/>
  <c r="AY292" i="20"/>
  <c r="AZ254" i="20"/>
  <c r="BB522" i="20" l="1"/>
  <c r="BJ787" i="20"/>
  <c r="BI892" i="20"/>
  <c r="BH939" i="20"/>
  <c r="BF914" i="20"/>
  <c r="BF934" i="20"/>
  <c r="BE909" i="20"/>
  <c r="BC338" i="20"/>
  <c r="BB931" i="20"/>
  <c r="BC514" i="20"/>
  <c r="BC411" i="20"/>
  <c r="BC381" i="20"/>
  <c r="BC401" i="20"/>
  <c r="AZ272" i="20"/>
  <c r="BD373" i="20"/>
  <c r="BC391" i="20"/>
  <c r="BD391" i="20" s="1"/>
  <c r="AZ292" i="20"/>
  <c r="AZ282" i="20"/>
  <c r="BA254" i="20"/>
  <c r="A84" i="20"/>
  <c r="A102" i="20" s="1"/>
  <c r="A85" i="20"/>
  <c r="A103" i="20" s="1"/>
  <c r="A86" i="20"/>
  <c r="A104" i="20" s="1"/>
  <c r="A87" i="20"/>
  <c r="A105" i="20" s="1"/>
  <c r="A88" i="20"/>
  <c r="A106" i="20" s="1"/>
  <c r="A83" i="20"/>
  <c r="A101" i="20" s="1"/>
  <c r="BC522" i="20" l="1"/>
  <c r="BK787" i="20"/>
  <c r="BJ892" i="20"/>
  <c r="BD338" i="20"/>
  <c r="BC931" i="20"/>
  <c r="BF909" i="20"/>
  <c r="BG934" i="20"/>
  <c r="BG914" i="20"/>
  <c r="BI939" i="20"/>
  <c r="BD514" i="20"/>
  <c r="BD411" i="20"/>
  <c r="BA272" i="20"/>
  <c r="BD381" i="20"/>
  <c r="BD401" i="20"/>
  <c r="BE373" i="20"/>
  <c r="BA292" i="20"/>
  <c r="BA282" i="20"/>
  <c r="BB254" i="20"/>
  <c r="A76" i="20"/>
  <c r="A95" i="20" s="1"/>
  <c r="A77" i="20"/>
  <c r="A96" i="20" s="1"/>
  <c r="A78" i="20"/>
  <c r="A97" i="20" s="1"/>
  <c r="A75" i="20"/>
  <c r="A94" i="20" s="1"/>
  <c r="BD522" i="20" l="1"/>
  <c r="BL787" i="20"/>
  <c r="BK892" i="20"/>
  <c r="BJ939" i="20"/>
  <c r="BG909" i="20"/>
  <c r="BH914" i="20"/>
  <c r="BH934" i="20"/>
  <c r="BE338" i="20"/>
  <c r="BD931" i="20"/>
  <c r="BE514" i="20"/>
  <c r="BE381" i="20"/>
  <c r="BB272" i="20"/>
  <c r="BE401" i="20"/>
  <c r="BF373" i="20"/>
  <c r="BE391" i="20"/>
  <c r="BF391" i="20" s="1"/>
  <c r="BE411" i="20"/>
  <c r="BB292" i="20"/>
  <c r="BB282" i="20"/>
  <c r="BC254" i="20"/>
  <c r="AL39" i="20"/>
  <c r="AI799" i="20"/>
  <c r="AI800" i="20"/>
  <c r="AI801" i="20"/>
  <c r="AI802" i="20"/>
  <c r="AI803" i="20"/>
  <c r="AI804" i="20"/>
  <c r="AI805" i="20"/>
  <c r="AI806" i="20"/>
  <c r="AN806" i="20" s="1"/>
  <c r="AO806" i="20" s="1"/>
  <c r="AP806" i="20" s="1"/>
  <c r="AQ806" i="20" s="1"/>
  <c r="AR806" i="20" s="1"/>
  <c r="AS806" i="20" s="1"/>
  <c r="AT806" i="20" s="1"/>
  <c r="AU806" i="20" s="1"/>
  <c r="AV806" i="20" s="1"/>
  <c r="AW806" i="20" s="1"/>
  <c r="AX806" i="20" s="1"/>
  <c r="AY806" i="20" s="1"/>
  <c r="AZ806" i="20" s="1"/>
  <c r="BA806" i="20" s="1"/>
  <c r="BB806" i="20" s="1"/>
  <c r="BC806" i="20" s="1"/>
  <c r="BD806" i="20" s="1"/>
  <c r="BE806" i="20" s="1"/>
  <c r="BF806" i="20" s="1"/>
  <c r="BG806" i="20" s="1"/>
  <c r="BH806" i="20" s="1"/>
  <c r="BI806" i="20" s="1"/>
  <c r="BJ806" i="20" s="1"/>
  <c r="BK806" i="20" s="1"/>
  <c r="BL806" i="20" s="1"/>
  <c r="BM806" i="20" s="1"/>
  <c r="BN806" i="20" s="1"/>
  <c r="AI821" i="20"/>
  <c r="AI828" i="20"/>
  <c r="AM828" i="20" s="1"/>
  <c r="AN828" i="20" s="1"/>
  <c r="AO828" i="20" s="1"/>
  <c r="AP828" i="20" s="1"/>
  <c r="AQ828" i="20" s="1"/>
  <c r="AR828" i="20" s="1"/>
  <c r="AS828" i="20" s="1"/>
  <c r="AT828" i="20" s="1"/>
  <c r="AU828" i="20" s="1"/>
  <c r="AV828" i="20" s="1"/>
  <c r="AW828" i="20" s="1"/>
  <c r="AX828" i="20" s="1"/>
  <c r="AY828" i="20" s="1"/>
  <c r="AZ828" i="20" s="1"/>
  <c r="BA828" i="20" s="1"/>
  <c r="BB828" i="20" s="1"/>
  <c r="BC828" i="20" s="1"/>
  <c r="BD828" i="20" s="1"/>
  <c r="BE828" i="20" s="1"/>
  <c r="BF828" i="20" s="1"/>
  <c r="BG828" i="20" s="1"/>
  <c r="BH828" i="20" s="1"/>
  <c r="BI828" i="20" s="1"/>
  <c r="BJ828" i="20" s="1"/>
  <c r="BK828" i="20" s="1"/>
  <c r="BL828" i="20" s="1"/>
  <c r="BM828" i="20" s="1"/>
  <c r="BN828" i="20" s="1"/>
  <c r="AI824" i="20" l="1"/>
  <c r="AI817" i="20"/>
  <c r="AM817" i="20" s="1"/>
  <c r="AN817" i="20" s="1"/>
  <c r="AO817" i="20" s="1"/>
  <c r="AP817" i="20" s="1"/>
  <c r="AQ817" i="20" s="1"/>
  <c r="AR817" i="20" s="1"/>
  <c r="AS817" i="20" s="1"/>
  <c r="AT817" i="20" s="1"/>
  <c r="AU817" i="20" s="1"/>
  <c r="AV817" i="20" s="1"/>
  <c r="AW817" i="20" s="1"/>
  <c r="AX817" i="20" s="1"/>
  <c r="AY817" i="20" s="1"/>
  <c r="AZ817" i="20" s="1"/>
  <c r="BA817" i="20" s="1"/>
  <c r="BB817" i="20" s="1"/>
  <c r="BC817" i="20" s="1"/>
  <c r="BD817" i="20" s="1"/>
  <c r="BE817" i="20" s="1"/>
  <c r="BF817" i="20" s="1"/>
  <c r="BG817" i="20" s="1"/>
  <c r="BH817" i="20" s="1"/>
  <c r="BI817" i="20" s="1"/>
  <c r="BJ817" i="20" s="1"/>
  <c r="BK817" i="20" s="1"/>
  <c r="BL817" i="20" s="1"/>
  <c r="BM817" i="20" s="1"/>
  <c r="BN817" i="20" s="1"/>
  <c r="AI813" i="20"/>
  <c r="AJ471" i="20"/>
  <c r="AT471" i="20" s="1"/>
  <c r="AU471" i="20" s="1"/>
  <c r="AV471" i="20" s="1"/>
  <c r="AW471" i="20" s="1"/>
  <c r="AX471" i="20" s="1"/>
  <c r="AY471" i="20" s="1"/>
  <c r="AZ471" i="20" s="1"/>
  <c r="BA471" i="20" s="1"/>
  <c r="BB471" i="20" s="1"/>
  <c r="BC471" i="20" s="1"/>
  <c r="BD471" i="20" s="1"/>
  <c r="BE471" i="20" s="1"/>
  <c r="BF471" i="20" s="1"/>
  <c r="AJ354" i="20"/>
  <c r="AT354" i="20" s="1"/>
  <c r="AU354" i="20" s="1"/>
  <c r="AV354" i="20" s="1"/>
  <c r="AW354" i="20" s="1"/>
  <c r="AX354" i="20" s="1"/>
  <c r="AY354" i="20" s="1"/>
  <c r="AZ354" i="20" s="1"/>
  <c r="BA354" i="20" s="1"/>
  <c r="BB354" i="20" s="1"/>
  <c r="BC354" i="20" s="1"/>
  <c r="BD354" i="20" s="1"/>
  <c r="BE354" i="20" s="1"/>
  <c r="BF354" i="20" s="1"/>
  <c r="BG354" i="20" s="1"/>
  <c r="BH354" i="20" s="1"/>
  <c r="BI354" i="20" s="1"/>
  <c r="BJ354" i="20" s="1"/>
  <c r="BK354" i="20" s="1"/>
  <c r="BL354" i="20" s="1"/>
  <c r="BM354" i="20" s="1"/>
  <c r="BN354" i="20" s="1"/>
  <c r="AJ467" i="20"/>
  <c r="AJ350" i="20"/>
  <c r="AI728" i="20"/>
  <c r="AY728" i="20" s="1"/>
  <c r="AZ728" i="20" s="1"/>
  <c r="BA728" i="20" s="1"/>
  <c r="BB728" i="20" s="1"/>
  <c r="BC728" i="20" s="1"/>
  <c r="BD728" i="20" s="1"/>
  <c r="BE728" i="20" s="1"/>
  <c r="BF728" i="20" s="1"/>
  <c r="BG728" i="20" s="1"/>
  <c r="BH728" i="20" s="1"/>
  <c r="BI728" i="20" s="1"/>
  <c r="BJ728" i="20" s="1"/>
  <c r="BK728" i="20" s="1"/>
  <c r="BL728" i="20" s="1"/>
  <c r="BM728" i="20" s="1"/>
  <c r="BN728" i="20" s="1"/>
  <c r="AJ461" i="20"/>
  <c r="AT461" i="20" s="1"/>
  <c r="AU461" i="20" s="1"/>
  <c r="AV461" i="20" s="1"/>
  <c r="AW461" i="20" s="1"/>
  <c r="AX461" i="20" s="1"/>
  <c r="AY461" i="20" s="1"/>
  <c r="AZ461" i="20" s="1"/>
  <c r="BA461" i="20" s="1"/>
  <c r="BB461" i="20" s="1"/>
  <c r="BC461" i="20" s="1"/>
  <c r="BD461" i="20" s="1"/>
  <c r="BE461" i="20" s="1"/>
  <c r="BF461" i="20" s="1"/>
  <c r="AJ344" i="20"/>
  <c r="AI724" i="20"/>
  <c r="AJ457" i="20"/>
  <c r="AJ340" i="20"/>
  <c r="AJ451" i="20"/>
  <c r="AT451" i="20" s="1"/>
  <c r="AU451" i="20" s="1"/>
  <c r="AV451" i="20" s="1"/>
  <c r="AW451" i="20" s="1"/>
  <c r="AX451" i="20" s="1"/>
  <c r="AY451" i="20" s="1"/>
  <c r="AZ451" i="20" s="1"/>
  <c r="BA451" i="20" s="1"/>
  <c r="BB451" i="20" s="1"/>
  <c r="BC451" i="20" s="1"/>
  <c r="BD451" i="20" s="1"/>
  <c r="BE451" i="20" s="1"/>
  <c r="AJ334" i="20"/>
  <c r="AT334" i="20" s="1"/>
  <c r="AU334" i="20" s="1"/>
  <c r="AV334" i="20" s="1"/>
  <c r="AW334" i="20" s="1"/>
  <c r="AX334" i="20" s="1"/>
  <c r="AY334" i="20" s="1"/>
  <c r="AZ334" i="20" s="1"/>
  <c r="BA334" i="20" s="1"/>
  <c r="BB334" i="20" s="1"/>
  <c r="BC334" i="20" s="1"/>
  <c r="BD334" i="20" s="1"/>
  <c r="BE334" i="20" s="1"/>
  <c r="BF334" i="20" s="1"/>
  <c r="BG334" i="20" s="1"/>
  <c r="BH334" i="20" s="1"/>
  <c r="BI334" i="20" s="1"/>
  <c r="BJ334" i="20" s="1"/>
  <c r="BK334" i="20" s="1"/>
  <c r="BL334" i="20" s="1"/>
  <c r="BM334" i="20" s="1"/>
  <c r="BN334" i="20" s="1"/>
  <c r="AJ447" i="20"/>
  <c r="AJ330" i="20"/>
  <c r="AJ441" i="20"/>
  <c r="AT441" i="20" s="1"/>
  <c r="AU441" i="20" s="1"/>
  <c r="AV441" i="20" s="1"/>
  <c r="AW441" i="20" s="1"/>
  <c r="AX441" i="20" s="1"/>
  <c r="AY441" i="20" s="1"/>
  <c r="AZ441" i="20" s="1"/>
  <c r="BA441" i="20" s="1"/>
  <c r="BB441" i="20" s="1"/>
  <c r="BC441" i="20" s="1"/>
  <c r="BD441" i="20" s="1"/>
  <c r="BE441" i="20" s="1"/>
  <c r="BF441" i="20" s="1"/>
  <c r="AJ324" i="20"/>
  <c r="AT324" i="20" s="1"/>
  <c r="AU324" i="20" s="1"/>
  <c r="AV324" i="20" s="1"/>
  <c r="AW324" i="20" s="1"/>
  <c r="AX324" i="20" s="1"/>
  <c r="AY324" i="20" s="1"/>
  <c r="AZ324" i="20" s="1"/>
  <c r="BA324" i="20" s="1"/>
  <c r="BB324" i="20" s="1"/>
  <c r="BC324" i="20" s="1"/>
  <c r="BD324" i="20" s="1"/>
  <c r="BE324" i="20" s="1"/>
  <c r="BF324" i="20" s="1"/>
  <c r="BG324" i="20" s="1"/>
  <c r="BH324" i="20" s="1"/>
  <c r="BI324" i="20" s="1"/>
  <c r="BJ324" i="20" s="1"/>
  <c r="BK324" i="20" s="1"/>
  <c r="BL324" i="20" s="1"/>
  <c r="BM324" i="20" s="1"/>
  <c r="BN324" i="20" s="1"/>
  <c r="AJ437" i="20"/>
  <c r="AJ320" i="20"/>
  <c r="AI850" i="20"/>
  <c r="AM850" i="20" s="1"/>
  <c r="AN850" i="20" s="1"/>
  <c r="AO850" i="20" s="1"/>
  <c r="AP850" i="20" s="1"/>
  <c r="AQ850" i="20" s="1"/>
  <c r="AR850" i="20" s="1"/>
  <c r="AS850" i="20" s="1"/>
  <c r="AT850" i="20" s="1"/>
  <c r="AU850" i="20" s="1"/>
  <c r="AV850" i="20" s="1"/>
  <c r="AW850" i="20" s="1"/>
  <c r="AX850" i="20" s="1"/>
  <c r="AY850" i="20" s="1"/>
  <c r="AZ850" i="20" s="1"/>
  <c r="BA850" i="20" s="1"/>
  <c r="BB850" i="20" s="1"/>
  <c r="BC850" i="20" s="1"/>
  <c r="BD850" i="20" s="1"/>
  <c r="BE850" i="20" s="1"/>
  <c r="BF850" i="20" s="1"/>
  <c r="BG850" i="20" s="1"/>
  <c r="BH850" i="20" s="1"/>
  <c r="BI850" i="20" s="1"/>
  <c r="BJ850" i="20" s="1"/>
  <c r="BK850" i="20" s="1"/>
  <c r="BL850" i="20" s="1"/>
  <c r="BM850" i="20" s="1"/>
  <c r="BN850" i="20" s="1"/>
  <c r="AI677" i="20"/>
  <c r="AM677" i="20" s="1"/>
  <c r="AN677" i="20" s="1"/>
  <c r="AO677" i="20" s="1"/>
  <c r="AP677" i="20" s="1"/>
  <c r="AQ677" i="20" s="1"/>
  <c r="AR677" i="20" s="1"/>
  <c r="AS677" i="20" s="1"/>
  <c r="AT677" i="20" s="1"/>
  <c r="AU677" i="20" s="1"/>
  <c r="AV677" i="20" s="1"/>
  <c r="AW677" i="20" s="1"/>
  <c r="AX677" i="20" s="1"/>
  <c r="AY677" i="20" s="1"/>
  <c r="AZ677" i="20" s="1"/>
  <c r="BA677" i="20" s="1"/>
  <c r="BB677" i="20" s="1"/>
  <c r="BC677" i="20" s="1"/>
  <c r="BD677" i="20" s="1"/>
  <c r="BE677" i="20" s="1"/>
  <c r="BF677" i="20" s="1"/>
  <c r="BG677" i="20" s="1"/>
  <c r="BH677" i="20" s="1"/>
  <c r="BI677" i="20" s="1"/>
  <c r="BJ677" i="20" s="1"/>
  <c r="BK677" i="20" s="1"/>
  <c r="BL677" i="20" s="1"/>
  <c r="BM677" i="20" s="1"/>
  <c r="BN677" i="20" s="1"/>
  <c r="AI666" i="20"/>
  <c r="AM666" i="20" s="1"/>
  <c r="AN666" i="20" s="1"/>
  <c r="AO666" i="20" s="1"/>
  <c r="AP666" i="20" s="1"/>
  <c r="AQ666" i="20" s="1"/>
  <c r="AR666" i="20" s="1"/>
  <c r="AS666" i="20" s="1"/>
  <c r="AT666" i="20" s="1"/>
  <c r="AU666" i="20" s="1"/>
  <c r="AV666" i="20" s="1"/>
  <c r="AW666" i="20" s="1"/>
  <c r="AX666" i="20" s="1"/>
  <c r="AY666" i="20" s="1"/>
  <c r="AZ666" i="20" s="1"/>
  <c r="BA666" i="20" s="1"/>
  <c r="BB666" i="20" s="1"/>
  <c r="BC666" i="20" s="1"/>
  <c r="BD666" i="20" s="1"/>
  <c r="BE666" i="20" s="1"/>
  <c r="BF666" i="20" s="1"/>
  <c r="BG666" i="20" s="1"/>
  <c r="BH666" i="20" s="1"/>
  <c r="BI666" i="20" s="1"/>
  <c r="BJ666" i="20" s="1"/>
  <c r="BK666" i="20" s="1"/>
  <c r="BL666" i="20" s="1"/>
  <c r="BM666" i="20" s="1"/>
  <c r="BN666" i="20" s="1"/>
  <c r="AI655" i="20"/>
  <c r="AM655" i="20" s="1"/>
  <c r="AN655" i="20" s="1"/>
  <c r="AO655" i="20" s="1"/>
  <c r="AP655" i="20" s="1"/>
  <c r="AQ655" i="20" s="1"/>
  <c r="AR655" i="20" s="1"/>
  <c r="AS655" i="20" s="1"/>
  <c r="AT655" i="20" s="1"/>
  <c r="AU655" i="20" s="1"/>
  <c r="AV655" i="20" s="1"/>
  <c r="AW655" i="20" s="1"/>
  <c r="AX655" i="20" s="1"/>
  <c r="AY655" i="20" s="1"/>
  <c r="AZ655" i="20" s="1"/>
  <c r="BA655" i="20" s="1"/>
  <c r="BB655" i="20" s="1"/>
  <c r="BC655" i="20" s="1"/>
  <c r="BD655" i="20" s="1"/>
  <c r="BE655" i="20" s="1"/>
  <c r="BF655" i="20" s="1"/>
  <c r="BG655" i="20" s="1"/>
  <c r="BH655" i="20" s="1"/>
  <c r="BI655" i="20" s="1"/>
  <c r="BJ655" i="20" s="1"/>
  <c r="BK655" i="20" s="1"/>
  <c r="BL655" i="20" s="1"/>
  <c r="BM655" i="20" s="1"/>
  <c r="BN655" i="20" s="1"/>
  <c r="AI644" i="20"/>
  <c r="AM644" i="20" s="1"/>
  <c r="AN644" i="20" s="1"/>
  <c r="AO644" i="20" s="1"/>
  <c r="AP644" i="20" s="1"/>
  <c r="AQ644" i="20" s="1"/>
  <c r="AR644" i="20" s="1"/>
  <c r="AS644" i="20" s="1"/>
  <c r="AT644" i="20" s="1"/>
  <c r="AU644" i="20" s="1"/>
  <c r="AV644" i="20" s="1"/>
  <c r="AW644" i="20" s="1"/>
  <c r="AX644" i="20" s="1"/>
  <c r="AY644" i="20" s="1"/>
  <c r="AZ644" i="20" s="1"/>
  <c r="BA644" i="20" s="1"/>
  <c r="BB644" i="20" s="1"/>
  <c r="BC644" i="20" s="1"/>
  <c r="BD644" i="20" s="1"/>
  <c r="BE644" i="20" s="1"/>
  <c r="BF644" i="20" s="1"/>
  <c r="BG644" i="20" s="1"/>
  <c r="BH644" i="20" s="1"/>
  <c r="BI644" i="20" s="1"/>
  <c r="BJ644" i="20" s="1"/>
  <c r="BK644" i="20" s="1"/>
  <c r="BL644" i="20" s="1"/>
  <c r="BM644" i="20" s="1"/>
  <c r="BN644" i="20" s="1"/>
  <c r="AI633" i="20"/>
  <c r="AM633" i="20" s="1"/>
  <c r="AN633" i="20" s="1"/>
  <c r="AO633" i="20" s="1"/>
  <c r="AP633" i="20" s="1"/>
  <c r="AQ633" i="20" s="1"/>
  <c r="AR633" i="20" s="1"/>
  <c r="AS633" i="20" s="1"/>
  <c r="AT633" i="20" s="1"/>
  <c r="AU633" i="20" s="1"/>
  <c r="AV633" i="20" s="1"/>
  <c r="AW633" i="20" s="1"/>
  <c r="AX633" i="20" s="1"/>
  <c r="AY633" i="20" s="1"/>
  <c r="AZ633" i="20" s="1"/>
  <c r="BA633" i="20" s="1"/>
  <c r="BB633" i="20" s="1"/>
  <c r="BC633" i="20" s="1"/>
  <c r="BD633" i="20" s="1"/>
  <c r="BE633" i="20" s="1"/>
  <c r="BF633" i="20" s="1"/>
  <c r="BG633" i="20" s="1"/>
  <c r="BH633" i="20" s="1"/>
  <c r="BI633" i="20" s="1"/>
  <c r="BJ633" i="20" s="1"/>
  <c r="BK633" i="20" s="1"/>
  <c r="BL633" i="20" s="1"/>
  <c r="BM633" i="20" s="1"/>
  <c r="BN633" i="20" s="1"/>
  <c r="AI622" i="20"/>
  <c r="AJ431" i="20"/>
  <c r="AJ314" i="20"/>
  <c r="AT314" i="20" s="1"/>
  <c r="AU314" i="20" s="1"/>
  <c r="AV314" i="20" s="1"/>
  <c r="AW314" i="20" s="1"/>
  <c r="AX314" i="20" s="1"/>
  <c r="AY314" i="20" s="1"/>
  <c r="AZ314" i="20" s="1"/>
  <c r="BA314" i="20" s="1"/>
  <c r="BB314" i="20" s="1"/>
  <c r="BC314" i="20" s="1"/>
  <c r="BD314" i="20" s="1"/>
  <c r="BE314" i="20" s="1"/>
  <c r="BF314" i="20" s="1"/>
  <c r="BG314" i="20" s="1"/>
  <c r="BH314" i="20" s="1"/>
  <c r="BI314" i="20" s="1"/>
  <c r="BJ314" i="20" s="1"/>
  <c r="BK314" i="20" s="1"/>
  <c r="BL314" i="20" s="1"/>
  <c r="BM314" i="20" s="1"/>
  <c r="BN314" i="20" s="1"/>
  <c r="AI846" i="20"/>
  <c r="AI673" i="20"/>
  <c r="AI662" i="20"/>
  <c r="AI651" i="20"/>
  <c r="AI640" i="20"/>
  <c r="AI629" i="20"/>
  <c r="AI618" i="20"/>
  <c r="AJ427" i="20"/>
  <c r="AJ310" i="20"/>
  <c r="AI839" i="20"/>
  <c r="AM839" i="20" s="1"/>
  <c r="AN839" i="20" s="1"/>
  <c r="AO839" i="20" s="1"/>
  <c r="AP839" i="20" s="1"/>
  <c r="AQ839" i="20" s="1"/>
  <c r="AR839" i="20" s="1"/>
  <c r="AS839" i="20" s="1"/>
  <c r="AT839" i="20" s="1"/>
  <c r="AU839" i="20" s="1"/>
  <c r="AV839" i="20" s="1"/>
  <c r="AW839" i="20" s="1"/>
  <c r="AX839" i="20" s="1"/>
  <c r="AY839" i="20" s="1"/>
  <c r="AZ839" i="20" s="1"/>
  <c r="BA839" i="20" s="1"/>
  <c r="BB839" i="20" s="1"/>
  <c r="BC839" i="20" s="1"/>
  <c r="BD839" i="20" s="1"/>
  <c r="BE839" i="20" s="1"/>
  <c r="BF839" i="20" s="1"/>
  <c r="BG839" i="20" s="1"/>
  <c r="BH839" i="20" s="1"/>
  <c r="BI839" i="20" s="1"/>
  <c r="BJ839" i="20" s="1"/>
  <c r="BK839" i="20" s="1"/>
  <c r="BL839" i="20" s="1"/>
  <c r="BM839" i="20" s="1"/>
  <c r="BN839" i="20" s="1"/>
  <c r="AJ421" i="20"/>
  <c r="AT421" i="20" s="1"/>
  <c r="AU421" i="20" s="1"/>
  <c r="AV421" i="20" s="1"/>
  <c r="AW421" i="20" s="1"/>
  <c r="AX421" i="20" s="1"/>
  <c r="AY421" i="20" s="1"/>
  <c r="AZ421" i="20" s="1"/>
  <c r="BA421" i="20" s="1"/>
  <c r="BB421" i="20" s="1"/>
  <c r="BC421" i="20" s="1"/>
  <c r="BD421" i="20" s="1"/>
  <c r="BE421" i="20" s="1"/>
  <c r="BF421" i="20" s="1"/>
  <c r="AJ304" i="20"/>
  <c r="AT304" i="20" s="1"/>
  <c r="AU304" i="20" s="1"/>
  <c r="AV304" i="20" s="1"/>
  <c r="AW304" i="20" s="1"/>
  <c r="AX304" i="20" s="1"/>
  <c r="AY304" i="20" s="1"/>
  <c r="AZ304" i="20" s="1"/>
  <c r="BA304" i="20" s="1"/>
  <c r="BB304" i="20" s="1"/>
  <c r="BC304" i="20" s="1"/>
  <c r="BD304" i="20" s="1"/>
  <c r="BE304" i="20" s="1"/>
  <c r="BF304" i="20" s="1"/>
  <c r="BG304" i="20" s="1"/>
  <c r="BH304" i="20" s="1"/>
  <c r="BI304" i="20" s="1"/>
  <c r="BJ304" i="20" s="1"/>
  <c r="BK304" i="20" s="1"/>
  <c r="BL304" i="20" s="1"/>
  <c r="BM304" i="20" s="1"/>
  <c r="BN304" i="20" s="1"/>
  <c r="AI835" i="20"/>
  <c r="AJ417" i="20"/>
  <c r="AJ300" i="20"/>
  <c r="AJ469" i="20"/>
  <c r="AJ352" i="20"/>
  <c r="AJ465" i="20"/>
  <c r="AJ348" i="20"/>
  <c r="AI726" i="20"/>
  <c r="AJ459" i="20"/>
  <c r="AJ342" i="20"/>
  <c r="AI722" i="20"/>
  <c r="AJ455" i="20"/>
  <c r="AJ338" i="20"/>
  <c r="AJ449" i="20"/>
  <c r="AJ332" i="20"/>
  <c r="AJ445" i="20"/>
  <c r="AJ328" i="20"/>
  <c r="AJ439" i="20"/>
  <c r="AJ322" i="20"/>
  <c r="AJ435" i="20"/>
  <c r="AJ318" i="20"/>
  <c r="AI848" i="20"/>
  <c r="AI675" i="20"/>
  <c r="AI664" i="20"/>
  <c r="AI653" i="20"/>
  <c r="AI642" i="20"/>
  <c r="AI631" i="20"/>
  <c r="AI620" i="20"/>
  <c r="AJ429" i="20"/>
  <c r="AJ312" i="20"/>
  <c r="AI844" i="20"/>
  <c r="AI671" i="20"/>
  <c r="AI660" i="20"/>
  <c r="AI649" i="20"/>
  <c r="AI638" i="20"/>
  <c r="AI627" i="20"/>
  <c r="AI616" i="20"/>
  <c r="AJ425" i="20"/>
  <c r="AJ308" i="20"/>
  <c r="AI837" i="20"/>
  <c r="AJ419" i="20"/>
  <c r="AJ302" i="20"/>
  <c r="AI833" i="20"/>
  <c r="AJ415" i="20"/>
  <c r="AJ298" i="20"/>
  <c r="AI826" i="20"/>
  <c r="AI822" i="20"/>
  <c r="AI815" i="20"/>
  <c r="AI811" i="20"/>
  <c r="AI793" i="20"/>
  <c r="AI770" i="20"/>
  <c r="AI759" i="20"/>
  <c r="AI748" i="20"/>
  <c r="AI737" i="20"/>
  <c r="AI781" i="20"/>
  <c r="AI789" i="20"/>
  <c r="AI766" i="20"/>
  <c r="AI755" i="20"/>
  <c r="AI744" i="20"/>
  <c r="AI733" i="20"/>
  <c r="AI777" i="20"/>
  <c r="AL262" i="20"/>
  <c r="AM262" i="20" s="1"/>
  <c r="AN262" i="20" s="1"/>
  <c r="AO262" i="20" s="1"/>
  <c r="AP262" i="20" s="1"/>
  <c r="AQ262" i="20" s="1"/>
  <c r="AR262" i="20" s="1"/>
  <c r="AS262" i="20" s="1"/>
  <c r="AT262" i="20" s="1"/>
  <c r="AU262" i="20" s="1"/>
  <c r="AV262" i="20" s="1"/>
  <c r="AW262" i="20" s="1"/>
  <c r="AX262" i="20" s="1"/>
  <c r="AY262" i="20" s="1"/>
  <c r="AZ262" i="20" s="1"/>
  <c r="BA262" i="20" s="1"/>
  <c r="BB262" i="20" s="1"/>
  <c r="BC262" i="20" s="1"/>
  <c r="AL258" i="20"/>
  <c r="AM258" i="20" s="1"/>
  <c r="AN258" i="20" s="1"/>
  <c r="AO258" i="20" s="1"/>
  <c r="AP258" i="20" s="1"/>
  <c r="AQ258" i="20" s="1"/>
  <c r="AR258" i="20" s="1"/>
  <c r="AS258" i="20" s="1"/>
  <c r="AL257" i="20"/>
  <c r="AM257" i="20" s="1"/>
  <c r="AN257" i="20" s="1"/>
  <c r="AO257" i="20" s="1"/>
  <c r="AP257" i="20" s="1"/>
  <c r="AQ257" i="20" s="1"/>
  <c r="AR257" i="20" s="1"/>
  <c r="AS257" i="20" s="1"/>
  <c r="AL260" i="20"/>
  <c r="AM260" i="20" s="1"/>
  <c r="AN260" i="20" s="1"/>
  <c r="AO260" i="20" s="1"/>
  <c r="AP260" i="20" s="1"/>
  <c r="AQ260" i="20" s="1"/>
  <c r="AR260" i="20" s="1"/>
  <c r="AS260" i="20" s="1"/>
  <c r="AL256" i="20"/>
  <c r="AM256" i="20" s="1"/>
  <c r="AN256" i="20" s="1"/>
  <c r="AO256" i="20" s="1"/>
  <c r="AP256" i="20" s="1"/>
  <c r="AQ256" i="20" s="1"/>
  <c r="AR256" i="20" s="1"/>
  <c r="AS256" i="20" s="1"/>
  <c r="AL255" i="20"/>
  <c r="AL261" i="20"/>
  <c r="AM261" i="20" s="1"/>
  <c r="AN261" i="20" s="1"/>
  <c r="AO261" i="20" s="1"/>
  <c r="AP261" i="20" s="1"/>
  <c r="AQ261" i="20" s="1"/>
  <c r="AR261" i="20" s="1"/>
  <c r="AS261" i="20" s="1"/>
  <c r="AL259" i="20"/>
  <c r="AM259" i="20" s="1"/>
  <c r="AN259" i="20" s="1"/>
  <c r="AO259" i="20" s="1"/>
  <c r="AP259" i="20" s="1"/>
  <c r="AQ259" i="20" s="1"/>
  <c r="AR259" i="20" s="1"/>
  <c r="AS259" i="20" s="1"/>
  <c r="AL38" i="20"/>
  <c r="AH838" i="20"/>
  <c r="AH816" i="20"/>
  <c r="AH805" i="20"/>
  <c r="AH849" i="20"/>
  <c r="AH827" i="20"/>
  <c r="AH794" i="20"/>
  <c r="AH738" i="20"/>
  <c r="AH771" i="20"/>
  <c r="AH749" i="20"/>
  <c r="AH782" i="20"/>
  <c r="AH760" i="20"/>
  <c r="AH727" i="20"/>
  <c r="AH654" i="20"/>
  <c r="AH632" i="20"/>
  <c r="AH676" i="20"/>
  <c r="AH621" i="20"/>
  <c r="AH521" i="20"/>
  <c r="AT521" i="20" s="1"/>
  <c r="AU521" i="20" s="1"/>
  <c r="AV521" i="20" s="1"/>
  <c r="AW521" i="20" s="1"/>
  <c r="AX521" i="20" s="1"/>
  <c r="AY521" i="20" s="1"/>
  <c r="AZ521" i="20" s="1"/>
  <c r="BA521" i="20" s="1"/>
  <c r="BB521" i="20" s="1"/>
  <c r="BC521" i="20" s="1"/>
  <c r="BD521" i="20" s="1"/>
  <c r="BE521" i="20" s="1"/>
  <c r="AH554" i="20"/>
  <c r="AO554" i="20" s="1"/>
  <c r="AP554" i="20" s="1"/>
  <c r="AQ554" i="20" s="1"/>
  <c r="AR554" i="20" s="1"/>
  <c r="AS554" i="20" s="1"/>
  <c r="AT554" i="20" s="1"/>
  <c r="AU554" i="20" s="1"/>
  <c r="AV554" i="20" s="1"/>
  <c r="AW554" i="20" s="1"/>
  <c r="AX554" i="20" s="1"/>
  <c r="AY554" i="20" s="1"/>
  <c r="AZ554" i="20" s="1"/>
  <c r="BA554" i="20" s="1"/>
  <c r="BB554" i="20" s="1"/>
  <c r="BC554" i="20" s="1"/>
  <c r="BD554" i="20" s="1"/>
  <c r="BE554" i="20" s="1"/>
  <c r="BF554" i="20" s="1"/>
  <c r="BG554" i="20" s="1"/>
  <c r="BH554" i="20" s="1"/>
  <c r="BI554" i="20" s="1"/>
  <c r="BJ554" i="20" s="1"/>
  <c r="BK554" i="20" s="1"/>
  <c r="BL554" i="20" s="1"/>
  <c r="BM554" i="20" s="1"/>
  <c r="BN554" i="20" s="1"/>
  <c r="AH665" i="20"/>
  <c r="AH565" i="20"/>
  <c r="AO565" i="20" s="1"/>
  <c r="AP565" i="20" s="1"/>
  <c r="AQ565" i="20" s="1"/>
  <c r="AR565" i="20" s="1"/>
  <c r="AS565" i="20" s="1"/>
  <c r="AT565" i="20" s="1"/>
  <c r="AU565" i="20" s="1"/>
  <c r="AV565" i="20" s="1"/>
  <c r="AW565" i="20" s="1"/>
  <c r="AX565" i="20" s="1"/>
  <c r="AY565" i="20" s="1"/>
  <c r="AZ565" i="20" s="1"/>
  <c r="BA565" i="20" s="1"/>
  <c r="BB565" i="20" s="1"/>
  <c r="BC565" i="20" s="1"/>
  <c r="BD565" i="20" s="1"/>
  <c r="BE565" i="20" s="1"/>
  <c r="BF565" i="20" s="1"/>
  <c r="BG565" i="20" s="1"/>
  <c r="BH565" i="20" s="1"/>
  <c r="BI565" i="20" s="1"/>
  <c r="BJ565" i="20" s="1"/>
  <c r="BK565" i="20" s="1"/>
  <c r="BL565" i="20" s="1"/>
  <c r="BM565" i="20" s="1"/>
  <c r="BN565" i="20" s="1"/>
  <c r="AH543" i="20"/>
  <c r="AO543" i="20" s="1"/>
  <c r="AP543" i="20" s="1"/>
  <c r="AQ543" i="20" s="1"/>
  <c r="AR543" i="20" s="1"/>
  <c r="AS543" i="20" s="1"/>
  <c r="AT543" i="20" s="1"/>
  <c r="AU543" i="20" s="1"/>
  <c r="AV543" i="20" s="1"/>
  <c r="AW543" i="20" s="1"/>
  <c r="AX543" i="20" s="1"/>
  <c r="AY543" i="20" s="1"/>
  <c r="AZ543" i="20" s="1"/>
  <c r="BA543" i="20" s="1"/>
  <c r="BB543" i="20" s="1"/>
  <c r="BC543" i="20" s="1"/>
  <c r="BD543" i="20" s="1"/>
  <c r="BE543" i="20" s="1"/>
  <c r="BF543" i="20" s="1"/>
  <c r="BG543" i="20" s="1"/>
  <c r="BH543" i="20" s="1"/>
  <c r="BI543" i="20" s="1"/>
  <c r="BJ543" i="20" s="1"/>
  <c r="BK543" i="20" s="1"/>
  <c r="BL543" i="20" s="1"/>
  <c r="BM543" i="20" s="1"/>
  <c r="BN543" i="20" s="1"/>
  <c r="AH643" i="20"/>
  <c r="AH576" i="20"/>
  <c r="AO576" i="20" s="1"/>
  <c r="AP576" i="20" s="1"/>
  <c r="AQ576" i="20" s="1"/>
  <c r="AR576" i="20" s="1"/>
  <c r="AS576" i="20" s="1"/>
  <c r="AT576" i="20" s="1"/>
  <c r="AU576" i="20" s="1"/>
  <c r="AV576" i="20" s="1"/>
  <c r="AW576" i="20" s="1"/>
  <c r="AX576" i="20" s="1"/>
  <c r="AY576" i="20" s="1"/>
  <c r="AZ576" i="20" s="1"/>
  <c r="BA576" i="20" s="1"/>
  <c r="BB576" i="20" s="1"/>
  <c r="BC576" i="20" s="1"/>
  <c r="BD576" i="20" s="1"/>
  <c r="BE576" i="20" s="1"/>
  <c r="BF576" i="20" s="1"/>
  <c r="BG576" i="20" s="1"/>
  <c r="BH576" i="20" s="1"/>
  <c r="BI576" i="20" s="1"/>
  <c r="BJ576" i="20" s="1"/>
  <c r="BK576" i="20" s="1"/>
  <c r="BL576" i="20" s="1"/>
  <c r="BM576" i="20" s="1"/>
  <c r="BN576" i="20" s="1"/>
  <c r="AH532" i="20"/>
  <c r="AT532" i="20" s="1"/>
  <c r="AU532" i="20" s="1"/>
  <c r="AV532" i="20" s="1"/>
  <c r="AW532" i="20" s="1"/>
  <c r="AX532" i="20" s="1"/>
  <c r="AY532" i="20" s="1"/>
  <c r="AZ532" i="20" s="1"/>
  <c r="BA532" i="20" s="1"/>
  <c r="BB532" i="20" s="1"/>
  <c r="BC532" i="20" s="1"/>
  <c r="BD532" i="20" s="1"/>
  <c r="BE532" i="20" s="1"/>
  <c r="BF532" i="20" s="1"/>
  <c r="BG532" i="20" s="1"/>
  <c r="BH532" i="20" s="1"/>
  <c r="BI532" i="20" s="1"/>
  <c r="BJ532" i="20" s="1"/>
  <c r="BK532" i="20" s="1"/>
  <c r="BL532" i="20" s="1"/>
  <c r="BM532" i="20" s="1"/>
  <c r="BN532" i="20" s="1"/>
  <c r="AI450" i="20"/>
  <c r="AI430" i="20"/>
  <c r="AI420" i="20"/>
  <c r="AI470" i="20"/>
  <c r="AI460" i="20"/>
  <c r="AI440" i="20"/>
  <c r="AI353" i="20"/>
  <c r="AI333" i="20"/>
  <c r="AI313" i="20"/>
  <c r="AI343" i="20"/>
  <c r="AI323" i="20"/>
  <c r="AI303" i="20"/>
  <c r="AI400" i="20"/>
  <c r="AT400" i="20" s="1"/>
  <c r="AU400" i="20" s="1"/>
  <c r="AV400" i="20" s="1"/>
  <c r="AW400" i="20" s="1"/>
  <c r="AX400" i="20" s="1"/>
  <c r="AY400" i="20" s="1"/>
  <c r="AZ400" i="20" s="1"/>
  <c r="BA400" i="20" s="1"/>
  <c r="BB400" i="20" s="1"/>
  <c r="BC400" i="20" s="1"/>
  <c r="BD400" i="20" s="1"/>
  <c r="BE400" i="20" s="1"/>
  <c r="BF400" i="20" s="1"/>
  <c r="BG400" i="20" s="1"/>
  <c r="AI380" i="20"/>
  <c r="AT380" i="20" s="1"/>
  <c r="AU380" i="20" s="1"/>
  <c r="AV380" i="20" s="1"/>
  <c r="AW380" i="20" s="1"/>
  <c r="AX380" i="20" s="1"/>
  <c r="AY380" i="20" s="1"/>
  <c r="AZ380" i="20" s="1"/>
  <c r="BA380" i="20" s="1"/>
  <c r="BB380" i="20" s="1"/>
  <c r="BC380" i="20" s="1"/>
  <c r="BD380" i="20" s="1"/>
  <c r="BE380" i="20" s="1"/>
  <c r="BF380" i="20" s="1"/>
  <c r="AI291" i="20"/>
  <c r="AY291" i="20" s="1"/>
  <c r="AZ291" i="20" s="1"/>
  <c r="BA291" i="20" s="1"/>
  <c r="BB291" i="20" s="1"/>
  <c r="AI271" i="20"/>
  <c r="AT271" i="20" s="1"/>
  <c r="AU271" i="20" s="1"/>
  <c r="AV271" i="20" s="1"/>
  <c r="AW271" i="20" s="1"/>
  <c r="AX271" i="20" s="1"/>
  <c r="AY271" i="20" s="1"/>
  <c r="AZ271" i="20" s="1"/>
  <c r="BA271" i="20" s="1"/>
  <c r="BB271" i="20" s="1"/>
  <c r="BC271" i="20" s="1"/>
  <c r="AI410" i="20"/>
  <c r="AT410" i="20" s="1"/>
  <c r="AU410" i="20" s="1"/>
  <c r="AV410" i="20" s="1"/>
  <c r="AW410" i="20" s="1"/>
  <c r="AX410" i="20" s="1"/>
  <c r="AY410" i="20" s="1"/>
  <c r="AZ410" i="20" s="1"/>
  <c r="BA410" i="20" s="1"/>
  <c r="BB410" i="20" s="1"/>
  <c r="BC410" i="20" s="1"/>
  <c r="BD410" i="20" s="1"/>
  <c r="BE410" i="20" s="1"/>
  <c r="BF410" i="20" s="1"/>
  <c r="AI390" i="20"/>
  <c r="AT390" i="20" s="1"/>
  <c r="AU390" i="20" s="1"/>
  <c r="AV390" i="20" s="1"/>
  <c r="AW390" i="20" s="1"/>
  <c r="AX390" i="20" s="1"/>
  <c r="AY390" i="20" s="1"/>
  <c r="AZ390" i="20" s="1"/>
  <c r="BA390" i="20" s="1"/>
  <c r="BB390" i="20" s="1"/>
  <c r="BC390" i="20" s="1"/>
  <c r="BD390" i="20" s="1"/>
  <c r="BE390" i="20" s="1"/>
  <c r="AI281" i="20"/>
  <c r="AT281" i="20" s="1"/>
  <c r="AU281" i="20" s="1"/>
  <c r="AV281" i="20" s="1"/>
  <c r="AW281" i="20" s="1"/>
  <c r="AX281" i="20" s="1"/>
  <c r="AY281" i="20" s="1"/>
  <c r="AZ281" i="20" s="1"/>
  <c r="BA281" i="20" s="1"/>
  <c r="BB281" i="20" s="1"/>
  <c r="BC281" i="20" s="1"/>
  <c r="AI261" i="20"/>
  <c r="AH834" i="20"/>
  <c r="AH812" i="20"/>
  <c r="AH801" i="20"/>
  <c r="AN801" i="20" s="1"/>
  <c r="AH845" i="20"/>
  <c r="AH823" i="20"/>
  <c r="AH790" i="20"/>
  <c r="AH734" i="20"/>
  <c r="AH767" i="20"/>
  <c r="AH745" i="20"/>
  <c r="AH756" i="20"/>
  <c r="AH723" i="20"/>
  <c r="AH778" i="20"/>
  <c r="AH650" i="20"/>
  <c r="AH628" i="20"/>
  <c r="AH639" i="20"/>
  <c r="AH572" i="20"/>
  <c r="AO572" i="20" s="1"/>
  <c r="AP572" i="20" s="1"/>
  <c r="AQ572" i="20" s="1"/>
  <c r="AR572" i="20" s="1"/>
  <c r="AS572" i="20" s="1"/>
  <c r="AT572" i="20" s="1"/>
  <c r="AU572" i="20" s="1"/>
  <c r="AV572" i="20" s="1"/>
  <c r="AW572" i="20" s="1"/>
  <c r="AX572" i="20" s="1"/>
  <c r="AY572" i="20" s="1"/>
  <c r="AZ572" i="20" s="1"/>
  <c r="BA572" i="20" s="1"/>
  <c r="BB572" i="20" s="1"/>
  <c r="BC572" i="20" s="1"/>
  <c r="BD572" i="20" s="1"/>
  <c r="BE572" i="20" s="1"/>
  <c r="BF572" i="20" s="1"/>
  <c r="BG572" i="20" s="1"/>
  <c r="BH572" i="20" s="1"/>
  <c r="BI572" i="20" s="1"/>
  <c r="BJ572" i="20" s="1"/>
  <c r="BK572" i="20" s="1"/>
  <c r="BL572" i="20" s="1"/>
  <c r="BM572" i="20" s="1"/>
  <c r="BN572" i="20" s="1"/>
  <c r="AH528" i="20"/>
  <c r="AT528" i="20" s="1"/>
  <c r="AU528" i="20" s="1"/>
  <c r="AV528" i="20" s="1"/>
  <c r="AW528" i="20" s="1"/>
  <c r="AX528" i="20" s="1"/>
  <c r="AY528" i="20" s="1"/>
  <c r="AZ528" i="20" s="1"/>
  <c r="BA528" i="20" s="1"/>
  <c r="BB528" i="20" s="1"/>
  <c r="BC528" i="20" s="1"/>
  <c r="BD528" i="20" s="1"/>
  <c r="BE528" i="20" s="1"/>
  <c r="BF528" i="20" s="1"/>
  <c r="BG528" i="20" s="1"/>
  <c r="BH528" i="20" s="1"/>
  <c r="BI528" i="20" s="1"/>
  <c r="BJ528" i="20" s="1"/>
  <c r="BK528" i="20" s="1"/>
  <c r="BL528" i="20" s="1"/>
  <c r="BM528" i="20" s="1"/>
  <c r="BN528" i="20" s="1"/>
  <c r="AH661" i="20"/>
  <c r="AH561" i="20"/>
  <c r="AO561" i="20" s="1"/>
  <c r="AP561" i="20" s="1"/>
  <c r="AQ561" i="20" s="1"/>
  <c r="AR561" i="20" s="1"/>
  <c r="AS561" i="20" s="1"/>
  <c r="AT561" i="20" s="1"/>
  <c r="AU561" i="20" s="1"/>
  <c r="AV561" i="20" s="1"/>
  <c r="AW561" i="20" s="1"/>
  <c r="AX561" i="20" s="1"/>
  <c r="AY561" i="20" s="1"/>
  <c r="AZ561" i="20" s="1"/>
  <c r="BA561" i="20" s="1"/>
  <c r="BB561" i="20" s="1"/>
  <c r="BC561" i="20" s="1"/>
  <c r="BD561" i="20" s="1"/>
  <c r="BE561" i="20" s="1"/>
  <c r="BF561" i="20" s="1"/>
  <c r="BG561" i="20" s="1"/>
  <c r="BH561" i="20" s="1"/>
  <c r="BI561" i="20" s="1"/>
  <c r="BJ561" i="20" s="1"/>
  <c r="BK561" i="20" s="1"/>
  <c r="BL561" i="20" s="1"/>
  <c r="BM561" i="20" s="1"/>
  <c r="BN561" i="20" s="1"/>
  <c r="AH539" i="20"/>
  <c r="AO539" i="20" s="1"/>
  <c r="AP539" i="20" s="1"/>
  <c r="AQ539" i="20" s="1"/>
  <c r="AR539" i="20" s="1"/>
  <c r="AS539" i="20" s="1"/>
  <c r="AT539" i="20" s="1"/>
  <c r="AU539" i="20" s="1"/>
  <c r="AV539" i="20" s="1"/>
  <c r="AW539" i="20" s="1"/>
  <c r="AX539" i="20" s="1"/>
  <c r="AY539" i="20" s="1"/>
  <c r="AZ539" i="20" s="1"/>
  <c r="BA539" i="20" s="1"/>
  <c r="BB539" i="20" s="1"/>
  <c r="BC539" i="20" s="1"/>
  <c r="BD539" i="20" s="1"/>
  <c r="BE539" i="20" s="1"/>
  <c r="BF539" i="20" s="1"/>
  <c r="BG539" i="20" s="1"/>
  <c r="BH539" i="20" s="1"/>
  <c r="BI539" i="20" s="1"/>
  <c r="BJ539" i="20" s="1"/>
  <c r="BK539" i="20" s="1"/>
  <c r="BL539" i="20" s="1"/>
  <c r="BM539" i="20" s="1"/>
  <c r="BN539" i="20" s="1"/>
  <c r="AH672" i="20"/>
  <c r="AH617" i="20"/>
  <c r="AH517" i="20"/>
  <c r="AT517" i="20" s="1"/>
  <c r="AU517" i="20" s="1"/>
  <c r="AV517" i="20" s="1"/>
  <c r="AW517" i="20" s="1"/>
  <c r="AX517" i="20" s="1"/>
  <c r="AY517" i="20" s="1"/>
  <c r="AZ517" i="20" s="1"/>
  <c r="BA517" i="20" s="1"/>
  <c r="BB517" i="20" s="1"/>
  <c r="BC517" i="20" s="1"/>
  <c r="BD517" i="20" s="1"/>
  <c r="AH550" i="20"/>
  <c r="AO550" i="20" s="1"/>
  <c r="AP550" i="20" s="1"/>
  <c r="AQ550" i="20" s="1"/>
  <c r="AR550" i="20" s="1"/>
  <c r="AS550" i="20" s="1"/>
  <c r="AT550" i="20" s="1"/>
  <c r="AU550" i="20" s="1"/>
  <c r="AV550" i="20" s="1"/>
  <c r="AW550" i="20" s="1"/>
  <c r="AX550" i="20" s="1"/>
  <c r="AY550" i="20" s="1"/>
  <c r="AZ550" i="20" s="1"/>
  <c r="BA550" i="20" s="1"/>
  <c r="BB550" i="20" s="1"/>
  <c r="BC550" i="20" s="1"/>
  <c r="BD550" i="20" s="1"/>
  <c r="BE550" i="20" s="1"/>
  <c r="BF550" i="20" s="1"/>
  <c r="BG550" i="20" s="1"/>
  <c r="BH550" i="20" s="1"/>
  <c r="BI550" i="20" s="1"/>
  <c r="BJ550" i="20" s="1"/>
  <c r="BK550" i="20" s="1"/>
  <c r="BL550" i="20" s="1"/>
  <c r="BM550" i="20" s="1"/>
  <c r="BN550" i="20" s="1"/>
  <c r="AI446" i="20"/>
  <c r="AI426" i="20"/>
  <c r="AI456" i="20"/>
  <c r="AI436" i="20"/>
  <c r="AI466" i="20"/>
  <c r="AI416" i="20"/>
  <c r="AI349" i="20"/>
  <c r="AI329" i="20"/>
  <c r="AI309" i="20"/>
  <c r="AI339" i="20"/>
  <c r="AI319" i="20"/>
  <c r="AI299" i="20"/>
  <c r="AI396" i="20"/>
  <c r="AT396" i="20" s="1"/>
  <c r="AU396" i="20" s="1"/>
  <c r="AV396" i="20" s="1"/>
  <c r="AW396" i="20" s="1"/>
  <c r="AX396" i="20" s="1"/>
  <c r="AY396" i="20" s="1"/>
  <c r="AZ396" i="20" s="1"/>
  <c r="BA396" i="20" s="1"/>
  <c r="BB396" i="20" s="1"/>
  <c r="BC396" i="20" s="1"/>
  <c r="BD396" i="20" s="1"/>
  <c r="BE396" i="20" s="1"/>
  <c r="BF396" i="20" s="1"/>
  <c r="AI376" i="20"/>
  <c r="AT376" i="20" s="1"/>
  <c r="AU376" i="20" s="1"/>
  <c r="AV376" i="20" s="1"/>
  <c r="AW376" i="20" s="1"/>
  <c r="AX376" i="20" s="1"/>
  <c r="AY376" i="20" s="1"/>
  <c r="AZ376" i="20" s="1"/>
  <c r="BA376" i="20" s="1"/>
  <c r="BB376" i="20" s="1"/>
  <c r="BC376" i="20" s="1"/>
  <c r="BD376" i="20" s="1"/>
  <c r="BE376" i="20" s="1"/>
  <c r="AI277" i="20"/>
  <c r="AT277" i="20" s="1"/>
  <c r="AU277" i="20" s="1"/>
  <c r="AV277" i="20" s="1"/>
  <c r="AW277" i="20" s="1"/>
  <c r="AX277" i="20" s="1"/>
  <c r="AY277" i="20" s="1"/>
  <c r="AZ277" i="20" s="1"/>
  <c r="BA277" i="20" s="1"/>
  <c r="BB277" i="20" s="1"/>
  <c r="AI257" i="20"/>
  <c r="AI287" i="20"/>
  <c r="AY287" i="20" s="1"/>
  <c r="AZ287" i="20" s="1"/>
  <c r="BA287" i="20" s="1"/>
  <c r="BB287" i="20" s="1"/>
  <c r="BC287" i="20" s="1"/>
  <c r="AI267" i="20"/>
  <c r="AT267" i="20" s="1"/>
  <c r="AU267" i="20" s="1"/>
  <c r="AV267" i="20" s="1"/>
  <c r="AW267" i="20" s="1"/>
  <c r="AX267" i="20" s="1"/>
  <c r="AY267" i="20" s="1"/>
  <c r="AZ267" i="20" s="1"/>
  <c r="BA267" i="20" s="1"/>
  <c r="BB267" i="20" s="1"/>
  <c r="BC267" i="20" s="1"/>
  <c r="AI406" i="20"/>
  <c r="AT406" i="20" s="1"/>
  <c r="AU406" i="20" s="1"/>
  <c r="AV406" i="20" s="1"/>
  <c r="AW406" i="20" s="1"/>
  <c r="AX406" i="20" s="1"/>
  <c r="AY406" i="20" s="1"/>
  <c r="AZ406" i="20" s="1"/>
  <c r="BA406" i="20" s="1"/>
  <c r="BB406" i="20" s="1"/>
  <c r="BC406" i="20" s="1"/>
  <c r="BD406" i="20" s="1"/>
  <c r="BE406" i="20" s="1"/>
  <c r="AI386" i="20"/>
  <c r="AT386" i="20" s="1"/>
  <c r="AU386" i="20" s="1"/>
  <c r="AV386" i="20" s="1"/>
  <c r="AW386" i="20" s="1"/>
  <c r="AX386" i="20" s="1"/>
  <c r="AY386" i="20" s="1"/>
  <c r="AZ386" i="20" s="1"/>
  <c r="BA386" i="20" s="1"/>
  <c r="BB386" i="20" s="1"/>
  <c r="BC386" i="20" s="1"/>
  <c r="BD386" i="20" s="1"/>
  <c r="BE386" i="20" s="1"/>
  <c r="BF386" i="20" s="1"/>
  <c r="AJ468" i="20"/>
  <c r="AJ351" i="20"/>
  <c r="AJ464" i="20"/>
  <c r="AJ347" i="20"/>
  <c r="AI725" i="20"/>
  <c r="AJ458" i="20"/>
  <c r="AJ341" i="20"/>
  <c r="AI721" i="20"/>
  <c r="AJ454" i="20"/>
  <c r="AJ337" i="20"/>
  <c r="AJ448" i="20"/>
  <c r="AJ331" i="20"/>
  <c r="AJ444" i="20"/>
  <c r="AJ327" i="20"/>
  <c r="AJ438" i="20"/>
  <c r="AJ321" i="20"/>
  <c r="AJ434" i="20"/>
  <c r="AJ317" i="20"/>
  <c r="AI847" i="20"/>
  <c r="AI674" i="20"/>
  <c r="AI663" i="20"/>
  <c r="AI652" i="20"/>
  <c r="AI641" i="20"/>
  <c r="AI630" i="20"/>
  <c r="AI619" i="20"/>
  <c r="AJ428" i="20"/>
  <c r="AJ311" i="20"/>
  <c r="AI843" i="20"/>
  <c r="AI670" i="20"/>
  <c r="AI659" i="20"/>
  <c r="AI648" i="20"/>
  <c r="AI637" i="20"/>
  <c r="AI626" i="20"/>
  <c r="AI615" i="20"/>
  <c r="AJ424" i="20"/>
  <c r="AJ307" i="20"/>
  <c r="AI836" i="20"/>
  <c r="AJ418" i="20"/>
  <c r="AJ301" i="20"/>
  <c r="AI832" i="20"/>
  <c r="AJ414" i="20"/>
  <c r="AJ297" i="20"/>
  <c r="AI825" i="20"/>
  <c r="AI814" i="20"/>
  <c r="AI810" i="20"/>
  <c r="AI792" i="20"/>
  <c r="AI769" i="20"/>
  <c r="AI758" i="20"/>
  <c r="AI747" i="20"/>
  <c r="AI780" i="20"/>
  <c r="AI736" i="20"/>
  <c r="AI788" i="20"/>
  <c r="AI765" i="20"/>
  <c r="AI754" i="20"/>
  <c r="AI776" i="20"/>
  <c r="AI743" i="20"/>
  <c r="AI732" i="20"/>
  <c r="AH793" i="20"/>
  <c r="AH848" i="20"/>
  <c r="AH826" i="20"/>
  <c r="AM826" i="20" s="1"/>
  <c r="AH804" i="20"/>
  <c r="AN804" i="20" s="1"/>
  <c r="AH837" i="20"/>
  <c r="AH815" i="20"/>
  <c r="AH781" i="20"/>
  <c r="AH759" i="20"/>
  <c r="AH737" i="20"/>
  <c r="AH726" i="20"/>
  <c r="AH748" i="20"/>
  <c r="AM748" i="20" s="1"/>
  <c r="AN748" i="20" s="1"/>
  <c r="AO748" i="20" s="1"/>
  <c r="AP748" i="20" s="1"/>
  <c r="AQ748" i="20" s="1"/>
  <c r="AR748" i="20" s="1"/>
  <c r="AS748" i="20" s="1"/>
  <c r="AT748" i="20" s="1"/>
  <c r="AU748" i="20" s="1"/>
  <c r="AV748" i="20" s="1"/>
  <c r="AW748" i="20" s="1"/>
  <c r="AX748" i="20" s="1"/>
  <c r="AY748" i="20" s="1"/>
  <c r="AZ748" i="20" s="1"/>
  <c r="BA748" i="20" s="1"/>
  <c r="BB748" i="20" s="1"/>
  <c r="BC748" i="20" s="1"/>
  <c r="BD748" i="20" s="1"/>
  <c r="BE748" i="20" s="1"/>
  <c r="BF748" i="20" s="1"/>
  <c r="BG748" i="20" s="1"/>
  <c r="BH748" i="20" s="1"/>
  <c r="BI748" i="20" s="1"/>
  <c r="BJ748" i="20" s="1"/>
  <c r="BK748" i="20" s="1"/>
  <c r="BL748" i="20" s="1"/>
  <c r="BM748" i="20" s="1"/>
  <c r="BN748" i="20" s="1"/>
  <c r="AH770" i="20"/>
  <c r="AH575" i="20"/>
  <c r="AO575" i="20" s="1"/>
  <c r="AP575" i="20" s="1"/>
  <c r="AQ575" i="20" s="1"/>
  <c r="AR575" i="20" s="1"/>
  <c r="AS575" i="20" s="1"/>
  <c r="AT575" i="20" s="1"/>
  <c r="AU575" i="20" s="1"/>
  <c r="AV575" i="20" s="1"/>
  <c r="AW575" i="20" s="1"/>
  <c r="AX575" i="20" s="1"/>
  <c r="AY575" i="20" s="1"/>
  <c r="AZ575" i="20" s="1"/>
  <c r="BA575" i="20" s="1"/>
  <c r="BB575" i="20" s="1"/>
  <c r="BC575" i="20" s="1"/>
  <c r="BD575" i="20" s="1"/>
  <c r="BE575" i="20" s="1"/>
  <c r="BF575" i="20" s="1"/>
  <c r="BG575" i="20" s="1"/>
  <c r="BH575" i="20" s="1"/>
  <c r="BI575" i="20" s="1"/>
  <c r="BJ575" i="20" s="1"/>
  <c r="BK575" i="20" s="1"/>
  <c r="BL575" i="20" s="1"/>
  <c r="BM575" i="20" s="1"/>
  <c r="BN575" i="20" s="1"/>
  <c r="AH553" i="20"/>
  <c r="AO553" i="20" s="1"/>
  <c r="AP553" i="20" s="1"/>
  <c r="AQ553" i="20" s="1"/>
  <c r="AR553" i="20" s="1"/>
  <c r="AS553" i="20" s="1"/>
  <c r="AT553" i="20" s="1"/>
  <c r="AU553" i="20" s="1"/>
  <c r="AV553" i="20" s="1"/>
  <c r="AW553" i="20" s="1"/>
  <c r="AX553" i="20" s="1"/>
  <c r="AY553" i="20" s="1"/>
  <c r="AZ553" i="20" s="1"/>
  <c r="BA553" i="20" s="1"/>
  <c r="BB553" i="20" s="1"/>
  <c r="BC553" i="20" s="1"/>
  <c r="BD553" i="20" s="1"/>
  <c r="BE553" i="20" s="1"/>
  <c r="BF553" i="20" s="1"/>
  <c r="BG553" i="20" s="1"/>
  <c r="BH553" i="20" s="1"/>
  <c r="BI553" i="20" s="1"/>
  <c r="BJ553" i="20" s="1"/>
  <c r="BK553" i="20" s="1"/>
  <c r="BL553" i="20" s="1"/>
  <c r="BM553" i="20" s="1"/>
  <c r="BN553" i="20" s="1"/>
  <c r="AH531" i="20"/>
  <c r="AT531" i="20" s="1"/>
  <c r="AU531" i="20" s="1"/>
  <c r="AV531" i="20" s="1"/>
  <c r="AW531" i="20" s="1"/>
  <c r="AX531" i="20" s="1"/>
  <c r="AY531" i="20" s="1"/>
  <c r="AZ531" i="20" s="1"/>
  <c r="BA531" i="20" s="1"/>
  <c r="BB531" i="20" s="1"/>
  <c r="BC531" i="20" s="1"/>
  <c r="BD531" i="20" s="1"/>
  <c r="BE531" i="20" s="1"/>
  <c r="BF531" i="20" s="1"/>
  <c r="BG531" i="20" s="1"/>
  <c r="BH531" i="20" s="1"/>
  <c r="BI531" i="20" s="1"/>
  <c r="BJ531" i="20" s="1"/>
  <c r="BK531" i="20" s="1"/>
  <c r="BL531" i="20" s="1"/>
  <c r="BM531" i="20" s="1"/>
  <c r="BN531" i="20" s="1"/>
  <c r="AH664" i="20"/>
  <c r="AH675" i="20"/>
  <c r="AH620" i="20"/>
  <c r="AH653" i="20"/>
  <c r="AH631" i="20"/>
  <c r="AM631" i="20" s="1"/>
  <c r="AH564" i="20"/>
  <c r="AO564" i="20" s="1"/>
  <c r="AP564" i="20" s="1"/>
  <c r="AQ564" i="20" s="1"/>
  <c r="AR564" i="20" s="1"/>
  <c r="AS564" i="20" s="1"/>
  <c r="AT564" i="20" s="1"/>
  <c r="AU564" i="20" s="1"/>
  <c r="AV564" i="20" s="1"/>
  <c r="AW564" i="20" s="1"/>
  <c r="AX564" i="20" s="1"/>
  <c r="AY564" i="20" s="1"/>
  <c r="AZ564" i="20" s="1"/>
  <c r="BA564" i="20" s="1"/>
  <c r="BB564" i="20" s="1"/>
  <c r="BC564" i="20" s="1"/>
  <c r="BD564" i="20" s="1"/>
  <c r="BE564" i="20" s="1"/>
  <c r="BF564" i="20" s="1"/>
  <c r="BG564" i="20" s="1"/>
  <c r="BH564" i="20" s="1"/>
  <c r="BI564" i="20" s="1"/>
  <c r="BJ564" i="20" s="1"/>
  <c r="BK564" i="20" s="1"/>
  <c r="BL564" i="20" s="1"/>
  <c r="BM564" i="20" s="1"/>
  <c r="BN564" i="20" s="1"/>
  <c r="AH542" i="20"/>
  <c r="AO542" i="20" s="1"/>
  <c r="AP542" i="20" s="1"/>
  <c r="AQ542" i="20" s="1"/>
  <c r="AR542" i="20" s="1"/>
  <c r="AS542" i="20" s="1"/>
  <c r="AT542" i="20" s="1"/>
  <c r="AU542" i="20" s="1"/>
  <c r="AV542" i="20" s="1"/>
  <c r="AW542" i="20" s="1"/>
  <c r="AX542" i="20" s="1"/>
  <c r="AY542" i="20" s="1"/>
  <c r="AZ542" i="20" s="1"/>
  <c r="BA542" i="20" s="1"/>
  <c r="BB542" i="20" s="1"/>
  <c r="BC542" i="20" s="1"/>
  <c r="BD542" i="20" s="1"/>
  <c r="BE542" i="20" s="1"/>
  <c r="BF542" i="20" s="1"/>
  <c r="BG542" i="20" s="1"/>
  <c r="BH542" i="20" s="1"/>
  <c r="BI542" i="20" s="1"/>
  <c r="BJ542" i="20" s="1"/>
  <c r="BK542" i="20" s="1"/>
  <c r="BL542" i="20" s="1"/>
  <c r="BM542" i="20" s="1"/>
  <c r="BN542" i="20" s="1"/>
  <c r="AH642" i="20"/>
  <c r="AM642" i="20" s="1"/>
  <c r="AN642" i="20" s="1"/>
  <c r="AO642" i="20" s="1"/>
  <c r="AP642" i="20" s="1"/>
  <c r="AQ642" i="20" s="1"/>
  <c r="AR642" i="20" s="1"/>
  <c r="AS642" i="20" s="1"/>
  <c r="AT642" i="20" s="1"/>
  <c r="AU642" i="20" s="1"/>
  <c r="AV642" i="20" s="1"/>
  <c r="AW642" i="20" s="1"/>
  <c r="AX642" i="20" s="1"/>
  <c r="AY642" i="20" s="1"/>
  <c r="AZ642" i="20" s="1"/>
  <c r="BA642" i="20" s="1"/>
  <c r="BB642" i="20" s="1"/>
  <c r="BC642" i="20" s="1"/>
  <c r="BD642" i="20" s="1"/>
  <c r="BE642" i="20" s="1"/>
  <c r="BF642" i="20" s="1"/>
  <c r="BG642" i="20" s="1"/>
  <c r="BH642" i="20" s="1"/>
  <c r="BI642" i="20" s="1"/>
  <c r="BJ642" i="20" s="1"/>
  <c r="AH520" i="20"/>
  <c r="AT520" i="20" s="1"/>
  <c r="AU520" i="20" s="1"/>
  <c r="AV520" i="20" s="1"/>
  <c r="AW520" i="20" s="1"/>
  <c r="AX520" i="20" s="1"/>
  <c r="AY520" i="20" s="1"/>
  <c r="AZ520" i="20" s="1"/>
  <c r="BA520" i="20" s="1"/>
  <c r="BB520" i="20" s="1"/>
  <c r="BC520" i="20" s="1"/>
  <c r="BD520" i="20" s="1"/>
  <c r="BE520" i="20" s="1"/>
  <c r="AI459" i="20"/>
  <c r="AI439" i="20"/>
  <c r="AI419" i="20"/>
  <c r="AI469" i="20"/>
  <c r="AI449" i="20"/>
  <c r="AI429" i="20"/>
  <c r="AI352" i="20"/>
  <c r="AI332" i="20"/>
  <c r="AT332" i="20" s="1"/>
  <c r="AU332" i="20" s="1"/>
  <c r="AV332" i="20" s="1"/>
  <c r="AW332" i="20" s="1"/>
  <c r="AX332" i="20" s="1"/>
  <c r="AY332" i="20" s="1"/>
  <c r="AZ332" i="20" s="1"/>
  <c r="BA332" i="20" s="1"/>
  <c r="BB332" i="20" s="1"/>
  <c r="BC332" i="20" s="1"/>
  <c r="BD332" i="20" s="1"/>
  <c r="BE332" i="20" s="1"/>
  <c r="BF332" i="20" s="1"/>
  <c r="BG332" i="20" s="1"/>
  <c r="BH332" i="20" s="1"/>
  <c r="BI332" i="20" s="1"/>
  <c r="BJ332" i="20" s="1"/>
  <c r="BK332" i="20" s="1"/>
  <c r="BL332" i="20" s="1"/>
  <c r="BM332" i="20" s="1"/>
  <c r="BN332" i="20" s="1"/>
  <c r="AI312" i="20"/>
  <c r="AI342" i="20"/>
  <c r="AI322" i="20"/>
  <c r="AI302" i="20"/>
  <c r="AI409" i="20"/>
  <c r="AT409" i="20" s="1"/>
  <c r="AU409" i="20" s="1"/>
  <c r="AV409" i="20" s="1"/>
  <c r="AW409" i="20" s="1"/>
  <c r="AX409" i="20" s="1"/>
  <c r="AY409" i="20" s="1"/>
  <c r="AZ409" i="20" s="1"/>
  <c r="BA409" i="20" s="1"/>
  <c r="BB409" i="20" s="1"/>
  <c r="BC409" i="20" s="1"/>
  <c r="BD409" i="20" s="1"/>
  <c r="BE409" i="20" s="1"/>
  <c r="BF409" i="20" s="1"/>
  <c r="AI389" i="20"/>
  <c r="AT389" i="20" s="1"/>
  <c r="AU389" i="20" s="1"/>
  <c r="AV389" i="20" s="1"/>
  <c r="AW389" i="20" s="1"/>
  <c r="AX389" i="20" s="1"/>
  <c r="AY389" i="20" s="1"/>
  <c r="AZ389" i="20" s="1"/>
  <c r="BA389" i="20" s="1"/>
  <c r="BB389" i="20" s="1"/>
  <c r="BC389" i="20" s="1"/>
  <c r="BD389" i="20" s="1"/>
  <c r="BE389" i="20" s="1"/>
  <c r="BF389" i="20" s="1"/>
  <c r="AI280" i="20"/>
  <c r="AT280" i="20" s="1"/>
  <c r="AU280" i="20" s="1"/>
  <c r="AV280" i="20" s="1"/>
  <c r="AW280" i="20" s="1"/>
  <c r="AX280" i="20" s="1"/>
  <c r="AY280" i="20" s="1"/>
  <c r="AZ280" i="20" s="1"/>
  <c r="BA280" i="20" s="1"/>
  <c r="BB280" i="20" s="1"/>
  <c r="BC280" i="20" s="1"/>
  <c r="AI260" i="20"/>
  <c r="AI270" i="20"/>
  <c r="AT270" i="20" s="1"/>
  <c r="AU270" i="20" s="1"/>
  <c r="AV270" i="20" s="1"/>
  <c r="AW270" i="20" s="1"/>
  <c r="AX270" i="20" s="1"/>
  <c r="AY270" i="20" s="1"/>
  <c r="AZ270" i="20" s="1"/>
  <c r="BA270" i="20" s="1"/>
  <c r="BB270" i="20" s="1"/>
  <c r="BC270" i="20" s="1"/>
  <c r="AI399" i="20"/>
  <c r="AT399" i="20" s="1"/>
  <c r="AU399" i="20" s="1"/>
  <c r="AV399" i="20" s="1"/>
  <c r="AW399" i="20" s="1"/>
  <c r="AX399" i="20" s="1"/>
  <c r="AY399" i="20" s="1"/>
  <c r="AZ399" i="20" s="1"/>
  <c r="BA399" i="20" s="1"/>
  <c r="BB399" i="20" s="1"/>
  <c r="BC399" i="20" s="1"/>
  <c r="BD399" i="20" s="1"/>
  <c r="BE399" i="20" s="1"/>
  <c r="BF399" i="20" s="1"/>
  <c r="AI379" i="20"/>
  <c r="AT379" i="20" s="1"/>
  <c r="AU379" i="20" s="1"/>
  <c r="AV379" i="20" s="1"/>
  <c r="AW379" i="20" s="1"/>
  <c r="AX379" i="20" s="1"/>
  <c r="AY379" i="20" s="1"/>
  <c r="AZ379" i="20" s="1"/>
  <c r="BA379" i="20" s="1"/>
  <c r="BB379" i="20" s="1"/>
  <c r="BC379" i="20" s="1"/>
  <c r="BD379" i="20" s="1"/>
  <c r="BE379" i="20" s="1"/>
  <c r="BF379" i="20" s="1"/>
  <c r="AI290" i="20"/>
  <c r="AY290" i="20" s="1"/>
  <c r="AZ290" i="20" s="1"/>
  <c r="BA290" i="20" s="1"/>
  <c r="BB290" i="20" s="1"/>
  <c r="BC290" i="20" s="1"/>
  <c r="AH789" i="20"/>
  <c r="AH844" i="20"/>
  <c r="AH822" i="20"/>
  <c r="AH800" i="20"/>
  <c r="AN800" i="20" s="1"/>
  <c r="AO800" i="20" s="1"/>
  <c r="AP800" i="20" s="1"/>
  <c r="AQ800" i="20" s="1"/>
  <c r="AR800" i="20" s="1"/>
  <c r="AS800" i="20" s="1"/>
  <c r="AT800" i="20" s="1"/>
  <c r="AU800" i="20" s="1"/>
  <c r="AV800" i="20" s="1"/>
  <c r="AW800" i="20" s="1"/>
  <c r="AX800" i="20" s="1"/>
  <c r="AY800" i="20" s="1"/>
  <c r="AZ800" i="20" s="1"/>
  <c r="BA800" i="20" s="1"/>
  <c r="BB800" i="20" s="1"/>
  <c r="BC800" i="20" s="1"/>
  <c r="BD800" i="20" s="1"/>
  <c r="BE800" i="20" s="1"/>
  <c r="BF800" i="20" s="1"/>
  <c r="BG800" i="20" s="1"/>
  <c r="BH800" i="20" s="1"/>
  <c r="BI800" i="20" s="1"/>
  <c r="BJ800" i="20" s="1"/>
  <c r="BK800" i="20" s="1"/>
  <c r="BL800" i="20" s="1"/>
  <c r="BM800" i="20" s="1"/>
  <c r="BN800" i="20" s="1"/>
  <c r="AH833" i="20"/>
  <c r="AH811" i="20"/>
  <c r="AM811" i="20" s="1"/>
  <c r="AN811" i="20" s="1"/>
  <c r="AO811" i="20" s="1"/>
  <c r="AP811" i="20" s="1"/>
  <c r="AQ811" i="20" s="1"/>
  <c r="AR811" i="20" s="1"/>
  <c r="AS811" i="20" s="1"/>
  <c r="AT811" i="20" s="1"/>
  <c r="AU811" i="20" s="1"/>
  <c r="AV811" i="20" s="1"/>
  <c r="AW811" i="20" s="1"/>
  <c r="AX811" i="20" s="1"/>
  <c r="AY811" i="20" s="1"/>
  <c r="AZ811" i="20" s="1"/>
  <c r="BA811" i="20" s="1"/>
  <c r="BB811" i="20" s="1"/>
  <c r="BC811" i="20" s="1"/>
  <c r="BD811" i="20" s="1"/>
  <c r="BE811" i="20" s="1"/>
  <c r="BF811" i="20" s="1"/>
  <c r="BG811" i="20" s="1"/>
  <c r="BH811" i="20" s="1"/>
  <c r="BI811" i="20" s="1"/>
  <c r="BJ811" i="20" s="1"/>
  <c r="BK811" i="20" s="1"/>
  <c r="BL811" i="20" s="1"/>
  <c r="BM811" i="20" s="1"/>
  <c r="BN811" i="20" s="1"/>
  <c r="AH777" i="20"/>
  <c r="AM777" i="20" s="1"/>
  <c r="AN777" i="20" s="1"/>
  <c r="AO777" i="20" s="1"/>
  <c r="AP777" i="20" s="1"/>
  <c r="AQ777" i="20" s="1"/>
  <c r="AR777" i="20" s="1"/>
  <c r="AS777" i="20" s="1"/>
  <c r="AT777" i="20" s="1"/>
  <c r="AU777" i="20" s="1"/>
  <c r="AV777" i="20" s="1"/>
  <c r="AW777" i="20" s="1"/>
  <c r="AX777" i="20" s="1"/>
  <c r="AY777" i="20" s="1"/>
  <c r="AZ777" i="20" s="1"/>
  <c r="BA777" i="20" s="1"/>
  <c r="BB777" i="20" s="1"/>
  <c r="BC777" i="20" s="1"/>
  <c r="BD777" i="20" s="1"/>
  <c r="BE777" i="20" s="1"/>
  <c r="BF777" i="20" s="1"/>
  <c r="BG777" i="20" s="1"/>
  <c r="BH777" i="20" s="1"/>
  <c r="BI777" i="20" s="1"/>
  <c r="BJ777" i="20" s="1"/>
  <c r="BK777" i="20" s="1"/>
  <c r="BL777" i="20" s="1"/>
  <c r="BM777" i="20" s="1"/>
  <c r="BN777" i="20" s="1"/>
  <c r="AH755" i="20"/>
  <c r="AH733" i="20"/>
  <c r="AN733" i="20" s="1"/>
  <c r="AO733" i="20" s="1"/>
  <c r="AP733" i="20" s="1"/>
  <c r="AQ733" i="20" s="1"/>
  <c r="AR733" i="20" s="1"/>
  <c r="AS733" i="20" s="1"/>
  <c r="AT733" i="20" s="1"/>
  <c r="AU733" i="20" s="1"/>
  <c r="AV733" i="20" s="1"/>
  <c r="AW733" i="20" s="1"/>
  <c r="AX733" i="20" s="1"/>
  <c r="AY733" i="20" s="1"/>
  <c r="AZ733" i="20" s="1"/>
  <c r="BA733" i="20" s="1"/>
  <c r="BB733" i="20" s="1"/>
  <c r="BC733" i="20" s="1"/>
  <c r="BD733" i="20" s="1"/>
  <c r="BE733" i="20" s="1"/>
  <c r="BF733" i="20" s="1"/>
  <c r="BG733" i="20" s="1"/>
  <c r="BH733" i="20" s="1"/>
  <c r="BI733" i="20" s="1"/>
  <c r="BJ733" i="20" s="1"/>
  <c r="BK733" i="20" s="1"/>
  <c r="BL733" i="20" s="1"/>
  <c r="BM733" i="20" s="1"/>
  <c r="BN733" i="20" s="1"/>
  <c r="AH766" i="20"/>
  <c r="AM766" i="20" s="1"/>
  <c r="AN766" i="20" s="1"/>
  <c r="AO766" i="20" s="1"/>
  <c r="AP766" i="20" s="1"/>
  <c r="AQ766" i="20" s="1"/>
  <c r="AR766" i="20" s="1"/>
  <c r="AS766" i="20" s="1"/>
  <c r="AT766" i="20" s="1"/>
  <c r="AU766" i="20" s="1"/>
  <c r="AV766" i="20" s="1"/>
  <c r="AW766" i="20" s="1"/>
  <c r="AX766" i="20" s="1"/>
  <c r="AY766" i="20" s="1"/>
  <c r="AZ766" i="20" s="1"/>
  <c r="BA766" i="20" s="1"/>
  <c r="BB766" i="20" s="1"/>
  <c r="BC766" i="20" s="1"/>
  <c r="BD766" i="20" s="1"/>
  <c r="BE766" i="20" s="1"/>
  <c r="BF766" i="20" s="1"/>
  <c r="BG766" i="20" s="1"/>
  <c r="BH766" i="20" s="1"/>
  <c r="BI766" i="20" s="1"/>
  <c r="BJ766" i="20" s="1"/>
  <c r="BK766" i="20" s="1"/>
  <c r="BL766" i="20" s="1"/>
  <c r="BM766" i="20" s="1"/>
  <c r="BN766" i="20" s="1"/>
  <c r="AH722" i="20"/>
  <c r="AH744" i="20"/>
  <c r="AH571" i="20"/>
  <c r="AO571" i="20" s="1"/>
  <c r="AP571" i="20" s="1"/>
  <c r="AQ571" i="20" s="1"/>
  <c r="AR571" i="20" s="1"/>
  <c r="AS571" i="20" s="1"/>
  <c r="AT571" i="20" s="1"/>
  <c r="AU571" i="20" s="1"/>
  <c r="AV571" i="20" s="1"/>
  <c r="AW571" i="20" s="1"/>
  <c r="AX571" i="20" s="1"/>
  <c r="AY571" i="20" s="1"/>
  <c r="AZ571" i="20" s="1"/>
  <c r="BA571" i="20" s="1"/>
  <c r="BB571" i="20" s="1"/>
  <c r="BC571" i="20" s="1"/>
  <c r="BD571" i="20" s="1"/>
  <c r="BE571" i="20" s="1"/>
  <c r="BF571" i="20" s="1"/>
  <c r="BG571" i="20" s="1"/>
  <c r="BH571" i="20" s="1"/>
  <c r="BI571" i="20" s="1"/>
  <c r="BJ571" i="20" s="1"/>
  <c r="BK571" i="20" s="1"/>
  <c r="BL571" i="20" s="1"/>
  <c r="BM571" i="20" s="1"/>
  <c r="BN571" i="20" s="1"/>
  <c r="AH549" i="20"/>
  <c r="AO549" i="20" s="1"/>
  <c r="AP549" i="20" s="1"/>
  <c r="AQ549" i="20" s="1"/>
  <c r="AR549" i="20" s="1"/>
  <c r="AS549" i="20" s="1"/>
  <c r="AT549" i="20" s="1"/>
  <c r="AU549" i="20" s="1"/>
  <c r="AV549" i="20" s="1"/>
  <c r="AW549" i="20" s="1"/>
  <c r="AX549" i="20" s="1"/>
  <c r="AY549" i="20" s="1"/>
  <c r="AZ549" i="20" s="1"/>
  <c r="BA549" i="20" s="1"/>
  <c r="BB549" i="20" s="1"/>
  <c r="BC549" i="20" s="1"/>
  <c r="BD549" i="20" s="1"/>
  <c r="BE549" i="20" s="1"/>
  <c r="BF549" i="20" s="1"/>
  <c r="BG549" i="20" s="1"/>
  <c r="BH549" i="20" s="1"/>
  <c r="BI549" i="20" s="1"/>
  <c r="BJ549" i="20" s="1"/>
  <c r="BK549" i="20" s="1"/>
  <c r="BL549" i="20" s="1"/>
  <c r="BM549" i="20" s="1"/>
  <c r="BN549" i="20" s="1"/>
  <c r="AH527" i="20"/>
  <c r="AT527" i="20" s="1"/>
  <c r="AU527" i="20" s="1"/>
  <c r="AV527" i="20" s="1"/>
  <c r="AW527" i="20" s="1"/>
  <c r="AX527" i="20" s="1"/>
  <c r="AY527" i="20" s="1"/>
  <c r="AZ527" i="20" s="1"/>
  <c r="BA527" i="20" s="1"/>
  <c r="BB527" i="20" s="1"/>
  <c r="BC527" i="20" s="1"/>
  <c r="BD527" i="20" s="1"/>
  <c r="BE527" i="20" s="1"/>
  <c r="BF527" i="20" s="1"/>
  <c r="BG527" i="20" s="1"/>
  <c r="BH527" i="20" s="1"/>
  <c r="BI527" i="20" s="1"/>
  <c r="BJ527" i="20" s="1"/>
  <c r="BK527" i="20" s="1"/>
  <c r="BL527" i="20" s="1"/>
  <c r="BM527" i="20" s="1"/>
  <c r="BN527" i="20" s="1"/>
  <c r="AH560" i="20"/>
  <c r="AO560" i="20" s="1"/>
  <c r="AP560" i="20" s="1"/>
  <c r="AQ560" i="20" s="1"/>
  <c r="AR560" i="20" s="1"/>
  <c r="AS560" i="20" s="1"/>
  <c r="AT560" i="20" s="1"/>
  <c r="AU560" i="20" s="1"/>
  <c r="AV560" i="20" s="1"/>
  <c r="AW560" i="20" s="1"/>
  <c r="AX560" i="20" s="1"/>
  <c r="AY560" i="20" s="1"/>
  <c r="AZ560" i="20" s="1"/>
  <c r="BA560" i="20" s="1"/>
  <c r="BB560" i="20" s="1"/>
  <c r="BC560" i="20" s="1"/>
  <c r="BD560" i="20" s="1"/>
  <c r="BE560" i="20" s="1"/>
  <c r="BF560" i="20" s="1"/>
  <c r="BG560" i="20" s="1"/>
  <c r="BH560" i="20" s="1"/>
  <c r="BI560" i="20" s="1"/>
  <c r="BJ560" i="20" s="1"/>
  <c r="BK560" i="20" s="1"/>
  <c r="BL560" i="20" s="1"/>
  <c r="BM560" i="20" s="1"/>
  <c r="BN560" i="20" s="1"/>
  <c r="AH538" i="20"/>
  <c r="AO538" i="20" s="1"/>
  <c r="AP538" i="20" s="1"/>
  <c r="AQ538" i="20" s="1"/>
  <c r="AR538" i="20" s="1"/>
  <c r="AS538" i="20" s="1"/>
  <c r="AT538" i="20" s="1"/>
  <c r="AU538" i="20" s="1"/>
  <c r="AV538" i="20" s="1"/>
  <c r="AW538" i="20" s="1"/>
  <c r="AX538" i="20" s="1"/>
  <c r="AY538" i="20" s="1"/>
  <c r="AZ538" i="20" s="1"/>
  <c r="BA538" i="20" s="1"/>
  <c r="BB538" i="20" s="1"/>
  <c r="BC538" i="20" s="1"/>
  <c r="BD538" i="20" s="1"/>
  <c r="BE538" i="20" s="1"/>
  <c r="BF538" i="20" s="1"/>
  <c r="BG538" i="20" s="1"/>
  <c r="BH538" i="20" s="1"/>
  <c r="BI538" i="20" s="1"/>
  <c r="BJ538" i="20" s="1"/>
  <c r="BK538" i="20" s="1"/>
  <c r="BL538" i="20" s="1"/>
  <c r="BM538" i="20" s="1"/>
  <c r="BN538" i="20" s="1"/>
  <c r="AH671" i="20"/>
  <c r="AH638" i="20"/>
  <c r="AH516" i="20"/>
  <c r="AT516" i="20" s="1"/>
  <c r="AU516" i="20" s="1"/>
  <c r="AV516" i="20" s="1"/>
  <c r="AW516" i="20" s="1"/>
  <c r="AX516" i="20" s="1"/>
  <c r="AY516" i="20" s="1"/>
  <c r="AZ516" i="20" s="1"/>
  <c r="BA516" i="20" s="1"/>
  <c r="BB516" i="20" s="1"/>
  <c r="BC516" i="20" s="1"/>
  <c r="BD516" i="20" s="1"/>
  <c r="BE516" i="20" s="1"/>
  <c r="AH649" i="20"/>
  <c r="AH627" i="20"/>
  <c r="AH660" i="20"/>
  <c r="AM660" i="20" s="1"/>
  <c r="AN660" i="20" s="1"/>
  <c r="AO660" i="20" s="1"/>
  <c r="AP660" i="20" s="1"/>
  <c r="AQ660" i="20" s="1"/>
  <c r="AR660" i="20" s="1"/>
  <c r="AS660" i="20" s="1"/>
  <c r="AT660" i="20" s="1"/>
  <c r="AU660" i="20" s="1"/>
  <c r="AV660" i="20" s="1"/>
  <c r="AW660" i="20" s="1"/>
  <c r="AX660" i="20" s="1"/>
  <c r="AY660" i="20" s="1"/>
  <c r="AZ660" i="20" s="1"/>
  <c r="BA660" i="20" s="1"/>
  <c r="BB660" i="20" s="1"/>
  <c r="BC660" i="20" s="1"/>
  <c r="BD660" i="20" s="1"/>
  <c r="BE660" i="20" s="1"/>
  <c r="BF660" i="20" s="1"/>
  <c r="BG660" i="20" s="1"/>
  <c r="BH660" i="20" s="1"/>
  <c r="BI660" i="20" s="1"/>
  <c r="BJ660" i="20" s="1"/>
  <c r="BK660" i="20" s="1"/>
  <c r="BL660" i="20" s="1"/>
  <c r="BM660" i="20" s="1"/>
  <c r="BN660" i="20" s="1"/>
  <c r="AH616" i="20"/>
  <c r="AI455" i="20"/>
  <c r="AI435" i="20"/>
  <c r="AI415" i="20"/>
  <c r="AI465" i="20"/>
  <c r="AI445" i="20"/>
  <c r="AT445" i="20" s="1"/>
  <c r="AU445" i="20" s="1"/>
  <c r="AV445" i="20" s="1"/>
  <c r="AW445" i="20" s="1"/>
  <c r="AX445" i="20" s="1"/>
  <c r="AY445" i="20" s="1"/>
  <c r="AZ445" i="20" s="1"/>
  <c r="BA445" i="20" s="1"/>
  <c r="BB445" i="20" s="1"/>
  <c r="BC445" i="20" s="1"/>
  <c r="BD445" i="20" s="1"/>
  <c r="BE445" i="20" s="1"/>
  <c r="BF445" i="20" s="1"/>
  <c r="AI425" i="20"/>
  <c r="AI348" i="20"/>
  <c r="AI328" i="20"/>
  <c r="AI308" i="20"/>
  <c r="AI338" i="20"/>
  <c r="AI318" i="20"/>
  <c r="AT318" i="20" s="1"/>
  <c r="AU318" i="20" s="1"/>
  <c r="AV318" i="20" s="1"/>
  <c r="AW318" i="20" s="1"/>
  <c r="AX318" i="20" s="1"/>
  <c r="AY318" i="20" s="1"/>
  <c r="AZ318" i="20" s="1"/>
  <c r="BA318" i="20" s="1"/>
  <c r="BB318" i="20" s="1"/>
  <c r="BC318" i="20" s="1"/>
  <c r="BD318" i="20" s="1"/>
  <c r="BE318" i="20" s="1"/>
  <c r="BF318" i="20" s="1"/>
  <c r="BG318" i="20" s="1"/>
  <c r="BH318" i="20" s="1"/>
  <c r="BI318" i="20" s="1"/>
  <c r="BJ318" i="20" s="1"/>
  <c r="BK318" i="20" s="1"/>
  <c r="BL318" i="20" s="1"/>
  <c r="BM318" i="20" s="1"/>
  <c r="BN318" i="20" s="1"/>
  <c r="AI298" i="20"/>
  <c r="AI405" i="20"/>
  <c r="AT405" i="20" s="1"/>
  <c r="AU405" i="20" s="1"/>
  <c r="AV405" i="20" s="1"/>
  <c r="AW405" i="20" s="1"/>
  <c r="AX405" i="20" s="1"/>
  <c r="AY405" i="20" s="1"/>
  <c r="AZ405" i="20" s="1"/>
  <c r="BA405" i="20" s="1"/>
  <c r="BB405" i="20" s="1"/>
  <c r="BC405" i="20" s="1"/>
  <c r="BD405" i="20" s="1"/>
  <c r="BE405" i="20" s="1"/>
  <c r="BF405" i="20" s="1"/>
  <c r="AI385" i="20"/>
  <c r="AT385" i="20" s="1"/>
  <c r="AU385" i="20" s="1"/>
  <c r="AV385" i="20" s="1"/>
  <c r="AW385" i="20" s="1"/>
  <c r="AX385" i="20" s="1"/>
  <c r="AY385" i="20" s="1"/>
  <c r="AZ385" i="20" s="1"/>
  <c r="BA385" i="20" s="1"/>
  <c r="BB385" i="20" s="1"/>
  <c r="BC385" i="20" s="1"/>
  <c r="BD385" i="20" s="1"/>
  <c r="BE385" i="20" s="1"/>
  <c r="BF385" i="20" s="1"/>
  <c r="AI276" i="20"/>
  <c r="AT276" i="20" s="1"/>
  <c r="AU276" i="20" s="1"/>
  <c r="AV276" i="20" s="1"/>
  <c r="AW276" i="20" s="1"/>
  <c r="AX276" i="20" s="1"/>
  <c r="AY276" i="20" s="1"/>
  <c r="AZ276" i="20" s="1"/>
  <c r="BA276" i="20" s="1"/>
  <c r="BB276" i="20" s="1"/>
  <c r="BC276" i="20" s="1"/>
  <c r="AI256" i="20"/>
  <c r="AI395" i="20"/>
  <c r="AT395" i="20" s="1"/>
  <c r="AU395" i="20" s="1"/>
  <c r="AV395" i="20" s="1"/>
  <c r="AW395" i="20" s="1"/>
  <c r="AX395" i="20" s="1"/>
  <c r="AY395" i="20" s="1"/>
  <c r="AZ395" i="20" s="1"/>
  <c r="BA395" i="20" s="1"/>
  <c r="BB395" i="20" s="1"/>
  <c r="BC395" i="20" s="1"/>
  <c r="BD395" i="20" s="1"/>
  <c r="BE395" i="20" s="1"/>
  <c r="BF395" i="20" s="1"/>
  <c r="AI375" i="20"/>
  <c r="AT375" i="20" s="1"/>
  <c r="AU375" i="20" s="1"/>
  <c r="AV375" i="20" s="1"/>
  <c r="AW375" i="20" s="1"/>
  <c r="AX375" i="20" s="1"/>
  <c r="AY375" i="20" s="1"/>
  <c r="AZ375" i="20" s="1"/>
  <c r="BA375" i="20" s="1"/>
  <c r="BB375" i="20" s="1"/>
  <c r="BC375" i="20" s="1"/>
  <c r="BD375" i="20" s="1"/>
  <c r="BE375" i="20" s="1"/>
  <c r="BF375" i="20" s="1"/>
  <c r="AI286" i="20"/>
  <c r="AY286" i="20" s="1"/>
  <c r="AZ286" i="20" s="1"/>
  <c r="BA286" i="20" s="1"/>
  <c r="BB286" i="20" s="1"/>
  <c r="BC286" i="20" s="1"/>
  <c r="AI266" i="20"/>
  <c r="AT266" i="20" s="1"/>
  <c r="AU266" i="20" s="1"/>
  <c r="AV266" i="20" s="1"/>
  <c r="AW266" i="20" s="1"/>
  <c r="AX266" i="20" s="1"/>
  <c r="AY266" i="20" s="1"/>
  <c r="AZ266" i="20" s="1"/>
  <c r="BA266" i="20" s="1"/>
  <c r="BB266" i="20" s="1"/>
  <c r="BC266" i="20" s="1"/>
  <c r="AI795" i="20"/>
  <c r="AI783" i="20"/>
  <c r="AM783" i="20" s="1"/>
  <c r="AN783" i="20" s="1"/>
  <c r="AO783" i="20" s="1"/>
  <c r="AP783" i="20" s="1"/>
  <c r="AQ783" i="20" s="1"/>
  <c r="AR783" i="20" s="1"/>
  <c r="AS783" i="20" s="1"/>
  <c r="AT783" i="20" s="1"/>
  <c r="AU783" i="20" s="1"/>
  <c r="AV783" i="20" s="1"/>
  <c r="AW783" i="20" s="1"/>
  <c r="AX783" i="20" s="1"/>
  <c r="AY783" i="20" s="1"/>
  <c r="AZ783" i="20" s="1"/>
  <c r="BA783" i="20" s="1"/>
  <c r="BB783" i="20" s="1"/>
  <c r="BC783" i="20" s="1"/>
  <c r="BD783" i="20" s="1"/>
  <c r="BE783" i="20" s="1"/>
  <c r="BF783" i="20" s="1"/>
  <c r="BG783" i="20" s="1"/>
  <c r="BH783" i="20" s="1"/>
  <c r="BI783" i="20" s="1"/>
  <c r="BJ783" i="20" s="1"/>
  <c r="BK783" i="20" s="1"/>
  <c r="BL783" i="20" s="1"/>
  <c r="BM783" i="20" s="1"/>
  <c r="BN783" i="20" s="1"/>
  <c r="AI739" i="20"/>
  <c r="AN739" i="20" s="1"/>
  <c r="AO739" i="20" s="1"/>
  <c r="AP739" i="20" s="1"/>
  <c r="AQ739" i="20" s="1"/>
  <c r="AR739" i="20" s="1"/>
  <c r="AS739" i="20" s="1"/>
  <c r="AT739" i="20" s="1"/>
  <c r="AU739" i="20" s="1"/>
  <c r="AV739" i="20" s="1"/>
  <c r="AW739" i="20" s="1"/>
  <c r="AX739" i="20" s="1"/>
  <c r="AY739" i="20" s="1"/>
  <c r="AZ739" i="20" s="1"/>
  <c r="BA739" i="20" s="1"/>
  <c r="BB739" i="20" s="1"/>
  <c r="BC739" i="20" s="1"/>
  <c r="BD739" i="20" s="1"/>
  <c r="BE739" i="20" s="1"/>
  <c r="BF739" i="20" s="1"/>
  <c r="BG739" i="20" s="1"/>
  <c r="BH739" i="20" s="1"/>
  <c r="BI739" i="20" s="1"/>
  <c r="BJ739" i="20" s="1"/>
  <c r="BK739" i="20" s="1"/>
  <c r="BL739" i="20" s="1"/>
  <c r="BM739" i="20" s="1"/>
  <c r="BN739" i="20" s="1"/>
  <c r="AI772" i="20"/>
  <c r="AM772" i="20" s="1"/>
  <c r="AN772" i="20" s="1"/>
  <c r="AO772" i="20" s="1"/>
  <c r="AP772" i="20" s="1"/>
  <c r="AQ772" i="20" s="1"/>
  <c r="AR772" i="20" s="1"/>
  <c r="AS772" i="20" s="1"/>
  <c r="AT772" i="20" s="1"/>
  <c r="AU772" i="20" s="1"/>
  <c r="AV772" i="20" s="1"/>
  <c r="AW772" i="20" s="1"/>
  <c r="AX772" i="20" s="1"/>
  <c r="AY772" i="20" s="1"/>
  <c r="AZ772" i="20" s="1"/>
  <c r="BA772" i="20" s="1"/>
  <c r="BB772" i="20" s="1"/>
  <c r="BC772" i="20" s="1"/>
  <c r="BD772" i="20" s="1"/>
  <c r="BE772" i="20" s="1"/>
  <c r="BF772" i="20" s="1"/>
  <c r="BG772" i="20" s="1"/>
  <c r="BH772" i="20" s="1"/>
  <c r="BI772" i="20" s="1"/>
  <c r="BJ772" i="20" s="1"/>
  <c r="BK772" i="20" s="1"/>
  <c r="BL772" i="20" s="1"/>
  <c r="BM772" i="20" s="1"/>
  <c r="BN772" i="20" s="1"/>
  <c r="AI750" i="20"/>
  <c r="AM750" i="20" s="1"/>
  <c r="AN750" i="20" s="1"/>
  <c r="AO750" i="20" s="1"/>
  <c r="AP750" i="20" s="1"/>
  <c r="AQ750" i="20" s="1"/>
  <c r="AR750" i="20" s="1"/>
  <c r="AS750" i="20" s="1"/>
  <c r="AT750" i="20" s="1"/>
  <c r="AU750" i="20" s="1"/>
  <c r="AV750" i="20" s="1"/>
  <c r="AW750" i="20" s="1"/>
  <c r="AX750" i="20" s="1"/>
  <c r="AY750" i="20" s="1"/>
  <c r="AZ750" i="20" s="1"/>
  <c r="BA750" i="20" s="1"/>
  <c r="BB750" i="20" s="1"/>
  <c r="BC750" i="20" s="1"/>
  <c r="BD750" i="20" s="1"/>
  <c r="BE750" i="20" s="1"/>
  <c r="BF750" i="20" s="1"/>
  <c r="BG750" i="20" s="1"/>
  <c r="BH750" i="20" s="1"/>
  <c r="BI750" i="20" s="1"/>
  <c r="BJ750" i="20" s="1"/>
  <c r="BK750" i="20" s="1"/>
  <c r="BL750" i="20" s="1"/>
  <c r="BM750" i="20" s="1"/>
  <c r="BN750" i="20" s="1"/>
  <c r="AI761" i="20"/>
  <c r="AM761" i="20" s="1"/>
  <c r="AN761" i="20" s="1"/>
  <c r="AO761" i="20" s="1"/>
  <c r="AP761" i="20" s="1"/>
  <c r="AQ761" i="20" s="1"/>
  <c r="AR761" i="20" s="1"/>
  <c r="AS761" i="20" s="1"/>
  <c r="AT761" i="20" s="1"/>
  <c r="AU761" i="20" s="1"/>
  <c r="AV761" i="20" s="1"/>
  <c r="AW761" i="20" s="1"/>
  <c r="AX761" i="20" s="1"/>
  <c r="AY761" i="20" s="1"/>
  <c r="AZ761" i="20" s="1"/>
  <c r="BA761" i="20" s="1"/>
  <c r="BB761" i="20" s="1"/>
  <c r="BC761" i="20" s="1"/>
  <c r="BD761" i="20" s="1"/>
  <c r="BE761" i="20" s="1"/>
  <c r="BF761" i="20" s="1"/>
  <c r="BG761" i="20" s="1"/>
  <c r="BH761" i="20" s="1"/>
  <c r="BI761" i="20" s="1"/>
  <c r="BJ761" i="20" s="1"/>
  <c r="BK761" i="20" s="1"/>
  <c r="BL761" i="20" s="1"/>
  <c r="BM761" i="20" s="1"/>
  <c r="BN761" i="20" s="1"/>
  <c r="AI791" i="20"/>
  <c r="AI779" i="20"/>
  <c r="AI757" i="20"/>
  <c r="AI768" i="20"/>
  <c r="AI746" i="20"/>
  <c r="AI735" i="20"/>
  <c r="AL37" i="20"/>
  <c r="AL93" i="20"/>
  <c r="AL55" i="20"/>
  <c r="AL73" i="20"/>
  <c r="AH836" i="20"/>
  <c r="AH814" i="20"/>
  <c r="AH792" i="20"/>
  <c r="AH847" i="20"/>
  <c r="AH825" i="20"/>
  <c r="AH803" i="20"/>
  <c r="AN803" i="20" s="1"/>
  <c r="AO803" i="20" s="1"/>
  <c r="AP803" i="20" s="1"/>
  <c r="AQ803" i="20" s="1"/>
  <c r="AR803" i="20" s="1"/>
  <c r="AS803" i="20" s="1"/>
  <c r="AT803" i="20" s="1"/>
  <c r="AU803" i="20" s="1"/>
  <c r="AV803" i="20" s="1"/>
  <c r="AW803" i="20" s="1"/>
  <c r="AX803" i="20" s="1"/>
  <c r="AY803" i="20" s="1"/>
  <c r="AZ803" i="20" s="1"/>
  <c r="BA803" i="20" s="1"/>
  <c r="BB803" i="20" s="1"/>
  <c r="BC803" i="20" s="1"/>
  <c r="BD803" i="20" s="1"/>
  <c r="BE803" i="20" s="1"/>
  <c r="BF803" i="20" s="1"/>
  <c r="BG803" i="20" s="1"/>
  <c r="BH803" i="20" s="1"/>
  <c r="BI803" i="20" s="1"/>
  <c r="BJ803" i="20" s="1"/>
  <c r="BK803" i="20" s="1"/>
  <c r="BL803" i="20" s="1"/>
  <c r="BM803" i="20" s="1"/>
  <c r="BN803" i="20" s="1"/>
  <c r="AH725" i="20"/>
  <c r="AH780" i="20"/>
  <c r="AH758" i="20"/>
  <c r="AH769" i="20"/>
  <c r="AH736" i="20"/>
  <c r="AH747" i="20"/>
  <c r="AH674" i="20"/>
  <c r="AH641" i="20"/>
  <c r="AM641" i="20" s="1"/>
  <c r="AN641" i="20" s="1"/>
  <c r="AO641" i="20" s="1"/>
  <c r="AP641" i="20" s="1"/>
  <c r="AQ641" i="20" s="1"/>
  <c r="AR641" i="20" s="1"/>
  <c r="AS641" i="20" s="1"/>
  <c r="AT641" i="20" s="1"/>
  <c r="AU641" i="20" s="1"/>
  <c r="AV641" i="20" s="1"/>
  <c r="AW641" i="20" s="1"/>
  <c r="AX641" i="20" s="1"/>
  <c r="AY641" i="20" s="1"/>
  <c r="AZ641" i="20" s="1"/>
  <c r="BA641" i="20" s="1"/>
  <c r="BB641" i="20" s="1"/>
  <c r="BC641" i="20" s="1"/>
  <c r="BD641" i="20" s="1"/>
  <c r="BE641" i="20" s="1"/>
  <c r="BF641" i="20" s="1"/>
  <c r="BG641" i="20" s="1"/>
  <c r="BH641" i="20" s="1"/>
  <c r="BI641" i="20" s="1"/>
  <c r="BJ641" i="20" s="1"/>
  <c r="BK641" i="20" s="1"/>
  <c r="BL641" i="20" s="1"/>
  <c r="BM641" i="20" s="1"/>
  <c r="BN641" i="20" s="1"/>
  <c r="AH619" i="20"/>
  <c r="AH519" i="20"/>
  <c r="AT519" i="20" s="1"/>
  <c r="AU519" i="20" s="1"/>
  <c r="AV519" i="20" s="1"/>
  <c r="AW519" i="20" s="1"/>
  <c r="AX519" i="20" s="1"/>
  <c r="AY519" i="20" s="1"/>
  <c r="AZ519" i="20" s="1"/>
  <c r="BA519" i="20" s="1"/>
  <c r="BB519" i="20" s="1"/>
  <c r="BC519" i="20" s="1"/>
  <c r="BD519" i="20" s="1"/>
  <c r="BE519" i="20" s="1"/>
  <c r="AH652" i="20"/>
  <c r="AM652" i="20" s="1"/>
  <c r="AN652" i="20" s="1"/>
  <c r="AO652" i="20" s="1"/>
  <c r="AP652" i="20" s="1"/>
  <c r="AQ652" i="20" s="1"/>
  <c r="AR652" i="20" s="1"/>
  <c r="AS652" i="20" s="1"/>
  <c r="AT652" i="20" s="1"/>
  <c r="AU652" i="20" s="1"/>
  <c r="AV652" i="20" s="1"/>
  <c r="AW652" i="20" s="1"/>
  <c r="AX652" i="20" s="1"/>
  <c r="AY652" i="20" s="1"/>
  <c r="AZ652" i="20" s="1"/>
  <c r="BA652" i="20" s="1"/>
  <c r="BB652" i="20" s="1"/>
  <c r="BC652" i="20" s="1"/>
  <c r="BD652" i="20" s="1"/>
  <c r="BE652" i="20" s="1"/>
  <c r="BF652" i="20" s="1"/>
  <c r="BG652" i="20" s="1"/>
  <c r="BH652" i="20" s="1"/>
  <c r="BI652" i="20" s="1"/>
  <c r="BJ652" i="20" s="1"/>
  <c r="BK652" i="20" s="1"/>
  <c r="BL652" i="20" s="1"/>
  <c r="BM652" i="20" s="1"/>
  <c r="BN652" i="20" s="1"/>
  <c r="AH541" i="20"/>
  <c r="AO541" i="20" s="1"/>
  <c r="AP541" i="20" s="1"/>
  <c r="AQ541" i="20" s="1"/>
  <c r="AR541" i="20" s="1"/>
  <c r="AS541" i="20" s="1"/>
  <c r="AT541" i="20" s="1"/>
  <c r="AU541" i="20" s="1"/>
  <c r="AV541" i="20" s="1"/>
  <c r="AW541" i="20" s="1"/>
  <c r="AX541" i="20" s="1"/>
  <c r="AY541" i="20" s="1"/>
  <c r="AZ541" i="20" s="1"/>
  <c r="BA541" i="20" s="1"/>
  <c r="BB541" i="20" s="1"/>
  <c r="BC541" i="20" s="1"/>
  <c r="BD541" i="20" s="1"/>
  <c r="BE541" i="20" s="1"/>
  <c r="BF541" i="20" s="1"/>
  <c r="BG541" i="20" s="1"/>
  <c r="BH541" i="20" s="1"/>
  <c r="BI541" i="20" s="1"/>
  <c r="BJ541" i="20" s="1"/>
  <c r="BK541" i="20" s="1"/>
  <c r="BL541" i="20" s="1"/>
  <c r="BM541" i="20" s="1"/>
  <c r="BN541" i="20" s="1"/>
  <c r="AH574" i="20"/>
  <c r="AO574" i="20" s="1"/>
  <c r="AP574" i="20" s="1"/>
  <c r="AQ574" i="20" s="1"/>
  <c r="AR574" i="20" s="1"/>
  <c r="AS574" i="20" s="1"/>
  <c r="AT574" i="20" s="1"/>
  <c r="AU574" i="20" s="1"/>
  <c r="AV574" i="20" s="1"/>
  <c r="AW574" i="20" s="1"/>
  <c r="AX574" i="20" s="1"/>
  <c r="AY574" i="20" s="1"/>
  <c r="AZ574" i="20" s="1"/>
  <c r="BA574" i="20" s="1"/>
  <c r="BB574" i="20" s="1"/>
  <c r="BC574" i="20" s="1"/>
  <c r="BD574" i="20" s="1"/>
  <c r="BE574" i="20" s="1"/>
  <c r="BF574" i="20" s="1"/>
  <c r="BG574" i="20" s="1"/>
  <c r="BH574" i="20" s="1"/>
  <c r="BI574" i="20" s="1"/>
  <c r="BJ574" i="20" s="1"/>
  <c r="BK574" i="20" s="1"/>
  <c r="BL574" i="20" s="1"/>
  <c r="BM574" i="20" s="1"/>
  <c r="BN574" i="20" s="1"/>
  <c r="AH552" i="20"/>
  <c r="AO552" i="20" s="1"/>
  <c r="AP552" i="20" s="1"/>
  <c r="AQ552" i="20" s="1"/>
  <c r="AR552" i="20" s="1"/>
  <c r="AS552" i="20" s="1"/>
  <c r="AT552" i="20" s="1"/>
  <c r="AU552" i="20" s="1"/>
  <c r="AV552" i="20" s="1"/>
  <c r="AW552" i="20" s="1"/>
  <c r="AX552" i="20" s="1"/>
  <c r="AY552" i="20" s="1"/>
  <c r="AZ552" i="20" s="1"/>
  <c r="BA552" i="20" s="1"/>
  <c r="BB552" i="20" s="1"/>
  <c r="BC552" i="20" s="1"/>
  <c r="BD552" i="20" s="1"/>
  <c r="BE552" i="20" s="1"/>
  <c r="BF552" i="20" s="1"/>
  <c r="BG552" i="20" s="1"/>
  <c r="BH552" i="20" s="1"/>
  <c r="BI552" i="20" s="1"/>
  <c r="BJ552" i="20" s="1"/>
  <c r="BK552" i="20" s="1"/>
  <c r="BL552" i="20" s="1"/>
  <c r="BM552" i="20" s="1"/>
  <c r="BN552" i="20" s="1"/>
  <c r="AH530" i="20"/>
  <c r="AT530" i="20" s="1"/>
  <c r="AU530" i="20" s="1"/>
  <c r="AV530" i="20" s="1"/>
  <c r="AW530" i="20" s="1"/>
  <c r="AX530" i="20" s="1"/>
  <c r="AY530" i="20" s="1"/>
  <c r="AZ530" i="20" s="1"/>
  <c r="BA530" i="20" s="1"/>
  <c r="BB530" i="20" s="1"/>
  <c r="BC530" i="20" s="1"/>
  <c r="BD530" i="20" s="1"/>
  <c r="BE530" i="20" s="1"/>
  <c r="BF530" i="20" s="1"/>
  <c r="BG530" i="20" s="1"/>
  <c r="BH530" i="20" s="1"/>
  <c r="BI530" i="20" s="1"/>
  <c r="BJ530" i="20" s="1"/>
  <c r="BK530" i="20" s="1"/>
  <c r="BL530" i="20" s="1"/>
  <c r="BM530" i="20" s="1"/>
  <c r="BN530" i="20" s="1"/>
  <c r="AH630" i="20"/>
  <c r="AH663" i="20"/>
  <c r="AH563" i="20"/>
  <c r="AO563" i="20" s="1"/>
  <c r="AP563" i="20" s="1"/>
  <c r="AQ563" i="20" s="1"/>
  <c r="AR563" i="20" s="1"/>
  <c r="AS563" i="20" s="1"/>
  <c r="AT563" i="20" s="1"/>
  <c r="AU563" i="20" s="1"/>
  <c r="AV563" i="20" s="1"/>
  <c r="AW563" i="20" s="1"/>
  <c r="AX563" i="20" s="1"/>
  <c r="AY563" i="20" s="1"/>
  <c r="AZ563" i="20" s="1"/>
  <c r="BA563" i="20" s="1"/>
  <c r="BB563" i="20" s="1"/>
  <c r="BC563" i="20" s="1"/>
  <c r="BD563" i="20" s="1"/>
  <c r="BE563" i="20" s="1"/>
  <c r="BF563" i="20" s="1"/>
  <c r="BG563" i="20" s="1"/>
  <c r="BH563" i="20" s="1"/>
  <c r="BI563" i="20" s="1"/>
  <c r="BJ563" i="20" s="1"/>
  <c r="BK563" i="20" s="1"/>
  <c r="BL563" i="20" s="1"/>
  <c r="BM563" i="20" s="1"/>
  <c r="BN563" i="20" s="1"/>
  <c r="AI458" i="20"/>
  <c r="AT458" i="20" s="1"/>
  <c r="AU458" i="20" s="1"/>
  <c r="AV458" i="20" s="1"/>
  <c r="AW458" i="20" s="1"/>
  <c r="AX458" i="20" s="1"/>
  <c r="AY458" i="20" s="1"/>
  <c r="AZ458" i="20" s="1"/>
  <c r="BA458" i="20" s="1"/>
  <c r="BB458" i="20" s="1"/>
  <c r="BC458" i="20" s="1"/>
  <c r="BD458" i="20" s="1"/>
  <c r="BE458" i="20" s="1"/>
  <c r="BF458" i="20" s="1"/>
  <c r="AI438" i="20"/>
  <c r="AT438" i="20" s="1"/>
  <c r="AU438" i="20" s="1"/>
  <c r="AV438" i="20" s="1"/>
  <c r="AW438" i="20" s="1"/>
  <c r="AX438" i="20" s="1"/>
  <c r="AY438" i="20" s="1"/>
  <c r="AZ438" i="20" s="1"/>
  <c r="BA438" i="20" s="1"/>
  <c r="BB438" i="20" s="1"/>
  <c r="BC438" i="20" s="1"/>
  <c r="BD438" i="20" s="1"/>
  <c r="BE438" i="20" s="1"/>
  <c r="BF438" i="20" s="1"/>
  <c r="AI418" i="20"/>
  <c r="AT418" i="20" s="1"/>
  <c r="AU418" i="20" s="1"/>
  <c r="AV418" i="20" s="1"/>
  <c r="AW418" i="20" s="1"/>
  <c r="AX418" i="20" s="1"/>
  <c r="AY418" i="20" s="1"/>
  <c r="AZ418" i="20" s="1"/>
  <c r="BA418" i="20" s="1"/>
  <c r="BB418" i="20" s="1"/>
  <c r="BC418" i="20" s="1"/>
  <c r="BD418" i="20" s="1"/>
  <c r="BE418" i="20" s="1"/>
  <c r="BF418" i="20" s="1"/>
  <c r="AI468" i="20"/>
  <c r="AI448" i="20"/>
  <c r="AI428" i="20"/>
  <c r="AT428" i="20" s="1"/>
  <c r="AU428" i="20" s="1"/>
  <c r="AV428" i="20" s="1"/>
  <c r="AW428" i="20" s="1"/>
  <c r="AX428" i="20" s="1"/>
  <c r="AY428" i="20" s="1"/>
  <c r="AZ428" i="20" s="1"/>
  <c r="BA428" i="20" s="1"/>
  <c r="BB428" i="20" s="1"/>
  <c r="BC428" i="20" s="1"/>
  <c r="BD428" i="20" s="1"/>
  <c r="BE428" i="20" s="1"/>
  <c r="BF428" i="20" s="1"/>
  <c r="AI341" i="20"/>
  <c r="AI321" i="20"/>
  <c r="AI301" i="20"/>
  <c r="AI311" i="20"/>
  <c r="AT311" i="20" s="1"/>
  <c r="AU311" i="20" s="1"/>
  <c r="AV311" i="20" s="1"/>
  <c r="AW311" i="20" s="1"/>
  <c r="AX311" i="20" s="1"/>
  <c r="AY311" i="20" s="1"/>
  <c r="AZ311" i="20" s="1"/>
  <c r="BA311" i="20" s="1"/>
  <c r="BB311" i="20" s="1"/>
  <c r="BC311" i="20" s="1"/>
  <c r="BD311" i="20" s="1"/>
  <c r="BE311" i="20" s="1"/>
  <c r="BF311" i="20" s="1"/>
  <c r="BG311" i="20" s="1"/>
  <c r="BH311" i="20" s="1"/>
  <c r="BI311" i="20" s="1"/>
  <c r="BJ311" i="20" s="1"/>
  <c r="BK311" i="20" s="1"/>
  <c r="BL311" i="20" s="1"/>
  <c r="BM311" i="20" s="1"/>
  <c r="BN311" i="20" s="1"/>
  <c r="AI351" i="20"/>
  <c r="AT351" i="20" s="1"/>
  <c r="AU351" i="20" s="1"/>
  <c r="AV351" i="20" s="1"/>
  <c r="AW351" i="20" s="1"/>
  <c r="AX351" i="20" s="1"/>
  <c r="AY351" i="20" s="1"/>
  <c r="AZ351" i="20" s="1"/>
  <c r="BA351" i="20" s="1"/>
  <c r="BB351" i="20" s="1"/>
  <c r="BC351" i="20" s="1"/>
  <c r="BD351" i="20" s="1"/>
  <c r="BE351" i="20" s="1"/>
  <c r="BF351" i="20" s="1"/>
  <c r="BG351" i="20" s="1"/>
  <c r="BH351" i="20" s="1"/>
  <c r="BI351" i="20" s="1"/>
  <c r="BJ351" i="20" s="1"/>
  <c r="BK351" i="20" s="1"/>
  <c r="BL351" i="20" s="1"/>
  <c r="BM351" i="20" s="1"/>
  <c r="BN351" i="20" s="1"/>
  <c r="AI331" i="20"/>
  <c r="AI398" i="20"/>
  <c r="AT398" i="20" s="1"/>
  <c r="AU398" i="20" s="1"/>
  <c r="AV398" i="20" s="1"/>
  <c r="AW398" i="20" s="1"/>
  <c r="AX398" i="20" s="1"/>
  <c r="AY398" i="20" s="1"/>
  <c r="AZ398" i="20" s="1"/>
  <c r="BA398" i="20" s="1"/>
  <c r="BB398" i="20" s="1"/>
  <c r="BC398" i="20" s="1"/>
  <c r="BD398" i="20" s="1"/>
  <c r="BE398" i="20" s="1"/>
  <c r="BF398" i="20" s="1"/>
  <c r="AI378" i="20"/>
  <c r="AT378" i="20" s="1"/>
  <c r="AU378" i="20" s="1"/>
  <c r="AV378" i="20" s="1"/>
  <c r="AW378" i="20" s="1"/>
  <c r="AX378" i="20" s="1"/>
  <c r="AY378" i="20" s="1"/>
  <c r="AZ378" i="20" s="1"/>
  <c r="BA378" i="20" s="1"/>
  <c r="BB378" i="20" s="1"/>
  <c r="BC378" i="20" s="1"/>
  <c r="BD378" i="20" s="1"/>
  <c r="BE378" i="20" s="1"/>
  <c r="BF378" i="20" s="1"/>
  <c r="AI289" i="20"/>
  <c r="AY289" i="20" s="1"/>
  <c r="AZ289" i="20" s="1"/>
  <c r="BA289" i="20" s="1"/>
  <c r="BB289" i="20" s="1"/>
  <c r="BC289" i="20" s="1"/>
  <c r="AI279" i="20"/>
  <c r="AT279" i="20" s="1"/>
  <c r="AU279" i="20" s="1"/>
  <c r="AV279" i="20" s="1"/>
  <c r="AW279" i="20" s="1"/>
  <c r="AX279" i="20" s="1"/>
  <c r="AY279" i="20" s="1"/>
  <c r="AZ279" i="20" s="1"/>
  <c r="BA279" i="20" s="1"/>
  <c r="BB279" i="20" s="1"/>
  <c r="BC279" i="20" s="1"/>
  <c r="AI259" i="20"/>
  <c r="AI269" i="20"/>
  <c r="AT269" i="20" s="1"/>
  <c r="AU269" i="20" s="1"/>
  <c r="AV269" i="20" s="1"/>
  <c r="AW269" i="20" s="1"/>
  <c r="AX269" i="20" s="1"/>
  <c r="AY269" i="20" s="1"/>
  <c r="AZ269" i="20" s="1"/>
  <c r="BA269" i="20" s="1"/>
  <c r="BB269" i="20" s="1"/>
  <c r="BC269" i="20" s="1"/>
  <c r="AI408" i="20"/>
  <c r="AT408" i="20" s="1"/>
  <c r="AU408" i="20" s="1"/>
  <c r="AV408" i="20" s="1"/>
  <c r="AW408" i="20" s="1"/>
  <c r="AX408" i="20" s="1"/>
  <c r="AY408" i="20" s="1"/>
  <c r="AZ408" i="20" s="1"/>
  <c r="BA408" i="20" s="1"/>
  <c r="BB408" i="20" s="1"/>
  <c r="BC408" i="20" s="1"/>
  <c r="BD408" i="20" s="1"/>
  <c r="BE408" i="20" s="1"/>
  <c r="BF408" i="20" s="1"/>
  <c r="AI388" i="20"/>
  <c r="AT388" i="20" s="1"/>
  <c r="AU388" i="20" s="1"/>
  <c r="AV388" i="20" s="1"/>
  <c r="AW388" i="20" s="1"/>
  <c r="AX388" i="20" s="1"/>
  <c r="AY388" i="20" s="1"/>
  <c r="AZ388" i="20" s="1"/>
  <c r="BA388" i="20" s="1"/>
  <c r="BB388" i="20" s="1"/>
  <c r="BC388" i="20" s="1"/>
  <c r="BD388" i="20" s="1"/>
  <c r="BE388" i="20" s="1"/>
  <c r="BF388" i="20" s="1"/>
  <c r="AJ470" i="20"/>
  <c r="AJ353" i="20"/>
  <c r="AJ466" i="20"/>
  <c r="AJ349" i="20"/>
  <c r="AI727" i="20"/>
  <c r="AJ460" i="20"/>
  <c r="AJ343" i="20"/>
  <c r="AI723" i="20"/>
  <c r="AJ456" i="20"/>
  <c r="AJ339" i="20"/>
  <c r="AJ450" i="20"/>
  <c r="AJ333" i="20"/>
  <c r="AJ446" i="20"/>
  <c r="AJ329" i="20"/>
  <c r="AJ440" i="20"/>
  <c r="AJ323" i="20"/>
  <c r="AJ436" i="20"/>
  <c r="AJ319" i="20"/>
  <c r="AI849" i="20"/>
  <c r="AI676" i="20"/>
  <c r="AI665" i="20"/>
  <c r="AI654" i="20"/>
  <c r="AI643" i="20"/>
  <c r="AI632" i="20"/>
  <c r="AI621" i="20"/>
  <c r="AJ430" i="20"/>
  <c r="AJ313" i="20"/>
  <c r="AI845" i="20"/>
  <c r="AI672" i="20"/>
  <c r="AI661" i="20"/>
  <c r="AI650" i="20"/>
  <c r="AI639" i="20"/>
  <c r="AI628" i="20"/>
  <c r="AI617" i="20"/>
  <c r="AJ426" i="20"/>
  <c r="AJ309" i="20"/>
  <c r="AI838" i="20"/>
  <c r="AJ420" i="20"/>
  <c r="AJ303" i="20"/>
  <c r="AI834" i="20"/>
  <c r="AJ416" i="20"/>
  <c r="AJ299" i="20"/>
  <c r="AI827" i="20"/>
  <c r="AI823" i="20"/>
  <c r="AI816" i="20"/>
  <c r="AI812" i="20"/>
  <c r="AN805" i="20"/>
  <c r="AO805" i="20" s="1"/>
  <c r="AP805" i="20" s="1"/>
  <c r="AQ805" i="20" s="1"/>
  <c r="AR805" i="20" s="1"/>
  <c r="AS805" i="20" s="1"/>
  <c r="AT805" i="20" s="1"/>
  <c r="AU805" i="20" s="1"/>
  <c r="AV805" i="20" s="1"/>
  <c r="AW805" i="20" s="1"/>
  <c r="AX805" i="20" s="1"/>
  <c r="AY805" i="20" s="1"/>
  <c r="AZ805" i="20" s="1"/>
  <c r="BA805" i="20" s="1"/>
  <c r="BB805" i="20" s="1"/>
  <c r="BC805" i="20" s="1"/>
  <c r="BD805" i="20" s="1"/>
  <c r="BE805" i="20" s="1"/>
  <c r="BF805" i="20" s="1"/>
  <c r="BG805" i="20" s="1"/>
  <c r="BH805" i="20" s="1"/>
  <c r="BI805" i="20" s="1"/>
  <c r="BJ805" i="20" s="1"/>
  <c r="BK805" i="20" s="1"/>
  <c r="BL805" i="20" s="1"/>
  <c r="BM805" i="20" s="1"/>
  <c r="BN805" i="20" s="1"/>
  <c r="AI794" i="20"/>
  <c r="AI771" i="20"/>
  <c r="AI760" i="20"/>
  <c r="AI749" i="20"/>
  <c r="AI738" i="20"/>
  <c r="AI782" i="20"/>
  <c r="AI790" i="20"/>
  <c r="AI767" i="20"/>
  <c r="AI756" i="20"/>
  <c r="AI745" i="20"/>
  <c r="AI734" i="20"/>
  <c r="AI778" i="20"/>
  <c r="AL133" i="20"/>
  <c r="AL136" i="20"/>
  <c r="AM136" i="20" s="1"/>
  <c r="AN136" i="20" s="1"/>
  <c r="AL135" i="20"/>
  <c r="AM135" i="20" s="1"/>
  <c r="AL134" i="20"/>
  <c r="AM134" i="20" s="1"/>
  <c r="AL132" i="20"/>
  <c r="AM132" i="20" s="1"/>
  <c r="AL137" i="20"/>
  <c r="AM137" i="20" s="1"/>
  <c r="AN137" i="20" s="1"/>
  <c r="AO137" i="20" s="1"/>
  <c r="AH802" i="20"/>
  <c r="AN802" i="20" s="1"/>
  <c r="AO802" i="20" s="1"/>
  <c r="AP802" i="20" s="1"/>
  <c r="AQ802" i="20" s="1"/>
  <c r="AR802" i="20" s="1"/>
  <c r="AS802" i="20" s="1"/>
  <c r="AT802" i="20" s="1"/>
  <c r="AU802" i="20" s="1"/>
  <c r="AV802" i="20" s="1"/>
  <c r="AW802" i="20" s="1"/>
  <c r="AX802" i="20" s="1"/>
  <c r="AY802" i="20" s="1"/>
  <c r="AZ802" i="20" s="1"/>
  <c r="BA802" i="20" s="1"/>
  <c r="BB802" i="20" s="1"/>
  <c r="BC802" i="20" s="1"/>
  <c r="BD802" i="20" s="1"/>
  <c r="BE802" i="20" s="1"/>
  <c r="BF802" i="20" s="1"/>
  <c r="BG802" i="20" s="1"/>
  <c r="BH802" i="20" s="1"/>
  <c r="BI802" i="20" s="1"/>
  <c r="BJ802" i="20" s="1"/>
  <c r="BK802" i="20" s="1"/>
  <c r="BL802" i="20" s="1"/>
  <c r="BM802" i="20" s="1"/>
  <c r="BN802" i="20" s="1"/>
  <c r="AH846" i="20"/>
  <c r="AH824" i="20"/>
  <c r="AH791" i="20"/>
  <c r="AH835" i="20"/>
  <c r="AM835" i="20" s="1"/>
  <c r="AN835" i="20" s="1"/>
  <c r="AO835" i="20" s="1"/>
  <c r="AP835" i="20" s="1"/>
  <c r="AQ835" i="20" s="1"/>
  <c r="AR835" i="20" s="1"/>
  <c r="AS835" i="20" s="1"/>
  <c r="AT835" i="20" s="1"/>
  <c r="AU835" i="20" s="1"/>
  <c r="AV835" i="20" s="1"/>
  <c r="AW835" i="20" s="1"/>
  <c r="AX835" i="20" s="1"/>
  <c r="AY835" i="20" s="1"/>
  <c r="AZ835" i="20" s="1"/>
  <c r="BA835" i="20" s="1"/>
  <c r="BB835" i="20" s="1"/>
  <c r="BC835" i="20" s="1"/>
  <c r="BD835" i="20" s="1"/>
  <c r="BE835" i="20" s="1"/>
  <c r="BF835" i="20" s="1"/>
  <c r="BG835" i="20" s="1"/>
  <c r="BH835" i="20" s="1"/>
  <c r="BI835" i="20" s="1"/>
  <c r="BJ835" i="20" s="1"/>
  <c r="BK835" i="20" s="1"/>
  <c r="BL835" i="20" s="1"/>
  <c r="BM835" i="20" s="1"/>
  <c r="BN835" i="20" s="1"/>
  <c r="AH813" i="20"/>
  <c r="AM813" i="20" s="1"/>
  <c r="AN813" i="20" s="1"/>
  <c r="AO813" i="20" s="1"/>
  <c r="AP813" i="20" s="1"/>
  <c r="AQ813" i="20" s="1"/>
  <c r="AR813" i="20" s="1"/>
  <c r="AS813" i="20" s="1"/>
  <c r="AT813" i="20" s="1"/>
  <c r="AU813" i="20" s="1"/>
  <c r="AV813" i="20" s="1"/>
  <c r="AW813" i="20" s="1"/>
  <c r="AX813" i="20" s="1"/>
  <c r="AY813" i="20" s="1"/>
  <c r="AZ813" i="20" s="1"/>
  <c r="BA813" i="20" s="1"/>
  <c r="BB813" i="20" s="1"/>
  <c r="BC813" i="20" s="1"/>
  <c r="BD813" i="20" s="1"/>
  <c r="BE813" i="20" s="1"/>
  <c r="BF813" i="20" s="1"/>
  <c r="BG813" i="20" s="1"/>
  <c r="BH813" i="20" s="1"/>
  <c r="BI813" i="20" s="1"/>
  <c r="BJ813" i="20" s="1"/>
  <c r="BK813" i="20" s="1"/>
  <c r="BL813" i="20" s="1"/>
  <c r="BM813" i="20" s="1"/>
  <c r="BN813" i="20" s="1"/>
  <c r="AH768" i="20"/>
  <c r="AH746" i="20"/>
  <c r="AH724" i="20"/>
  <c r="AY724" i="20" s="1"/>
  <c r="AZ724" i="20" s="1"/>
  <c r="BA724" i="20" s="1"/>
  <c r="BB724" i="20" s="1"/>
  <c r="BC724" i="20" s="1"/>
  <c r="BD724" i="20" s="1"/>
  <c r="BE724" i="20" s="1"/>
  <c r="BF724" i="20" s="1"/>
  <c r="BG724" i="20" s="1"/>
  <c r="BH724" i="20" s="1"/>
  <c r="BI724" i="20" s="1"/>
  <c r="BJ724" i="20" s="1"/>
  <c r="BK724" i="20" s="1"/>
  <c r="BL724" i="20" s="1"/>
  <c r="BM724" i="20" s="1"/>
  <c r="BN724" i="20" s="1"/>
  <c r="AH779" i="20"/>
  <c r="AM779" i="20" s="1"/>
  <c r="AH735" i="20"/>
  <c r="AH757" i="20"/>
  <c r="AH662" i="20"/>
  <c r="AH562" i="20"/>
  <c r="AO562" i="20" s="1"/>
  <c r="AP562" i="20" s="1"/>
  <c r="AQ562" i="20" s="1"/>
  <c r="AR562" i="20" s="1"/>
  <c r="AS562" i="20" s="1"/>
  <c r="AT562" i="20" s="1"/>
  <c r="AU562" i="20" s="1"/>
  <c r="AV562" i="20" s="1"/>
  <c r="AW562" i="20" s="1"/>
  <c r="AX562" i="20" s="1"/>
  <c r="AY562" i="20" s="1"/>
  <c r="AZ562" i="20" s="1"/>
  <c r="BA562" i="20" s="1"/>
  <c r="BB562" i="20" s="1"/>
  <c r="BC562" i="20" s="1"/>
  <c r="BD562" i="20" s="1"/>
  <c r="BE562" i="20" s="1"/>
  <c r="BF562" i="20" s="1"/>
  <c r="BG562" i="20" s="1"/>
  <c r="BH562" i="20" s="1"/>
  <c r="BI562" i="20" s="1"/>
  <c r="BJ562" i="20" s="1"/>
  <c r="BK562" i="20" s="1"/>
  <c r="BL562" i="20" s="1"/>
  <c r="BM562" i="20" s="1"/>
  <c r="BN562" i="20" s="1"/>
  <c r="AH540" i="20"/>
  <c r="AO540" i="20" s="1"/>
  <c r="AP540" i="20" s="1"/>
  <c r="AQ540" i="20" s="1"/>
  <c r="AR540" i="20" s="1"/>
  <c r="AS540" i="20" s="1"/>
  <c r="AT540" i="20" s="1"/>
  <c r="AU540" i="20" s="1"/>
  <c r="AV540" i="20" s="1"/>
  <c r="AW540" i="20" s="1"/>
  <c r="AX540" i="20" s="1"/>
  <c r="AY540" i="20" s="1"/>
  <c r="AZ540" i="20" s="1"/>
  <c r="BA540" i="20" s="1"/>
  <c r="BB540" i="20" s="1"/>
  <c r="BC540" i="20" s="1"/>
  <c r="BD540" i="20" s="1"/>
  <c r="BE540" i="20" s="1"/>
  <c r="BF540" i="20" s="1"/>
  <c r="BG540" i="20" s="1"/>
  <c r="BH540" i="20" s="1"/>
  <c r="BI540" i="20" s="1"/>
  <c r="BJ540" i="20" s="1"/>
  <c r="BK540" i="20" s="1"/>
  <c r="BL540" i="20" s="1"/>
  <c r="BM540" i="20" s="1"/>
  <c r="BN540" i="20" s="1"/>
  <c r="AH573" i="20"/>
  <c r="AO573" i="20" s="1"/>
  <c r="AH551" i="20"/>
  <c r="AO551" i="20" s="1"/>
  <c r="AP551" i="20" s="1"/>
  <c r="AQ551" i="20" s="1"/>
  <c r="AR551" i="20" s="1"/>
  <c r="AS551" i="20" s="1"/>
  <c r="AT551" i="20" s="1"/>
  <c r="AU551" i="20" s="1"/>
  <c r="AV551" i="20" s="1"/>
  <c r="AW551" i="20" s="1"/>
  <c r="AX551" i="20" s="1"/>
  <c r="AY551" i="20" s="1"/>
  <c r="AZ551" i="20" s="1"/>
  <c r="BA551" i="20" s="1"/>
  <c r="BB551" i="20" s="1"/>
  <c r="BC551" i="20" s="1"/>
  <c r="BD551" i="20" s="1"/>
  <c r="BE551" i="20" s="1"/>
  <c r="BF551" i="20" s="1"/>
  <c r="BG551" i="20" s="1"/>
  <c r="BH551" i="20" s="1"/>
  <c r="BI551" i="20" s="1"/>
  <c r="BJ551" i="20" s="1"/>
  <c r="BK551" i="20" s="1"/>
  <c r="BL551" i="20" s="1"/>
  <c r="BM551" i="20" s="1"/>
  <c r="BN551" i="20" s="1"/>
  <c r="AH673" i="20"/>
  <c r="AH640" i="20"/>
  <c r="AH618" i="20"/>
  <c r="AH518" i="20"/>
  <c r="AT518" i="20" s="1"/>
  <c r="AU518" i="20" s="1"/>
  <c r="AV518" i="20" s="1"/>
  <c r="AW518" i="20" s="1"/>
  <c r="AX518" i="20" s="1"/>
  <c r="AY518" i="20" s="1"/>
  <c r="AZ518" i="20" s="1"/>
  <c r="BA518" i="20" s="1"/>
  <c r="BB518" i="20" s="1"/>
  <c r="BC518" i="20" s="1"/>
  <c r="BD518" i="20" s="1"/>
  <c r="BE518" i="20" s="1"/>
  <c r="AH529" i="20"/>
  <c r="AT529" i="20" s="1"/>
  <c r="AU529" i="20" s="1"/>
  <c r="AV529" i="20" s="1"/>
  <c r="AW529" i="20" s="1"/>
  <c r="AX529" i="20" s="1"/>
  <c r="AY529" i="20" s="1"/>
  <c r="AZ529" i="20" s="1"/>
  <c r="BA529" i="20" s="1"/>
  <c r="BB529" i="20" s="1"/>
  <c r="BC529" i="20" s="1"/>
  <c r="BD529" i="20" s="1"/>
  <c r="BE529" i="20" s="1"/>
  <c r="BF529" i="20" s="1"/>
  <c r="BG529" i="20" s="1"/>
  <c r="BH529" i="20" s="1"/>
  <c r="BI529" i="20" s="1"/>
  <c r="BJ529" i="20" s="1"/>
  <c r="BK529" i="20" s="1"/>
  <c r="BL529" i="20" s="1"/>
  <c r="BM529" i="20" s="1"/>
  <c r="BN529" i="20" s="1"/>
  <c r="AH651" i="20"/>
  <c r="AM651" i="20" s="1"/>
  <c r="AN651" i="20" s="1"/>
  <c r="AO651" i="20" s="1"/>
  <c r="AP651" i="20" s="1"/>
  <c r="AQ651" i="20" s="1"/>
  <c r="AR651" i="20" s="1"/>
  <c r="AS651" i="20" s="1"/>
  <c r="AT651" i="20" s="1"/>
  <c r="AU651" i="20" s="1"/>
  <c r="AV651" i="20" s="1"/>
  <c r="AW651" i="20" s="1"/>
  <c r="AX651" i="20" s="1"/>
  <c r="AY651" i="20" s="1"/>
  <c r="AZ651" i="20" s="1"/>
  <c r="BA651" i="20" s="1"/>
  <c r="BB651" i="20" s="1"/>
  <c r="BC651" i="20" s="1"/>
  <c r="BD651" i="20" s="1"/>
  <c r="BE651" i="20" s="1"/>
  <c r="BF651" i="20" s="1"/>
  <c r="BG651" i="20" s="1"/>
  <c r="BH651" i="20" s="1"/>
  <c r="BI651" i="20" s="1"/>
  <c r="BJ651" i="20" s="1"/>
  <c r="BK651" i="20" s="1"/>
  <c r="BL651" i="20" s="1"/>
  <c r="BM651" i="20" s="1"/>
  <c r="BN651" i="20" s="1"/>
  <c r="AH629" i="20"/>
  <c r="AI467" i="20"/>
  <c r="AI447" i="20"/>
  <c r="AI427" i="20"/>
  <c r="AT427" i="20" s="1"/>
  <c r="AU427" i="20" s="1"/>
  <c r="AV427" i="20" s="1"/>
  <c r="AW427" i="20" s="1"/>
  <c r="AX427" i="20" s="1"/>
  <c r="AY427" i="20" s="1"/>
  <c r="AZ427" i="20" s="1"/>
  <c r="BA427" i="20" s="1"/>
  <c r="BB427" i="20" s="1"/>
  <c r="BC427" i="20" s="1"/>
  <c r="BD427" i="20" s="1"/>
  <c r="BE427" i="20" s="1"/>
  <c r="BF427" i="20" s="1"/>
  <c r="AI457" i="20"/>
  <c r="AI437" i="20"/>
  <c r="AI417" i="20"/>
  <c r="AI340" i="20"/>
  <c r="AI320" i="20"/>
  <c r="AI300" i="20"/>
  <c r="AI350" i="20"/>
  <c r="AI330" i="20"/>
  <c r="AI310" i="20"/>
  <c r="AI407" i="20"/>
  <c r="AT407" i="20" s="1"/>
  <c r="AI387" i="20"/>
  <c r="AT387" i="20" s="1"/>
  <c r="AU387" i="20" s="1"/>
  <c r="AV387" i="20" s="1"/>
  <c r="AW387" i="20" s="1"/>
  <c r="AX387" i="20" s="1"/>
  <c r="AY387" i="20" s="1"/>
  <c r="AZ387" i="20" s="1"/>
  <c r="BA387" i="20" s="1"/>
  <c r="BB387" i="20" s="1"/>
  <c r="BC387" i="20" s="1"/>
  <c r="BD387" i="20" s="1"/>
  <c r="BE387" i="20" s="1"/>
  <c r="BF387" i="20" s="1"/>
  <c r="AI288" i="20"/>
  <c r="AY288" i="20" s="1"/>
  <c r="AI268" i="20"/>
  <c r="AT268" i="20" s="1"/>
  <c r="AU268" i="20" s="1"/>
  <c r="AV268" i="20" s="1"/>
  <c r="AW268" i="20" s="1"/>
  <c r="AX268" i="20" s="1"/>
  <c r="AY268" i="20" s="1"/>
  <c r="AZ268" i="20" s="1"/>
  <c r="BA268" i="20" s="1"/>
  <c r="BB268" i="20" s="1"/>
  <c r="BC268" i="20" s="1"/>
  <c r="AI397" i="20"/>
  <c r="AT397" i="20" s="1"/>
  <c r="AU397" i="20" s="1"/>
  <c r="AV397" i="20" s="1"/>
  <c r="AW397" i="20" s="1"/>
  <c r="AX397" i="20" s="1"/>
  <c r="AY397" i="20" s="1"/>
  <c r="AZ397" i="20" s="1"/>
  <c r="BA397" i="20" s="1"/>
  <c r="BB397" i="20" s="1"/>
  <c r="BC397" i="20" s="1"/>
  <c r="BD397" i="20" s="1"/>
  <c r="BE397" i="20" s="1"/>
  <c r="BF397" i="20" s="1"/>
  <c r="AI377" i="20"/>
  <c r="AT377" i="20" s="1"/>
  <c r="AU377" i="20" s="1"/>
  <c r="AV377" i="20" s="1"/>
  <c r="AW377" i="20" s="1"/>
  <c r="AX377" i="20" s="1"/>
  <c r="AY377" i="20" s="1"/>
  <c r="AZ377" i="20" s="1"/>
  <c r="BA377" i="20" s="1"/>
  <c r="BB377" i="20" s="1"/>
  <c r="BC377" i="20" s="1"/>
  <c r="BD377" i="20" s="1"/>
  <c r="BE377" i="20" s="1"/>
  <c r="BF377" i="20" s="1"/>
  <c r="AI278" i="20"/>
  <c r="AT278" i="20" s="1"/>
  <c r="AU278" i="20" s="1"/>
  <c r="AV278" i="20" s="1"/>
  <c r="AW278" i="20" s="1"/>
  <c r="AX278" i="20" s="1"/>
  <c r="AY278" i="20" s="1"/>
  <c r="AZ278" i="20" s="1"/>
  <c r="BA278" i="20" s="1"/>
  <c r="BB278" i="20" s="1"/>
  <c r="BC278" i="20" s="1"/>
  <c r="AI258" i="20"/>
  <c r="BE522" i="20"/>
  <c r="BE517" i="20"/>
  <c r="BM787" i="20"/>
  <c r="BL892" i="20"/>
  <c r="BF451" i="20"/>
  <c r="BF338" i="20"/>
  <c r="BE931" i="20"/>
  <c r="BI914" i="20"/>
  <c r="BI934" i="20"/>
  <c r="BH909" i="20"/>
  <c r="BK939" i="20"/>
  <c r="BF390" i="20"/>
  <c r="BF514" i="20"/>
  <c r="BG373" i="20"/>
  <c r="BC272" i="20"/>
  <c r="BF411" i="20"/>
  <c r="BF406" i="20"/>
  <c r="BF381" i="20"/>
  <c r="BF376" i="20"/>
  <c r="BF401" i="20"/>
  <c r="BC277" i="20"/>
  <c r="BC292" i="20"/>
  <c r="BC282" i="20"/>
  <c r="BC291" i="20"/>
  <c r="BD254" i="20"/>
  <c r="AT469" i="20" l="1"/>
  <c r="AU469" i="20" s="1"/>
  <c r="AV469" i="20" s="1"/>
  <c r="AW469" i="20" s="1"/>
  <c r="AX469" i="20" s="1"/>
  <c r="AY469" i="20" s="1"/>
  <c r="AZ469" i="20" s="1"/>
  <c r="BA469" i="20" s="1"/>
  <c r="BB469" i="20" s="1"/>
  <c r="BC469" i="20" s="1"/>
  <c r="BD469" i="20" s="1"/>
  <c r="BE469" i="20" s="1"/>
  <c r="BF469" i="20" s="1"/>
  <c r="AT310" i="20"/>
  <c r="AU310" i="20" s="1"/>
  <c r="AV310" i="20" s="1"/>
  <c r="AW310" i="20" s="1"/>
  <c r="AX310" i="20" s="1"/>
  <c r="AY310" i="20" s="1"/>
  <c r="AZ310" i="20" s="1"/>
  <c r="BA310" i="20" s="1"/>
  <c r="BB310" i="20" s="1"/>
  <c r="BC310" i="20" s="1"/>
  <c r="BD310" i="20" s="1"/>
  <c r="BE310" i="20" s="1"/>
  <c r="BF310" i="20" s="1"/>
  <c r="BG310" i="20" s="1"/>
  <c r="BH310" i="20" s="1"/>
  <c r="BI310" i="20" s="1"/>
  <c r="BJ310" i="20" s="1"/>
  <c r="BK310" i="20" s="1"/>
  <c r="BL310" i="20" s="1"/>
  <c r="BM310" i="20" s="1"/>
  <c r="BN310" i="20" s="1"/>
  <c r="AM847" i="20"/>
  <c r="AN847" i="20" s="1"/>
  <c r="AO847" i="20" s="1"/>
  <c r="AP847" i="20" s="1"/>
  <c r="AQ847" i="20" s="1"/>
  <c r="AR847" i="20" s="1"/>
  <c r="AS847" i="20" s="1"/>
  <c r="AT847" i="20" s="1"/>
  <c r="AU847" i="20" s="1"/>
  <c r="AV847" i="20" s="1"/>
  <c r="AW847" i="20" s="1"/>
  <c r="AX847" i="20" s="1"/>
  <c r="AY847" i="20" s="1"/>
  <c r="AZ847" i="20" s="1"/>
  <c r="BA847" i="20" s="1"/>
  <c r="BB847" i="20" s="1"/>
  <c r="BC847" i="20" s="1"/>
  <c r="BD847" i="20" s="1"/>
  <c r="BE847" i="20" s="1"/>
  <c r="BF847" i="20" s="1"/>
  <c r="BG847" i="20" s="1"/>
  <c r="BH847" i="20" s="1"/>
  <c r="BI847" i="20" s="1"/>
  <c r="BJ847" i="20" s="1"/>
  <c r="BK847" i="20" s="1"/>
  <c r="BL847" i="20" s="1"/>
  <c r="BM847" i="20" s="1"/>
  <c r="BN847" i="20" s="1"/>
  <c r="AT298" i="20"/>
  <c r="AU298" i="20" s="1"/>
  <c r="AV298" i="20" s="1"/>
  <c r="AW298" i="20" s="1"/>
  <c r="AX298" i="20" s="1"/>
  <c r="AY298" i="20" s="1"/>
  <c r="AZ298" i="20" s="1"/>
  <c r="BA298" i="20" s="1"/>
  <c r="BB298" i="20" s="1"/>
  <c r="BC298" i="20" s="1"/>
  <c r="BD298" i="20" s="1"/>
  <c r="BE298" i="20" s="1"/>
  <c r="BF298" i="20" s="1"/>
  <c r="BG298" i="20" s="1"/>
  <c r="BH298" i="20" s="1"/>
  <c r="BI298" i="20" s="1"/>
  <c r="BJ298" i="20" s="1"/>
  <c r="BK298" i="20" s="1"/>
  <c r="BL298" i="20" s="1"/>
  <c r="BM298" i="20" s="1"/>
  <c r="BN298" i="20" s="1"/>
  <c r="AT328" i="20"/>
  <c r="AU328" i="20" s="1"/>
  <c r="AV328" i="20" s="1"/>
  <c r="AW328" i="20" s="1"/>
  <c r="AX328" i="20" s="1"/>
  <c r="AY328" i="20" s="1"/>
  <c r="AZ328" i="20" s="1"/>
  <c r="BA328" i="20" s="1"/>
  <c r="BB328" i="20" s="1"/>
  <c r="BC328" i="20" s="1"/>
  <c r="BD328" i="20" s="1"/>
  <c r="BE328" i="20" s="1"/>
  <c r="BF328" i="20" s="1"/>
  <c r="BG328" i="20" s="1"/>
  <c r="BH328" i="20" s="1"/>
  <c r="BI328" i="20" s="1"/>
  <c r="BJ328" i="20" s="1"/>
  <c r="BK328" i="20" s="1"/>
  <c r="BL328" i="20" s="1"/>
  <c r="BM328" i="20" s="1"/>
  <c r="BN328" i="20" s="1"/>
  <c r="AT331" i="20"/>
  <c r="AU331" i="20" s="1"/>
  <c r="AV331" i="20" s="1"/>
  <c r="AW331" i="20" s="1"/>
  <c r="AX331" i="20" s="1"/>
  <c r="AY331" i="20" s="1"/>
  <c r="AZ331" i="20" s="1"/>
  <c r="BA331" i="20" s="1"/>
  <c r="BB331" i="20" s="1"/>
  <c r="BC331" i="20" s="1"/>
  <c r="BD331" i="20" s="1"/>
  <c r="BE331" i="20" s="1"/>
  <c r="BF331" i="20" s="1"/>
  <c r="BG331" i="20" s="1"/>
  <c r="BH331" i="20" s="1"/>
  <c r="BI331" i="20" s="1"/>
  <c r="BJ331" i="20" s="1"/>
  <c r="BK331" i="20" s="1"/>
  <c r="BL331" i="20" s="1"/>
  <c r="BM331" i="20" s="1"/>
  <c r="BN331" i="20" s="1"/>
  <c r="AT321" i="20"/>
  <c r="AU321" i="20" s="1"/>
  <c r="AV321" i="20" s="1"/>
  <c r="AW321" i="20" s="1"/>
  <c r="AX321" i="20" s="1"/>
  <c r="AY321" i="20" s="1"/>
  <c r="AZ321" i="20" s="1"/>
  <c r="BA321" i="20" s="1"/>
  <c r="BB321" i="20" s="1"/>
  <c r="BC321" i="20" s="1"/>
  <c r="BD321" i="20" s="1"/>
  <c r="BE321" i="20" s="1"/>
  <c r="BF321" i="20" s="1"/>
  <c r="BG321" i="20" s="1"/>
  <c r="BH321" i="20" s="1"/>
  <c r="BI321" i="20" s="1"/>
  <c r="BJ321" i="20" s="1"/>
  <c r="BK321" i="20" s="1"/>
  <c r="BL321" i="20" s="1"/>
  <c r="BM321" i="20" s="1"/>
  <c r="BN321" i="20" s="1"/>
  <c r="AM664" i="20"/>
  <c r="AN664" i="20" s="1"/>
  <c r="AO664" i="20" s="1"/>
  <c r="AP664" i="20" s="1"/>
  <c r="AQ664" i="20" s="1"/>
  <c r="AR664" i="20" s="1"/>
  <c r="AS664" i="20" s="1"/>
  <c r="AT664" i="20" s="1"/>
  <c r="AU664" i="20" s="1"/>
  <c r="AV664" i="20" s="1"/>
  <c r="AW664" i="20" s="1"/>
  <c r="AX664" i="20" s="1"/>
  <c r="AY664" i="20" s="1"/>
  <c r="AZ664" i="20" s="1"/>
  <c r="BA664" i="20" s="1"/>
  <c r="BB664" i="20" s="1"/>
  <c r="BC664" i="20" s="1"/>
  <c r="BD664" i="20" s="1"/>
  <c r="BE664" i="20" s="1"/>
  <c r="BF664" i="20" s="1"/>
  <c r="BG664" i="20" s="1"/>
  <c r="BH664" i="20" s="1"/>
  <c r="BI664" i="20" s="1"/>
  <c r="BJ664" i="20" s="1"/>
  <c r="BK664" i="20" s="1"/>
  <c r="BL664" i="20" s="1"/>
  <c r="BM664" i="20" s="1"/>
  <c r="BN664" i="20" s="1"/>
  <c r="AM759" i="20"/>
  <c r="AN759" i="20" s="1"/>
  <c r="AO759" i="20" s="1"/>
  <c r="AP759" i="20" s="1"/>
  <c r="AQ759" i="20" s="1"/>
  <c r="AR759" i="20" s="1"/>
  <c r="AS759" i="20" s="1"/>
  <c r="AT759" i="20" s="1"/>
  <c r="AU759" i="20" s="1"/>
  <c r="AV759" i="20" s="1"/>
  <c r="AW759" i="20" s="1"/>
  <c r="AX759" i="20" s="1"/>
  <c r="AY759" i="20" s="1"/>
  <c r="AZ759" i="20" s="1"/>
  <c r="BA759" i="20" s="1"/>
  <c r="BB759" i="20" s="1"/>
  <c r="BC759" i="20" s="1"/>
  <c r="BD759" i="20" s="1"/>
  <c r="BE759" i="20" s="1"/>
  <c r="BF759" i="20" s="1"/>
  <c r="BG759" i="20" s="1"/>
  <c r="BH759" i="20" s="1"/>
  <c r="BI759" i="20" s="1"/>
  <c r="BJ759" i="20" s="1"/>
  <c r="BK759" i="20" s="1"/>
  <c r="BL759" i="20" s="1"/>
  <c r="BM759" i="20" s="1"/>
  <c r="BN759" i="20" s="1"/>
  <c r="AT439" i="20"/>
  <c r="AU439" i="20" s="1"/>
  <c r="AV439" i="20" s="1"/>
  <c r="AW439" i="20" s="1"/>
  <c r="AX439" i="20" s="1"/>
  <c r="AY439" i="20" s="1"/>
  <c r="AZ439" i="20" s="1"/>
  <c r="BA439" i="20" s="1"/>
  <c r="BB439" i="20" s="1"/>
  <c r="BC439" i="20" s="1"/>
  <c r="BD439" i="20" s="1"/>
  <c r="BE439" i="20" s="1"/>
  <c r="BF439" i="20" s="1"/>
  <c r="BG439" i="20" s="1"/>
  <c r="AT465" i="20"/>
  <c r="AU465" i="20" s="1"/>
  <c r="AV465" i="20" s="1"/>
  <c r="AW465" i="20" s="1"/>
  <c r="AX465" i="20" s="1"/>
  <c r="AY465" i="20" s="1"/>
  <c r="AZ465" i="20" s="1"/>
  <c r="BA465" i="20" s="1"/>
  <c r="BB465" i="20" s="1"/>
  <c r="BC465" i="20" s="1"/>
  <c r="BD465" i="20" s="1"/>
  <c r="BE465" i="20" s="1"/>
  <c r="BF465" i="20" s="1"/>
  <c r="BG465" i="20" s="1"/>
  <c r="AM755" i="20"/>
  <c r="AN755" i="20" s="1"/>
  <c r="AO755" i="20" s="1"/>
  <c r="AP755" i="20" s="1"/>
  <c r="AQ755" i="20" s="1"/>
  <c r="AR755" i="20" s="1"/>
  <c r="AS755" i="20" s="1"/>
  <c r="AT755" i="20" s="1"/>
  <c r="AU755" i="20" s="1"/>
  <c r="AV755" i="20" s="1"/>
  <c r="AW755" i="20" s="1"/>
  <c r="AX755" i="20" s="1"/>
  <c r="AY755" i="20" s="1"/>
  <c r="AZ755" i="20" s="1"/>
  <c r="BA755" i="20" s="1"/>
  <c r="BB755" i="20" s="1"/>
  <c r="BC755" i="20" s="1"/>
  <c r="BD755" i="20" s="1"/>
  <c r="BE755" i="20" s="1"/>
  <c r="BF755" i="20" s="1"/>
  <c r="BG755" i="20" s="1"/>
  <c r="BH755" i="20" s="1"/>
  <c r="BI755" i="20" s="1"/>
  <c r="BJ755" i="20" s="1"/>
  <c r="BK755" i="20" s="1"/>
  <c r="BL755" i="20" s="1"/>
  <c r="BM755" i="20" s="1"/>
  <c r="BN755" i="20" s="1"/>
  <c r="AT302" i="20"/>
  <c r="AU302" i="20" s="1"/>
  <c r="AV302" i="20" s="1"/>
  <c r="AW302" i="20" s="1"/>
  <c r="AX302" i="20" s="1"/>
  <c r="AY302" i="20" s="1"/>
  <c r="AZ302" i="20" s="1"/>
  <c r="BA302" i="20" s="1"/>
  <c r="BB302" i="20" s="1"/>
  <c r="BC302" i="20" s="1"/>
  <c r="BD302" i="20" s="1"/>
  <c r="BE302" i="20" s="1"/>
  <c r="BF302" i="20" s="1"/>
  <c r="BG302" i="20" s="1"/>
  <c r="BH302" i="20" s="1"/>
  <c r="BI302" i="20" s="1"/>
  <c r="BJ302" i="20" s="1"/>
  <c r="BK302" i="20" s="1"/>
  <c r="BL302" i="20" s="1"/>
  <c r="BM302" i="20" s="1"/>
  <c r="BN302" i="20" s="1"/>
  <c r="AM814" i="20"/>
  <c r="AN814" i="20" s="1"/>
  <c r="AO814" i="20" s="1"/>
  <c r="AP814" i="20" s="1"/>
  <c r="AQ814" i="20" s="1"/>
  <c r="AR814" i="20" s="1"/>
  <c r="AS814" i="20" s="1"/>
  <c r="AT814" i="20" s="1"/>
  <c r="AU814" i="20" s="1"/>
  <c r="AV814" i="20" s="1"/>
  <c r="AW814" i="20" s="1"/>
  <c r="AX814" i="20" s="1"/>
  <c r="AY814" i="20" s="1"/>
  <c r="AZ814" i="20" s="1"/>
  <c r="BA814" i="20" s="1"/>
  <c r="BB814" i="20" s="1"/>
  <c r="BC814" i="20" s="1"/>
  <c r="BD814" i="20" s="1"/>
  <c r="BE814" i="20" s="1"/>
  <c r="BF814" i="20" s="1"/>
  <c r="BG814" i="20" s="1"/>
  <c r="BH814" i="20" s="1"/>
  <c r="BI814" i="20" s="1"/>
  <c r="BJ814" i="20" s="1"/>
  <c r="BK814" i="20" s="1"/>
  <c r="BL814" i="20" s="1"/>
  <c r="BM814" i="20" s="1"/>
  <c r="BN814" i="20" s="1"/>
  <c r="AM780" i="20"/>
  <c r="AN780" i="20" s="1"/>
  <c r="AO780" i="20" s="1"/>
  <c r="AP780" i="20" s="1"/>
  <c r="AQ780" i="20" s="1"/>
  <c r="AR780" i="20" s="1"/>
  <c r="AS780" i="20" s="1"/>
  <c r="AT780" i="20" s="1"/>
  <c r="AU780" i="20" s="1"/>
  <c r="AV780" i="20" s="1"/>
  <c r="AW780" i="20" s="1"/>
  <c r="AX780" i="20" s="1"/>
  <c r="AY780" i="20" s="1"/>
  <c r="AZ780" i="20" s="1"/>
  <c r="BA780" i="20" s="1"/>
  <c r="BB780" i="20" s="1"/>
  <c r="BC780" i="20" s="1"/>
  <c r="BD780" i="20" s="1"/>
  <c r="BE780" i="20" s="1"/>
  <c r="BF780" i="20" s="1"/>
  <c r="BG780" i="20" s="1"/>
  <c r="BH780" i="20" s="1"/>
  <c r="BI780" i="20" s="1"/>
  <c r="BJ780" i="20" s="1"/>
  <c r="BK780" i="20" s="1"/>
  <c r="BL780" i="20" s="1"/>
  <c r="BM780" i="20" s="1"/>
  <c r="BN780" i="20" s="1"/>
  <c r="AT300" i="20"/>
  <c r="AU300" i="20" s="1"/>
  <c r="AV300" i="20" s="1"/>
  <c r="AW300" i="20" s="1"/>
  <c r="AX300" i="20" s="1"/>
  <c r="AY300" i="20" s="1"/>
  <c r="AZ300" i="20" s="1"/>
  <c r="BA300" i="20" s="1"/>
  <c r="BB300" i="20" s="1"/>
  <c r="BC300" i="20" s="1"/>
  <c r="BD300" i="20" s="1"/>
  <c r="BE300" i="20" s="1"/>
  <c r="BF300" i="20" s="1"/>
  <c r="BG300" i="20" s="1"/>
  <c r="BH300" i="20" s="1"/>
  <c r="BI300" i="20" s="1"/>
  <c r="BJ300" i="20" s="1"/>
  <c r="BK300" i="20" s="1"/>
  <c r="BL300" i="20" s="1"/>
  <c r="BM300" i="20" s="1"/>
  <c r="BN300" i="20" s="1"/>
  <c r="AM638" i="20"/>
  <c r="AN638" i="20" s="1"/>
  <c r="AO638" i="20" s="1"/>
  <c r="AP638" i="20" s="1"/>
  <c r="AQ638" i="20" s="1"/>
  <c r="AR638" i="20" s="1"/>
  <c r="AS638" i="20" s="1"/>
  <c r="AT638" i="20" s="1"/>
  <c r="AU638" i="20" s="1"/>
  <c r="AV638" i="20" s="1"/>
  <c r="AW638" i="20" s="1"/>
  <c r="AX638" i="20" s="1"/>
  <c r="AY638" i="20" s="1"/>
  <c r="AZ638" i="20" s="1"/>
  <c r="BA638" i="20" s="1"/>
  <c r="BB638" i="20" s="1"/>
  <c r="BC638" i="20" s="1"/>
  <c r="BD638" i="20" s="1"/>
  <c r="BE638" i="20" s="1"/>
  <c r="BF638" i="20" s="1"/>
  <c r="BG638" i="20" s="1"/>
  <c r="BH638" i="20" s="1"/>
  <c r="BI638" i="20" s="1"/>
  <c r="BJ638" i="20" s="1"/>
  <c r="BK638" i="20" s="1"/>
  <c r="BL638" i="20" s="1"/>
  <c r="BM638" i="20" s="1"/>
  <c r="BN638" i="20" s="1"/>
  <c r="AM662" i="20"/>
  <c r="AN662" i="20" s="1"/>
  <c r="AO662" i="20" s="1"/>
  <c r="AP662" i="20" s="1"/>
  <c r="AQ662" i="20" s="1"/>
  <c r="AR662" i="20" s="1"/>
  <c r="AS662" i="20" s="1"/>
  <c r="AT662" i="20" s="1"/>
  <c r="AU662" i="20" s="1"/>
  <c r="AV662" i="20" s="1"/>
  <c r="AW662" i="20" s="1"/>
  <c r="AX662" i="20" s="1"/>
  <c r="AY662" i="20" s="1"/>
  <c r="AZ662" i="20" s="1"/>
  <c r="BA662" i="20" s="1"/>
  <c r="BB662" i="20" s="1"/>
  <c r="BC662" i="20" s="1"/>
  <c r="BD662" i="20" s="1"/>
  <c r="BE662" i="20" s="1"/>
  <c r="BF662" i="20" s="1"/>
  <c r="BG662" i="20" s="1"/>
  <c r="BH662" i="20" s="1"/>
  <c r="BI662" i="20" s="1"/>
  <c r="BJ662" i="20" s="1"/>
  <c r="BK662" i="20" s="1"/>
  <c r="BL662" i="20" s="1"/>
  <c r="BM662" i="20" s="1"/>
  <c r="BN662" i="20" s="1"/>
  <c r="AT348" i="20"/>
  <c r="AU348" i="20" s="1"/>
  <c r="AV348" i="20" s="1"/>
  <c r="AW348" i="20" s="1"/>
  <c r="AX348" i="20" s="1"/>
  <c r="AY348" i="20" s="1"/>
  <c r="AZ348" i="20" s="1"/>
  <c r="BA348" i="20" s="1"/>
  <c r="BB348" i="20" s="1"/>
  <c r="BC348" i="20" s="1"/>
  <c r="BD348" i="20" s="1"/>
  <c r="BE348" i="20" s="1"/>
  <c r="BF348" i="20" s="1"/>
  <c r="BG348" i="20" s="1"/>
  <c r="BH348" i="20" s="1"/>
  <c r="BI348" i="20" s="1"/>
  <c r="BJ348" i="20" s="1"/>
  <c r="BK348" i="20" s="1"/>
  <c r="BL348" i="20" s="1"/>
  <c r="BM348" i="20" s="1"/>
  <c r="BN348" i="20" s="1"/>
  <c r="AY722" i="20"/>
  <c r="AZ722" i="20" s="1"/>
  <c r="BA722" i="20" s="1"/>
  <c r="BB722" i="20" s="1"/>
  <c r="BC722" i="20" s="1"/>
  <c r="BD722" i="20" s="1"/>
  <c r="BE722" i="20" s="1"/>
  <c r="BF722" i="20" s="1"/>
  <c r="BG722" i="20" s="1"/>
  <c r="BH722" i="20" s="1"/>
  <c r="BI722" i="20" s="1"/>
  <c r="BJ722" i="20" s="1"/>
  <c r="BK722" i="20" s="1"/>
  <c r="BL722" i="20" s="1"/>
  <c r="BM722" i="20" s="1"/>
  <c r="AM822" i="20"/>
  <c r="AN822" i="20" s="1"/>
  <c r="AO822" i="20" s="1"/>
  <c r="AP822" i="20" s="1"/>
  <c r="AQ822" i="20" s="1"/>
  <c r="AR822" i="20" s="1"/>
  <c r="AS822" i="20" s="1"/>
  <c r="AT822" i="20" s="1"/>
  <c r="AU822" i="20" s="1"/>
  <c r="AV822" i="20" s="1"/>
  <c r="AW822" i="20" s="1"/>
  <c r="AX822" i="20" s="1"/>
  <c r="AY822" i="20" s="1"/>
  <c r="AZ822" i="20" s="1"/>
  <c r="BA822" i="20" s="1"/>
  <c r="BB822" i="20" s="1"/>
  <c r="BC822" i="20" s="1"/>
  <c r="BD822" i="20" s="1"/>
  <c r="BE822" i="20" s="1"/>
  <c r="BF822" i="20" s="1"/>
  <c r="BG822" i="20" s="1"/>
  <c r="BH822" i="20" s="1"/>
  <c r="BI822" i="20" s="1"/>
  <c r="BJ822" i="20" s="1"/>
  <c r="BK822" i="20" s="1"/>
  <c r="BL822" i="20" s="1"/>
  <c r="BM822" i="20" s="1"/>
  <c r="BN822" i="20" s="1"/>
  <c r="AT320" i="20"/>
  <c r="AU320" i="20" s="1"/>
  <c r="AV320" i="20" s="1"/>
  <c r="AW320" i="20" s="1"/>
  <c r="AX320" i="20" s="1"/>
  <c r="AY320" i="20" s="1"/>
  <c r="AZ320" i="20" s="1"/>
  <c r="BA320" i="20" s="1"/>
  <c r="BB320" i="20" s="1"/>
  <c r="BC320" i="20" s="1"/>
  <c r="BD320" i="20" s="1"/>
  <c r="BE320" i="20" s="1"/>
  <c r="BF320" i="20" s="1"/>
  <c r="BG320" i="20" s="1"/>
  <c r="BH320" i="20" s="1"/>
  <c r="BI320" i="20" s="1"/>
  <c r="BJ320" i="20" s="1"/>
  <c r="BK320" i="20" s="1"/>
  <c r="BL320" i="20" s="1"/>
  <c r="BM320" i="20" s="1"/>
  <c r="BN320" i="20" s="1"/>
  <c r="AY725" i="20"/>
  <c r="AZ725" i="20" s="1"/>
  <c r="BA725" i="20" s="1"/>
  <c r="BB725" i="20" s="1"/>
  <c r="BC725" i="20" s="1"/>
  <c r="BD725" i="20" s="1"/>
  <c r="BE725" i="20" s="1"/>
  <c r="BF725" i="20" s="1"/>
  <c r="BG725" i="20" s="1"/>
  <c r="BH725" i="20" s="1"/>
  <c r="BI725" i="20" s="1"/>
  <c r="BJ725" i="20" s="1"/>
  <c r="BK725" i="20" s="1"/>
  <c r="BL725" i="20" s="1"/>
  <c r="BM725" i="20" s="1"/>
  <c r="BN725" i="20" s="1"/>
  <c r="AM844" i="20"/>
  <c r="AN844" i="20" s="1"/>
  <c r="AO844" i="20" s="1"/>
  <c r="AP844" i="20" s="1"/>
  <c r="AQ844" i="20" s="1"/>
  <c r="AR844" i="20" s="1"/>
  <c r="AS844" i="20" s="1"/>
  <c r="AT844" i="20" s="1"/>
  <c r="AU844" i="20" s="1"/>
  <c r="AV844" i="20" s="1"/>
  <c r="AW844" i="20" s="1"/>
  <c r="AX844" i="20" s="1"/>
  <c r="AY844" i="20" s="1"/>
  <c r="AZ844" i="20" s="1"/>
  <c r="BA844" i="20" s="1"/>
  <c r="BB844" i="20" s="1"/>
  <c r="BC844" i="20" s="1"/>
  <c r="BD844" i="20" s="1"/>
  <c r="BE844" i="20" s="1"/>
  <c r="BF844" i="20" s="1"/>
  <c r="BG844" i="20" s="1"/>
  <c r="BH844" i="20" s="1"/>
  <c r="BI844" i="20" s="1"/>
  <c r="BJ844" i="20" s="1"/>
  <c r="BK844" i="20" s="1"/>
  <c r="BL844" i="20" s="1"/>
  <c r="BM844" i="20" s="1"/>
  <c r="BN844" i="20" s="1"/>
  <c r="AT330" i="20"/>
  <c r="AU330" i="20" s="1"/>
  <c r="AV330" i="20" s="1"/>
  <c r="AW330" i="20" s="1"/>
  <c r="AX330" i="20" s="1"/>
  <c r="AY330" i="20" s="1"/>
  <c r="AZ330" i="20" s="1"/>
  <c r="BA330" i="20" s="1"/>
  <c r="BB330" i="20" s="1"/>
  <c r="BC330" i="20" s="1"/>
  <c r="BD330" i="20" s="1"/>
  <c r="BE330" i="20" s="1"/>
  <c r="BF330" i="20" s="1"/>
  <c r="BG330" i="20" s="1"/>
  <c r="BH330" i="20" s="1"/>
  <c r="BI330" i="20" s="1"/>
  <c r="BJ330" i="20" s="1"/>
  <c r="BK330" i="20" s="1"/>
  <c r="BL330" i="20" s="1"/>
  <c r="BM330" i="20" s="1"/>
  <c r="BN330" i="20" s="1"/>
  <c r="AM824" i="20"/>
  <c r="AN824" i="20" s="1"/>
  <c r="AO824" i="20" s="1"/>
  <c r="AP824" i="20" s="1"/>
  <c r="AQ824" i="20" s="1"/>
  <c r="AR824" i="20" s="1"/>
  <c r="AS824" i="20" s="1"/>
  <c r="AT824" i="20" s="1"/>
  <c r="AU824" i="20" s="1"/>
  <c r="AV824" i="20" s="1"/>
  <c r="AW824" i="20" s="1"/>
  <c r="AX824" i="20" s="1"/>
  <c r="AY824" i="20" s="1"/>
  <c r="AZ824" i="20" s="1"/>
  <c r="BA824" i="20" s="1"/>
  <c r="BB824" i="20" s="1"/>
  <c r="BC824" i="20" s="1"/>
  <c r="BD824" i="20" s="1"/>
  <c r="BE824" i="20" s="1"/>
  <c r="BF824" i="20" s="1"/>
  <c r="BG824" i="20" s="1"/>
  <c r="BH824" i="20" s="1"/>
  <c r="BI824" i="20" s="1"/>
  <c r="BJ824" i="20" s="1"/>
  <c r="BK824" i="20" s="1"/>
  <c r="BL824" i="20" s="1"/>
  <c r="BM824" i="20" s="1"/>
  <c r="BN824" i="20" s="1"/>
  <c r="AT301" i="20"/>
  <c r="AU301" i="20" s="1"/>
  <c r="AV301" i="20" s="1"/>
  <c r="AW301" i="20" s="1"/>
  <c r="AX301" i="20" s="1"/>
  <c r="AY301" i="20" s="1"/>
  <c r="AZ301" i="20" s="1"/>
  <c r="BA301" i="20" s="1"/>
  <c r="BB301" i="20" s="1"/>
  <c r="BC301" i="20" s="1"/>
  <c r="BD301" i="20" s="1"/>
  <c r="BE301" i="20" s="1"/>
  <c r="BF301" i="20" s="1"/>
  <c r="BG301" i="20" s="1"/>
  <c r="BH301" i="20" s="1"/>
  <c r="BI301" i="20" s="1"/>
  <c r="BJ301" i="20" s="1"/>
  <c r="BK301" i="20" s="1"/>
  <c r="BL301" i="20" s="1"/>
  <c r="BM301" i="20" s="1"/>
  <c r="BN301" i="20" s="1"/>
  <c r="AT448" i="20"/>
  <c r="AU448" i="20" s="1"/>
  <c r="AV448" i="20" s="1"/>
  <c r="AW448" i="20" s="1"/>
  <c r="AX448" i="20" s="1"/>
  <c r="AY448" i="20" s="1"/>
  <c r="AZ448" i="20" s="1"/>
  <c r="BA448" i="20" s="1"/>
  <c r="BB448" i="20" s="1"/>
  <c r="BC448" i="20" s="1"/>
  <c r="BD448" i="20" s="1"/>
  <c r="BE448" i="20" s="1"/>
  <c r="BF448" i="20" s="1"/>
  <c r="AM674" i="20"/>
  <c r="AN674" i="20" s="1"/>
  <c r="AO674" i="20" s="1"/>
  <c r="AP674" i="20" s="1"/>
  <c r="AQ674" i="20" s="1"/>
  <c r="AR674" i="20" s="1"/>
  <c r="AS674" i="20" s="1"/>
  <c r="AT674" i="20" s="1"/>
  <c r="AU674" i="20" s="1"/>
  <c r="AV674" i="20" s="1"/>
  <c r="AW674" i="20" s="1"/>
  <c r="AX674" i="20" s="1"/>
  <c r="AY674" i="20" s="1"/>
  <c r="AZ674" i="20" s="1"/>
  <c r="BA674" i="20" s="1"/>
  <c r="BB674" i="20" s="1"/>
  <c r="BC674" i="20" s="1"/>
  <c r="BD674" i="20" s="1"/>
  <c r="BE674" i="20" s="1"/>
  <c r="BF674" i="20" s="1"/>
  <c r="BG674" i="20" s="1"/>
  <c r="BH674" i="20" s="1"/>
  <c r="BI674" i="20" s="1"/>
  <c r="BJ674" i="20" s="1"/>
  <c r="BK674" i="20" s="1"/>
  <c r="BL674" i="20" s="1"/>
  <c r="BM674" i="20" s="1"/>
  <c r="BN674" i="20" s="1"/>
  <c r="AM758" i="20"/>
  <c r="AN758" i="20" s="1"/>
  <c r="AO758" i="20" s="1"/>
  <c r="AP758" i="20" s="1"/>
  <c r="AQ758" i="20" s="1"/>
  <c r="AR758" i="20" s="1"/>
  <c r="AS758" i="20" s="1"/>
  <c r="AT758" i="20" s="1"/>
  <c r="AU758" i="20" s="1"/>
  <c r="AV758" i="20" s="1"/>
  <c r="AW758" i="20" s="1"/>
  <c r="AX758" i="20" s="1"/>
  <c r="AY758" i="20" s="1"/>
  <c r="AZ758" i="20" s="1"/>
  <c r="BA758" i="20" s="1"/>
  <c r="BB758" i="20" s="1"/>
  <c r="BC758" i="20" s="1"/>
  <c r="BD758" i="20" s="1"/>
  <c r="BE758" i="20" s="1"/>
  <c r="BF758" i="20" s="1"/>
  <c r="BG758" i="20" s="1"/>
  <c r="BH758" i="20" s="1"/>
  <c r="BI758" i="20" s="1"/>
  <c r="BJ758" i="20" s="1"/>
  <c r="BK758" i="20" s="1"/>
  <c r="BL758" i="20" s="1"/>
  <c r="BM758" i="20" s="1"/>
  <c r="BN758" i="20" s="1"/>
  <c r="AM825" i="20"/>
  <c r="AN825" i="20" s="1"/>
  <c r="AO825" i="20" s="1"/>
  <c r="AP825" i="20" s="1"/>
  <c r="AQ825" i="20" s="1"/>
  <c r="AR825" i="20" s="1"/>
  <c r="AS825" i="20" s="1"/>
  <c r="AT825" i="20" s="1"/>
  <c r="AU825" i="20" s="1"/>
  <c r="AV825" i="20" s="1"/>
  <c r="AW825" i="20" s="1"/>
  <c r="AX825" i="20" s="1"/>
  <c r="AY825" i="20" s="1"/>
  <c r="AZ825" i="20" s="1"/>
  <c r="BA825" i="20" s="1"/>
  <c r="BB825" i="20" s="1"/>
  <c r="BC825" i="20" s="1"/>
  <c r="BD825" i="20" s="1"/>
  <c r="BE825" i="20" s="1"/>
  <c r="BF825" i="20" s="1"/>
  <c r="BG825" i="20" s="1"/>
  <c r="BH825" i="20" s="1"/>
  <c r="BI825" i="20" s="1"/>
  <c r="BJ825" i="20" s="1"/>
  <c r="BK825" i="20" s="1"/>
  <c r="BL825" i="20" s="1"/>
  <c r="BM825" i="20" s="1"/>
  <c r="AM836" i="20"/>
  <c r="AN836" i="20" s="1"/>
  <c r="AO836" i="20" s="1"/>
  <c r="AP836" i="20" s="1"/>
  <c r="AQ836" i="20" s="1"/>
  <c r="AR836" i="20" s="1"/>
  <c r="AS836" i="20" s="1"/>
  <c r="AT836" i="20" s="1"/>
  <c r="AU836" i="20" s="1"/>
  <c r="AV836" i="20" s="1"/>
  <c r="AW836" i="20" s="1"/>
  <c r="AX836" i="20" s="1"/>
  <c r="AY836" i="20" s="1"/>
  <c r="AZ836" i="20" s="1"/>
  <c r="BA836" i="20" s="1"/>
  <c r="BB836" i="20" s="1"/>
  <c r="BC836" i="20" s="1"/>
  <c r="BD836" i="20" s="1"/>
  <c r="BE836" i="20" s="1"/>
  <c r="BF836" i="20" s="1"/>
  <c r="BG836" i="20" s="1"/>
  <c r="BH836" i="20" s="1"/>
  <c r="BI836" i="20" s="1"/>
  <c r="BJ836" i="20" s="1"/>
  <c r="BK836" i="20" s="1"/>
  <c r="BL836" i="20" s="1"/>
  <c r="BM836" i="20" s="1"/>
  <c r="BN836" i="20" s="1"/>
  <c r="AT308" i="20"/>
  <c r="AU308" i="20" s="1"/>
  <c r="AV308" i="20" s="1"/>
  <c r="AW308" i="20" s="1"/>
  <c r="AX308" i="20" s="1"/>
  <c r="AY308" i="20" s="1"/>
  <c r="AZ308" i="20" s="1"/>
  <c r="BA308" i="20" s="1"/>
  <c r="BB308" i="20" s="1"/>
  <c r="BC308" i="20" s="1"/>
  <c r="BD308" i="20" s="1"/>
  <c r="BE308" i="20" s="1"/>
  <c r="BF308" i="20" s="1"/>
  <c r="BG308" i="20" s="1"/>
  <c r="BH308" i="20" s="1"/>
  <c r="BI308" i="20" s="1"/>
  <c r="BJ308" i="20" s="1"/>
  <c r="BK308" i="20" s="1"/>
  <c r="BL308" i="20" s="1"/>
  <c r="BM308" i="20" s="1"/>
  <c r="BN308" i="20" s="1"/>
  <c r="AL64" i="20"/>
  <c r="AL67" i="20"/>
  <c r="AL63" i="20"/>
  <c r="AL65" i="20"/>
  <c r="AL68" i="20"/>
  <c r="AL62" i="20"/>
  <c r="AL66" i="20"/>
  <c r="AL104" i="20"/>
  <c r="AL100" i="20"/>
  <c r="AL106" i="20"/>
  <c r="AL101" i="20"/>
  <c r="AL105" i="20"/>
  <c r="AL103" i="20"/>
  <c r="AL102" i="20"/>
  <c r="AL44" i="20"/>
  <c r="AL48" i="20"/>
  <c r="AL47" i="20"/>
  <c r="AL49" i="20"/>
  <c r="AL50" i="20"/>
  <c r="AL45" i="20"/>
  <c r="AL46" i="20"/>
  <c r="AL82" i="20"/>
  <c r="AL81" i="20"/>
  <c r="AL84" i="20"/>
  <c r="AL80" i="20"/>
  <c r="AL83" i="20"/>
  <c r="AL85" i="20"/>
  <c r="AL86" i="20"/>
  <c r="AN735" i="20"/>
  <c r="AO735" i="20" s="1"/>
  <c r="AP735" i="20" s="1"/>
  <c r="AQ735" i="20" s="1"/>
  <c r="AR735" i="20" s="1"/>
  <c r="AS735" i="20" s="1"/>
  <c r="AT735" i="20" s="1"/>
  <c r="AU735" i="20" s="1"/>
  <c r="AV735" i="20" s="1"/>
  <c r="AW735" i="20" s="1"/>
  <c r="AX735" i="20" s="1"/>
  <c r="AY735" i="20" s="1"/>
  <c r="AZ735" i="20" s="1"/>
  <c r="BA735" i="20" s="1"/>
  <c r="BB735" i="20" s="1"/>
  <c r="BC735" i="20" s="1"/>
  <c r="BD735" i="20" s="1"/>
  <c r="BE735" i="20" s="1"/>
  <c r="BF735" i="20" s="1"/>
  <c r="BG735" i="20" s="1"/>
  <c r="BH735" i="20" s="1"/>
  <c r="BI735" i="20" s="1"/>
  <c r="BJ735" i="20" s="1"/>
  <c r="BK735" i="20" s="1"/>
  <c r="BL735" i="20" s="1"/>
  <c r="BM735" i="20" s="1"/>
  <c r="BN735" i="20" s="1"/>
  <c r="AM640" i="20"/>
  <c r="AN640" i="20" s="1"/>
  <c r="AO640" i="20" s="1"/>
  <c r="AP640" i="20" s="1"/>
  <c r="AQ640" i="20" s="1"/>
  <c r="AR640" i="20" s="1"/>
  <c r="AS640" i="20" s="1"/>
  <c r="AT640" i="20" s="1"/>
  <c r="AU640" i="20" s="1"/>
  <c r="AV640" i="20" s="1"/>
  <c r="AW640" i="20" s="1"/>
  <c r="AX640" i="20" s="1"/>
  <c r="AY640" i="20" s="1"/>
  <c r="AZ640" i="20" s="1"/>
  <c r="BA640" i="20" s="1"/>
  <c r="BB640" i="20" s="1"/>
  <c r="BC640" i="20" s="1"/>
  <c r="BD640" i="20" s="1"/>
  <c r="BE640" i="20" s="1"/>
  <c r="BF640" i="20" s="1"/>
  <c r="BG640" i="20" s="1"/>
  <c r="BH640" i="20" s="1"/>
  <c r="BI640" i="20" s="1"/>
  <c r="BJ640" i="20" s="1"/>
  <c r="BK640" i="20" s="1"/>
  <c r="BL640" i="20" s="1"/>
  <c r="BM640" i="20" s="1"/>
  <c r="BN640" i="20" s="1"/>
  <c r="AM768" i="20"/>
  <c r="AN768" i="20" s="1"/>
  <c r="AO768" i="20" s="1"/>
  <c r="AP768" i="20" s="1"/>
  <c r="AQ768" i="20" s="1"/>
  <c r="AR768" i="20" s="1"/>
  <c r="AS768" i="20" s="1"/>
  <c r="AT768" i="20" s="1"/>
  <c r="AU768" i="20" s="1"/>
  <c r="AV768" i="20" s="1"/>
  <c r="AW768" i="20" s="1"/>
  <c r="AX768" i="20" s="1"/>
  <c r="AY768" i="20" s="1"/>
  <c r="AZ768" i="20" s="1"/>
  <c r="BA768" i="20" s="1"/>
  <c r="BB768" i="20" s="1"/>
  <c r="BC768" i="20" s="1"/>
  <c r="BD768" i="20" s="1"/>
  <c r="BE768" i="20" s="1"/>
  <c r="BF768" i="20" s="1"/>
  <c r="BG768" i="20" s="1"/>
  <c r="BH768" i="20" s="1"/>
  <c r="BI768" i="20" s="1"/>
  <c r="BJ768" i="20" s="1"/>
  <c r="BK768" i="20" s="1"/>
  <c r="BL768" i="20" s="1"/>
  <c r="BM768" i="20" s="1"/>
  <c r="BN768" i="20" s="1"/>
  <c r="AM629" i="20"/>
  <c r="AN629" i="20" s="1"/>
  <c r="AO629" i="20" s="1"/>
  <c r="AP629" i="20" s="1"/>
  <c r="AQ629" i="20" s="1"/>
  <c r="AR629" i="20" s="1"/>
  <c r="AS629" i="20" s="1"/>
  <c r="AT629" i="20" s="1"/>
  <c r="AU629" i="20" s="1"/>
  <c r="AV629" i="20" s="1"/>
  <c r="AW629" i="20" s="1"/>
  <c r="AX629" i="20" s="1"/>
  <c r="AY629" i="20" s="1"/>
  <c r="AZ629" i="20" s="1"/>
  <c r="BA629" i="20" s="1"/>
  <c r="BB629" i="20" s="1"/>
  <c r="BC629" i="20" s="1"/>
  <c r="BD629" i="20" s="1"/>
  <c r="BE629" i="20" s="1"/>
  <c r="BF629" i="20" s="1"/>
  <c r="BG629" i="20" s="1"/>
  <c r="BH629" i="20" s="1"/>
  <c r="BI629" i="20" s="1"/>
  <c r="BJ629" i="20" s="1"/>
  <c r="BK629" i="20" s="1"/>
  <c r="BL629" i="20" s="1"/>
  <c r="BM629" i="20" s="1"/>
  <c r="BN629" i="20" s="1"/>
  <c r="AT415" i="20"/>
  <c r="AU415" i="20" s="1"/>
  <c r="AV415" i="20" s="1"/>
  <c r="AW415" i="20" s="1"/>
  <c r="AX415" i="20" s="1"/>
  <c r="AY415" i="20" s="1"/>
  <c r="AZ415" i="20" s="1"/>
  <c r="BA415" i="20" s="1"/>
  <c r="BB415" i="20" s="1"/>
  <c r="BC415" i="20" s="1"/>
  <c r="BD415" i="20" s="1"/>
  <c r="BE415" i="20" s="1"/>
  <c r="BF415" i="20" s="1"/>
  <c r="BG415" i="20" s="1"/>
  <c r="AM747" i="20"/>
  <c r="AN747" i="20" s="1"/>
  <c r="AO747" i="20" s="1"/>
  <c r="AP747" i="20" s="1"/>
  <c r="AQ747" i="20" s="1"/>
  <c r="AR747" i="20" s="1"/>
  <c r="AS747" i="20" s="1"/>
  <c r="AT747" i="20" s="1"/>
  <c r="AU747" i="20" s="1"/>
  <c r="AV747" i="20" s="1"/>
  <c r="AW747" i="20" s="1"/>
  <c r="AX747" i="20" s="1"/>
  <c r="AY747" i="20" s="1"/>
  <c r="AZ747" i="20" s="1"/>
  <c r="BA747" i="20" s="1"/>
  <c r="BB747" i="20" s="1"/>
  <c r="BC747" i="20" s="1"/>
  <c r="BD747" i="20" s="1"/>
  <c r="BE747" i="20" s="1"/>
  <c r="BF747" i="20" s="1"/>
  <c r="BG747" i="20" s="1"/>
  <c r="BH747" i="20" s="1"/>
  <c r="BI747" i="20" s="1"/>
  <c r="BJ747" i="20" s="1"/>
  <c r="BK747" i="20" s="1"/>
  <c r="BL747" i="20" s="1"/>
  <c r="BM747" i="20" s="1"/>
  <c r="BN747" i="20" s="1"/>
  <c r="AT350" i="20"/>
  <c r="AU350" i="20" s="1"/>
  <c r="AV350" i="20" s="1"/>
  <c r="AW350" i="20" s="1"/>
  <c r="AX350" i="20" s="1"/>
  <c r="AY350" i="20" s="1"/>
  <c r="AZ350" i="20" s="1"/>
  <c r="BA350" i="20" s="1"/>
  <c r="BB350" i="20" s="1"/>
  <c r="BC350" i="20" s="1"/>
  <c r="BD350" i="20" s="1"/>
  <c r="BE350" i="20" s="1"/>
  <c r="BF350" i="20" s="1"/>
  <c r="BG350" i="20" s="1"/>
  <c r="BH350" i="20" s="1"/>
  <c r="BI350" i="20" s="1"/>
  <c r="BJ350" i="20" s="1"/>
  <c r="BK350" i="20" s="1"/>
  <c r="BL350" i="20" s="1"/>
  <c r="BM350" i="20" s="1"/>
  <c r="BN350" i="20" s="1"/>
  <c r="AT447" i="20"/>
  <c r="AU447" i="20" s="1"/>
  <c r="AV447" i="20" s="1"/>
  <c r="AW447" i="20" s="1"/>
  <c r="AX447" i="20" s="1"/>
  <c r="AY447" i="20" s="1"/>
  <c r="AZ447" i="20" s="1"/>
  <c r="BA447" i="20" s="1"/>
  <c r="BB447" i="20" s="1"/>
  <c r="BC447" i="20" s="1"/>
  <c r="BD447" i="20" s="1"/>
  <c r="BE447" i="20" s="1"/>
  <c r="BF447" i="20" s="1"/>
  <c r="BG447" i="20" s="1"/>
  <c r="AM673" i="20"/>
  <c r="AN673" i="20" s="1"/>
  <c r="AO673" i="20" s="1"/>
  <c r="AP673" i="20" s="1"/>
  <c r="AQ673" i="20" s="1"/>
  <c r="AR673" i="20" s="1"/>
  <c r="AS673" i="20" s="1"/>
  <c r="AT673" i="20" s="1"/>
  <c r="AU673" i="20" s="1"/>
  <c r="AV673" i="20" s="1"/>
  <c r="AW673" i="20" s="1"/>
  <c r="AX673" i="20" s="1"/>
  <c r="AY673" i="20" s="1"/>
  <c r="AZ673" i="20" s="1"/>
  <c r="BA673" i="20" s="1"/>
  <c r="BB673" i="20" s="1"/>
  <c r="BC673" i="20" s="1"/>
  <c r="BD673" i="20" s="1"/>
  <c r="BE673" i="20" s="1"/>
  <c r="BF673" i="20" s="1"/>
  <c r="BG673" i="20" s="1"/>
  <c r="BH673" i="20" s="1"/>
  <c r="BI673" i="20" s="1"/>
  <c r="BJ673" i="20" s="1"/>
  <c r="BK673" i="20" s="1"/>
  <c r="BL673" i="20" s="1"/>
  <c r="BM673" i="20" s="1"/>
  <c r="BN673" i="20" s="1"/>
  <c r="AM846" i="20"/>
  <c r="AN846" i="20" s="1"/>
  <c r="AO846" i="20" s="1"/>
  <c r="AP846" i="20" s="1"/>
  <c r="AQ846" i="20" s="1"/>
  <c r="AR846" i="20" s="1"/>
  <c r="AS846" i="20" s="1"/>
  <c r="AT846" i="20" s="1"/>
  <c r="AU846" i="20" s="1"/>
  <c r="AV846" i="20" s="1"/>
  <c r="AW846" i="20" s="1"/>
  <c r="AX846" i="20" s="1"/>
  <c r="AY846" i="20" s="1"/>
  <c r="AZ846" i="20" s="1"/>
  <c r="BA846" i="20" s="1"/>
  <c r="BB846" i="20" s="1"/>
  <c r="BC846" i="20" s="1"/>
  <c r="BD846" i="20" s="1"/>
  <c r="BE846" i="20" s="1"/>
  <c r="BF846" i="20" s="1"/>
  <c r="BG846" i="20" s="1"/>
  <c r="BH846" i="20" s="1"/>
  <c r="BI846" i="20" s="1"/>
  <c r="BJ846" i="20" s="1"/>
  <c r="BK846" i="20" s="1"/>
  <c r="BL846" i="20" s="1"/>
  <c r="BM846" i="20" s="1"/>
  <c r="BN846" i="20" s="1"/>
  <c r="AM663" i="20"/>
  <c r="AN663" i="20" s="1"/>
  <c r="AO663" i="20" s="1"/>
  <c r="AP663" i="20" s="1"/>
  <c r="AQ663" i="20" s="1"/>
  <c r="AR663" i="20" s="1"/>
  <c r="AS663" i="20" s="1"/>
  <c r="AT663" i="20" s="1"/>
  <c r="AU663" i="20" s="1"/>
  <c r="AV663" i="20" s="1"/>
  <c r="AW663" i="20" s="1"/>
  <c r="AX663" i="20" s="1"/>
  <c r="AY663" i="20" s="1"/>
  <c r="AZ663" i="20" s="1"/>
  <c r="BA663" i="20" s="1"/>
  <c r="BB663" i="20" s="1"/>
  <c r="BC663" i="20" s="1"/>
  <c r="BD663" i="20" s="1"/>
  <c r="BE663" i="20" s="1"/>
  <c r="BF663" i="20" s="1"/>
  <c r="BG663" i="20" s="1"/>
  <c r="BH663" i="20" s="1"/>
  <c r="BI663" i="20" s="1"/>
  <c r="BJ663" i="20" s="1"/>
  <c r="BK663" i="20" s="1"/>
  <c r="BL663" i="20" s="1"/>
  <c r="BM663" i="20" s="1"/>
  <c r="BN663" i="20" s="1"/>
  <c r="AM39" i="20"/>
  <c r="AT425" i="20"/>
  <c r="AU425" i="20" s="1"/>
  <c r="AV425" i="20" s="1"/>
  <c r="AW425" i="20" s="1"/>
  <c r="AX425" i="20" s="1"/>
  <c r="AY425" i="20" s="1"/>
  <c r="AZ425" i="20" s="1"/>
  <c r="BA425" i="20" s="1"/>
  <c r="BB425" i="20" s="1"/>
  <c r="BC425" i="20" s="1"/>
  <c r="BD425" i="20" s="1"/>
  <c r="BE425" i="20" s="1"/>
  <c r="BF425" i="20" s="1"/>
  <c r="BG425" i="20" s="1"/>
  <c r="AT435" i="20"/>
  <c r="AU435" i="20" s="1"/>
  <c r="AV435" i="20" s="1"/>
  <c r="AW435" i="20" s="1"/>
  <c r="AX435" i="20" s="1"/>
  <c r="AY435" i="20" s="1"/>
  <c r="AZ435" i="20" s="1"/>
  <c r="BA435" i="20" s="1"/>
  <c r="BB435" i="20" s="1"/>
  <c r="BC435" i="20" s="1"/>
  <c r="BD435" i="20" s="1"/>
  <c r="BE435" i="20" s="1"/>
  <c r="BF435" i="20" s="1"/>
  <c r="BG435" i="20" s="1"/>
  <c r="AY726" i="20"/>
  <c r="AZ726" i="20" s="1"/>
  <c r="BA726" i="20" s="1"/>
  <c r="BB726" i="20" s="1"/>
  <c r="BC726" i="20" s="1"/>
  <c r="BD726" i="20" s="1"/>
  <c r="BE726" i="20" s="1"/>
  <c r="BF726" i="20" s="1"/>
  <c r="BG726" i="20" s="1"/>
  <c r="BH726" i="20" s="1"/>
  <c r="BI726" i="20" s="1"/>
  <c r="BJ726" i="20" s="1"/>
  <c r="BK726" i="20" s="1"/>
  <c r="BL726" i="20" s="1"/>
  <c r="BM726" i="20" s="1"/>
  <c r="BN726" i="20" s="1"/>
  <c r="AM815" i="20"/>
  <c r="AN815" i="20" s="1"/>
  <c r="AM848" i="20"/>
  <c r="AN848" i="20" s="1"/>
  <c r="AT468" i="20"/>
  <c r="AU468" i="20" s="1"/>
  <c r="AV468" i="20" s="1"/>
  <c r="AW468" i="20" s="1"/>
  <c r="AX468" i="20" s="1"/>
  <c r="AY468" i="20" s="1"/>
  <c r="AZ468" i="20" s="1"/>
  <c r="BA468" i="20" s="1"/>
  <c r="BB468" i="20" s="1"/>
  <c r="BC468" i="20" s="1"/>
  <c r="BD468" i="20" s="1"/>
  <c r="BE468" i="20" s="1"/>
  <c r="BF468" i="20" s="1"/>
  <c r="BG468" i="20" s="1"/>
  <c r="AT419" i="20"/>
  <c r="AU419" i="20" s="1"/>
  <c r="AV419" i="20" s="1"/>
  <c r="AW419" i="20" s="1"/>
  <c r="AX419" i="20" s="1"/>
  <c r="AY419" i="20" s="1"/>
  <c r="AZ419" i="20" s="1"/>
  <c r="BA419" i="20" s="1"/>
  <c r="BB419" i="20" s="1"/>
  <c r="BC419" i="20" s="1"/>
  <c r="BD419" i="20" s="1"/>
  <c r="BE419" i="20" s="1"/>
  <c r="BF419" i="20" s="1"/>
  <c r="BG419" i="20" s="1"/>
  <c r="AT455" i="20"/>
  <c r="AU455" i="20" s="1"/>
  <c r="AV455" i="20" s="1"/>
  <c r="AW455" i="20" s="1"/>
  <c r="AX455" i="20" s="1"/>
  <c r="AY455" i="20" s="1"/>
  <c r="AZ455" i="20" s="1"/>
  <c r="BA455" i="20" s="1"/>
  <c r="BB455" i="20" s="1"/>
  <c r="BC455" i="20" s="1"/>
  <c r="BD455" i="20" s="1"/>
  <c r="BE455" i="20" s="1"/>
  <c r="BF455" i="20" s="1"/>
  <c r="BG455" i="20" s="1"/>
  <c r="AM649" i="20"/>
  <c r="AN649" i="20" s="1"/>
  <c r="AO649" i="20" s="1"/>
  <c r="AP649" i="20" s="1"/>
  <c r="AQ649" i="20" s="1"/>
  <c r="AR649" i="20" s="1"/>
  <c r="AS649" i="20" s="1"/>
  <c r="AT649" i="20" s="1"/>
  <c r="AU649" i="20" s="1"/>
  <c r="AV649" i="20" s="1"/>
  <c r="AW649" i="20" s="1"/>
  <c r="AX649" i="20" s="1"/>
  <c r="AY649" i="20" s="1"/>
  <c r="AZ649" i="20" s="1"/>
  <c r="BA649" i="20" s="1"/>
  <c r="BB649" i="20" s="1"/>
  <c r="BC649" i="20" s="1"/>
  <c r="BD649" i="20" s="1"/>
  <c r="BE649" i="20" s="1"/>
  <c r="BF649" i="20" s="1"/>
  <c r="BG649" i="20" s="1"/>
  <c r="BH649" i="20" s="1"/>
  <c r="BI649" i="20" s="1"/>
  <c r="BJ649" i="20" s="1"/>
  <c r="BK649" i="20" s="1"/>
  <c r="BL649" i="20" s="1"/>
  <c r="BM649" i="20" s="1"/>
  <c r="BN649" i="20" s="1"/>
  <c r="AM833" i="20"/>
  <c r="AN833" i="20" s="1"/>
  <c r="AO833" i="20" s="1"/>
  <c r="AP833" i="20" s="1"/>
  <c r="AQ833" i="20" s="1"/>
  <c r="AR833" i="20" s="1"/>
  <c r="AS833" i="20" s="1"/>
  <c r="AT833" i="20" s="1"/>
  <c r="AU833" i="20" s="1"/>
  <c r="AV833" i="20" s="1"/>
  <c r="AW833" i="20" s="1"/>
  <c r="AX833" i="20" s="1"/>
  <c r="AY833" i="20" s="1"/>
  <c r="AZ833" i="20" s="1"/>
  <c r="BA833" i="20" s="1"/>
  <c r="BB833" i="20" s="1"/>
  <c r="BC833" i="20" s="1"/>
  <c r="BD833" i="20" s="1"/>
  <c r="BE833" i="20" s="1"/>
  <c r="BF833" i="20" s="1"/>
  <c r="BG833" i="20" s="1"/>
  <c r="BH833" i="20" s="1"/>
  <c r="BI833" i="20" s="1"/>
  <c r="BJ833" i="20" s="1"/>
  <c r="BK833" i="20" s="1"/>
  <c r="BL833" i="20" s="1"/>
  <c r="BM833" i="20" s="1"/>
  <c r="BN833" i="20" s="1"/>
  <c r="AT312" i="20"/>
  <c r="AU312" i="20" s="1"/>
  <c r="AV312" i="20" s="1"/>
  <c r="AW312" i="20" s="1"/>
  <c r="AX312" i="20" s="1"/>
  <c r="AY312" i="20" s="1"/>
  <c r="AZ312" i="20" s="1"/>
  <c r="BA312" i="20" s="1"/>
  <c r="BB312" i="20" s="1"/>
  <c r="BC312" i="20" s="1"/>
  <c r="BD312" i="20" s="1"/>
  <c r="BE312" i="20" s="1"/>
  <c r="BF312" i="20" s="1"/>
  <c r="BG312" i="20" s="1"/>
  <c r="BH312" i="20" s="1"/>
  <c r="BI312" i="20" s="1"/>
  <c r="BJ312" i="20" s="1"/>
  <c r="BK312" i="20" s="1"/>
  <c r="BL312" i="20" s="1"/>
  <c r="BM312" i="20" s="1"/>
  <c r="BN312" i="20" s="1"/>
  <c r="AT449" i="20"/>
  <c r="AU449" i="20" s="1"/>
  <c r="AV449" i="20" s="1"/>
  <c r="AW449" i="20" s="1"/>
  <c r="AX449" i="20" s="1"/>
  <c r="AY449" i="20" s="1"/>
  <c r="AZ449" i="20" s="1"/>
  <c r="BA449" i="20" s="1"/>
  <c r="BB449" i="20" s="1"/>
  <c r="BC449" i="20" s="1"/>
  <c r="BD449" i="20" s="1"/>
  <c r="BE449" i="20" s="1"/>
  <c r="BF449" i="20" s="1"/>
  <c r="BG449" i="20" s="1"/>
  <c r="AT459" i="20"/>
  <c r="AU459" i="20" s="1"/>
  <c r="AV459" i="20" s="1"/>
  <c r="AW459" i="20" s="1"/>
  <c r="AX459" i="20" s="1"/>
  <c r="AY459" i="20" s="1"/>
  <c r="AZ459" i="20" s="1"/>
  <c r="BA459" i="20" s="1"/>
  <c r="BB459" i="20" s="1"/>
  <c r="BC459" i="20" s="1"/>
  <c r="BD459" i="20" s="1"/>
  <c r="BE459" i="20" s="1"/>
  <c r="BF459" i="20" s="1"/>
  <c r="BG459" i="20" s="1"/>
  <c r="AM675" i="20"/>
  <c r="AN675" i="20" s="1"/>
  <c r="AO675" i="20" s="1"/>
  <c r="AP675" i="20" s="1"/>
  <c r="AQ675" i="20" s="1"/>
  <c r="AR675" i="20" s="1"/>
  <c r="AS675" i="20" s="1"/>
  <c r="AT675" i="20" s="1"/>
  <c r="AU675" i="20" s="1"/>
  <c r="AV675" i="20" s="1"/>
  <c r="AW675" i="20" s="1"/>
  <c r="AX675" i="20" s="1"/>
  <c r="AY675" i="20" s="1"/>
  <c r="AZ675" i="20" s="1"/>
  <c r="BA675" i="20" s="1"/>
  <c r="BB675" i="20" s="1"/>
  <c r="BC675" i="20" s="1"/>
  <c r="BD675" i="20" s="1"/>
  <c r="BE675" i="20" s="1"/>
  <c r="BF675" i="20" s="1"/>
  <c r="BG675" i="20" s="1"/>
  <c r="BH675" i="20" s="1"/>
  <c r="BI675" i="20" s="1"/>
  <c r="BJ675" i="20" s="1"/>
  <c r="BK675" i="20" s="1"/>
  <c r="BL675" i="20" s="1"/>
  <c r="BM675" i="20" s="1"/>
  <c r="BN675" i="20" s="1"/>
  <c r="AN737" i="20"/>
  <c r="AO737" i="20" s="1"/>
  <c r="AP737" i="20" s="1"/>
  <c r="AQ737" i="20" s="1"/>
  <c r="AR737" i="20" s="1"/>
  <c r="AS737" i="20" s="1"/>
  <c r="AT737" i="20" s="1"/>
  <c r="AU737" i="20" s="1"/>
  <c r="AV737" i="20" s="1"/>
  <c r="AW737" i="20" s="1"/>
  <c r="AX737" i="20" s="1"/>
  <c r="AY737" i="20" s="1"/>
  <c r="AZ737" i="20" s="1"/>
  <c r="BA737" i="20" s="1"/>
  <c r="BB737" i="20" s="1"/>
  <c r="BC737" i="20" s="1"/>
  <c r="BD737" i="20" s="1"/>
  <c r="BE737" i="20" s="1"/>
  <c r="BF737" i="20" s="1"/>
  <c r="BG737" i="20" s="1"/>
  <c r="BH737" i="20" s="1"/>
  <c r="BI737" i="20" s="1"/>
  <c r="BJ737" i="20" s="1"/>
  <c r="BK737" i="20" s="1"/>
  <c r="BL737" i="20" s="1"/>
  <c r="BM737" i="20" s="1"/>
  <c r="BN737" i="20" s="1"/>
  <c r="AM837" i="20"/>
  <c r="AN837" i="20" s="1"/>
  <c r="AT466" i="20"/>
  <c r="AU466" i="20" s="1"/>
  <c r="AV466" i="20" s="1"/>
  <c r="AW466" i="20" s="1"/>
  <c r="AX466" i="20" s="1"/>
  <c r="AY466" i="20" s="1"/>
  <c r="AZ466" i="20" s="1"/>
  <c r="BA466" i="20" s="1"/>
  <c r="BB466" i="20" s="1"/>
  <c r="BC466" i="20" s="1"/>
  <c r="BD466" i="20" s="1"/>
  <c r="BE466" i="20" s="1"/>
  <c r="BF466" i="20" s="1"/>
  <c r="BG466" i="20" s="1"/>
  <c r="AT446" i="20"/>
  <c r="AU446" i="20" s="1"/>
  <c r="AV446" i="20" s="1"/>
  <c r="AW446" i="20" s="1"/>
  <c r="AX446" i="20" s="1"/>
  <c r="AY446" i="20" s="1"/>
  <c r="AZ446" i="20" s="1"/>
  <c r="BA446" i="20" s="1"/>
  <c r="BB446" i="20" s="1"/>
  <c r="BC446" i="20" s="1"/>
  <c r="BD446" i="20" s="1"/>
  <c r="BE446" i="20" s="1"/>
  <c r="BF446" i="20" s="1"/>
  <c r="BG446" i="20" s="1"/>
  <c r="AM672" i="20"/>
  <c r="AN672" i="20" s="1"/>
  <c r="AO672" i="20" s="1"/>
  <c r="AP672" i="20" s="1"/>
  <c r="AQ672" i="20" s="1"/>
  <c r="AR672" i="20" s="1"/>
  <c r="AS672" i="20" s="1"/>
  <c r="AT672" i="20" s="1"/>
  <c r="AU672" i="20" s="1"/>
  <c r="AV672" i="20" s="1"/>
  <c r="AW672" i="20" s="1"/>
  <c r="AX672" i="20" s="1"/>
  <c r="AY672" i="20" s="1"/>
  <c r="AZ672" i="20" s="1"/>
  <c r="BA672" i="20" s="1"/>
  <c r="BB672" i="20" s="1"/>
  <c r="BC672" i="20" s="1"/>
  <c r="BD672" i="20" s="1"/>
  <c r="BE672" i="20" s="1"/>
  <c r="BF672" i="20" s="1"/>
  <c r="BG672" i="20" s="1"/>
  <c r="BH672" i="20" s="1"/>
  <c r="BI672" i="20" s="1"/>
  <c r="BJ672" i="20" s="1"/>
  <c r="BK672" i="20" s="1"/>
  <c r="BL672" i="20" s="1"/>
  <c r="BM672" i="20" s="1"/>
  <c r="BN672" i="20" s="1"/>
  <c r="AM650" i="20"/>
  <c r="AN650" i="20" s="1"/>
  <c r="AO650" i="20" s="1"/>
  <c r="AP650" i="20" s="1"/>
  <c r="AQ650" i="20" s="1"/>
  <c r="AR650" i="20" s="1"/>
  <c r="AS650" i="20" s="1"/>
  <c r="AT650" i="20" s="1"/>
  <c r="AU650" i="20" s="1"/>
  <c r="AV650" i="20" s="1"/>
  <c r="AW650" i="20" s="1"/>
  <c r="AX650" i="20" s="1"/>
  <c r="AY650" i="20" s="1"/>
  <c r="AZ650" i="20" s="1"/>
  <c r="BA650" i="20" s="1"/>
  <c r="BB650" i="20" s="1"/>
  <c r="BC650" i="20" s="1"/>
  <c r="BD650" i="20" s="1"/>
  <c r="BE650" i="20" s="1"/>
  <c r="BF650" i="20" s="1"/>
  <c r="BG650" i="20" s="1"/>
  <c r="BH650" i="20" s="1"/>
  <c r="BI650" i="20" s="1"/>
  <c r="BJ650" i="20" s="1"/>
  <c r="BK650" i="20" s="1"/>
  <c r="BL650" i="20" s="1"/>
  <c r="BM650" i="20" s="1"/>
  <c r="BN650" i="20" s="1"/>
  <c r="AM745" i="20"/>
  <c r="AN745" i="20" s="1"/>
  <c r="AO745" i="20" s="1"/>
  <c r="AP745" i="20" s="1"/>
  <c r="AQ745" i="20" s="1"/>
  <c r="AR745" i="20" s="1"/>
  <c r="AS745" i="20" s="1"/>
  <c r="AT745" i="20" s="1"/>
  <c r="AU745" i="20" s="1"/>
  <c r="AV745" i="20" s="1"/>
  <c r="AW745" i="20" s="1"/>
  <c r="AX745" i="20" s="1"/>
  <c r="AY745" i="20" s="1"/>
  <c r="AZ745" i="20" s="1"/>
  <c r="BA745" i="20" s="1"/>
  <c r="BB745" i="20" s="1"/>
  <c r="BC745" i="20" s="1"/>
  <c r="BD745" i="20" s="1"/>
  <c r="BE745" i="20" s="1"/>
  <c r="BF745" i="20" s="1"/>
  <c r="BG745" i="20" s="1"/>
  <c r="BH745" i="20" s="1"/>
  <c r="BI745" i="20" s="1"/>
  <c r="BJ745" i="20" s="1"/>
  <c r="BK745" i="20" s="1"/>
  <c r="BL745" i="20" s="1"/>
  <c r="BM745" i="20" s="1"/>
  <c r="BN745" i="20" s="1"/>
  <c r="AM834" i="20"/>
  <c r="AM919" i="20" s="1"/>
  <c r="AT313" i="20"/>
  <c r="AU313" i="20" s="1"/>
  <c r="AT460" i="20"/>
  <c r="AU460" i="20" s="1"/>
  <c r="AV460" i="20" s="1"/>
  <c r="AW460" i="20" s="1"/>
  <c r="AX460" i="20" s="1"/>
  <c r="AY460" i="20" s="1"/>
  <c r="AZ460" i="20" s="1"/>
  <c r="BA460" i="20" s="1"/>
  <c r="BB460" i="20" s="1"/>
  <c r="BC460" i="20" s="1"/>
  <c r="BD460" i="20" s="1"/>
  <c r="BE460" i="20" s="1"/>
  <c r="BF460" i="20" s="1"/>
  <c r="BG460" i="20" s="1"/>
  <c r="AT450" i="20"/>
  <c r="AU450" i="20" s="1"/>
  <c r="AV450" i="20" s="1"/>
  <c r="AW450" i="20" s="1"/>
  <c r="AX450" i="20" s="1"/>
  <c r="AY450" i="20" s="1"/>
  <c r="AZ450" i="20" s="1"/>
  <c r="BA450" i="20" s="1"/>
  <c r="BB450" i="20" s="1"/>
  <c r="BC450" i="20" s="1"/>
  <c r="BD450" i="20" s="1"/>
  <c r="BE450" i="20" s="1"/>
  <c r="BF450" i="20" s="1"/>
  <c r="BG450" i="20" s="1"/>
  <c r="AM654" i="20"/>
  <c r="AN654" i="20" s="1"/>
  <c r="AO654" i="20" s="1"/>
  <c r="AP654" i="20" s="1"/>
  <c r="AQ654" i="20" s="1"/>
  <c r="AR654" i="20" s="1"/>
  <c r="AS654" i="20" s="1"/>
  <c r="AT654" i="20" s="1"/>
  <c r="AU654" i="20" s="1"/>
  <c r="AV654" i="20" s="1"/>
  <c r="AW654" i="20" s="1"/>
  <c r="AX654" i="20" s="1"/>
  <c r="AY654" i="20" s="1"/>
  <c r="AZ654" i="20" s="1"/>
  <c r="BA654" i="20" s="1"/>
  <c r="BB654" i="20" s="1"/>
  <c r="BC654" i="20" s="1"/>
  <c r="BD654" i="20" s="1"/>
  <c r="BE654" i="20" s="1"/>
  <c r="BF654" i="20" s="1"/>
  <c r="BG654" i="20" s="1"/>
  <c r="BH654" i="20" s="1"/>
  <c r="BI654" i="20" s="1"/>
  <c r="BJ654" i="20" s="1"/>
  <c r="BK654" i="20" s="1"/>
  <c r="BL654" i="20" s="1"/>
  <c r="BM654" i="20" s="1"/>
  <c r="BN654" i="20" s="1"/>
  <c r="AM749" i="20"/>
  <c r="AN749" i="20" s="1"/>
  <c r="AO749" i="20" s="1"/>
  <c r="AP749" i="20" s="1"/>
  <c r="AQ749" i="20" s="1"/>
  <c r="AR749" i="20" s="1"/>
  <c r="AS749" i="20" s="1"/>
  <c r="AT749" i="20" s="1"/>
  <c r="AU749" i="20" s="1"/>
  <c r="AV749" i="20" s="1"/>
  <c r="AW749" i="20" s="1"/>
  <c r="AX749" i="20" s="1"/>
  <c r="AY749" i="20" s="1"/>
  <c r="AZ749" i="20" s="1"/>
  <c r="BA749" i="20" s="1"/>
  <c r="BB749" i="20" s="1"/>
  <c r="BC749" i="20" s="1"/>
  <c r="BD749" i="20" s="1"/>
  <c r="BE749" i="20" s="1"/>
  <c r="BF749" i="20" s="1"/>
  <c r="BG749" i="20" s="1"/>
  <c r="BH749" i="20" s="1"/>
  <c r="BI749" i="20" s="1"/>
  <c r="BJ749" i="20" s="1"/>
  <c r="BK749" i="20" s="1"/>
  <c r="BL749" i="20" s="1"/>
  <c r="BM749" i="20" s="1"/>
  <c r="BN749" i="20" s="1"/>
  <c r="AM827" i="20"/>
  <c r="AN827" i="20" s="1"/>
  <c r="AO827" i="20" s="1"/>
  <c r="AP827" i="20" s="1"/>
  <c r="AQ827" i="20" s="1"/>
  <c r="AR827" i="20" s="1"/>
  <c r="AS827" i="20" s="1"/>
  <c r="AT827" i="20" s="1"/>
  <c r="AU827" i="20" s="1"/>
  <c r="AV827" i="20" s="1"/>
  <c r="AW827" i="20" s="1"/>
  <c r="AX827" i="20" s="1"/>
  <c r="AY827" i="20" s="1"/>
  <c r="AZ827" i="20" s="1"/>
  <c r="BA827" i="20" s="1"/>
  <c r="BB827" i="20" s="1"/>
  <c r="BC827" i="20" s="1"/>
  <c r="BD827" i="20" s="1"/>
  <c r="BE827" i="20" s="1"/>
  <c r="BF827" i="20" s="1"/>
  <c r="BG827" i="20" s="1"/>
  <c r="BH827" i="20" s="1"/>
  <c r="BI827" i="20" s="1"/>
  <c r="BJ827" i="20" s="1"/>
  <c r="BK827" i="20" s="1"/>
  <c r="BL827" i="20" s="1"/>
  <c r="BM827" i="20" s="1"/>
  <c r="BN827" i="20" s="1"/>
  <c r="AM838" i="20"/>
  <c r="AN838" i="20" s="1"/>
  <c r="AO838" i="20" s="1"/>
  <c r="AP838" i="20" s="1"/>
  <c r="AQ838" i="20" s="1"/>
  <c r="AR838" i="20" s="1"/>
  <c r="AS838" i="20" s="1"/>
  <c r="AT838" i="20" s="1"/>
  <c r="AU838" i="20" s="1"/>
  <c r="AV838" i="20" s="1"/>
  <c r="AW838" i="20" s="1"/>
  <c r="AX838" i="20" s="1"/>
  <c r="AY838" i="20" s="1"/>
  <c r="AZ838" i="20" s="1"/>
  <c r="BA838" i="20" s="1"/>
  <c r="BB838" i="20" s="1"/>
  <c r="BC838" i="20" s="1"/>
  <c r="BD838" i="20" s="1"/>
  <c r="BE838" i="20" s="1"/>
  <c r="BF838" i="20" s="1"/>
  <c r="BG838" i="20" s="1"/>
  <c r="BH838" i="20" s="1"/>
  <c r="BI838" i="20" s="1"/>
  <c r="BJ838" i="20" s="1"/>
  <c r="BK838" i="20" s="1"/>
  <c r="BL838" i="20" s="1"/>
  <c r="BM838" i="20" s="1"/>
  <c r="AT258" i="20"/>
  <c r="AU258" i="20" s="1"/>
  <c r="AV258" i="20" s="1"/>
  <c r="AW258" i="20" s="1"/>
  <c r="AX258" i="20" s="1"/>
  <c r="AY258" i="20" s="1"/>
  <c r="AZ258" i="20" s="1"/>
  <c r="BA258" i="20" s="1"/>
  <c r="BB258" i="20" s="1"/>
  <c r="BC258" i="20" s="1"/>
  <c r="BF516" i="20"/>
  <c r="AO211" i="20"/>
  <c r="AO213" i="20"/>
  <c r="AO209" i="20"/>
  <c r="AO215" i="20"/>
  <c r="AO212" i="20"/>
  <c r="AO214" i="20"/>
  <c r="AO210" i="20"/>
  <c r="AP137" i="20"/>
  <c r="AQ137" i="20" s="1"/>
  <c r="AN945" i="20"/>
  <c r="AO804" i="20"/>
  <c r="AM145" i="20"/>
  <c r="AM147" i="20"/>
  <c r="AM144" i="20"/>
  <c r="AM150" i="20"/>
  <c r="AM149" i="20"/>
  <c r="AM146" i="20"/>
  <c r="AM148" i="20"/>
  <c r="AN132" i="20"/>
  <c r="AY881" i="20"/>
  <c r="AZ288" i="20"/>
  <c r="AM185" i="20"/>
  <c r="AM189" i="20"/>
  <c r="AM188" i="20"/>
  <c r="AM186" i="20"/>
  <c r="AM183" i="20"/>
  <c r="AM187" i="20"/>
  <c r="AM184" i="20"/>
  <c r="AL161" i="20"/>
  <c r="AL163" i="20"/>
  <c r="AL160" i="20"/>
  <c r="AL158" i="20"/>
  <c r="AL157" i="20"/>
  <c r="AL159" i="20"/>
  <c r="AL162" i="20"/>
  <c r="AL58" i="20"/>
  <c r="AM55" i="20"/>
  <c r="AM57" i="20"/>
  <c r="AM56" i="20"/>
  <c r="AL263" i="20"/>
  <c r="AL856" i="20" s="1"/>
  <c r="AM255" i="20"/>
  <c r="AT417" i="20"/>
  <c r="AU417" i="20" s="1"/>
  <c r="AV417" i="20" s="1"/>
  <c r="AW417" i="20" s="1"/>
  <c r="AX417" i="20" s="1"/>
  <c r="AY417" i="20" s="1"/>
  <c r="AZ417" i="20" s="1"/>
  <c r="BA417" i="20" s="1"/>
  <c r="BB417" i="20" s="1"/>
  <c r="BC417" i="20" s="1"/>
  <c r="BD417" i="20" s="1"/>
  <c r="BE417" i="20" s="1"/>
  <c r="BF417" i="20" s="1"/>
  <c r="BG417" i="20" s="1"/>
  <c r="AM920" i="20"/>
  <c r="AN779" i="20"/>
  <c r="AM210" i="20"/>
  <c r="AM214" i="20"/>
  <c r="AM213" i="20"/>
  <c r="AM211" i="20"/>
  <c r="AM215" i="20"/>
  <c r="AM212" i="20"/>
  <c r="AM209" i="20"/>
  <c r="AL176" i="20"/>
  <c r="AL174" i="20"/>
  <c r="AL173" i="20"/>
  <c r="AL171" i="20"/>
  <c r="AL172" i="20"/>
  <c r="AL170" i="20"/>
  <c r="AL175" i="20"/>
  <c r="AO801" i="20"/>
  <c r="AN916" i="20"/>
  <c r="AL96" i="20"/>
  <c r="AM95" i="20"/>
  <c r="AM93" i="20"/>
  <c r="AM94" i="20"/>
  <c r="AM616" i="20"/>
  <c r="AN616" i="20" s="1"/>
  <c r="AO616" i="20" s="1"/>
  <c r="AP616" i="20" s="1"/>
  <c r="AQ616" i="20" s="1"/>
  <c r="AR616" i="20" s="1"/>
  <c r="AS616" i="20" s="1"/>
  <c r="AT616" i="20" s="1"/>
  <c r="AU616" i="20" s="1"/>
  <c r="AV616" i="20" s="1"/>
  <c r="AW616" i="20" s="1"/>
  <c r="AX616" i="20" s="1"/>
  <c r="AY616" i="20" s="1"/>
  <c r="AZ616" i="20" s="1"/>
  <c r="BA616" i="20" s="1"/>
  <c r="BB616" i="20" s="1"/>
  <c r="BC616" i="20" s="1"/>
  <c r="BD616" i="20" s="1"/>
  <c r="BE616" i="20" s="1"/>
  <c r="BF616" i="20" s="1"/>
  <c r="BG616" i="20" s="1"/>
  <c r="BH616" i="20" s="1"/>
  <c r="BI616" i="20" s="1"/>
  <c r="BJ616" i="20" s="1"/>
  <c r="BK616" i="20" s="1"/>
  <c r="BL616" i="20" s="1"/>
  <c r="BM616" i="20" s="1"/>
  <c r="BN616" i="20" s="1"/>
  <c r="AM789" i="20"/>
  <c r="AN789" i="20" s="1"/>
  <c r="AO789" i="20" s="1"/>
  <c r="AP789" i="20" s="1"/>
  <c r="AQ789" i="20" s="1"/>
  <c r="AR789" i="20" s="1"/>
  <c r="AS789" i="20" s="1"/>
  <c r="AT789" i="20" s="1"/>
  <c r="AU789" i="20" s="1"/>
  <c r="AV789" i="20" s="1"/>
  <c r="AW789" i="20" s="1"/>
  <c r="AX789" i="20" s="1"/>
  <c r="AY789" i="20" s="1"/>
  <c r="AZ789" i="20" s="1"/>
  <c r="BA789" i="20" s="1"/>
  <c r="BB789" i="20" s="1"/>
  <c r="BC789" i="20" s="1"/>
  <c r="BD789" i="20" s="1"/>
  <c r="BE789" i="20" s="1"/>
  <c r="BF789" i="20" s="1"/>
  <c r="BG789" i="20" s="1"/>
  <c r="BH789" i="20" s="1"/>
  <c r="BI789" i="20" s="1"/>
  <c r="BJ789" i="20" s="1"/>
  <c r="BK789" i="20" s="1"/>
  <c r="BL789" i="20" s="1"/>
  <c r="BM789" i="20" s="1"/>
  <c r="BN789" i="20" s="1"/>
  <c r="AM744" i="20"/>
  <c r="AN744" i="20" s="1"/>
  <c r="AO744" i="20" s="1"/>
  <c r="AP744" i="20" s="1"/>
  <c r="AQ744" i="20" s="1"/>
  <c r="AR744" i="20" s="1"/>
  <c r="AS744" i="20" s="1"/>
  <c r="AT744" i="20" s="1"/>
  <c r="AU744" i="20" s="1"/>
  <c r="AV744" i="20" s="1"/>
  <c r="AW744" i="20" s="1"/>
  <c r="AX744" i="20" s="1"/>
  <c r="AY744" i="20" s="1"/>
  <c r="AZ744" i="20" s="1"/>
  <c r="BA744" i="20" s="1"/>
  <c r="BB744" i="20" s="1"/>
  <c r="BC744" i="20" s="1"/>
  <c r="BD744" i="20" s="1"/>
  <c r="BE744" i="20" s="1"/>
  <c r="BF744" i="20" s="1"/>
  <c r="BG744" i="20" s="1"/>
  <c r="BH744" i="20" s="1"/>
  <c r="BI744" i="20" s="1"/>
  <c r="BJ744" i="20" s="1"/>
  <c r="BK744" i="20" s="1"/>
  <c r="BL744" i="20" s="1"/>
  <c r="BM744" i="20" s="1"/>
  <c r="BN744" i="20" s="1"/>
  <c r="AN631" i="20"/>
  <c r="AM933" i="20"/>
  <c r="AM770" i="20"/>
  <c r="AN770" i="20" s="1"/>
  <c r="AO770" i="20" s="1"/>
  <c r="AP770" i="20" s="1"/>
  <c r="AQ770" i="20" s="1"/>
  <c r="AR770" i="20" s="1"/>
  <c r="AS770" i="20" s="1"/>
  <c r="AT770" i="20" s="1"/>
  <c r="AU770" i="20" s="1"/>
  <c r="AV770" i="20" s="1"/>
  <c r="AW770" i="20" s="1"/>
  <c r="AX770" i="20" s="1"/>
  <c r="AY770" i="20" s="1"/>
  <c r="AZ770" i="20" s="1"/>
  <c r="BA770" i="20" s="1"/>
  <c r="BB770" i="20" s="1"/>
  <c r="BC770" i="20" s="1"/>
  <c r="BD770" i="20" s="1"/>
  <c r="BE770" i="20" s="1"/>
  <c r="BF770" i="20" s="1"/>
  <c r="BG770" i="20" s="1"/>
  <c r="BH770" i="20" s="1"/>
  <c r="BI770" i="20" s="1"/>
  <c r="BJ770" i="20" s="1"/>
  <c r="BK770" i="20" s="1"/>
  <c r="BL770" i="20" s="1"/>
  <c r="BM770" i="20" s="1"/>
  <c r="BN770" i="20" s="1"/>
  <c r="AT299" i="20"/>
  <c r="AU299" i="20" s="1"/>
  <c r="AV299" i="20" s="1"/>
  <c r="AW299" i="20" s="1"/>
  <c r="AX299" i="20" s="1"/>
  <c r="AY299" i="20" s="1"/>
  <c r="AZ299" i="20" s="1"/>
  <c r="BA299" i="20" s="1"/>
  <c r="BB299" i="20" s="1"/>
  <c r="BC299" i="20" s="1"/>
  <c r="BD299" i="20" s="1"/>
  <c r="BE299" i="20" s="1"/>
  <c r="BF299" i="20" s="1"/>
  <c r="BG299" i="20" s="1"/>
  <c r="BH299" i="20" s="1"/>
  <c r="BI299" i="20" s="1"/>
  <c r="BJ299" i="20" s="1"/>
  <c r="BK299" i="20" s="1"/>
  <c r="BL299" i="20" s="1"/>
  <c r="BM299" i="20" s="1"/>
  <c r="BN299" i="20" s="1"/>
  <c r="AT329" i="20"/>
  <c r="AU329" i="20" s="1"/>
  <c r="AV329" i="20" s="1"/>
  <c r="AW329" i="20" s="1"/>
  <c r="AX329" i="20" s="1"/>
  <c r="AY329" i="20" s="1"/>
  <c r="AZ329" i="20" s="1"/>
  <c r="BA329" i="20" s="1"/>
  <c r="BB329" i="20" s="1"/>
  <c r="BC329" i="20" s="1"/>
  <c r="BD329" i="20" s="1"/>
  <c r="BE329" i="20" s="1"/>
  <c r="BF329" i="20" s="1"/>
  <c r="BG329" i="20" s="1"/>
  <c r="BH329" i="20" s="1"/>
  <c r="BI329" i="20" s="1"/>
  <c r="BJ329" i="20" s="1"/>
  <c r="BK329" i="20" s="1"/>
  <c r="BL329" i="20" s="1"/>
  <c r="BM329" i="20" s="1"/>
  <c r="BN329" i="20" s="1"/>
  <c r="AT436" i="20"/>
  <c r="AU436" i="20" s="1"/>
  <c r="AV436" i="20" s="1"/>
  <c r="AW436" i="20" s="1"/>
  <c r="AX436" i="20" s="1"/>
  <c r="AY436" i="20" s="1"/>
  <c r="AZ436" i="20" s="1"/>
  <c r="BA436" i="20" s="1"/>
  <c r="BB436" i="20" s="1"/>
  <c r="BC436" i="20" s="1"/>
  <c r="BD436" i="20" s="1"/>
  <c r="BE436" i="20" s="1"/>
  <c r="BF436" i="20" s="1"/>
  <c r="BG436" i="20" s="1"/>
  <c r="AM778" i="20"/>
  <c r="AN778" i="20" s="1"/>
  <c r="AO778" i="20" s="1"/>
  <c r="AP778" i="20" s="1"/>
  <c r="AQ778" i="20" s="1"/>
  <c r="AR778" i="20" s="1"/>
  <c r="AS778" i="20" s="1"/>
  <c r="AT778" i="20" s="1"/>
  <c r="AU778" i="20" s="1"/>
  <c r="AV778" i="20" s="1"/>
  <c r="AW778" i="20" s="1"/>
  <c r="AX778" i="20" s="1"/>
  <c r="AY778" i="20" s="1"/>
  <c r="AZ778" i="20" s="1"/>
  <c r="BA778" i="20" s="1"/>
  <c r="BB778" i="20" s="1"/>
  <c r="BC778" i="20" s="1"/>
  <c r="BD778" i="20" s="1"/>
  <c r="BE778" i="20" s="1"/>
  <c r="BF778" i="20" s="1"/>
  <c r="BG778" i="20" s="1"/>
  <c r="BH778" i="20" s="1"/>
  <c r="BI778" i="20" s="1"/>
  <c r="BJ778" i="20" s="1"/>
  <c r="BK778" i="20" s="1"/>
  <c r="BL778" i="20" s="1"/>
  <c r="BM778" i="20" s="1"/>
  <c r="BN778" i="20" s="1"/>
  <c r="AM767" i="20"/>
  <c r="AN767" i="20" s="1"/>
  <c r="AO767" i="20" s="1"/>
  <c r="AP767" i="20" s="1"/>
  <c r="AQ767" i="20" s="1"/>
  <c r="AR767" i="20" s="1"/>
  <c r="AS767" i="20" s="1"/>
  <c r="AT767" i="20" s="1"/>
  <c r="AU767" i="20" s="1"/>
  <c r="AV767" i="20" s="1"/>
  <c r="AW767" i="20" s="1"/>
  <c r="AX767" i="20" s="1"/>
  <c r="AY767" i="20" s="1"/>
  <c r="AZ767" i="20" s="1"/>
  <c r="BA767" i="20" s="1"/>
  <c r="BB767" i="20" s="1"/>
  <c r="BC767" i="20" s="1"/>
  <c r="BD767" i="20" s="1"/>
  <c r="BE767" i="20" s="1"/>
  <c r="BF767" i="20" s="1"/>
  <c r="BG767" i="20" s="1"/>
  <c r="BH767" i="20" s="1"/>
  <c r="BI767" i="20" s="1"/>
  <c r="BJ767" i="20" s="1"/>
  <c r="BK767" i="20" s="1"/>
  <c r="BL767" i="20" s="1"/>
  <c r="BM767" i="20" s="1"/>
  <c r="BN767" i="20" s="1"/>
  <c r="AM845" i="20"/>
  <c r="AN845" i="20" s="1"/>
  <c r="AO845" i="20" s="1"/>
  <c r="AP845" i="20" s="1"/>
  <c r="AQ845" i="20" s="1"/>
  <c r="AR845" i="20" s="1"/>
  <c r="AS845" i="20" s="1"/>
  <c r="AT845" i="20" s="1"/>
  <c r="AU845" i="20" s="1"/>
  <c r="AV845" i="20" s="1"/>
  <c r="AW845" i="20" s="1"/>
  <c r="AX845" i="20" s="1"/>
  <c r="AY845" i="20" s="1"/>
  <c r="AZ845" i="20" s="1"/>
  <c r="BA845" i="20" s="1"/>
  <c r="BB845" i="20" s="1"/>
  <c r="BC845" i="20" s="1"/>
  <c r="BD845" i="20" s="1"/>
  <c r="BE845" i="20" s="1"/>
  <c r="BF845" i="20" s="1"/>
  <c r="BG845" i="20" s="1"/>
  <c r="BH845" i="20" s="1"/>
  <c r="BI845" i="20" s="1"/>
  <c r="BJ845" i="20" s="1"/>
  <c r="BK845" i="20" s="1"/>
  <c r="BL845" i="20" s="1"/>
  <c r="BM845" i="20" s="1"/>
  <c r="BN845" i="20" s="1"/>
  <c r="AT303" i="20"/>
  <c r="AU303" i="20" s="1"/>
  <c r="AV303" i="20" s="1"/>
  <c r="AW303" i="20" s="1"/>
  <c r="AX303" i="20" s="1"/>
  <c r="AY303" i="20" s="1"/>
  <c r="AZ303" i="20" s="1"/>
  <c r="BA303" i="20" s="1"/>
  <c r="BB303" i="20" s="1"/>
  <c r="BC303" i="20" s="1"/>
  <c r="BD303" i="20" s="1"/>
  <c r="BE303" i="20" s="1"/>
  <c r="BF303" i="20" s="1"/>
  <c r="BG303" i="20" s="1"/>
  <c r="BH303" i="20" s="1"/>
  <c r="BI303" i="20" s="1"/>
  <c r="BJ303" i="20" s="1"/>
  <c r="BK303" i="20" s="1"/>
  <c r="BL303" i="20" s="1"/>
  <c r="BM303" i="20" s="1"/>
  <c r="BN303" i="20" s="1"/>
  <c r="AT333" i="20"/>
  <c r="AU333" i="20" s="1"/>
  <c r="AV333" i="20" s="1"/>
  <c r="AW333" i="20" s="1"/>
  <c r="AX333" i="20" s="1"/>
  <c r="AY333" i="20" s="1"/>
  <c r="AZ333" i="20" s="1"/>
  <c r="BA333" i="20" s="1"/>
  <c r="BB333" i="20" s="1"/>
  <c r="BC333" i="20" s="1"/>
  <c r="BD333" i="20" s="1"/>
  <c r="BE333" i="20" s="1"/>
  <c r="BF333" i="20" s="1"/>
  <c r="BG333" i="20" s="1"/>
  <c r="BH333" i="20" s="1"/>
  <c r="BI333" i="20" s="1"/>
  <c r="BJ333" i="20" s="1"/>
  <c r="BK333" i="20" s="1"/>
  <c r="BL333" i="20" s="1"/>
  <c r="BM333" i="20" s="1"/>
  <c r="BN333" i="20" s="1"/>
  <c r="AT470" i="20"/>
  <c r="AU470" i="20" s="1"/>
  <c r="AV470" i="20" s="1"/>
  <c r="AW470" i="20" s="1"/>
  <c r="AX470" i="20" s="1"/>
  <c r="AY470" i="20" s="1"/>
  <c r="AZ470" i="20" s="1"/>
  <c r="BA470" i="20" s="1"/>
  <c r="BB470" i="20" s="1"/>
  <c r="BC470" i="20" s="1"/>
  <c r="BD470" i="20" s="1"/>
  <c r="BE470" i="20" s="1"/>
  <c r="BF470" i="20" s="1"/>
  <c r="BG470" i="20" s="1"/>
  <c r="AM794" i="20"/>
  <c r="AN794" i="20" s="1"/>
  <c r="AO794" i="20" s="1"/>
  <c r="AP794" i="20" s="1"/>
  <c r="AQ794" i="20" s="1"/>
  <c r="AR794" i="20" s="1"/>
  <c r="AS794" i="20" s="1"/>
  <c r="AT794" i="20" s="1"/>
  <c r="AU794" i="20" s="1"/>
  <c r="AV794" i="20" s="1"/>
  <c r="AW794" i="20" s="1"/>
  <c r="AX794" i="20" s="1"/>
  <c r="AY794" i="20" s="1"/>
  <c r="AZ794" i="20" s="1"/>
  <c r="BA794" i="20" s="1"/>
  <c r="BB794" i="20" s="1"/>
  <c r="BC794" i="20" s="1"/>
  <c r="BD794" i="20" s="1"/>
  <c r="BE794" i="20" s="1"/>
  <c r="BF794" i="20" s="1"/>
  <c r="BG794" i="20" s="1"/>
  <c r="BH794" i="20" s="1"/>
  <c r="BI794" i="20" s="1"/>
  <c r="BJ794" i="20" s="1"/>
  <c r="BK794" i="20" s="1"/>
  <c r="BL794" i="20" s="1"/>
  <c r="BM794" i="20" s="1"/>
  <c r="BN794" i="20" s="1"/>
  <c r="AM621" i="20"/>
  <c r="AN621" i="20" s="1"/>
  <c r="AO621" i="20" s="1"/>
  <c r="AP621" i="20" s="1"/>
  <c r="AQ621" i="20" s="1"/>
  <c r="AR621" i="20" s="1"/>
  <c r="AS621" i="20" s="1"/>
  <c r="AT621" i="20" s="1"/>
  <c r="AU621" i="20" s="1"/>
  <c r="AV621" i="20" s="1"/>
  <c r="AW621" i="20" s="1"/>
  <c r="AX621" i="20" s="1"/>
  <c r="AY621" i="20" s="1"/>
  <c r="AZ621" i="20" s="1"/>
  <c r="BA621" i="20" s="1"/>
  <c r="BB621" i="20" s="1"/>
  <c r="BC621" i="20" s="1"/>
  <c r="BD621" i="20" s="1"/>
  <c r="BE621" i="20" s="1"/>
  <c r="BF621" i="20" s="1"/>
  <c r="BG621" i="20" s="1"/>
  <c r="BH621" i="20" s="1"/>
  <c r="BI621" i="20" s="1"/>
  <c r="BJ621" i="20" s="1"/>
  <c r="BK621" i="20" s="1"/>
  <c r="BL621" i="20" s="1"/>
  <c r="BM621" i="20" s="1"/>
  <c r="BN621" i="20" s="1"/>
  <c r="AY727" i="20"/>
  <c r="AZ727" i="20" s="1"/>
  <c r="BA727" i="20" s="1"/>
  <c r="BB727" i="20" s="1"/>
  <c r="BC727" i="20" s="1"/>
  <c r="BD727" i="20" s="1"/>
  <c r="BE727" i="20" s="1"/>
  <c r="BF727" i="20" s="1"/>
  <c r="BG727" i="20" s="1"/>
  <c r="BH727" i="20" s="1"/>
  <c r="BI727" i="20" s="1"/>
  <c r="BJ727" i="20" s="1"/>
  <c r="BK727" i="20" s="1"/>
  <c r="BL727" i="20" s="1"/>
  <c r="BM727" i="20" s="1"/>
  <c r="BN727" i="20" s="1"/>
  <c r="AM771" i="20"/>
  <c r="AN771" i="20" s="1"/>
  <c r="AO771" i="20" s="1"/>
  <c r="AP771" i="20" s="1"/>
  <c r="AQ771" i="20" s="1"/>
  <c r="AR771" i="20" s="1"/>
  <c r="AS771" i="20" s="1"/>
  <c r="AT771" i="20" s="1"/>
  <c r="AU771" i="20" s="1"/>
  <c r="AV771" i="20" s="1"/>
  <c r="AW771" i="20" s="1"/>
  <c r="AX771" i="20" s="1"/>
  <c r="AY771" i="20" s="1"/>
  <c r="AZ771" i="20" s="1"/>
  <c r="BA771" i="20" s="1"/>
  <c r="BB771" i="20" s="1"/>
  <c r="BC771" i="20" s="1"/>
  <c r="BD771" i="20" s="1"/>
  <c r="BE771" i="20" s="1"/>
  <c r="BF771" i="20" s="1"/>
  <c r="BG771" i="20" s="1"/>
  <c r="BH771" i="20" s="1"/>
  <c r="BI771" i="20" s="1"/>
  <c r="BJ771" i="20" s="1"/>
  <c r="BK771" i="20" s="1"/>
  <c r="BL771" i="20" s="1"/>
  <c r="BM771" i="20" s="1"/>
  <c r="BN771" i="20" s="1"/>
  <c r="AM849" i="20"/>
  <c r="AN849" i="20" s="1"/>
  <c r="AO849" i="20" s="1"/>
  <c r="AP849" i="20" s="1"/>
  <c r="AQ849" i="20" s="1"/>
  <c r="AR849" i="20" s="1"/>
  <c r="AS849" i="20" s="1"/>
  <c r="AT849" i="20" s="1"/>
  <c r="AU849" i="20" s="1"/>
  <c r="AV849" i="20" s="1"/>
  <c r="AW849" i="20" s="1"/>
  <c r="AX849" i="20" s="1"/>
  <c r="AY849" i="20" s="1"/>
  <c r="AZ849" i="20" s="1"/>
  <c r="BA849" i="20" s="1"/>
  <c r="BB849" i="20" s="1"/>
  <c r="BC849" i="20" s="1"/>
  <c r="BD849" i="20" s="1"/>
  <c r="BE849" i="20" s="1"/>
  <c r="BF849" i="20" s="1"/>
  <c r="BG849" i="20" s="1"/>
  <c r="BH849" i="20" s="1"/>
  <c r="BI849" i="20" s="1"/>
  <c r="BJ849" i="20" s="1"/>
  <c r="BK849" i="20" s="1"/>
  <c r="BL849" i="20" s="1"/>
  <c r="BM849" i="20" s="1"/>
  <c r="BN849" i="20" s="1"/>
  <c r="AM38" i="20"/>
  <c r="AT256" i="20"/>
  <c r="AU256" i="20" s="1"/>
  <c r="AV256" i="20" s="1"/>
  <c r="AW256" i="20" s="1"/>
  <c r="AX256" i="20" s="1"/>
  <c r="AY256" i="20" s="1"/>
  <c r="AZ256" i="20" s="1"/>
  <c r="BA256" i="20" s="1"/>
  <c r="BB256" i="20" s="1"/>
  <c r="BC256" i="20" s="1"/>
  <c r="BD256" i="20" s="1"/>
  <c r="AN201" i="20"/>
  <c r="AN200" i="20"/>
  <c r="AN199" i="20"/>
  <c r="AN202" i="20"/>
  <c r="AN196" i="20"/>
  <c r="AN198" i="20"/>
  <c r="AN197" i="20"/>
  <c r="AL148" i="20"/>
  <c r="AL150" i="20"/>
  <c r="AL138" i="20"/>
  <c r="AL149" i="20"/>
  <c r="AL147" i="20"/>
  <c r="AL144" i="20"/>
  <c r="AL146" i="20"/>
  <c r="AL145" i="20"/>
  <c r="AO136" i="20"/>
  <c r="AN210" i="20"/>
  <c r="AN214" i="20"/>
  <c r="AN211" i="20"/>
  <c r="AN215" i="20"/>
  <c r="AN212" i="20"/>
  <c r="AN213" i="20"/>
  <c r="AN209" i="20"/>
  <c r="AM173" i="20"/>
  <c r="AM176" i="20"/>
  <c r="AM170" i="20"/>
  <c r="AM174" i="20"/>
  <c r="AM171" i="20"/>
  <c r="AM175" i="20"/>
  <c r="AM172" i="20"/>
  <c r="AM198" i="20"/>
  <c r="AM200" i="20"/>
  <c r="AM197" i="20"/>
  <c r="AM199" i="20"/>
  <c r="AM201" i="20"/>
  <c r="AM202" i="20"/>
  <c r="AM196" i="20"/>
  <c r="AL186" i="20"/>
  <c r="AL184" i="20"/>
  <c r="AL183" i="20"/>
  <c r="AL189" i="20"/>
  <c r="AL187" i="20"/>
  <c r="AL185" i="20"/>
  <c r="AL188" i="20"/>
  <c r="AT322" i="20"/>
  <c r="AU322" i="20" s="1"/>
  <c r="AV322" i="20" s="1"/>
  <c r="AW322" i="20" s="1"/>
  <c r="AX322" i="20" s="1"/>
  <c r="AY322" i="20" s="1"/>
  <c r="AZ322" i="20" s="1"/>
  <c r="BA322" i="20" s="1"/>
  <c r="BB322" i="20" s="1"/>
  <c r="BC322" i="20" s="1"/>
  <c r="BD322" i="20" s="1"/>
  <c r="BE322" i="20" s="1"/>
  <c r="BF322" i="20" s="1"/>
  <c r="BG322" i="20" s="1"/>
  <c r="BH322" i="20" s="1"/>
  <c r="BI322" i="20" s="1"/>
  <c r="BJ322" i="20" s="1"/>
  <c r="BK322" i="20" s="1"/>
  <c r="BL322" i="20" s="1"/>
  <c r="BM322" i="20" s="1"/>
  <c r="BN322" i="20" s="1"/>
  <c r="AT352" i="20"/>
  <c r="AU352" i="20" s="1"/>
  <c r="AV352" i="20" s="1"/>
  <c r="AW352" i="20" s="1"/>
  <c r="AX352" i="20" s="1"/>
  <c r="AY352" i="20" s="1"/>
  <c r="AZ352" i="20" s="1"/>
  <c r="BA352" i="20" s="1"/>
  <c r="BB352" i="20" s="1"/>
  <c r="BC352" i="20" s="1"/>
  <c r="BD352" i="20" s="1"/>
  <c r="BE352" i="20" s="1"/>
  <c r="BF352" i="20" s="1"/>
  <c r="BG352" i="20" s="1"/>
  <c r="BH352" i="20" s="1"/>
  <c r="BI352" i="20" s="1"/>
  <c r="BJ352" i="20" s="1"/>
  <c r="BK352" i="20" s="1"/>
  <c r="BL352" i="20" s="1"/>
  <c r="BM352" i="20" s="1"/>
  <c r="BN352" i="20" s="1"/>
  <c r="AM653" i="20"/>
  <c r="AN653" i="20" s="1"/>
  <c r="AO653" i="20" s="1"/>
  <c r="AP653" i="20" s="1"/>
  <c r="AQ653" i="20" s="1"/>
  <c r="AR653" i="20" s="1"/>
  <c r="AS653" i="20" s="1"/>
  <c r="AT653" i="20" s="1"/>
  <c r="AU653" i="20" s="1"/>
  <c r="AV653" i="20" s="1"/>
  <c r="AW653" i="20" s="1"/>
  <c r="AX653" i="20" s="1"/>
  <c r="AY653" i="20" s="1"/>
  <c r="AZ653" i="20" s="1"/>
  <c r="BA653" i="20" s="1"/>
  <c r="BB653" i="20" s="1"/>
  <c r="BC653" i="20" s="1"/>
  <c r="BD653" i="20" s="1"/>
  <c r="BE653" i="20" s="1"/>
  <c r="BF653" i="20" s="1"/>
  <c r="BG653" i="20" s="1"/>
  <c r="BH653" i="20" s="1"/>
  <c r="BI653" i="20" s="1"/>
  <c r="BJ653" i="20" s="1"/>
  <c r="BK653" i="20" s="1"/>
  <c r="BL653" i="20" s="1"/>
  <c r="BM653" i="20" s="1"/>
  <c r="BN653" i="20" s="1"/>
  <c r="AM781" i="20"/>
  <c r="AN781" i="20" s="1"/>
  <c r="AO781" i="20" s="1"/>
  <c r="AP781" i="20" s="1"/>
  <c r="AQ781" i="20" s="1"/>
  <c r="AR781" i="20" s="1"/>
  <c r="AS781" i="20" s="1"/>
  <c r="AT781" i="20" s="1"/>
  <c r="AU781" i="20" s="1"/>
  <c r="AV781" i="20" s="1"/>
  <c r="AW781" i="20" s="1"/>
  <c r="AX781" i="20" s="1"/>
  <c r="AY781" i="20" s="1"/>
  <c r="AZ781" i="20" s="1"/>
  <c r="BA781" i="20" s="1"/>
  <c r="BB781" i="20" s="1"/>
  <c r="BC781" i="20" s="1"/>
  <c r="BD781" i="20" s="1"/>
  <c r="BE781" i="20" s="1"/>
  <c r="BF781" i="20" s="1"/>
  <c r="BG781" i="20" s="1"/>
  <c r="BH781" i="20" s="1"/>
  <c r="BI781" i="20" s="1"/>
  <c r="BJ781" i="20" s="1"/>
  <c r="BK781" i="20" s="1"/>
  <c r="BL781" i="20" s="1"/>
  <c r="BM781" i="20" s="1"/>
  <c r="BN781" i="20" s="1"/>
  <c r="AM941" i="20"/>
  <c r="AN826" i="20"/>
  <c r="AT319" i="20"/>
  <c r="AU319" i="20" s="1"/>
  <c r="AV319" i="20" s="1"/>
  <c r="AW319" i="20" s="1"/>
  <c r="AX319" i="20" s="1"/>
  <c r="AY319" i="20" s="1"/>
  <c r="AZ319" i="20" s="1"/>
  <c r="BA319" i="20" s="1"/>
  <c r="BB319" i="20" s="1"/>
  <c r="BC319" i="20" s="1"/>
  <c r="BD319" i="20" s="1"/>
  <c r="BE319" i="20" s="1"/>
  <c r="BF319" i="20" s="1"/>
  <c r="BG319" i="20" s="1"/>
  <c r="BH319" i="20" s="1"/>
  <c r="BI319" i="20" s="1"/>
  <c r="BJ319" i="20" s="1"/>
  <c r="BK319" i="20" s="1"/>
  <c r="BL319" i="20" s="1"/>
  <c r="BM319" i="20" s="1"/>
  <c r="BN319" i="20" s="1"/>
  <c r="AT349" i="20"/>
  <c r="AU349" i="20" s="1"/>
  <c r="AV349" i="20" s="1"/>
  <c r="AW349" i="20" s="1"/>
  <c r="AX349" i="20" s="1"/>
  <c r="AY349" i="20" s="1"/>
  <c r="AZ349" i="20" s="1"/>
  <c r="BA349" i="20" s="1"/>
  <c r="BB349" i="20" s="1"/>
  <c r="BC349" i="20" s="1"/>
  <c r="BD349" i="20" s="1"/>
  <c r="BE349" i="20" s="1"/>
  <c r="BF349" i="20" s="1"/>
  <c r="BG349" i="20" s="1"/>
  <c r="BH349" i="20" s="1"/>
  <c r="BI349" i="20" s="1"/>
  <c r="BJ349" i="20" s="1"/>
  <c r="BK349" i="20" s="1"/>
  <c r="BL349" i="20" s="1"/>
  <c r="BM349" i="20" s="1"/>
  <c r="BN349" i="20" s="1"/>
  <c r="AT456" i="20"/>
  <c r="AU456" i="20" s="1"/>
  <c r="AV456" i="20" s="1"/>
  <c r="AW456" i="20" s="1"/>
  <c r="AX456" i="20" s="1"/>
  <c r="AY456" i="20" s="1"/>
  <c r="AZ456" i="20" s="1"/>
  <c r="BA456" i="20" s="1"/>
  <c r="BB456" i="20" s="1"/>
  <c r="BC456" i="20" s="1"/>
  <c r="BD456" i="20" s="1"/>
  <c r="BE456" i="20" s="1"/>
  <c r="BF456" i="20" s="1"/>
  <c r="BG456" i="20" s="1"/>
  <c r="AM639" i="20"/>
  <c r="AN639" i="20" s="1"/>
  <c r="AO639" i="20" s="1"/>
  <c r="AP639" i="20" s="1"/>
  <c r="AQ639" i="20" s="1"/>
  <c r="AR639" i="20" s="1"/>
  <c r="AS639" i="20" s="1"/>
  <c r="AT639" i="20" s="1"/>
  <c r="AU639" i="20" s="1"/>
  <c r="AV639" i="20" s="1"/>
  <c r="AW639" i="20" s="1"/>
  <c r="AX639" i="20" s="1"/>
  <c r="AY639" i="20" s="1"/>
  <c r="AZ639" i="20" s="1"/>
  <c r="BA639" i="20" s="1"/>
  <c r="BB639" i="20" s="1"/>
  <c r="BC639" i="20" s="1"/>
  <c r="BD639" i="20" s="1"/>
  <c r="BE639" i="20" s="1"/>
  <c r="BF639" i="20" s="1"/>
  <c r="BG639" i="20" s="1"/>
  <c r="BH639" i="20" s="1"/>
  <c r="BI639" i="20" s="1"/>
  <c r="BJ639" i="20" s="1"/>
  <c r="BK639" i="20" s="1"/>
  <c r="BL639" i="20" s="1"/>
  <c r="BM639" i="20" s="1"/>
  <c r="BN639" i="20" s="1"/>
  <c r="AY723" i="20"/>
  <c r="AZ723" i="20" s="1"/>
  <c r="BA723" i="20" s="1"/>
  <c r="BB723" i="20" s="1"/>
  <c r="BC723" i="20" s="1"/>
  <c r="BD723" i="20" s="1"/>
  <c r="BE723" i="20" s="1"/>
  <c r="BF723" i="20" s="1"/>
  <c r="BG723" i="20" s="1"/>
  <c r="BH723" i="20" s="1"/>
  <c r="BI723" i="20" s="1"/>
  <c r="BJ723" i="20" s="1"/>
  <c r="BK723" i="20" s="1"/>
  <c r="BL723" i="20" s="1"/>
  <c r="BM723" i="20" s="1"/>
  <c r="BN723" i="20" s="1"/>
  <c r="AN734" i="20"/>
  <c r="AO734" i="20" s="1"/>
  <c r="AP734" i="20" s="1"/>
  <c r="AQ734" i="20" s="1"/>
  <c r="AR734" i="20" s="1"/>
  <c r="AS734" i="20" s="1"/>
  <c r="AT734" i="20" s="1"/>
  <c r="AU734" i="20" s="1"/>
  <c r="AV734" i="20" s="1"/>
  <c r="AW734" i="20" s="1"/>
  <c r="AX734" i="20" s="1"/>
  <c r="AY734" i="20" s="1"/>
  <c r="AZ734" i="20" s="1"/>
  <c r="BA734" i="20" s="1"/>
  <c r="BB734" i="20" s="1"/>
  <c r="BC734" i="20" s="1"/>
  <c r="BD734" i="20" s="1"/>
  <c r="BE734" i="20" s="1"/>
  <c r="BF734" i="20" s="1"/>
  <c r="BG734" i="20" s="1"/>
  <c r="BH734" i="20" s="1"/>
  <c r="BI734" i="20" s="1"/>
  <c r="BJ734" i="20" s="1"/>
  <c r="BK734" i="20" s="1"/>
  <c r="BL734" i="20" s="1"/>
  <c r="BM734" i="20" s="1"/>
  <c r="BN734" i="20" s="1"/>
  <c r="AT323" i="20"/>
  <c r="AU323" i="20" s="1"/>
  <c r="AV323" i="20" s="1"/>
  <c r="AW323" i="20" s="1"/>
  <c r="AX323" i="20" s="1"/>
  <c r="AY323" i="20" s="1"/>
  <c r="AZ323" i="20" s="1"/>
  <c r="BA323" i="20" s="1"/>
  <c r="BB323" i="20" s="1"/>
  <c r="BC323" i="20" s="1"/>
  <c r="BD323" i="20" s="1"/>
  <c r="BE323" i="20" s="1"/>
  <c r="BF323" i="20" s="1"/>
  <c r="BG323" i="20" s="1"/>
  <c r="BH323" i="20" s="1"/>
  <c r="BI323" i="20" s="1"/>
  <c r="BJ323" i="20" s="1"/>
  <c r="BK323" i="20" s="1"/>
  <c r="BL323" i="20" s="1"/>
  <c r="BM323" i="20" s="1"/>
  <c r="BN323" i="20" s="1"/>
  <c r="AT353" i="20"/>
  <c r="AU353" i="20" s="1"/>
  <c r="AV353" i="20" s="1"/>
  <c r="AW353" i="20" s="1"/>
  <c r="AX353" i="20" s="1"/>
  <c r="AY353" i="20" s="1"/>
  <c r="AZ353" i="20" s="1"/>
  <c r="BA353" i="20" s="1"/>
  <c r="BB353" i="20" s="1"/>
  <c r="BC353" i="20" s="1"/>
  <c r="BD353" i="20" s="1"/>
  <c r="BE353" i="20" s="1"/>
  <c r="BF353" i="20" s="1"/>
  <c r="BG353" i="20" s="1"/>
  <c r="BH353" i="20" s="1"/>
  <c r="BI353" i="20" s="1"/>
  <c r="BJ353" i="20" s="1"/>
  <c r="BK353" i="20" s="1"/>
  <c r="BL353" i="20" s="1"/>
  <c r="BM353" i="20" s="1"/>
  <c r="BN353" i="20" s="1"/>
  <c r="AT420" i="20"/>
  <c r="AU420" i="20" s="1"/>
  <c r="AV420" i="20" s="1"/>
  <c r="AW420" i="20" s="1"/>
  <c r="AX420" i="20" s="1"/>
  <c r="AY420" i="20" s="1"/>
  <c r="AZ420" i="20" s="1"/>
  <c r="BA420" i="20" s="1"/>
  <c r="BB420" i="20" s="1"/>
  <c r="BC420" i="20" s="1"/>
  <c r="BD420" i="20" s="1"/>
  <c r="BE420" i="20" s="1"/>
  <c r="BF420" i="20" s="1"/>
  <c r="BG420" i="20" s="1"/>
  <c r="AM665" i="20"/>
  <c r="AN665" i="20" s="1"/>
  <c r="AO665" i="20" s="1"/>
  <c r="AP665" i="20" s="1"/>
  <c r="AQ665" i="20" s="1"/>
  <c r="AR665" i="20" s="1"/>
  <c r="AS665" i="20" s="1"/>
  <c r="AT665" i="20" s="1"/>
  <c r="AU665" i="20" s="1"/>
  <c r="AV665" i="20" s="1"/>
  <c r="AW665" i="20" s="1"/>
  <c r="AX665" i="20" s="1"/>
  <c r="AY665" i="20" s="1"/>
  <c r="AZ665" i="20" s="1"/>
  <c r="BA665" i="20" s="1"/>
  <c r="BB665" i="20" s="1"/>
  <c r="BC665" i="20" s="1"/>
  <c r="BD665" i="20" s="1"/>
  <c r="BE665" i="20" s="1"/>
  <c r="BF665" i="20" s="1"/>
  <c r="BG665" i="20" s="1"/>
  <c r="BH665" i="20" s="1"/>
  <c r="BI665" i="20" s="1"/>
  <c r="BJ665" i="20" s="1"/>
  <c r="BK665" i="20" s="1"/>
  <c r="BL665" i="20" s="1"/>
  <c r="BM665" i="20" s="1"/>
  <c r="BN665" i="20" s="1"/>
  <c r="AM676" i="20"/>
  <c r="AN676" i="20" s="1"/>
  <c r="AO676" i="20" s="1"/>
  <c r="AP676" i="20" s="1"/>
  <c r="AQ676" i="20" s="1"/>
  <c r="AR676" i="20" s="1"/>
  <c r="AS676" i="20" s="1"/>
  <c r="AT676" i="20" s="1"/>
  <c r="AU676" i="20" s="1"/>
  <c r="AV676" i="20" s="1"/>
  <c r="AW676" i="20" s="1"/>
  <c r="AX676" i="20" s="1"/>
  <c r="AY676" i="20" s="1"/>
  <c r="AZ676" i="20" s="1"/>
  <c r="BA676" i="20" s="1"/>
  <c r="BB676" i="20" s="1"/>
  <c r="BC676" i="20" s="1"/>
  <c r="BD676" i="20" s="1"/>
  <c r="BE676" i="20" s="1"/>
  <c r="BF676" i="20" s="1"/>
  <c r="BG676" i="20" s="1"/>
  <c r="BH676" i="20" s="1"/>
  <c r="BI676" i="20" s="1"/>
  <c r="BJ676" i="20" s="1"/>
  <c r="BK676" i="20" s="1"/>
  <c r="BL676" i="20" s="1"/>
  <c r="BM676" i="20" s="1"/>
  <c r="BN676" i="20" s="1"/>
  <c r="AM760" i="20"/>
  <c r="AN760" i="20" s="1"/>
  <c r="AO760" i="20" s="1"/>
  <c r="AP760" i="20" s="1"/>
  <c r="AQ760" i="20" s="1"/>
  <c r="AR760" i="20" s="1"/>
  <c r="AS760" i="20" s="1"/>
  <c r="AT760" i="20" s="1"/>
  <c r="AU760" i="20" s="1"/>
  <c r="AV760" i="20" s="1"/>
  <c r="AW760" i="20" s="1"/>
  <c r="AX760" i="20" s="1"/>
  <c r="AY760" i="20" s="1"/>
  <c r="AZ760" i="20" s="1"/>
  <c r="BA760" i="20" s="1"/>
  <c r="BB760" i="20" s="1"/>
  <c r="BC760" i="20" s="1"/>
  <c r="BD760" i="20" s="1"/>
  <c r="BE760" i="20" s="1"/>
  <c r="BF760" i="20" s="1"/>
  <c r="BG760" i="20" s="1"/>
  <c r="BH760" i="20" s="1"/>
  <c r="BI760" i="20" s="1"/>
  <c r="BJ760" i="20" s="1"/>
  <c r="BK760" i="20" s="1"/>
  <c r="BL760" i="20" s="1"/>
  <c r="BM760" i="20" s="1"/>
  <c r="BN760" i="20" s="1"/>
  <c r="AN738" i="20"/>
  <c r="AO738" i="20" s="1"/>
  <c r="AP738" i="20" s="1"/>
  <c r="AQ738" i="20" s="1"/>
  <c r="AR738" i="20" s="1"/>
  <c r="AS738" i="20" s="1"/>
  <c r="AT738" i="20" s="1"/>
  <c r="AU738" i="20" s="1"/>
  <c r="AV738" i="20" s="1"/>
  <c r="AW738" i="20" s="1"/>
  <c r="AX738" i="20" s="1"/>
  <c r="AY738" i="20" s="1"/>
  <c r="AZ738" i="20" s="1"/>
  <c r="BA738" i="20" s="1"/>
  <c r="BB738" i="20" s="1"/>
  <c r="BC738" i="20" s="1"/>
  <c r="BD738" i="20" s="1"/>
  <c r="BE738" i="20" s="1"/>
  <c r="BF738" i="20" s="1"/>
  <c r="BG738" i="20" s="1"/>
  <c r="BH738" i="20" s="1"/>
  <c r="BI738" i="20" s="1"/>
  <c r="BJ738" i="20" s="1"/>
  <c r="BK738" i="20" s="1"/>
  <c r="BL738" i="20" s="1"/>
  <c r="BM738" i="20" s="1"/>
  <c r="BN738" i="20" s="1"/>
  <c r="AT259" i="20"/>
  <c r="AU259" i="20" s="1"/>
  <c r="AV259" i="20" s="1"/>
  <c r="AW259" i="20" s="1"/>
  <c r="AX259" i="20" s="1"/>
  <c r="AY259" i="20" s="1"/>
  <c r="AZ259" i="20" s="1"/>
  <c r="BA259" i="20" s="1"/>
  <c r="BB259" i="20" s="1"/>
  <c r="BC259" i="20" s="1"/>
  <c r="BD259" i="20" s="1"/>
  <c r="AT260" i="20"/>
  <c r="AU260" i="20" s="1"/>
  <c r="AV260" i="20" s="1"/>
  <c r="AW260" i="20" s="1"/>
  <c r="AX260" i="20" s="1"/>
  <c r="AY260" i="20" s="1"/>
  <c r="AZ260" i="20" s="1"/>
  <c r="BA260" i="20" s="1"/>
  <c r="BB260" i="20" s="1"/>
  <c r="BC260" i="20" s="1"/>
  <c r="BD260" i="20" s="1"/>
  <c r="AT309" i="20"/>
  <c r="AU309" i="20" s="1"/>
  <c r="AV309" i="20" s="1"/>
  <c r="AW309" i="20" s="1"/>
  <c r="AX309" i="20" s="1"/>
  <c r="AY309" i="20" s="1"/>
  <c r="AZ309" i="20" s="1"/>
  <c r="BA309" i="20" s="1"/>
  <c r="BB309" i="20" s="1"/>
  <c r="BC309" i="20" s="1"/>
  <c r="BD309" i="20" s="1"/>
  <c r="BE309" i="20" s="1"/>
  <c r="BF309" i="20" s="1"/>
  <c r="BG309" i="20" s="1"/>
  <c r="BH309" i="20" s="1"/>
  <c r="BI309" i="20" s="1"/>
  <c r="BJ309" i="20" s="1"/>
  <c r="BK309" i="20" s="1"/>
  <c r="BL309" i="20" s="1"/>
  <c r="BM309" i="20" s="1"/>
  <c r="BN309" i="20" s="1"/>
  <c r="AM823" i="20"/>
  <c r="AT882" i="20"/>
  <c r="AU407" i="20"/>
  <c r="AT437" i="20"/>
  <c r="AU437" i="20" s="1"/>
  <c r="AV437" i="20" s="1"/>
  <c r="AW437" i="20" s="1"/>
  <c r="AX437" i="20" s="1"/>
  <c r="AY437" i="20" s="1"/>
  <c r="AZ437" i="20" s="1"/>
  <c r="BA437" i="20" s="1"/>
  <c r="BB437" i="20" s="1"/>
  <c r="BC437" i="20" s="1"/>
  <c r="BD437" i="20" s="1"/>
  <c r="BE437" i="20" s="1"/>
  <c r="BF437" i="20" s="1"/>
  <c r="BG437" i="20" s="1"/>
  <c r="AT467" i="20"/>
  <c r="AU467" i="20" s="1"/>
  <c r="AV467" i="20" s="1"/>
  <c r="AW467" i="20" s="1"/>
  <c r="AX467" i="20" s="1"/>
  <c r="AY467" i="20" s="1"/>
  <c r="AZ467" i="20" s="1"/>
  <c r="BA467" i="20" s="1"/>
  <c r="BB467" i="20" s="1"/>
  <c r="BC467" i="20" s="1"/>
  <c r="BD467" i="20" s="1"/>
  <c r="BE467" i="20" s="1"/>
  <c r="BF467" i="20" s="1"/>
  <c r="BG467" i="20" s="1"/>
  <c r="AM792" i="20"/>
  <c r="AN792" i="20" s="1"/>
  <c r="AO792" i="20" s="1"/>
  <c r="AP792" i="20" s="1"/>
  <c r="AQ792" i="20" s="1"/>
  <c r="AR792" i="20" s="1"/>
  <c r="AS792" i="20" s="1"/>
  <c r="AT792" i="20" s="1"/>
  <c r="AU792" i="20" s="1"/>
  <c r="AV792" i="20" s="1"/>
  <c r="AW792" i="20" s="1"/>
  <c r="AX792" i="20" s="1"/>
  <c r="AY792" i="20" s="1"/>
  <c r="AZ792" i="20" s="1"/>
  <c r="BA792" i="20" s="1"/>
  <c r="BB792" i="20" s="1"/>
  <c r="BC792" i="20" s="1"/>
  <c r="BD792" i="20" s="1"/>
  <c r="BE792" i="20" s="1"/>
  <c r="BF792" i="20" s="1"/>
  <c r="BG792" i="20" s="1"/>
  <c r="BH792" i="20" s="1"/>
  <c r="BI792" i="20" s="1"/>
  <c r="BJ792" i="20" s="1"/>
  <c r="BK792" i="20" s="1"/>
  <c r="BL792" i="20" s="1"/>
  <c r="BM792" i="20" s="1"/>
  <c r="BN792" i="20" s="1"/>
  <c r="AM619" i="20"/>
  <c r="AN619" i="20" s="1"/>
  <c r="AO619" i="20" s="1"/>
  <c r="AP619" i="20" s="1"/>
  <c r="AQ619" i="20" s="1"/>
  <c r="AR619" i="20" s="1"/>
  <c r="AS619" i="20" s="1"/>
  <c r="AT619" i="20" s="1"/>
  <c r="AU619" i="20" s="1"/>
  <c r="AV619" i="20" s="1"/>
  <c r="AW619" i="20" s="1"/>
  <c r="AX619" i="20" s="1"/>
  <c r="AY619" i="20" s="1"/>
  <c r="AZ619" i="20" s="1"/>
  <c r="BA619" i="20" s="1"/>
  <c r="BB619" i="20" s="1"/>
  <c r="BC619" i="20" s="1"/>
  <c r="BD619" i="20" s="1"/>
  <c r="BE619" i="20" s="1"/>
  <c r="BF619" i="20" s="1"/>
  <c r="BG619" i="20" s="1"/>
  <c r="BH619" i="20" s="1"/>
  <c r="BI619" i="20" s="1"/>
  <c r="BJ619" i="20" s="1"/>
  <c r="BK619" i="20" s="1"/>
  <c r="BL619" i="20" s="1"/>
  <c r="BM619" i="20" s="1"/>
  <c r="BN619" i="20" s="1"/>
  <c r="AN736" i="20"/>
  <c r="AO736" i="20" s="1"/>
  <c r="AP736" i="20" s="1"/>
  <c r="AQ736" i="20" s="1"/>
  <c r="AR736" i="20" s="1"/>
  <c r="AS736" i="20" s="1"/>
  <c r="AT736" i="20" s="1"/>
  <c r="AU736" i="20" s="1"/>
  <c r="AV736" i="20" s="1"/>
  <c r="AW736" i="20" s="1"/>
  <c r="AX736" i="20" s="1"/>
  <c r="AY736" i="20" s="1"/>
  <c r="AZ736" i="20" s="1"/>
  <c r="BA736" i="20" s="1"/>
  <c r="BB736" i="20" s="1"/>
  <c r="BC736" i="20" s="1"/>
  <c r="BD736" i="20" s="1"/>
  <c r="BE736" i="20" s="1"/>
  <c r="BF736" i="20" s="1"/>
  <c r="BG736" i="20" s="1"/>
  <c r="BH736" i="20" s="1"/>
  <c r="BI736" i="20" s="1"/>
  <c r="BJ736" i="20" s="1"/>
  <c r="BK736" i="20" s="1"/>
  <c r="BL736" i="20" s="1"/>
  <c r="BM736" i="20" s="1"/>
  <c r="BN736" i="20" s="1"/>
  <c r="AM37" i="20"/>
  <c r="AL40" i="20"/>
  <c r="AT457" i="20"/>
  <c r="AM618" i="20"/>
  <c r="AN618" i="20" s="1"/>
  <c r="AO618" i="20" s="1"/>
  <c r="AP618" i="20" s="1"/>
  <c r="AQ618" i="20" s="1"/>
  <c r="AR618" i="20" s="1"/>
  <c r="AS618" i="20" s="1"/>
  <c r="AT618" i="20" s="1"/>
  <c r="AU618" i="20" s="1"/>
  <c r="AV618" i="20" s="1"/>
  <c r="AW618" i="20" s="1"/>
  <c r="AX618" i="20" s="1"/>
  <c r="AY618" i="20" s="1"/>
  <c r="AZ618" i="20" s="1"/>
  <c r="BA618" i="20" s="1"/>
  <c r="BB618" i="20" s="1"/>
  <c r="BC618" i="20" s="1"/>
  <c r="BD618" i="20" s="1"/>
  <c r="BE618" i="20" s="1"/>
  <c r="BF618" i="20" s="1"/>
  <c r="BG618" i="20" s="1"/>
  <c r="BH618" i="20" s="1"/>
  <c r="BI618" i="20" s="1"/>
  <c r="BJ618" i="20" s="1"/>
  <c r="BK618" i="20" s="1"/>
  <c r="BL618" i="20" s="1"/>
  <c r="BM618" i="20" s="1"/>
  <c r="BN618" i="20" s="1"/>
  <c r="AM791" i="20"/>
  <c r="AN791" i="20" s="1"/>
  <c r="AO791" i="20" s="1"/>
  <c r="AP791" i="20" s="1"/>
  <c r="AQ791" i="20" s="1"/>
  <c r="AR791" i="20" s="1"/>
  <c r="AS791" i="20" s="1"/>
  <c r="AT791" i="20" s="1"/>
  <c r="AU791" i="20" s="1"/>
  <c r="AV791" i="20" s="1"/>
  <c r="AW791" i="20" s="1"/>
  <c r="AX791" i="20" s="1"/>
  <c r="AY791" i="20" s="1"/>
  <c r="AZ791" i="20" s="1"/>
  <c r="BA791" i="20" s="1"/>
  <c r="BB791" i="20" s="1"/>
  <c r="BC791" i="20" s="1"/>
  <c r="BD791" i="20" s="1"/>
  <c r="BE791" i="20" s="1"/>
  <c r="BF791" i="20" s="1"/>
  <c r="BG791" i="20" s="1"/>
  <c r="BH791" i="20" s="1"/>
  <c r="BI791" i="20" s="1"/>
  <c r="BJ791" i="20" s="1"/>
  <c r="BK791" i="20" s="1"/>
  <c r="BL791" i="20" s="1"/>
  <c r="BM791" i="20" s="1"/>
  <c r="BN791" i="20" s="1"/>
  <c r="AO908" i="20"/>
  <c r="AP573" i="20"/>
  <c r="AM757" i="20"/>
  <c r="AN757" i="20" s="1"/>
  <c r="AO757" i="20" s="1"/>
  <c r="AP757" i="20" s="1"/>
  <c r="AQ757" i="20" s="1"/>
  <c r="AR757" i="20" s="1"/>
  <c r="AS757" i="20" s="1"/>
  <c r="AT757" i="20" s="1"/>
  <c r="AU757" i="20" s="1"/>
  <c r="AV757" i="20" s="1"/>
  <c r="AW757" i="20" s="1"/>
  <c r="AX757" i="20" s="1"/>
  <c r="AY757" i="20" s="1"/>
  <c r="AZ757" i="20" s="1"/>
  <c r="BA757" i="20" s="1"/>
  <c r="BB757" i="20" s="1"/>
  <c r="BC757" i="20" s="1"/>
  <c r="BD757" i="20" s="1"/>
  <c r="BE757" i="20" s="1"/>
  <c r="BF757" i="20" s="1"/>
  <c r="BG757" i="20" s="1"/>
  <c r="BH757" i="20" s="1"/>
  <c r="BI757" i="20" s="1"/>
  <c r="BJ757" i="20" s="1"/>
  <c r="BK757" i="20" s="1"/>
  <c r="BL757" i="20" s="1"/>
  <c r="BM757" i="20" s="1"/>
  <c r="BN757" i="20" s="1"/>
  <c r="AM746" i="20"/>
  <c r="AN746" i="20" s="1"/>
  <c r="AO746" i="20" s="1"/>
  <c r="AP746" i="20" s="1"/>
  <c r="AQ746" i="20" s="1"/>
  <c r="AR746" i="20" s="1"/>
  <c r="AS746" i="20" s="1"/>
  <c r="AT746" i="20" s="1"/>
  <c r="AU746" i="20" s="1"/>
  <c r="AV746" i="20" s="1"/>
  <c r="AW746" i="20" s="1"/>
  <c r="AX746" i="20" s="1"/>
  <c r="AY746" i="20" s="1"/>
  <c r="AZ746" i="20" s="1"/>
  <c r="BA746" i="20" s="1"/>
  <c r="BB746" i="20" s="1"/>
  <c r="BC746" i="20" s="1"/>
  <c r="BD746" i="20" s="1"/>
  <c r="BE746" i="20" s="1"/>
  <c r="BF746" i="20" s="1"/>
  <c r="BG746" i="20" s="1"/>
  <c r="BH746" i="20" s="1"/>
  <c r="BI746" i="20" s="1"/>
  <c r="BJ746" i="20" s="1"/>
  <c r="BK746" i="20" s="1"/>
  <c r="BL746" i="20" s="1"/>
  <c r="BM746" i="20" s="1"/>
  <c r="BN746" i="20" s="1"/>
  <c r="AN135" i="20"/>
  <c r="AN134" i="20"/>
  <c r="AM133" i="20"/>
  <c r="AL209" i="20"/>
  <c r="AL215" i="20"/>
  <c r="AL212" i="20"/>
  <c r="AL214" i="20"/>
  <c r="AL211" i="20"/>
  <c r="AL210" i="20"/>
  <c r="AL213" i="20"/>
  <c r="AL199" i="20"/>
  <c r="AL198" i="20"/>
  <c r="AL201" i="20"/>
  <c r="AL196" i="20"/>
  <c r="AL197" i="20"/>
  <c r="AL200" i="20"/>
  <c r="AL202" i="20"/>
  <c r="AM630" i="20"/>
  <c r="AN630" i="20" s="1"/>
  <c r="AO630" i="20" s="1"/>
  <c r="AP630" i="20" s="1"/>
  <c r="AQ630" i="20" s="1"/>
  <c r="AR630" i="20" s="1"/>
  <c r="AS630" i="20" s="1"/>
  <c r="AT630" i="20" s="1"/>
  <c r="AU630" i="20" s="1"/>
  <c r="AV630" i="20" s="1"/>
  <c r="AW630" i="20" s="1"/>
  <c r="AX630" i="20" s="1"/>
  <c r="AY630" i="20" s="1"/>
  <c r="AZ630" i="20" s="1"/>
  <c r="BA630" i="20" s="1"/>
  <c r="BB630" i="20" s="1"/>
  <c r="BC630" i="20" s="1"/>
  <c r="BD630" i="20" s="1"/>
  <c r="BE630" i="20" s="1"/>
  <c r="BF630" i="20" s="1"/>
  <c r="BG630" i="20" s="1"/>
  <c r="BH630" i="20" s="1"/>
  <c r="BI630" i="20" s="1"/>
  <c r="BJ630" i="20" s="1"/>
  <c r="BK630" i="20" s="1"/>
  <c r="BL630" i="20" s="1"/>
  <c r="BM630" i="20" s="1"/>
  <c r="BN630" i="20" s="1"/>
  <c r="AM769" i="20"/>
  <c r="AN769" i="20" s="1"/>
  <c r="AO769" i="20" s="1"/>
  <c r="AP769" i="20" s="1"/>
  <c r="AQ769" i="20" s="1"/>
  <c r="AR769" i="20" s="1"/>
  <c r="AS769" i="20" s="1"/>
  <c r="AT769" i="20" s="1"/>
  <c r="AU769" i="20" s="1"/>
  <c r="AV769" i="20" s="1"/>
  <c r="AW769" i="20" s="1"/>
  <c r="AX769" i="20" s="1"/>
  <c r="AY769" i="20" s="1"/>
  <c r="AZ769" i="20" s="1"/>
  <c r="BA769" i="20" s="1"/>
  <c r="BB769" i="20" s="1"/>
  <c r="BC769" i="20" s="1"/>
  <c r="BD769" i="20" s="1"/>
  <c r="BE769" i="20" s="1"/>
  <c r="BF769" i="20" s="1"/>
  <c r="BG769" i="20" s="1"/>
  <c r="BH769" i="20" s="1"/>
  <c r="BI769" i="20" s="1"/>
  <c r="BJ769" i="20" s="1"/>
  <c r="BK769" i="20" s="1"/>
  <c r="BL769" i="20" s="1"/>
  <c r="BM769" i="20" s="1"/>
  <c r="BN769" i="20" s="1"/>
  <c r="AM75" i="20"/>
  <c r="AM74" i="20"/>
  <c r="AL76" i="20"/>
  <c r="AM73" i="20"/>
  <c r="AM627" i="20"/>
  <c r="AN627" i="20" s="1"/>
  <c r="AO627" i="20" s="1"/>
  <c r="AP627" i="20" s="1"/>
  <c r="AQ627" i="20" s="1"/>
  <c r="AR627" i="20" s="1"/>
  <c r="AS627" i="20" s="1"/>
  <c r="AT627" i="20" s="1"/>
  <c r="AU627" i="20" s="1"/>
  <c r="AV627" i="20" s="1"/>
  <c r="AW627" i="20" s="1"/>
  <c r="AX627" i="20" s="1"/>
  <c r="AY627" i="20" s="1"/>
  <c r="AZ627" i="20" s="1"/>
  <c r="BA627" i="20" s="1"/>
  <c r="BB627" i="20" s="1"/>
  <c r="BC627" i="20" s="1"/>
  <c r="BD627" i="20" s="1"/>
  <c r="BE627" i="20" s="1"/>
  <c r="BF627" i="20" s="1"/>
  <c r="BG627" i="20" s="1"/>
  <c r="BH627" i="20" s="1"/>
  <c r="BI627" i="20" s="1"/>
  <c r="BJ627" i="20" s="1"/>
  <c r="BK627" i="20" s="1"/>
  <c r="BL627" i="20" s="1"/>
  <c r="BM627" i="20" s="1"/>
  <c r="BN627" i="20" s="1"/>
  <c r="AM671" i="20"/>
  <c r="AN671" i="20" s="1"/>
  <c r="AO671" i="20" s="1"/>
  <c r="AP671" i="20" s="1"/>
  <c r="AQ671" i="20" s="1"/>
  <c r="AR671" i="20" s="1"/>
  <c r="AS671" i="20" s="1"/>
  <c r="AT671" i="20" s="1"/>
  <c r="AU671" i="20" s="1"/>
  <c r="AV671" i="20" s="1"/>
  <c r="AW671" i="20" s="1"/>
  <c r="AX671" i="20" s="1"/>
  <c r="AY671" i="20" s="1"/>
  <c r="AZ671" i="20" s="1"/>
  <c r="BA671" i="20" s="1"/>
  <c r="BB671" i="20" s="1"/>
  <c r="BC671" i="20" s="1"/>
  <c r="BD671" i="20" s="1"/>
  <c r="BE671" i="20" s="1"/>
  <c r="BF671" i="20" s="1"/>
  <c r="BG671" i="20" s="1"/>
  <c r="BH671" i="20" s="1"/>
  <c r="BI671" i="20" s="1"/>
  <c r="BJ671" i="20" s="1"/>
  <c r="BK671" i="20" s="1"/>
  <c r="BL671" i="20" s="1"/>
  <c r="BM671" i="20" s="1"/>
  <c r="BN671" i="20" s="1"/>
  <c r="AT429" i="20"/>
  <c r="AU429" i="20" s="1"/>
  <c r="AV429" i="20" s="1"/>
  <c r="AW429" i="20" s="1"/>
  <c r="AX429" i="20" s="1"/>
  <c r="AY429" i="20" s="1"/>
  <c r="AZ429" i="20" s="1"/>
  <c r="BA429" i="20" s="1"/>
  <c r="BB429" i="20" s="1"/>
  <c r="BC429" i="20" s="1"/>
  <c r="BD429" i="20" s="1"/>
  <c r="BE429" i="20" s="1"/>
  <c r="BF429" i="20" s="1"/>
  <c r="BG429" i="20" s="1"/>
  <c r="AM793" i="20"/>
  <c r="AN793" i="20" s="1"/>
  <c r="AO793" i="20" s="1"/>
  <c r="AP793" i="20" s="1"/>
  <c r="AQ793" i="20" s="1"/>
  <c r="AR793" i="20" s="1"/>
  <c r="AS793" i="20" s="1"/>
  <c r="AT793" i="20" s="1"/>
  <c r="AU793" i="20" s="1"/>
  <c r="AV793" i="20" s="1"/>
  <c r="AW793" i="20" s="1"/>
  <c r="AX793" i="20" s="1"/>
  <c r="AY793" i="20" s="1"/>
  <c r="AZ793" i="20" s="1"/>
  <c r="BA793" i="20" s="1"/>
  <c r="BB793" i="20" s="1"/>
  <c r="BC793" i="20" s="1"/>
  <c r="BD793" i="20" s="1"/>
  <c r="BE793" i="20" s="1"/>
  <c r="BF793" i="20" s="1"/>
  <c r="BG793" i="20" s="1"/>
  <c r="BH793" i="20" s="1"/>
  <c r="BI793" i="20" s="1"/>
  <c r="BJ793" i="20" s="1"/>
  <c r="BK793" i="20" s="1"/>
  <c r="BL793" i="20" s="1"/>
  <c r="BM793" i="20" s="1"/>
  <c r="BN793" i="20" s="1"/>
  <c r="AM620" i="20"/>
  <c r="AN620" i="20" s="1"/>
  <c r="AO620" i="20" s="1"/>
  <c r="AP620" i="20" s="1"/>
  <c r="AQ620" i="20" s="1"/>
  <c r="AR620" i="20" s="1"/>
  <c r="AS620" i="20" s="1"/>
  <c r="AT620" i="20" s="1"/>
  <c r="AU620" i="20" s="1"/>
  <c r="AV620" i="20" s="1"/>
  <c r="AW620" i="20" s="1"/>
  <c r="AX620" i="20" s="1"/>
  <c r="AY620" i="20" s="1"/>
  <c r="AZ620" i="20" s="1"/>
  <c r="BA620" i="20" s="1"/>
  <c r="BB620" i="20" s="1"/>
  <c r="BC620" i="20" s="1"/>
  <c r="BD620" i="20" s="1"/>
  <c r="BE620" i="20" s="1"/>
  <c r="BF620" i="20" s="1"/>
  <c r="BG620" i="20" s="1"/>
  <c r="BH620" i="20" s="1"/>
  <c r="BI620" i="20" s="1"/>
  <c r="BJ620" i="20" s="1"/>
  <c r="BK620" i="20" s="1"/>
  <c r="BL620" i="20" s="1"/>
  <c r="BM620" i="20" s="1"/>
  <c r="BN620" i="20" s="1"/>
  <c r="AT416" i="20"/>
  <c r="AU416" i="20" s="1"/>
  <c r="AV416" i="20" s="1"/>
  <c r="AW416" i="20" s="1"/>
  <c r="AX416" i="20" s="1"/>
  <c r="AY416" i="20" s="1"/>
  <c r="AZ416" i="20" s="1"/>
  <c r="BA416" i="20" s="1"/>
  <c r="BB416" i="20" s="1"/>
  <c r="BC416" i="20" s="1"/>
  <c r="BD416" i="20" s="1"/>
  <c r="BE416" i="20" s="1"/>
  <c r="BF416" i="20" s="1"/>
  <c r="BG416" i="20" s="1"/>
  <c r="AT426" i="20"/>
  <c r="AU426" i="20" s="1"/>
  <c r="AV426" i="20" s="1"/>
  <c r="AW426" i="20" s="1"/>
  <c r="AX426" i="20" s="1"/>
  <c r="AY426" i="20" s="1"/>
  <c r="AZ426" i="20" s="1"/>
  <c r="BA426" i="20" s="1"/>
  <c r="BB426" i="20" s="1"/>
  <c r="BC426" i="20" s="1"/>
  <c r="BD426" i="20" s="1"/>
  <c r="BE426" i="20" s="1"/>
  <c r="BF426" i="20" s="1"/>
  <c r="BG426" i="20" s="1"/>
  <c r="AM617" i="20"/>
  <c r="AN617" i="20" s="1"/>
  <c r="AO617" i="20" s="1"/>
  <c r="AP617" i="20" s="1"/>
  <c r="AQ617" i="20" s="1"/>
  <c r="AR617" i="20" s="1"/>
  <c r="AS617" i="20" s="1"/>
  <c r="AT617" i="20" s="1"/>
  <c r="AU617" i="20" s="1"/>
  <c r="AV617" i="20" s="1"/>
  <c r="AW617" i="20" s="1"/>
  <c r="AX617" i="20" s="1"/>
  <c r="AY617" i="20" s="1"/>
  <c r="AZ617" i="20" s="1"/>
  <c r="BA617" i="20" s="1"/>
  <c r="BB617" i="20" s="1"/>
  <c r="BC617" i="20" s="1"/>
  <c r="BD617" i="20" s="1"/>
  <c r="BE617" i="20" s="1"/>
  <c r="BF617" i="20" s="1"/>
  <c r="BG617" i="20" s="1"/>
  <c r="BH617" i="20" s="1"/>
  <c r="BI617" i="20" s="1"/>
  <c r="BJ617" i="20" s="1"/>
  <c r="AM790" i="20"/>
  <c r="AM661" i="20"/>
  <c r="AN661" i="20" s="1"/>
  <c r="AO661" i="20" s="1"/>
  <c r="AP661" i="20" s="1"/>
  <c r="AQ661" i="20" s="1"/>
  <c r="AR661" i="20" s="1"/>
  <c r="AS661" i="20" s="1"/>
  <c r="AT661" i="20" s="1"/>
  <c r="AU661" i="20" s="1"/>
  <c r="AV661" i="20" s="1"/>
  <c r="AW661" i="20" s="1"/>
  <c r="AX661" i="20" s="1"/>
  <c r="AY661" i="20" s="1"/>
  <c r="AZ661" i="20" s="1"/>
  <c r="BA661" i="20" s="1"/>
  <c r="BB661" i="20" s="1"/>
  <c r="BC661" i="20" s="1"/>
  <c r="BD661" i="20" s="1"/>
  <c r="BE661" i="20" s="1"/>
  <c r="BF661" i="20" s="1"/>
  <c r="BG661" i="20" s="1"/>
  <c r="BH661" i="20" s="1"/>
  <c r="BI661" i="20" s="1"/>
  <c r="BJ661" i="20" s="1"/>
  <c r="BK661" i="20" s="1"/>
  <c r="BL661" i="20" s="1"/>
  <c r="BM661" i="20" s="1"/>
  <c r="BN661" i="20" s="1"/>
  <c r="AM628" i="20"/>
  <c r="AN628" i="20" s="1"/>
  <c r="AO628" i="20" s="1"/>
  <c r="AP628" i="20" s="1"/>
  <c r="AQ628" i="20" s="1"/>
  <c r="AR628" i="20" s="1"/>
  <c r="AS628" i="20" s="1"/>
  <c r="AT628" i="20" s="1"/>
  <c r="AU628" i="20" s="1"/>
  <c r="AV628" i="20" s="1"/>
  <c r="AW628" i="20" s="1"/>
  <c r="AX628" i="20" s="1"/>
  <c r="AY628" i="20" s="1"/>
  <c r="AZ628" i="20" s="1"/>
  <c r="BA628" i="20" s="1"/>
  <c r="BB628" i="20" s="1"/>
  <c r="BC628" i="20" s="1"/>
  <c r="BD628" i="20" s="1"/>
  <c r="BE628" i="20" s="1"/>
  <c r="BF628" i="20" s="1"/>
  <c r="BG628" i="20" s="1"/>
  <c r="BH628" i="20" s="1"/>
  <c r="BI628" i="20" s="1"/>
  <c r="BJ628" i="20" s="1"/>
  <c r="BK628" i="20" s="1"/>
  <c r="BL628" i="20" s="1"/>
  <c r="BM628" i="20" s="1"/>
  <c r="BN628" i="20" s="1"/>
  <c r="AM756" i="20"/>
  <c r="AN756" i="20" s="1"/>
  <c r="AO756" i="20" s="1"/>
  <c r="AP756" i="20" s="1"/>
  <c r="AQ756" i="20" s="1"/>
  <c r="AR756" i="20" s="1"/>
  <c r="AS756" i="20" s="1"/>
  <c r="AT756" i="20" s="1"/>
  <c r="AU756" i="20" s="1"/>
  <c r="AV756" i="20" s="1"/>
  <c r="AW756" i="20" s="1"/>
  <c r="AX756" i="20" s="1"/>
  <c r="AY756" i="20" s="1"/>
  <c r="AZ756" i="20" s="1"/>
  <c r="BA756" i="20" s="1"/>
  <c r="BB756" i="20" s="1"/>
  <c r="BC756" i="20" s="1"/>
  <c r="BD756" i="20" s="1"/>
  <c r="BE756" i="20" s="1"/>
  <c r="BF756" i="20" s="1"/>
  <c r="BG756" i="20" s="1"/>
  <c r="BH756" i="20" s="1"/>
  <c r="BI756" i="20" s="1"/>
  <c r="BJ756" i="20" s="1"/>
  <c r="BK756" i="20" s="1"/>
  <c r="BL756" i="20" s="1"/>
  <c r="BM756" i="20" s="1"/>
  <c r="BN756" i="20" s="1"/>
  <c r="AM812" i="20"/>
  <c r="AT440" i="20"/>
  <c r="AU440" i="20" s="1"/>
  <c r="AV440" i="20" s="1"/>
  <c r="AW440" i="20" s="1"/>
  <c r="AX440" i="20" s="1"/>
  <c r="AY440" i="20" s="1"/>
  <c r="AZ440" i="20" s="1"/>
  <c r="BA440" i="20" s="1"/>
  <c r="BB440" i="20" s="1"/>
  <c r="BC440" i="20" s="1"/>
  <c r="BD440" i="20" s="1"/>
  <c r="BE440" i="20" s="1"/>
  <c r="BF440" i="20" s="1"/>
  <c r="BG440" i="20" s="1"/>
  <c r="AT430" i="20"/>
  <c r="AU430" i="20" s="1"/>
  <c r="AV430" i="20" s="1"/>
  <c r="AW430" i="20" s="1"/>
  <c r="AX430" i="20" s="1"/>
  <c r="AY430" i="20" s="1"/>
  <c r="AZ430" i="20" s="1"/>
  <c r="BA430" i="20" s="1"/>
  <c r="BB430" i="20" s="1"/>
  <c r="BC430" i="20" s="1"/>
  <c r="BD430" i="20" s="1"/>
  <c r="BE430" i="20" s="1"/>
  <c r="BF430" i="20" s="1"/>
  <c r="BG430" i="20" s="1"/>
  <c r="AM643" i="20"/>
  <c r="AN643" i="20" s="1"/>
  <c r="AO643" i="20" s="1"/>
  <c r="AP643" i="20" s="1"/>
  <c r="AQ643" i="20" s="1"/>
  <c r="AR643" i="20" s="1"/>
  <c r="AS643" i="20" s="1"/>
  <c r="AT643" i="20" s="1"/>
  <c r="AU643" i="20" s="1"/>
  <c r="AV643" i="20" s="1"/>
  <c r="AW643" i="20" s="1"/>
  <c r="AX643" i="20" s="1"/>
  <c r="AY643" i="20" s="1"/>
  <c r="AZ643" i="20" s="1"/>
  <c r="BA643" i="20" s="1"/>
  <c r="BB643" i="20" s="1"/>
  <c r="BC643" i="20" s="1"/>
  <c r="BD643" i="20" s="1"/>
  <c r="BE643" i="20" s="1"/>
  <c r="BF643" i="20" s="1"/>
  <c r="BG643" i="20" s="1"/>
  <c r="BH643" i="20" s="1"/>
  <c r="BI643" i="20" s="1"/>
  <c r="BJ643" i="20" s="1"/>
  <c r="BK643" i="20" s="1"/>
  <c r="BL643" i="20" s="1"/>
  <c r="BM643" i="20" s="1"/>
  <c r="BN643" i="20" s="1"/>
  <c r="AM632" i="20"/>
  <c r="AN632" i="20" s="1"/>
  <c r="AO632" i="20" s="1"/>
  <c r="AP632" i="20" s="1"/>
  <c r="AQ632" i="20" s="1"/>
  <c r="AR632" i="20" s="1"/>
  <c r="AS632" i="20" s="1"/>
  <c r="AT632" i="20" s="1"/>
  <c r="AU632" i="20" s="1"/>
  <c r="AV632" i="20" s="1"/>
  <c r="AW632" i="20" s="1"/>
  <c r="AX632" i="20" s="1"/>
  <c r="AY632" i="20" s="1"/>
  <c r="AZ632" i="20" s="1"/>
  <c r="BA632" i="20" s="1"/>
  <c r="BB632" i="20" s="1"/>
  <c r="BC632" i="20" s="1"/>
  <c r="BD632" i="20" s="1"/>
  <c r="BE632" i="20" s="1"/>
  <c r="BF632" i="20" s="1"/>
  <c r="BG632" i="20" s="1"/>
  <c r="BH632" i="20" s="1"/>
  <c r="BI632" i="20" s="1"/>
  <c r="BJ632" i="20" s="1"/>
  <c r="BK632" i="20" s="1"/>
  <c r="BL632" i="20" s="1"/>
  <c r="BM632" i="20" s="1"/>
  <c r="BN632" i="20" s="1"/>
  <c r="AM782" i="20"/>
  <c r="AN782" i="20" s="1"/>
  <c r="AO782" i="20" s="1"/>
  <c r="AP782" i="20" s="1"/>
  <c r="AQ782" i="20" s="1"/>
  <c r="AR782" i="20" s="1"/>
  <c r="AS782" i="20" s="1"/>
  <c r="AT782" i="20" s="1"/>
  <c r="AU782" i="20" s="1"/>
  <c r="AV782" i="20" s="1"/>
  <c r="AW782" i="20" s="1"/>
  <c r="AX782" i="20" s="1"/>
  <c r="AY782" i="20" s="1"/>
  <c r="AZ782" i="20" s="1"/>
  <c r="BA782" i="20" s="1"/>
  <c r="BB782" i="20" s="1"/>
  <c r="BC782" i="20" s="1"/>
  <c r="BD782" i="20" s="1"/>
  <c r="BE782" i="20" s="1"/>
  <c r="BF782" i="20" s="1"/>
  <c r="BG782" i="20" s="1"/>
  <c r="BH782" i="20" s="1"/>
  <c r="BI782" i="20" s="1"/>
  <c r="BJ782" i="20" s="1"/>
  <c r="BK782" i="20" s="1"/>
  <c r="BL782" i="20" s="1"/>
  <c r="BM782" i="20" s="1"/>
  <c r="BN782" i="20" s="1"/>
  <c r="AM816" i="20"/>
  <c r="AN816" i="20" s="1"/>
  <c r="AO816" i="20" s="1"/>
  <c r="AP816" i="20" s="1"/>
  <c r="AQ816" i="20" s="1"/>
  <c r="AR816" i="20" s="1"/>
  <c r="AS816" i="20" s="1"/>
  <c r="AT816" i="20" s="1"/>
  <c r="AU816" i="20" s="1"/>
  <c r="AV816" i="20" s="1"/>
  <c r="AW816" i="20" s="1"/>
  <c r="AX816" i="20" s="1"/>
  <c r="AY816" i="20" s="1"/>
  <c r="AZ816" i="20" s="1"/>
  <c r="BA816" i="20" s="1"/>
  <c r="BB816" i="20" s="1"/>
  <c r="BC816" i="20" s="1"/>
  <c r="BD816" i="20" s="1"/>
  <c r="BE816" i="20" s="1"/>
  <c r="BF816" i="20" s="1"/>
  <c r="BG816" i="20" s="1"/>
  <c r="BH816" i="20" s="1"/>
  <c r="BI816" i="20" s="1"/>
  <c r="BJ816" i="20" s="1"/>
  <c r="BK816" i="20" s="1"/>
  <c r="BL816" i="20" s="1"/>
  <c r="BM816" i="20" s="1"/>
  <c r="BN816" i="20" s="1"/>
  <c r="AT261" i="20"/>
  <c r="AU261" i="20" s="1"/>
  <c r="AV261" i="20" s="1"/>
  <c r="AW261" i="20" s="1"/>
  <c r="AX261" i="20" s="1"/>
  <c r="AY261" i="20" s="1"/>
  <c r="AZ261" i="20" s="1"/>
  <c r="BA261" i="20" s="1"/>
  <c r="BB261" i="20" s="1"/>
  <c r="BC261" i="20" s="1"/>
  <c r="BD261" i="20" s="1"/>
  <c r="AT257" i="20"/>
  <c r="AU257" i="20" s="1"/>
  <c r="AV257" i="20" s="1"/>
  <c r="AW257" i="20" s="1"/>
  <c r="AX257" i="20" s="1"/>
  <c r="AY257" i="20" s="1"/>
  <c r="AZ257" i="20" s="1"/>
  <c r="BA257" i="20" s="1"/>
  <c r="BB257" i="20" s="1"/>
  <c r="BC257" i="20" s="1"/>
  <c r="BD257" i="20" s="1"/>
  <c r="AM622" i="20"/>
  <c r="AN622" i="20" s="1"/>
  <c r="AO622" i="20" s="1"/>
  <c r="AP622" i="20" s="1"/>
  <c r="AQ622" i="20" s="1"/>
  <c r="AR622" i="20" s="1"/>
  <c r="AS622" i="20" s="1"/>
  <c r="AT622" i="20" s="1"/>
  <c r="AU622" i="20" s="1"/>
  <c r="AV622" i="20" s="1"/>
  <c r="AW622" i="20" s="1"/>
  <c r="AX622" i="20" s="1"/>
  <c r="AY622" i="20" s="1"/>
  <c r="AZ622" i="20" s="1"/>
  <c r="BA622" i="20" s="1"/>
  <c r="BB622" i="20" s="1"/>
  <c r="BC622" i="20" s="1"/>
  <c r="BD622" i="20" s="1"/>
  <c r="BE622" i="20" s="1"/>
  <c r="BF622" i="20" s="1"/>
  <c r="BG622" i="20" s="1"/>
  <c r="BH622" i="20" s="1"/>
  <c r="BI622" i="20" s="1"/>
  <c r="BJ622" i="20" s="1"/>
  <c r="BK622" i="20" s="1"/>
  <c r="BL622" i="20" s="1"/>
  <c r="BM622" i="20" s="1"/>
  <c r="BN622" i="20" s="1"/>
  <c r="AM795" i="20"/>
  <c r="AN795" i="20" s="1"/>
  <c r="AO795" i="20" s="1"/>
  <c r="AP795" i="20" s="1"/>
  <c r="AQ795" i="20" s="1"/>
  <c r="AR795" i="20" s="1"/>
  <c r="AS795" i="20" s="1"/>
  <c r="AT795" i="20" s="1"/>
  <c r="AU795" i="20" s="1"/>
  <c r="AV795" i="20" s="1"/>
  <c r="AW795" i="20" s="1"/>
  <c r="AX795" i="20" s="1"/>
  <c r="AY795" i="20" s="1"/>
  <c r="AZ795" i="20" s="1"/>
  <c r="BA795" i="20" s="1"/>
  <c r="BB795" i="20" s="1"/>
  <c r="BC795" i="20" s="1"/>
  <c r="BD795" i="20" s="1"/>
  <c r="BE795" i="20" s="1"/>
  <c r="BF795" i="20" s="1"/>
  <c r="BG795" i="20" s="1"/>
  <c r="BH795" i="20" s="1"/>
  <c r="BI795" i="20" s="1"/>
  <c r="BJ795" i="20" s="1"/>
  <c r="BK795" i="20" s="1"/>
  <c r="BL795" i="20" s="1"/>
  <c r="BM795" i="20" s="1"/>
  <c r="BN795" i="20" s="1"/>
  <c r="BF520" i="20"/>
  <c r="BG445" i="20"/>
  <c r="BG409" i="20"/>
  <c r="BF521" i="20"/>
  <c r="BF522" i="20"/>
  <c r="BG386" i="20"/>
  <c r="BF517" i="20"/>
  <c r="BF518" i="20"/>
  <c r="BG406" i="20"/>
  <c r="BG438" i="20"/>
  <c r="BG378" i="20"/>
  <c r="BF519" i="20"/>
  <c r="BD258" i="20"/>
  <c r="BD262" i="20"/>
  <c r="BN787" i="20"/>
  <c r="BN892" i="20" s="1"/>
  <c r="BM892" i="20"/>
  <c r="BL939" i="20"/>
  <c r="BK642" i="20"/>
  <c r="BJ934" i="20"/>
  <c r="BJ914" i="20"/>
  <c r="BI909" i="20"/>
  <c r="BG338" i="20"/>
  <c r="BF931" i="20"/>
  <c r="BG376" i="20"/>
  <c r="BG377" i="20"/>
  <c r="BG385" i="20"/>
  <c r="BG379" i="20"/>
  <c r="BG469" i="20"/>
  <c r="BG514" i="20"/>
  <c r="BG381" i="20"/>
  <c r="BG397" i="20"/>
  <c r="BG411" i="20"/>
  <c r="BG399" i="20"/>
  <c r="BG401" i="20"/>
  <c r="BG471" i="20"/>
  <c r="BG458" i="20"/>
  <c r="BG380" i="20"/>
  <c r="BG375" i="20"/>
  <c r="BG398" i="20"/>
  <c r="BG421" i="20"/>
  <c r="BD271" i="20"/>
  <c r="BD268" i="20"/>
  <c r="BD267" i="20"/>
  <c r="BH373" i="20"/>
  <c r="BG388" i="20"/>
  <c r="BG387" i="20"/>
  <c r="BG405" i="20"/>
  <c r="BG391" i="20"/>
  <c r="BD272" i="20"/>
  <c r="BG389" i="20"/>
  <c r="BG441" i="20"/>
  <c r="BG408" i="20"/>
  <c r="BG395" i="20"/>
  <c r="BG427" i="20"/>
  <c r="BG410" i="20"/>
  <c r="BG448" i="20"/>
  <c r="BD269" i="20"/>
  <c r="BG461" i="20"/>
  <c r="BG428" i="20"/>
  <c r="BG451" i="20"/>
  <c r="BG396" i="20"/>
  <c r="BD266" i="20"/>
  <c r="BG418" i="20"/>
  <c r="BD270" i="20"/>
  <c r="BG390" i="20"/>
  <c r="BD292" i="20"/>
  <c r="BD282" i="20"/>
  <c r="BD276" i="20"/>
  <c r="BD289" i="20"/>
  <c r="BD278" i="20"/>
  <c r="BD279" i="20"/>
  <c r="BD291" i="20"/>
  <c r="BD286" i="20"/>
  <c r="BD290" i="20"/>
  <c r="BD281" i="20"/>
  <c r="BD287" i="20"/>
  <c r="BD280" i="20"/>
  <c r="BD277" i="20"/>
  <c r="BE254" i="20"/>
  <c r="BG516" i="20" l="1"/>
  <c r="AM50" i="20"/>
  <c r="AM48" i="20"/>
  <c r="AM44" i="20"/>
  <c r="AM47" i="20"/>
  <c r="AM46" i="20"/>
  <c r="AM45" i="20"/>
  <c r="AM49" i="20"/>
  <c r="AM67" i="20"/>
  <c r="AM62" i="20"/>
  <c r="AM66" i="20"/>
  <c r="AM64" i="20"/>
  <c r="AM65" i="20"/>
  <c r="AM63" i="20"/>
  <c r="AM68" i="20"/>
  <c r="AM86" i="20"/>
  <c r="AM82" i="20"/>
  <c r="AM81" i="20"/>
  <c r="AM84" i="20"/>
  <c r="AM85" i="20"/>
  <c r="AM80" i="20"/>
  <c r="AM83" i="20"/>
  <c r="AM106" i="20"/>
  <c r="AM105" i="20"/>
  <c r="AM100" i="20"/>
  <c r="AM103" i="20"/>
  <c r="AM102" i="20"/>
  <c r="AM101" i="20"/>
  <c r="AM104" i="20"/>
  <c r="AQ215" i="20"/>
  <c r="AQ210" i="20"/>
  <c r="AQ209" i="20"/>
  <c r="AQ212" i="20"/>
  <c r="AQ214" i="20"/>
  <c r="AQ213" i="20"/>
  <c r="AQ211" i="20"/>
  <c r="AR137" i="20"/>
  <c r="AM940" i="20"/>
  <c r="AM942" i="20"/>
  <c r="AM943" i="20"/>
  <c r="AT906" i="20"/>
  <c r="AN834" i="20"/>
  <c r="AN919" i="20" s="1"/>
  <c r="AN94" i="20"/>
  <c r="AN39" i="20"/>
  <c r="AN74" i="20"/>
  <c r="AU882" i="20"/>
  <c r="AV407" i="20"/>
  <c r="AN823" i="20"/>
  <c r="AM918" i="20"/>
  <c r="AP801" i="20"/>
  <c r="AO916" i="20"/>
  <c r="AM263" i="20"/>
  <c r="AM856" i="20" s="1"/>
  <c r="AN255" i="20"/>
  <c r="AN263" i="20" s="1"/>
  <c r="AN856" i="20" s="1"/>
  <c r="AN55" i="20"/>
  <c r="AM58" i="20"/>
  <c r="AO132" i="20"/>
  <c r="AN146" i="20"/>
  <c r="AN150" i="20"/>
  <c r="AN148" i="20"/>
  <c r="AN144" i="20"/>
  <c r="AN149" i="20"/>
  <c r="AN145" i="20"/>
  <c r="AN147" i="20"/>
  <c r="AP210" i="20"/>
  <c r="AP213" i="20"/>
  <c r="AP212" i="20"/>
  <c r="AP215" i="20"/>
  <c r="AP214" i="20"/>
  <c r="AP209" i="20"/>
  <c r="AP211" i="20"/>
  <c r="AU906" i="20"/>
  <c r="AV313" i="20"/>
  <c r="AN920" i="20"/>
  <c r="AO779" i="20"/>
  <c r="AO815" i="20"/>
  <c r="AN940" i="20"/>
  <c r="AN185" i="20"/>
  <c r="AN189" i="20"/>
  <c r="AN186" i="20"/>
  <c r="AN183" i="20"/>
  <c r="AN187" i="20"/>
  <c r="AN184" i="20"/>
  <c r="AN188" i="20"/>
  <c r="AO135" i="20"/>
  <c r="AM917" i="20"/>
  <c r="AN812" i="20"/>
  <c r="AM915" i="20"/>
  <c r="AN790" i="20"/>
  <c r="AO848" i="20"/>
  <c r="AN943" i="20"/>
  <c r="AN75" i="20"/>
  <c r="AN37" i="20"/>
  <c r="AM40" i="20"/>
  <c r="AO198" i="20"/>
  <c r="AO197" i="20"/>
  <c r="AO196" i="20"/>
  <c r="AO201" i="20"/>
  <c r="AO199" i="20"/>
  <c r="AO200" i="20"/>
  <c r="AO202" i="20"/>
  <c r="AP136" i="20"/>
  <c r="AQ136" i="20" s="1"/>
  <c r="AN73" i="20"/>
  <c r="AM76" i="20"/>
  <c r="AM158" i="20"/>
  <c r="AM161" i="20"/>
  <c r="AM162" i="20"/>
  <c r="AM160" i="20"/>
  <c r="AM157" i="20"/>
  <c r="AM163" i="20"/>
  <c r="AM159" i="20"/>
  <c r="AN133" i="20"/>
  <c r="AN138" i="20" s="1"/>
  <c r="AO834" i="20"/>
  <c r="AO837" i="20"/>
  <c r="AN942" i="20"/>
  <c r="AN38" i="20"/>
  <c r="AN93" i="20"/>
  <c r="AM96" i="20"/>
  <c r="AN56" i="20"/>
  <c r="AZ881" i="20"/>
  <c r="BA288" i="20"/>
  <c r="AM138" i="20"/>
  <c r="AO945" i="20"/>
  <c r="AP804" i="20"/>
  <c r="AN173" i="20"/>
  <c r="AN170" i="20"/>
  <c r="AN174" i="20"/>
  <c r="AN171" i="20"/>
  <c r="AN175" i="20"/>
  <c r="AN176" i="20"/>
  <c r="AN172" i="20"/>
  <c r="AO134" i="20"/>
  <c r="AQ573" i="20"/>
  <c r="AP908" i="20"/>
  <c r="AT932" i="20"/>
  <c r="AU457" i="20"/>
  <c r="AO826" i="20"/>
  <c r="AN941" i="20"/>
  <c r="AN933" i="20"/>
  <c r="AO631" i="20"/>
  <c r="AN95" i="20"/>
  <c r="AN57" i="20"/>
  <c r="BH430" i="20"/>
  <c r="BG519" i="20"/>
  <c r="BG518" i="20"/>
  <c r="BG522" i="20"/>
  <c r="BH405" i="20"/>
  <c r="BG520" i="20"/>
  <c r="BG517" i="20"/>
  <c r="BG521" i="20"/>
  <c r="BE258" i="20"/>
  <c r="BE257" i="20"/>
  <c r="BE259" i="20"/>
  <c r="BH398" i="20"/>
  <c r="BE256" i="20"/>
  <c r="BE260" i="20"/>
  <c r="BE261" i="20"/>
  <c r="BE262" i="20"/>
  <c r="BH338" i="20"/>
  <c r="BG931" i="20"/>
  <c r="BK617" i="20"/>
  <c r="BJ909" i="20"/>
  <c r="BK914" i="20"/>
  <c r="BL642" i="20"/>
  <c r="BK934" i="20"/>
  <c r="BM939" i="20"/>
  <c r="BN722" i="20"/>
  <c r="BN838" i="20"/>
  <c r="BN825" i="20"/>
  <c r="BH411" i="20"/>
  <c r="BH459" i="20"/>
  <c r="BH377" i="20"/>
  <c r="BH447" i="20"/>
  <c r="BH427" i="20"/>
  <c r="BH389" i="20"/>
  <c r="BH514" i="20"/>
  <c r="BH516" i="20" s="1"/>
  <c r="BH390" i="20"/>
  <c r="BH396" i="20"/>
  <c r="BH428" i="20"/>
  <c r="BH439" i="20"/>
  <c r="BH401" i="20"/>
  <c r="BH381" i="20"/>
  <c r="BH451" i="20"/>
  <c r="BH426" i="20"/>
  <c r="BH448" i="20"/>
  <c r="BH376" i="20"/>
  <c r="BH420" i="20"/>
  <c r="BH375" i="20"/>
  <c r="BH397" i="20"/>
  <c r="BH465" i="20"/>
  <c r="BH395" i="20"/>
  <c r="BH456" i="20"/>
  <c r="BH429" i="20"/>
  <c r="BH416" i="20"/>
  <c r="BH468" i="20"/>
  <c r="BH418" i="20"/>
  <c r="BH466" i="20"/>
  <c r="BH467" i="20"/>
  <c r="BH469" i="20"/>
  <c r="BH380" i="20"/>
  <c r="BH419" i="20"/>
  <c r="BH455" i="20"/>
  <c r="BH408" i="20"/>
  <c r="BH415" i="20"/>
  <c r="BH391" i="20"/>
  <c r="BH387" i="20"/>
  <c r="BH400" i="20"/>
  <c r="BH460" i="20"/>
  <c r="BH421" i="20"/>
  <c r="BH417" i="20"/>
  <c r="BH461" i="20"/>
  <c r="BH385" i="20"/>
  <c r="BH435" i="20"/>
  <c r="BH379" i="20"/>
  <c r="BH440" i="20"/>
  <c r="BH446" i="20"/>
  <c r="BH410" i="20"/>
  <c r="BH441" i="20"/>
  <c r="BH450" i="20"/>
  <c r="BH438" i="20"/>
  <c r="BH386" i="20"/>
  <c r="BH471" i="20"/>
  <c r="BH399" i="20"/>
  <c r="BE271" i="20"/>
  <c r="BH425" i="20"/>
  <c r="BH406" i="20"/>
  <c r="BH449" i="20"/>
  <c r="BH388" i="20"/>
  <c r="BH409" i="20"/>
  <c r="BH378" i="20"/>
  <c r="BH470" i="20"/>
  <c r="BE268" i="20"/>
  <c r="BE269" i="20"/>
  <c r="BE270" i="20"/>
  <c r="BE266" i="20"/>
  <c r="BE272" i="20"/>
  <c r="BI373" i="20"/>
  <c r="BH445" i="20"/>
  <c r="BE267" i="20"/>
  <c r="BH437" i="20"/>
  <c r="BH436" i="20"/>
  <c r="BI436" i="20" s="1"/>
  <c r="BH458" i="20"/>
  <c r="BE280" i="20"/>
  <c r="BE290" i="20"/>
  <c r="BE282" i="20"/>
  <c r="BE289" i="20"/>
  <c r="BE278" i="20"/>
  <c r="BE291" i="20"/>
  <c r="BE286" i="20"/>
  <c r="BE277" i="20"/>
  <c r="BE287" i="20"/>
  <c r="BE281" i="20"/>
  <c r="BE279" i="20"/>
  <c r="BE276" i="20"/>
  <c r="BE292" i="20"/>
  <c r="BF254" i="20"/>
  <c r="AN102" i="20" l="1"/>
  <c r="AN103" i="20"/>
  <c r="AN106" i="20"/>
  <c r="AN101" i="20"/>
  <c r="AN104" i="20"/>
  <c r="AN100" i="20"/>
  <c r="AN105" i="20"/>
  <c r="AS137" i="20"/>
  <c r="AR209" i="20"/>
  <c r="AR211" i="20"/>
  <c r="AR213" i="20"/>
  <c r="AR215" i="20"/>
  <c r="AR210" i="20"/>
  <c r="AR212" i="20"/>
  <c r="AR214" i="20"/>
  <c r="AN81" i="20"/>
  <c r="AN83" i="20"/>
  <c r="AN86" i="20"/>
  <c r="AN85" i="20"/>
  <c r="AN80" i="20"/>
  <c r="AN84" i="20"/>
  <c r="AN82" i="20"/>
  <c r="AN65" i="20"/>
  <c r="AN64" i="20"/>
  <c r="AN66" i="20"/>
  <c r="AN62" i="20"/>
  <c r="AN67" i="20"/>
  <c r="AN63" i="20"/>
  <c r="AN68" i="20"/>
  <c r="AQ201" i="20"/>
  <c r="AQ197" i="20"/>
  <c r="AQ200" i="20"/>
  <c r="AQ196" i="20"/>
  <c r="AR136" i="20"/>
  <c r="AQ202" i="20"/>
  <c r="AQ198" i="20"/>
  <c r="AQ199" i="20"/>
  <c r="AN46" i="20"/>
  <c r="AN44" i="20"/>
  <c r="AN47" i="20"/>
  <c r="AN50" i="20"/>
  <c r="AN48" i="20"/>
  <c r="AN45" i="20"/>
  <c r="AN49" i="20"/>
  <c r="AO57" i="20"/>
  <c r="AO95" i="20"/>
  <c r="AO94" i="20"/>
  <c r="AO38" i="20"/>
  <c r="AO790" i="20"/>
  <c r="AN915" i="20"/>
  <c r="AO56" i="20"/>
  <c r="AP834" i="20"/>
  <c r="AO919" i="20"/>
  <c r="AO75" i="20"/>
  <c r="AV882" i="20"/>
  <c r="AW407" i="20"/>
  <c r="AP826" i="20"/>
  <c r="AO941" i="20"/>
  <c r="AR573" i="20"/>
  <c r="AQ908" i="20"/>
  <c r="AP837" i="20"/>
  <c r="AO942" i="20"/>
  <c r="AP199" i="20"/>
  <c r="AP202" i="20"/>
  <c r="AP197" i="20"/>
  <c r="AP198" i="20"/>
  <c r="AP200" i="20"/>
  <c r="AP196" i="20"/>
  <c r="AP201" i="20"/>
  <c r="AN917" i="20"/>
  <c r="AO812" i="20"/>
  <c r="AO920" i="20"/>
  <c r="AP779" i="20"/>
  <c r="AW313" i="20"/>
  <c r="AV906" i="20"/>
  <c r="AP945" i="20"/>
  <c r="AQ804" i="20"/>
  <c r="AN162" i="20"/>
  <c r="AN161" i="20"/>
  <c r="AN159" i="20"/>
  <c r="AN160" i="20"/>
  <c r="AN158" i="20"/>
  <c r="AN163" i="20"/>
  <c r="AN157" i="20"/>
  <c r="AO133" i="20"/>
  <c r="AO186" i="20"/>
  <c r="AO184" i="20"/>
  <c r="AO188" i="20"/>
  <c r="AO185" i="20"/>
  <c r="AO183" i="20"/>
  <c r="AO187" i="20"/>
  <c r="AO189" i="20"/>
  <c r="AP135" i="20"/>
  <c r="AQ135" i="20" s="1"/>
  <c r="AO823" i="20"/>
  <c r="AN918" i="20"/>
  <c r="AO73" i="20"/>
  <c r="AN76" i="20"/>
  <c r="AP815" i="20"/>
  <c r="AO940" i="20"/>
  <c r="AO55" i="20"/>
  <c r="AN58" i="20"/>
  <c r="AP916" i="20"/>
  <c r="AQ801" i="20"/>
  <c r="AO933" i="20"/>
  <c r="AP631" i="20"/>
  <c r="AU932" i="20"/>
  <c r="AV457" i="20"/>
  <c r="AO174" i="20"/>
  <c r="AO170" i="20"/>
  <c r="AO171" i="20"/>
  <c r="AO173" i="20"/>
  <c r="AO172" i="20"/>
  <c r="AO175" i="20"/>
  <c r="AO176" i="20"/>
  <c r="AP134" i="20"/>
  <c r="AQ134" i="20" s="1"/>
  <c r="AO74" i="20"/>
  <c r="BA881" i="20"/>
  <c r="BB288" i="20"/>
  <c r="AO93" i="20"/>
  <c r="AN96" i="20"/>
  <c r="AN40" i="20"/>
  <c r="AO37" i="20"/>
  <c r="AP848" i="20"/>
  <c r="AO943" i="20"/>
  <c r="AO145" i="20"/>
  <c r="AO149" i="20"/>
  <c r="AO146" i="20"/>
  <c r="AO150" i="20"/>
  <c r="AO147" i="20"/>
  <c r="AO144" i="20"/>
  <c r="AO148" i="20"/>
  <c r="AP132" i="20"/>
  <c r="AQ132" i="20" s="1"/>
  <c r="AO39" i="20"/>
  <c r="BN939" i="20"/>
  <c r="BH521" i="20"/>
  <c r="BH522" i="20"/>
  <c r="BH518" i="20"/>
  <c r="BH519" i="20"/>
  <c r="BH517" i="20"/>
  <c r="BH520" i="20"/>
  <c r="BF256" i="20"/>
  <c r="BF257" i="20"/>
  <c r="BF262" i="20"/>
  <c r="BF258" i="20"/>
  <c r="BF261" i="20"/>
  <c r="BF260" i="20"/>
  <c r="BF259" i="20"/>
  <c r="BM642" i="20"/>
  <c r="BL934" i="20"/>
  <c r="BL914" i="20"/>
  <c r="BL617" i="20"/>
  <c r="BK909" i="20"/>
  <c r="BI338" i="20"/>
  <c r="BH931" i="20"/>
  <c r="BI458" i="20"/>
  <c r="BI514" i="20"/>
  <c r="BI516" i="20" s="1"/>
  <c r="BF269" i="20"/>
  <c r="BI399" i="20"/>
  <c r="BI397" i="20"/>
  <c r="BI420" i="20"/>
  <c r="BI445" i="20"/>
  <c r="BI385" i="20"/>
  <c r="BI460" i="20"/>
  <c r="BI400" i="20"/>
  <c r="BI415" i="20"/>
  <c r="BF280" i="20"/>
  <c r="BI438" i="20"/>
  <c r="BI427" i="20"/>
  <c r="BF271" i="20"/>
  <c r="BI428" i="20"/>
  <c r="BF272" i="20"/>
  <c r="BI448" i="20"/>
  <c r="BI408" i="20"/>
  <c r="BI470" i="20"/>
  <c r="BI449" i="20"/>
  <c r="BJ373" i="20"/>
  <c r="BI456" i="20"/>
  <c r="BI468" i="20"/>
  <c r="BI386" i="20"/>
  <c r="BI378" i="20"/>
  <c r="BJ378" i="20" s="1"/>
  <c r="BI455" i="20"/>
  <c r="BI437" i="20"/>
  <c r="BI405" i="20"/>
  <c r="BI395" i="20"/>
  <c r="BI469" i="20"/>
  <c r="BI417" i="20"/>
  <c r="BI410" i="20"/>
  <c r="BF270" i="20"/>
  <c r="BI380" i="20"/>
  <c r="BF268" i="20"/>
  <c r="BI409" i="20"/>
  <c r="BI425" i="20"/>
  <c r="BI411" i="20"/>
  <c r="BI466" i="20"/>
  <c r="BI381" i="20"/>
  <c r="BI441" i="20"/>
  <c r="BI376" i="20"/>
  <c r="BI416" i="20"/>
  <c r="BI379" i="20"/>
  <c r="BI439" i="20"/>
  <c r="BI375" i="20"/>
  <c r="BI461" i="20"/>
  <c r="BI450" i="20"/>
  <c r="BI451" i="20"/>
  <c r="BJ451" i="20" s="1"/>
  <c r="BI419" i="20"/>
  <c r="BI396" i="20"/>
  <c r="BI406" i="20"/>
  <c r="BI447" i="20"/>
  <c r="BJ447" i="20" s="1"/>
  <c r="BI467" i="20"/>
  <c r="BI418" i="20"/>
  <c r="BI387" i="20"/>
  <c r="BI401" i="20"/>
  <c r="BJ401" i="20" s="1"/>
  <c r="BI390" i="20"/>
  <c r="BF267" i="20"/>
  <c r="BI459" i="20"/>
  <c r="BI465" i="20"/>
  <c r="BJ465" i="20" s="1"/>
  <c r="BI435" i="20"/>
  <c r="BF266" i="20"/>
  <c r="BI440" i="20"/>
  <c r="BI421" i="20"/>
  <c r="BI391" i="20"/>
  <c r="BI430" i="20"/>
  <c r="BI388" i="20"/>
  <c r="BI389" i="20"/>
  <c r="BI398" i="20"/>
  <c r="BI471" i="20"/>
  <c r="BI446" i="20"/>
  <c r="BI426" i="20"/>
  <c r="BI429" i="20"/>
  <c r="BI377" i="20"/>
  <c r="BF292" i="20"/>
  <c r="BF278" i="20"/>
  <c r="BF282" i="20"/>
  <c r="BF276" i="20"/>
  <c r="BF279" i="20"/>
  <c r="BF281" i="20"/>
  <c r="BF291" i="20"/>
  <c r="BF287" i="20"/>
  <c r="BF290" i="20"/>
  <c r="BF277" i="20"/>
  <c r="BF286" i="20"/>
  <c r="BF289" i="20"/>
  <c r="BG254" i="20"/>
  <c r="AP57" i="20" l="1"/>
  <c r="AO62" i="20"/>
  <c r="AO66" i="20"/>
  <c r="AO63" i="20"/>
  <c r="AO67" i="20"/>
  <c r="AO64" i="20"/>
  <c r="AO68" i="20"/>
  <c r="AO65" i="20"/>
  <c r="AO82" i="20"/>
  <c r="AO86" i="20"/>
  <c r="AO80" i="20"/>
  <c r="AO81" i="20"/>
  <c r="AO85" i="20"/>
  <c r="AO83" i="20"/>
  <c r="AO84" i="20"/>
  <c r="AQ187" i="20"/>
  <c r="AQ185" i="20"/>
  <c r="AQ186" i="20"/>
  <c r="AQ189" i="20"/>
  <c r="AQ184" i="20"/>
  <c r="AR135" i="20"/>
  <c r="AQ183" i="20"/>
  <c r="AQ188" i="20"/>
  <c r="AS209" i="20"/>
  <c r="AS213" i="20"/>
  <c r="AS212" i="20"/>
  <c r="AT137" i="20"/>
  <c r="AS211" i="20"/>
  <c r="AS210" i="20"/>
  <c r="AS215" i="20"/>
  <c r="AS214" i="20"/>
  <c r="AO47" i="20"/>
  <c r="AO48" i="20"/>
  <c r="AO45" i="20"/>
  <c r="AO49" i="20"/>
  <c r="AO46" i="20"/>
  <c r="AO50" i="20"/>
  <c r="AO44" i="20"/>
  <c r="AO105" i="20"/>
  <c r="AO104" i="20"/>
  <c r="AO102" i="20"/>
  <c r="AO100" i="20"/>
  <c r="AO106" i="20"/>
  <c r="AO101" i="20"/>
  <c r="AO103" i="20"/>
  <c r="AQ176" i="20"/>
  <c r="AQ171" i="20"/>
  <c r="AQ170" i="20"/>
  <c r="AQ175" i="20"/>
  <c r="AQ174" i="20"/>
  <c r="AQ173" i="20"/>
  <c r="AQ172" i="20"/>
  <c r="AR134" i="20"/>
  <c r="AS136" i="20"/>
  <c r="AR200" i="20"/>
  <c r="AR196" i="20"/>
  <c r="AR198" i="20"/>
  <c r="AR199" i="20"/>
  <c r="AR201" i="20"/>
  <c r="AR197" i="20"/>
  <c r="AR202" i="20"/>
  <c r="AQ149" i="20"/>
  <c r="AQ145" i="20"/>
  <c r="AQ148" i="20"/>
  <c r="AQ144" i="20"/>
  <c r="AR132" i="20"/>
  <c r="AQ150" i="20"/>
  <c r="AQ146" i="20"/>
  <c r="AQ147" i="20"/>
  <c r="AP75" i="20"/>
  <c r="AP39" i="20"/>
  <c r="AP93" i="20"/>
  <c r="AO96" i="20"/>
  <c r="AQ916" i="20"/>
  <c r="AR801" i="20"/>
  <c r="AP147" i="20"/>
  <c r="AP145" i="20"/>
  <c r="AP150" i="20"/>
  <c r="AP144" i="20"/>
  <c r="AP148" i="20"/>
  <c r="AP149" i="20"/>
  <c r="AP146" i="20"/>
  <c r="BB881" i="20"/>
  <c r="BC288" i="20"/>
  <c r="AP940" i="20"/>
  <c r="AQ815" i="20"/>
  <c r="AP823" i="20"/>
  <c r="AO918" i="20"/>
  <c r="AO161" i="20"/>
  <c r="AO158" i="20"/>
  <c r="AO159" i="20"/>
  <c r="AO162" i="20"/>
  <c r="AO160" i="20"/>
  <c r="AO157" i="20"/>
  <c r="AO163" i="20"/>
  <c r="AP133" i="20"/>
  <c r="AQ133" i="20" s="1"/>
  <c r="AQ945" i="20"/>
  <c r="AR804" i="20"/>
  <c r="AX313" i="20"/>
  <c r="AW906" i="20"/>
  <c r="AS573" i="20"/>
  <c r="AR908" i="20"/>
  <c r="AW882" i="20"/>
  <c r="AX407" i="20"/>
  <c r="AO138" i="20"/>
  <c r="AQ631" i="20"/>
  <c r="AP933" i="20"/>
  <c r="AP920" i="20"/>
  <c r="AQ779" i="20"/>
  <c r="AP919" i="20"/>
  <c r="AQ834" i="20"/>
  <c r="AO915" i="20"/>
  <c r="AP790" i="20"/>
  <c r="AP37" i="20"/>
  <c r="AO40" i="20"/>
  <c r="AP171" i="20"/>
  <c r="AP175" i="20"/>
  <c r="AP172" i="20"/>
  <c r="AP176" i="20"/>
  <c r="AP173" i="20"/>
  <c r="AP170" i="20"/>
  <c r="AP174" i="20"/>
  <c r="AV932" i="20"/>
  <c r="AW457" i="20"/>
  <c r="AP183" i="20"/>
  <c r="AP187" i="20"/>
  <c r="AP184" i="20"/>
  <c r="AP188" i="20"/>
  <c r="AP185" i="20"/>
  <c r="AP189" i="20"/>
  <c r="AP186" i="20"/>
  <c r="AO917" i="20"/>
  <c r="AP812" i="20"/>
  <c r="AP95" i="20"/>
  <c r="AQ848" i="20"/>
  <c r="AP943" i="20"/>
  <c r="AP74" i="20"/>
  <c r="AP55" i="20"/>
  <c r="AO58" i="20"/>
  <c r="AP73" i="20"/>
  <c r="AO76" i="20"/>
  <c r="AP942" i="20"/>
  <c r="AQ837" i="20"/>
  <c r="AP941" i="20"/>
  <c r="AQ826" i="20"/>
  <c r="AP94" i="20"/>
  <c r="AP56" i="20"/>
  <c r="AP38" i="20"/>
  <c r="BJ429" i="20"/>
  <c r="BI519" i="20"/>
  <c r="BI518" i="20"/>
  <c r="BI520" i="20"/>
  <c r="BI521" i="20"/>
  <c r="BI517" i="20"/>
  <c r="BJ440" i="20"/>
  <c r="BI522" i="20"/>
  <c r="BJ405" i="20"/>
  <c r="BG258" i="20"/>
  <c r="BG259" i="20"/>
  <c r="BG262" i="20"/>
  <c r="BJ376" i="20"/>
  <c r="BJ411" i="20"/>
  <c r="BJ380" i="20"/>
  <c r="BG260" i="20"/>
  <c r="BG257" i="20"/>
  <c r="BG261" i="20"/>
  <c r="BG256" i="20"/>
  <c r="BM914" i="20"/>
  <c r="BJ338" i="20"/>
  <c r="BI931" i="20"/>
  <c r="BM617" i="20"/>
  <c r="BL909" i="20"/>
  <c r="BN642" i="20"/>
  <c r="BN934" i="20" s="1"/>
  <c r="BM934" i="20"/>
  <c r="BJ458" i="20"/>
  <c r="BJ399" i="20"/>
  <c r="BJ426" i="20"/>
  <c r="BJ398" i="20"/>
  <c r="BJ430" i="20"/>
  <c r="BJ459" i="20"/>
  <c r="BJ387" i="20"/>
  <c r="BJ406" i="20"/>
  <c r="BJ450" i="20"/>
  <c r="BJ379" i="20"/>
  <c r="BJ381" i="20"/>
  <c r="BJ409" i="20"/>
  <c r="BJ455" i="20"/>
  <c r="BJ468" i="20"/>
  <c r="BJ470" i="20"/>
  <c r="BJ514" i="20"/>
  <c r="BJ516" i="20" s="1"/>
  <c r="BJ377" i="20"/>
  <c r="BJ471" i="20"/>
  <c r="BJ388" i="20"/>
  <c r="BJ421" i="20"/>
  <c r="BJ435" i="20"/>
  <c r="BJ390" i="20"/>
  <c r="BJ467" i="20"/>
  <c r="BJ375" i="20"/>
  <c r="BJ416" i="20"/>
  <c r="BJ466" i="20"/>
  <c r="BJ410" i="20"/>
  <c r="BJ395" i="20"/>
  <c r="BJ408" i="20"/>
  <c r="BJ415" i="20"/>
  <c r="BG270" i="20"/>
  <c r="BJ427" i="20"/>
  <c r="BG271" i="20"/>
  <c r="BJ438" i="20"/>
  <c r="BJ456" i="20"/>
  <c r="BJ449" i="20"/>
  <c r="BJ385" i="20"/>
  <c r="BJ428" i="20"/>
  <c r="BJ397" i="20"/>
  <c r="BG272" i="20"/>
  <c r="BJ446" i="20"/>
  <c r="BJ389" i="20"/>
  <c r="BJ391" i="20"/>
  <c r="BG266" i="20"/>
  <c r="BG267" i="20"/>
  <c r="BJ418" i="20"/>
  <c r="BJ396" i="20"/>
  <c r="BJ461" i="20"/>
  <c r="BJ448" i="20"/>
  <c r="BJ439" i="20"/>
  <c r="BJ441" i="20"/>
  <c r="BJ425" i="20"/>
  <c r="BJ417" i="20"/>
  <c r="BJ437" i="20"/>
  <c r="BJ386" i="20"/>
  <c r="BJ436" i="20"/>
  <c r="BJ420" i="20"/>
  <c r="BG268" i="20"/>
  <c r="BG269" i="20"/>
  <c r="BK373" i="20"/>
  <c r="BJ419" i="20"/>
  <c r="BJ469" i="20"/>
  <c r="BJ400" i="20"/>
  <c r="BJ460" i="20"/>
  <c r="BK460" i="20" s="1"/>
  <c r="BJ445" i="20"/>
  <c r="BG281" i="20"/>
  <c r="BG282" i="20"/>
  <c r="BG290" i="20"/>
  <c r="BG286" i="20"/>
  <c r="BG277" i="20"/>
  <c r="BG292" i="20"/>
  <c r="BG279" i="20"/>
  <c r="BG278" i="20"/>
  <c r="BG280" i="20"/>
  <c r="BG287" i="20"/>
  <c r="BG276" i="20"/>
  <c r="BG289" i="20"/>
  <c r="BG291" i="20"/>
  <c r="BH254" i="20"/>
  <c r="AQ56" i="20" l="1"/>
  <c r="AQ38" i="20"/>
  <c r="AQ95" i="20"/>
  <c r="AQ94" i="20"/>
  <c r="AQ74" i="20"/>
  <c r="AQ39" i="20"/>
  <c r="AP82" i="20"/>
  <c r="AP86" i="20"/>
  <c r="AQ73" i="20"/>
  <c r="AP83" i="20"/>
  <c r="AP80" i="20"/>
  <c r="AP84" i="20"/>
  <c r="AP81" i="20"/>
  <c r="AP85" i="20"/>
  <c r="AQ75" i="20"/>
  <c r="AS132" i="20"/>
  <c r="AR146" i="20"/>
  <c r="AR148" i="20"/>
  <c r="AR150" i="20"/>
  <c r="AR145" i="20"/>
  <c r="AR147" i="20"/>
  <c r="AR149" i="20"/>
  <c r="AR144" i="20"/>
  <c r="AR171" i="20"/>
  <c r="AR173" i="20"/>
  <c r="AS134" i="20"/>
  <c r="AR175" i="20"/>
  <c r="AR170" i="20"/>
  <c r="AR172" i="20"/>
  <c r="AR174" i="20"/>
  <c r="AR176" i="20"/>
  <c r="AT213" i="20"/>
  <c r="G157" i="20" s="1"/>
  <c r="AT210" i="20"/>
  <c r="D157" i="20" s="1"/>
  <c r="AT212" i="20"/>
  <c r="F157" i="20" s="1"/>
  <c r="AT211" i="20"/>
  <c r="E157" i="20" s="1"/>
  <c r="AT215" i="20"/>
  <c r="I157" i="20" s="1"/>
  <c r="AU137" i="20"/>
  <c r="AT209" i="20"/>
  <c r="C157" i="20" s="1"/>
  <c r="AT214" i="20"/>
  <c r="H157" i="20" s="1"/>
  <c r="AQ158" i="20"/>
  <c r="AQ163" i="20"/>
  <c r="AQ157" i="20"/>
  <c r="AQ160" i="20"/>
  <c r="AQ162" i="20"/>
  <c r="AR133" i="20"/>
  <c r="AQ159" i="20"/>
  <c r="AQ161" i="20"/>
  <c r="AP102" i="20"/>
  <c r="AP106" i="20"/>
  <c r="AQ93" i="20"/>
  <c r="AP103" i="20"/>
  <c r="AP100" i="20"/>
  <c r="AP104" i="20"/>
  <c r="AP101" i="20"/>
  <c r="AP105" i="20"/>
  <c r="AQ138" i="20"/>
  <c r="AT136" i="20"/>
  <c r="AS198" i="20"/>
  <c r="AS196" i="20"/>
  <c r="AS201" i="20"/>
  <c r="AS197" i="20"/>
  <c r="AS199" i="20"/>
  <c r="AS202" i="20"/>
  <c r="AS200" i="20"/>
  <c r="AP65" i="20"/>
  <c r="AP64" i="20"/>
  <c r="AQ55" i="20"/>
  <c r="AP68" i="20"/>
  <c r="AP63" i="20"/>
  <c r="AP66" i="20"/>
  <c r="AP67" i="20"/>
  <c r="AP62" i="20"/>
  <c r="AQ37" i="20"/>
  <c r="AP47" i="20"/>
  <c r="AP45" i="20"/>
  <c r="AP48" i="20"/>
  <c r="AP44" i="20"/>
  <c r="AP49" i="20"/>
  <c r="AP46" i="20"/>
  <c r="AP50" i="20"/>
  <c r="AR187" i="20"/>
  <c r="AR189" i="20"/>
  <c r="AS135" i="20"/>
  <c r="AR184" i="20"/>
  <c r="AR186" i="20"/>
  <c r="AR188" i="20"/>
  <c r="AR183" i="20"/>
  <c r="AR185" i="20"/>
  <c r="AQ57" i="20"/>
  <c r="AP58" i="20"/>
  <c r="AR848" i="20"/>
  <c r="AQ943" i="20"/>
  <c r="AX882" i="20"/>
  <c r="AY407" i="20"/>
  <c r="AR834" i="20"/>
  <c r="AQ919" i="20"/>
  <c r="AR837" i="20"/>
  <c r="AQ942" i="20"/>
  <c r="AP40" i="20"/>
  <c r="AR631" i="20"/>
  <c r="AQ933" i="20"/>
  <c r="AP157" i="20"/>
  <c r="AP160" i="20"/>
  <c r="AP162" i="20"/>
  <c r="AP161" i="20"/>
  <c r="AP163" i="20"/>
  <c r="AP158" i="20"/>
  <c r="AP159" i="20"/>
  <c r="BC881" i="20"/>
  <c r="BD288" i="20"/>
  <c r="AP917" i="20"/>
  <c r="AQ812" i="20"/>
  <c r="AQ790" i="20"/>
  <c r="AP915" i="20"/>
  <c r="AQ920" i="20"/>
  <c r="AR779" i="20"/>
  <c r="AY313" i="20"/>
  <c r="AX906" i="20"/>
  <c r="AQ823" i="20"/>
  <c r="AP918" i="20"/>
  <c r="AS801" i="20"/>
  <c r="AR916" i="20"/>
  <c r="AQ941" i="20"/>
  <c r="AR826" i="20"/>
  <c r="AP76" i="20"/>
  <c r="AW932" i="20"/>
  <c r="AX457" i="20"/>
  <c r="AS908" i="20"/>
  <c r="AT573" i="20"/>
  <c r="AR945" i="20"/>
  <c r="AS804" i="20"/>
  <c r="AQ940" i="20"/>
  <c r="AR815" i="20"/>
  <c r="AP138" i="20"/>
  <c r="AP96" i="20"/>
  <c r="BN914" i="20"/>
  <c r="BJ521" i="20"/>
  <c r="BJ520" i="20"/>
  <c r="BJ519" i="20"/>
  <c r="BJ522" i="20"/>
  <c r="BJ518" i="20"/>
  <c r="BJ517" i="20"/>
  <c r="BH260" i="20"/>
  <c r="BH262" i="20"/>
  <c r="BH256" i="20"/>
  <c r="BH259" i="20"/>
  <c r="BH261" i="20"/>
  <c r="BH258" i="20"/>
  <c r="BH257" i="20"/>
  <c r="BN617" i="20"/>
  <c r="BN909" i="20" s="1"/>
  <c r="BM909" i="20"/>
  <c r="BK338" i="20"/>
  <c r="BJ931" i="20"/>
  <c r="BH270" i="20"/>
  <c r="BK375" i="20"/>
  <c r="BK514" i="20"/>
  <c r="BK516" i="20" s="1"/>
  <c r="BK386" i="20"/>
  <c r="BK425" i="20"/>
  <c r="BH267" i="20"/>
  <c r="BK446" i="20"/>
  <c r="BK387" i="20"/>
  <c r="BK379" i="20"/>
  <c r="BK381" i="20"/>
  <c r="BK445" i="20"/>
  <c r="BK456" i="20"/>
  <c r="BK388" i="20"/>
  <c r="BK447" i="20"/>
  <c r="BK421" i="20"/>
  <c r="BK398" i="20"/>
  <c r="BK470" i="20"/>
  <c r="BK458" i="20"/>
  <c r="BK410" i="20"/>
  <c r="BK385" i="20"/>
  <c r="BK380" i="20"/>
  <c r="BK459" i="20"/>
  <c r="BK426" i="20"/>
  <c r="BK451" i="20"/>
  <c r="BK449" i="20"/>
  <c r="BK427" i="20"/>
  <c r="BK471" i="20"/>
  <c r="BK441" i="20"/>
  <c r="BH266" i="20"/>
  <c r="BK466" i="20"/>
  <c r="BK465" i="20"/>
  <c r="BK428" i="20"/>
  <c r="BK377" i="20"/>
  <c r="BK400" i="20"/>
  <c r="BK378" i="20"/>
  <c r="BK411" i="20"/>
  <c r="BK450" i="20"/>
  <c r="BH269" i="20"/>
  <c r="BH268" i="20"/>
  <c r="BK401" i="20"/>
  <c r="BK455" i="20"/>
  <c r="BK467" i="20"/>
  <c r="BK420" i="20"/>
  <c r="BK417" i="20"/>
  <c r="BK439" i="20"/>
  <c r="BK396" i="20"/>
  <c r="BK391" i="20"/>
  <c r="BK397" i="20"/>
  <c r="BH272" i="20"/>
  <c r="BK468" i="20"/>
  <c r="BH271" i="20"/>
  <c r="BL373" i="20"/>
  <c r="BK419" i="20"/>
  <c r="BK408" i="20"/>
  <c r="BK395" i="20"/>
  <c r="BK437" i="20"/>
  <c r="BL437" i="20" s="1"/>
  <c r="BK461" i="20"/>
  <c r="BK469" i="20"/>
  <c r="BK405" i="20"/>
  <c r="BK376" i="20"/>
  <c r="BK406" i="20"/>
  <c r="BK430" i="20"/>
  <c r="BK399" i="20"/>
  <c r="BK416" i="20"/>
  <c r="BK440" i="20"/>
  <c r="BK409" i="20"/>
  <c r="BK435" i="20"/>
  <c r="BK436" i="20"/>
  <c r="BK448" i="20"/>
  <c r="BK418" i="20"/>
  <c r="BK389" i="20"/>
  <c r="BK415" i="20"/>
  <c r="BK429" i="20"/>
  <c r="BK390" i="20"/>
  <c r="BK438" i="20"/>
  <c r="BH292" i="20"/>
  <c r="BH291" i="20"/>
  <c r="BH279" i="20"/>
  <c r="BH277" i="20"/>
  <c r="BH290" i="20"/>
  <c r="BH276" i="20"/>
  <c r="BH280" i="20"/>
  <c r="BH282" i="20"/>
  <c r="BH289" i="20"/>
  <c r="BH286" i="20"/>
  <c r="BH287" i="20"/>
  <c r="BH278" i="20"/>
  <c r="BH281" i="20"/>
  <c r="BI254" i="20"/>
  <c r="AR57" i="20" l="1"/>
  <c r="AR95" i="20"/>
  <c r="AR75" i="20"/>
  <c r="AR56" i="20"/>
  <c r="AS186" i="20"/>
  <c r="AT135" i="20"/>
  <c r="AS183" i="20"/>
  <c r="AS184" i="20"/>
  <c r="AS187" i="20"/>
  <c r="AS188" i="20"/>
  <c r="AS189" i="20"/>
  <c r="AS185" i="20"/>
  <c r="AT197" i="20"/>
  <c r="D156" i="20" s="1"/>
  <c r="AT199" i="20"/>
  <c r="F156" i="20" s="1"/>
  <c r="AT201" i="20"/>
  <c r="H156" i="20" s="1"/>
  <c r="AT196" i="20"/>
  <c r="C156" i="20" s="1"/>
  <c r="AT198" i="20"/>
  <c r="E156" i="20" s="1"/>
  <c r="AT200" i="20"/>
  <c r="G156" i="20" s="1"/>
  <c r="AU136" i="20"/>
  <c r="AT202" i="20"/>
  <c r="I156" i="20" s="1"/>
  <c r="AS133" i="20"/>
  <c r="AR162" i="20"/>
  <c r="AR157" i="20"/>
  <c r="AR158" i="20"/>
  <c r="AR159" i="20"/>
  <c r="AR163" i="20"/>
  <c r="AR161" i="20"/>
  <c r="AR160" i="20"/>
  <c r="AS170" i="20"/>
  <c r="AS176" i="20"/>
  <c r="AS171" i="20"/>
  <c r="AS175" i="20"/>
  <c r="AS173" i="20"/>
  <c r="AS172" i="20"/>
  <c r="AS174" i="20"/>
  <c r="AT134" i="20"/>
  <c r="AQ66" i="20"/>
  <c r="AQ68" i="20"/>
  <c r="AQ63" i="20"/>
  <c r="AQ65" i="20"/>
  <c r="AR55" i="20"/>
  <c r="AQ67" i="20"/>
  <c r="AQ62" i="20"/>
  <c r="AQ64" i="20"/>
  <c r="AQ58" i="20"/>
  <c r="AU210" i="20"/>
  <c r="AU214" i="20"/>
  <c r="AU211" i="20"/>
  <c r="AU215" i="20"/>
  <c r="AU209" i="20"/>
  <c r="AV137" i="20"/>
  <c r="AU212" i="20"/>
  <c r="AU213" i="20"/>
  <c r="AR39" i="20"/>
  <c r="AQ45" i="20"/>
  <c r="AQ49" i="20"/>
  <c r="AQ50" i="20"/>
  <c r="AQ47" i="20"/>
  <c r="AR37" i="20"/>
  <c r="AQ46" i="20"/>
  <c r="AQ44" i="20"/>
  <c r="AQ48" i="20"/>
  <c r="AQ40" i="20"/>
  <c r="AR38" i="20"/>
  <c r="AQ81" i="20"/>
  <c r="AQ82" i="20"/>
  <c r="AQ80" i="20"/>
  <c r="AQ83" i="20"/>
  <c r="AR73" i="20"/>
  <c r="AQ85" i="20"/>
  <c r="AQ86" i="20"/>
  <c r="AQ84" i="20"/>
  <c r="AQ76" i="20"/>
  <c r="AR74" i="20"/>
  <c r="AQ103" i="20"/>
  <c r="AQ101" i="20"/>
  <c r="AQ102" i="20"/>
  <c r="AQ100" i="20"/>
  <c r="AR93" i="20"/>
  <c r="AQ106" i="20"/>
  <c r="AQ105" i="20"/>
  <c r="AQ104" i="20"/>
  <c r="AQ96" i="20"/>
  <c r="AR138" i="20"/>
  <c r="AT132" i="20"/>
  <c r="AS145" i="20"/>
  <c r="AS147" i="20"/>
  <c r="AS149" i="20"/>
  <c r="AS144" i="20"/>
  <c r="AS146" i="20"/>
  <c r="AS148" i="20"/>
  <c r="AS150" i="20"/>
  <c r="AS138" i="20"/>
  <c r="AR94" i="20"/>
  <c r="AU573" i="20"/>
  <c r="AT908" i="20"/>
  <c r="AT801" i="20"/>
  <c r="AS916" i="20"/>
  <c r="AZ313" i="20"/>
  <c r="AY906" i="20"/>
  <c r="AS834" i="20"/>
  <c r="AR919" i="20"/>
  <c r="AR943" i="20"/>
  <c r="AS848" i="20"/>
  <c r="AR940" i="20"/>
  <c r="AS815" i="20"/>
  <c r="AS631" i="20"/>
  <c r="AR933" i="20"/>
  <c r="AS945" i="20"/>
  <c r="AT804" i="20"/>
  <c r="AX932" i="20"/>
  <c r="AY457" i="20"/>
  <c r="AR941" i="20"/>
  <c r="AS826" i="20"/>
  <c r="AR790" i="20"/>
  <c r="AQ915" i="20"/>
  <c r="BD881" i="20"/>
  <c r="BE288" i="20"/>
  <c r="AY882" i="20"/>
  <c r="AZ407" i="20"/>
  <c r="AQ918" i="20"/>
  <c r="AR823" i="20"/>
  <c r="AR920" i="20"/>
  <c r="AS779" i="20"/>
  <c r="AQ917" i="20"/>
  <c r="AR812" i="20"/>
  <c r="AR942" i="20"/>
  <c r="AS837" i="20"/>
  <c r="BK518" i="20"/>
  <c r="BL435" i="20"/>
  <c r="BL399" i="20"/>
  <c r="BL405" i="20"/>
  <c r="BL418" i="20"/>
  <c r="BL429" i="20"/>
  <c r="BK517" i="20"/>
  <c r="BK522" i="20"/>
  <c r="BK519" i="20"/>
  <c r="BK520" i="20"/>
  <c r="BK521" i="20"/>
  <c r="BI259" i="20"/>
  <c r="BI257" i="20"/>
  <c r="BI256" i="20"/>
  <c r="BI258" i="20"/>
  <c r="BI262" i="20"/>
  <c r="BI261" i="20"/>
  <c r="BI260" i="20"/>
  <c r="BL338" i="20"/>
  <c r="BK931" i="20"/>
  <c r="BI270" i="20"/>
  <c r="BL438" i="20"/>
  <c r="BL440" i="20"/>
  <c r="BL406" i="20"/>
  <c r="BL408" i="20"/>
  <c r="E149" i="20"/>
  <c r="E29" i="20"/>
  <c r="D149" i="20"/>
  <c r="D29" i="20"/>
  <c r="G149" i="20"/>
  <c r="G29" i="20"/>
  <c r="F149" i="20"/>
  <c r="F29" i="20"/>
  <c r="C149" i="20"/>
  <c r="C29" i="20"/>
  <c r="I149" i="20"/>
  <c r="I29" i="20"/>
  <c r="H149" i="20"/>
  <c r="H29" i="20"/>
  <c r="BL425" i="20"/>
  <c r="BL514" i="20"/>
  <c r="BL516" i="20" s="1"/>
  <c r="BL390" i="20"/>
  <c r="BL389" i="20"/>
  <c r="BL436" i="20"/>
  <c r="BL416" i="20"/>
  <c r="BL376" i="20"/>
  <c r="BL461" i="20"/>
  <c r="BL419" i="20"/>
  <c r="BL387" i="20"/>
  <c r="BL415" i="20"/>
  <c r="BL448" i="20"/>
  <c r="BL409" i="20"/>
  <c r="BL430" i="20"/>
  <c r="BL469" i="20"/>
  <c r="BL395" i="20"/>
  <c r="BL381" i="20"/>
  <c r="BL468" i="20"/>
  <c r="BL391" i="20"/>
  <c r="BL420" i="20"/>
  <c r="BL411" i="20"/>
  <c r="BL428" i="20"/>
  <c r="BL449" i="20"/>
  <c r="BL380" i="20"/>
  <c r="BL386" i="20"/>
  <c r="BL398" i="20"/>
  <c r="BL379" i="20"/>
  <c r="BL396" i="20"/>
  <c r="BL467" i="20"/>
  <c r="BL378" i="20"/>
  <c r="BL465" i="20"/>
  <c r="BL441" i="20"/>
  <c r="BL451" i="20"/>
  <c r="BL421" i="20"/>
  <c r="BL458" i="20"/>
  <c r="BI268" i="20"/>
  <c r="BI267" i="20"/>
  <c r="BI266" i="20"/>
  <c r="BL447" i="20"/>
  <c r="BI269" i="20"/>
  <c r="BM373" i="20"/>
  <c r="BL446" i="20"/>
  <c r="BL470" i="20"/>
  <c r="BL445" i="20"/>
  <c r="BI272" i="20"/>
  <c r="BL439" i="20"/>
  <c r="BL455" i="20"/>
  <c r="BL400" i="20"/>
  <c r="BL466" i="20"/>
  <c r="BM466" i="20" s="1"/>
  <c r="BL471" i="20"/>
  <c r="BL426" i="20"/>
  <c r="BL385" i="20"/>
  <c r="BL388" i="20"/>
  <c r="BM388" i="20" s="1"/>
  <c r="BL375" i="20"/>
  <c r="BM375" i="20" s="1"/>
  <c r="BL460" i="20"/>
  <c r="BM460" i="20" s="1"/>
  <c r="BL456" i="20"/>
  <c r="BM456" i="20" s="1"/>
  <c r="BI271" i="20"/>
  <c r="BL397" i="20"/>
  <c r="BM397" i="20" s="1"/>
  <c r="BL417" i="20"/>
  <c r="BL401" i="20"/>
  <c r="BM401" i="20" s="1"/>
  <c r="BL450" i="20"/>
  <c r="BM450" i="20" s="1"/>
  <c r="BL377" i="20"/>
  <c r="BM377" i="20" s="1"/>
  <c r="BL427" i="20"/>
  <c r="BL459" i="20"/>
  <c r="BM459" i="20" s="1"/>
  <c r="BL410" i="20"/>
  <c r="BM410" i="20" s="1"/>
  <c r="BI279" i="20"/>
  <c r="BI286" i="20"/>
  <c r="BI280" i="20"/>
  <c r="BI289" i="20"/>
  <c r="BI287" i="20"/>
  <c r="BI282" i="20"/>
  <c r="BI276" i="20"/>
  <c r="BI291" i="20"/>
  <c r="BI281" i="20"/>
  <c r="BI278" i="20"/>
  <c r="BI290" i="20"/>
  <c r="BI277" i="20"/>
  <c r="BI292" i="20"/>
  <c r="BJ254" i="20"/>
  <c r="E24" i="13"/>
  <c r="AS57" i="20" l="1"/>
  <c r="AS94" i="20"/>
  <c r="AS74" i="20"/>
  <c r="AS38" i="20"/>
  <c r="G151" i="20"/>
  <c r="G31" i="20"/>
  <c r="C151" i="20"/>
  <c r="C31" i="20"/>
  <c r="H30" i="20"/>
  <c r="H150" i="20"/>
  <c r="E30" i="20"/>
  <c r="E150" i="20"/>
  <c r="H151" i="20"/>
  <c r="H31" i="20"/>
  <c r="E31" i="20"/>
  <c r="E151" i="20"/>
  <c r="D150" i="20"/>
  <c r="D30" i="20"/>
  <c r="I31" i="20"/>
  <c r="I151" i="20"/>
  <c r="D151" i="20"/>
  <c r="D31" i="20"/>
  <c r="G30" i="20"/>
  <c r="G150" i="20"/>
  <c r="F30" i="20"/>
  <c r="F150" i="20"/>
  <c r="F31" i="20"/>
  <c r="F151" i="20"/>
  <c r="I150" i="20"/>
  <c r="I30" i="20"/>
  <c r="C30" i="20"/>
  <c r="C150" i="20"/>
  <c r="AR82" i="20"/>
  <c r="AR86" i="20"/>
  <c r="AS73" i="20"/>
  <c r="AR80" i="20"/>
  <c r="AR81" i="20"/>
  <c r="AR83" i="20"/>
  <c r="AR84" i="20"/>
  <c r="AR85" i="20"/>
  <c r="AR76" i="20"/>
  <c r="AS39" i="20"/>
  <c r="AU197" i="20"/>
  <c r="AU199" i="20"/>
  <c r="AU201" i="20"/>
  <c r="AU196" i="20"/>
  <c r="AU198" i="20"/>
  <c r="AU200" i="20"/>
  <c r="AU202" i="20"/>
  <c r="AV136" i="20"/>
  <c r="AR106" i="20"/>
  <c r="AR103" i="20"/>
  <c r="AS93" i="20"/>
  <c r="AR102" i="20"/>
  <c r="AR104" i="20"/>
  <c r="AR101" i="20"/>
  <c r="AR100" i="20"/>
  <c r="AR105" i="20"/>
  <c r="AR96" i="20"/>
  <c r="AR62" i="20"/>
  <c r="AR66" i="20"/>
  <c r="AS55" i="20"/>
  <c r="AR63" i="20"/>
  <c r="AR67" i="20"/>
  <c r="AR64" i="20"/>
  <c r="AR65" i="20"/>
  <c r="AR68" i="20"/>
  <c r="AR58" i="20"/>
  <c r="AT183" i="20"/>
  <c r="C155" i="20" s="1"/>
  <c r="AU135" i="20"/>
  <c r="AT185" i="20"/>
  <c r="E155" i="20" s="1"/>
  <c r="AT187" i="20"/>
  <c r="G155" i="20" s="1"/>
  <c r="AT184" i="20"/>
  <c r="D155" i="20" s="1"/>
  <c r="AT186" i="20"/>
  <c r="F155" i="20" s="1"/>
  <c r="AT188" i="20"/>
  <c r="H155" i="20" s="1"/>
  <c r="AT189" i="20"/>
  <c r="I155" i="20" s="1"/>
  <c r="AS95" i="20"/>
  <c r="AT95" i="20" s="1"/>
  <c r="AR49" i="20"/>
  <c r="AR44" i="20"/>
  <c r="AR40" i="20"/>
  <c r="AR47" i="20"/>
  <c r="AR45" i="20"/>
  <c r="AR46" i="20"/>
  <c r="AR48" i="20"/>
  <c r="AS37" i="20"/>
  <c r="AR50" i="20"/>
  <c r="AS75" i="20"/>
  <c r="AT75" i="20" s="1"/>
  <c r="AT133" i="20"/>
  <c r="AT138" i="20" s="1"/>
  <c r="AS160" i="20"/>
  <c r="AS157" i="20"/>
  <c r="AS158" i="20"/>
  <c r="AS163" i="20"/>
  <c r="AS161" i="20"/>
  <c r="AS159" i="20"/>
  <c r="AS162" i="20"/>
  <c r="AT149" i="20"/>
  <c r="H152" i="20" s="1"/>
  <c r="AT145" i="20"/>
  <c r="D152" i="20" s="1"/>
  <c r="AT146" i="20"/>
  <c r="E152" i="20" s="1"/>
  <c r="AT150" i="20"/>
  <c r="I152" i="20" s="1"/>
  <c r="AT144" i="20"/>
  <c r="C152" i="20" s="1"/>
  <c r="AT148" i="20"/>
  <c r="G152" i="20" s="1"/>
  <c r="AT147" i="20"/>
  <c r="F152" i="20" s="1"/>
  <c r="AU132" i="20"/>
  <c r="AV209" i="20"/>
  <c r="AW137" i="20"/>
  <c r="AV212" i="20"/>
  <c r="AV213" i="20"/>
  <c r="AV214" i="20"/>
  <c r="AV210" i="20"/>
  <c r="AV215" i="20"/>
  <c r="AV211" i="20"/>
  <c r="AT173" i="20"/>
  <c r="F154" i="20" s="1"/>
  <c r="AT175" i="20"/>
  <c r="H154" i="20" s="1"/>
  <c r="AT170" i="20"/>
  <c r="C154" i="20" s="1"/>
  <c r="AT172" i="20"/>
  <c r="E154" i="20" s="1"/>
  <c r="AT174" i="20"/>
  <c r="G154" i="20" s="1"/>
  <c r="AT176" i="20"/>
  <c r="I154" i="20" s="1"/>
  <c r="AT171" i="20"/>
  <c r="D154" i="20" s="1"/>
  <c r="AU134" i="20"/>
  <c r="AS56" i="20"/>
  <c r="F24" i="13"/>
  <c r="G24" i="13"/>
  <c r="H24" i="13"/>
  <c r="I24" i="13"/>
  <c r="J24" i="13"/>
  <c r="K24" i="13"/>
  <c r="L24" i="13"/>
  <c r="M24" i="13"/>
  <c r="N24" i="13"/>
  <c r="O24" i="13"/>
  <c r="P24" i="13"/>
  <c r="Q24" i="13"/>
  <c r="R24" i="13"/>
  <c r="S24" i="13"/>
  <c r="T24" i="13"/>
  <c r="U24" i="13"/>
  <c r="V24" i="13"/>
  <c r="W24" i="13"/>
  <c r="X24" i="13"/>
  <c r="Y24" i="13"/>
  <c r="Z24" i="13"/>
  <c r="AA24" i="13"/>
  <c r="AB24" i="13"/>
  <c r="AC24" i="13"/>
  <c r="AD24" i="13"/>
  <c r="AE24" i="13"/>
  <c r="AF24" i="13"/>
  <c r="AG24" i="13"/>
  <c r="AH24" i="13"/>
  <c r="AI24" i="13"/>
  <c r="AJ24" i="13"/>
  <c r="AK24" i="13"/>
  <c r="AS790" i="20"/>
  <c r="AR915" i="20"/>
  <c r="AT834" i="20"/>
  <c r="AS919" i="20"/>
  <c r="AT837" i="20"/>
  <c r="AS942" i="20"/>
  <c r="AS920" i="20"/>
  <c r="AT779" i="20"/>
  <c r="AT848" i="20"/>
  <c r="AS943" i="20"/>
  <c r="BE881" i="20"/>
  <c r="BF288" i="20"/>
  <c r="AZ882" i="20"/>
  <c r="BA407" i="20"/>
  <c r="AT826" i="20"/>
  <c r="AS941" i="20"/>
  <c r="AT945" i="20"/>
  <c r="AU804" i="20"/>
  <c r="AT631" i="20"/>
  <c r="AS933" i="20"/>
  <c r="BA313" i="20"/>
  <c r="AZ906" i="20"/>
  <c r="AY932" i="20"/>
  <c r="AZ457" i="20"/>
  <c r="AU801" i="20"/>
  <c r="AT916" i="20"/>
  <c r="AR917" i="20"/>
  <c r="AS812" i="20"/>
  <c r="AR918" i="20"/>
  <c r="AS823" i="20"/>
  <c r="AT815" i="20"/>
  <c r="AS940" i="20"/>
  <c r="AV573" i="20"/>
  <c r="AU908" i="20"/>
  <c r="BM455" i="20"/>
  <c r="BM471" i="20"/>
  <c r="BM427" i="20"/>
  <c r="BM417" i="20"/>
  <c r="BM385" i="20"/>
  <c r="BM439" i="20"/>
  <c r="BM400" i="20"/>
  <c r="BM379" i="20"/>
  <c r="BL518" i="20"/>
  <c r="BL521" i="20"/>
  <c r="BL522" i="20"/>
  <c r="BL520" i="20"/>
  <c r="BL517" i="20"/>
  <c r="BL519" i="20"/>
  <c r="BM448" i="20"/>
  <c r="BJ260" i="20"/>
  <c r="BJ256" i="20"/>
  <c r="BM391" i="20"/>
  <c r="BM469" i="20"/>
  <c r="BM415" i="20"/>
  <c r="BJ261" i="20"/>
  <c r="BJ257" i="20"/>
  <c r="BJ262" i="20"/>
  <c r="BJ259" i="20"/>
  <c r="BM408" i="20"/>
  <c r="BJ258" i="20"/>
  <c r="BM338" i="20"/>
  <c r="BL931" i="20"/>
  <c r="BM440" i="20"/>
  <c r="BM395" i="20"/>
  <c r="BM461" i="20"/>
  <c r="BM389" i="20"/>
  <c r="BM425" i="20"/>
  <c r="BM381" i="20"/>
  <c r="BM409" i="20"/>
  <c r="I148" i="20"/>
  <c r="I28" i="20"/>
  <c r="E148" i="20"/>
  <c r="E28" i="20"/>
  <c r="H148" i="20"/>
  <c r="H28" i="20"/>
  <c r="D148" i="20"/>
  <c r="D28" i="20"/>
  <c r="G148" i="20"/>
  <c r="G28" i="20"/>
  <c r="C148" i="20"/>
  <c r="C28" i="20"/>
  <c r="F148" i="20"/>
  <c r="F28" i="20"/>
  <c r="BM446" i="20"/>
  <c r="BM449" i="20"/>
  <c r="BM380" i="20"/>
  <c r="BM406" i="20"/>
  <c r="BM426" i="20"/>
  <c r="BM405" i="20"/>
  <c r="BM398" i="20"/>
  <c r="BM430" i="20"/>
  <c r="BM387" i="20"/>
  <c r="BM416" i="20"/>
  <c r="BM514" i="20"/>
  <c r="BM516" i="20" s="1"/>
  <c r="BM429" i="20"/>
  <c r="BM421" i="20"/>
  <c r="BM378" i="20"/>
  <c r="BM441" i="20"/>
  <c r="BM396" i="20"/>
  <c r="BJ286" i="20"/>
  <c r="BJ266" i="20"/>
  <c r="BM458" i="20"/>
  <c r="BM419" i="20"/>
  <c r="BM420" i="20"/>
  <c r="BJ269" i="20"/>
  <c r="BM376" i="20"/>
  <c r="BM468" i="20"/>
  <c r="BM470" i="20"/>
  <c r="BM399" i="20"/>
  <c r="BM467" i="20"/>
  <c r="BJ267" i="20"/>
  <c r="BJ271" i="20"/>
  <c r="BJ272" i="20"/>
  <c r="BN373" i="20"/>
  <c r="BM435" i="20"/>
  <c r="BM451" i="20"/>
  <c r="BM436" i="20"/>
  <c r="BM428" i="20"/>
  <c r="BM386" i="20"/>
  <c r="BM438" i="20"/>
  <c r="BJ268" i="20"/>
  <c r="BM445" i="20"/>
  <c r="BM437" i="20"/>
  <c r="BM418" i="20"/>
  <c r="BM465" i="20"/>
  <c r="BM447" i="20"/>
  <c r="BM390" i="20"/>
  <c r="BM411" i="20"/>
  <c r="BJ270" i="20"/>
  <c r="BJ281" i="20"/>
  <c r="BJ277" i="20"/>
  <c r="BJ276" i="20"/>
  <c r="BJ290" i="20"/>
  <c r="BJ287" i="20"/>
  <c r="BJ280" i="20"/>
  <c r="BJ279" i="20"/>
  <c r="BJ282" i="20"/>
  <c r="BJ289" i="20"/>
  <c r="BJ292" i="20"/>
  <c r="BJ278" i="20"/>
  <c r="BJ291" i="20"/>
  <c r="BK254" i="20"/>
  <c r="Y584" i="11"/>
  <c r="Y401" i="11"/>
  <c r="Y403" i="11" l="1"/>
  <c r="Y407" i="11"/>
  <c r="AT56" i="20"/>
  <c r="AT38" i="20"/>
  <c r="AT74" i="20"/>
  <c r="AT94" i="20"/>
  <c r="AU171" i="20"/>
  <c r="AU172" i="20"/>
  <c r="AU175" i="20"/>
  <c r="AU176" i="20"/>
  <c r="AU173" i="20"/>
  <c r="AU174" i="20"/>
  <c r="AU170" i="20"/>
  <c r="AV134" i="20"/>
  <c r="AT57" i="20"/>
  <c r="AS46" i="20"/>
  <c r="AS50" i="20"/>
  <c r="AS40" i="20"/>
  <c r="AS47" i="20"/>
  <c r="AS44" i="20"/>
  <c r="AS45" i="20"/>
  <c r="AS49" i="20"/>
  <c r="AT37" i="20"/>
  <c r="AS48" i="20"/>
  <c r="AU186" i="20"/>
  <c r="AV135" i="20"/>
  <c r="AU183" i="20"/>
  <c r="AU184" i="20"/>
  <c r="AU187" i="20"/>
  <c r="AU188" i="20"/>
  <c r="AU185" i="20"/>
  <c r="AU189" i="20"/>
  <c r="AS67" i="20"/>
  <c r="AS68" i="20"/>
  <c r="AT55" i="20"/>
  <c r="AS62" i="20"/>
  <c r="AS66" i="20"/>
  <c r="AS63" i="20"/>
  <c r="AS64" i="20"/>
  <c r="AS65" i="20"/>
  <c r="AS58" i="20"/>
  <c r="AS81" i="20"/>
  <c r="AS83" i="20"/>
  <c r="AS85" i="20"/>
  <c r="AS84" i="20"/>
  <c r="AT73" i="20"/>
  <c r="AS86" i="20"/>
  <c r="AS82" i="20"/>
  <c r="AS80" i="20"/>
  <c r="AS76" i="20"/>
  <c r="AW210" i="20"/>
  <c r="AW213" i="20"/>
  <c r="AW215" i="20"/>
  <c r="AW212" i="20"/>
  <c r="AW214" i="20"/>
  <c r="AW209" i="20"/>
  <c r="AW211" i="20"/>
  <c r="AX137" i="20"/>
  <c r="AU133" i="20"/>
  <c r="AU138" i="20" s="1"/>
  <c r="AT157" i="20"/>
  <c r="C153" i="20" s="1"/>
  <c r="AT160" i="20"/>
  <c r="F153" i="20" s="1"/>
  <c r="AT161" i="20"/>
  <c r="G153" i="20" s="1"/>
  <c r="AT163" i="20"/>
  <c r="I153" i="20" s="1"/>
  <c r="AT159" i="20"/>
  <c r="E153" i="20" s="1"/>
  <c r="AT158" i="20"/>
  <c r="D153" i="20" s="1"/>
  <c r="AT162" i="20"/>
  <c r="H153" i="20" s="1"/>
  <c r="AV196" i="20"/>
  <c r="AV197" i="20"/>
  <c r="AV202" i="20"/>
  <c r="AV200" i="20"/>
  <c r="AV198" i="20"/>
  <c r="AV201" i="20"/>
  <c r="AV199" i="20"/>
  <c r="AW136" i="20"/>
  <c r="AT39" i="20"/>
  <c r="AU56" i="20"/>
  <c r="AU145" i="20"/>
  <c r="AU146" i="20"/>
  <c r="AU144" i="20"/>
  <c r="AU149" i="20"/>
  <c r="AU150" i="20"/>
  <c r="AU148" i="20"/>
  <c r="AU147" i="20"/>
  <c r="AV132" i="20"/>
  <c r="AU75" i="20"/>
  <c r="AS106" i="20"/>
  <c r="AS105" i="20"/>
  <c r="AS104" i="20"/>
  <c r="AT93" i="20"/>
  <c r="AS102" i="20"/>
  <c r="AS103" i="20"/>
  <c r="AS100" i="20"/>
  <c r="AS101" i="20"/>
  <c r="AS96" i="20"/>
  <c r="AT933" i="20"/>
  <c r="AU631" i="20"/>
  <c r="AT920" i="20"/>
  <c r="AU779" i="20"/>
  <c r="AV908" i="20"/>
  <c r="AW573" i="20"/>
  <c r="AT823" i="20"/>
  <c r="AS918" i="20"/>
  <c r="AU945" i="20"/>
  <c r="AV804" i="20"/>
  <c r="BA882" i="20"/>
  <c r="BB407" i="20"/>
  <c r="AU848" i="20"/>
  <c r="AT943" i="20"/>
  <c r="AU834" i="20"/>
  <c r="AT919" i="20"/>
  <c r="AU826" i="20"/>
  <c r="AT941" i="20"/>
  <c r="BF881" i="20"/>
  <c r="BG288" i="20"/>
  <c r="AV801" i="20"/>
  <c r="AU916" i="20"/>
  <c r="BA906" i="20"/>
  <c r="BB313" i="20"/>
  <c r="AU815" i="20"/>
  <c r="AT940" i="20"/>
  <c r="AS917" i="20"/>
  <c r="AT812" i="20"/>
  <c r="BA457" i="20"/>
  <c r="AZ932" i="20"/>
  <c r="AU837" i="20"/>
  <c r="AT942" i="20"/>
  <c r="AS915" i="20"/>
  <c r="AT790" i="20"/>
  <c r="BN427" i="20"/>
  <c r="BN436" i="20"/>
  <c r="BM520" i="20"/>
  <c r="BM519" i="20"/>
  <c r="BM522" i="20"/>
  <c r="BM518" i="20"/>
  <c r="BM521" i="20"/>
  <c r="BM517" i="20"/>
  <c r="BK258" i="20"/>
  <c r="BK257" i="20"/>
  <c r="BK261" i="20"/>
  <c r="BK256" i="20"/>
  <c r="BK259" i="20"/>
  <c r="BK260" i="20"/>
  <c r="BK262" i="20"/>
  <c r="BN338" i="20"/>
  <c r="BN931" i="20" s="1"/>
  <c r="BM931" i="20"/>
  <c r="BN514" i="20"/>
  <c r="BN516" i="20" s="1"/>
  <c r="BN416" i="20"/>
  <c r="BN429" i="20"/>
  <c r="BN390" i="20"/>
  <c r="BN437" i="20"/>
  <c r="BN387" i="20"/>
  <c r="BN468" i="20"/>
  <c r="BN421" i="20"/>
  <c r="BN375" i="20"/>
  <c r="BN460" i="20"/>
  <c r="BK271" i="20"/>
  <c r="BK270" i="20"/>
  <c r="BN447" i="20"/>
  <c r="BN445" i="20"/>
  <c r="BN378" i="20"/>
  <c r="BN446" i="20"/>
  <c r="BN397" i="20"/>
  <c r="BK266" i="20"/>
  <c r="BN385" i="20"/>
  <c r="BN449" i="20"/>
  <c r="BK269" i="20"/>
  <c r="BN415" i="20"/>
  <c r="BN388" i="20"/>
  <c r="BN419" i="20"/>
  <c r="BN417" i="20"/>
  <c r="BN428" i="20"/>
  <c r="BN435" i="20"/>
  <c r="BN379" i="20"/>
  <c r="BN466" i="20"/>
  <c r="BN469" i="20"/>
  <c r="BN450" i="20"/>
  <c r="BN455" i="20"/>
  <c r="BN465" i="20"/>
  <c r="BN380" i="20"/>
  <c r="BN456" i="20"/>
  <c r="BN467" i="20"/>
  <c r="BK268" i="20"/>
  <c r="BN410" i="20"/>
  <c r="BN405" i="20"/>
  <c r="BN396" i="20"/>
  <c r="BN438" i="20"/>
  <c r="BK272" i="20"/>
  <c r="BN391" i="20"/>
  <c r="BN448" i="20"/>
  <c r="BN459" i="20"/>
  <c r="BN458" i="20"/>
  <c r="BN440" i="20"/>
  <c r="BN471" i="20"/>
  <c r="BN406" i="20"/>
  <c r="BN441" i="20"/>
  <c r="BN376" i="20"/>
  <c r="BN408" i="20"/>
  <c r="BN377" i="20"/>
  <c r="BN425" i="20"/>
  <c r="BN411" i="20"/>
  <c r="BN418" i="20"/>
  <c r="BN426" i="20"/>
  <c r="BN461" i="20"/>
  <c r="BN401" i="20"/>
  <c r="BN399" i="20"/>
  <c r="BN389" i="20"/>
  <c r="BN420" i="20"/>
  <c r="BN470" i="20"/>
  <c r="BN430" i="20"/>
  <c r="BN386" i="20"/>
  <c r="BN451" i="20"/>
  <c r="BN400" i="20"/>
  <c r="BN398" i="20"/>
  <c r="BN395" i="20"/>
  <c r="BN439" i="20"/>
  <c r="BN409" i="20"/>
  <c r="BK267" i="20"/>
  <c r="BN381" i="20"/>
  <c r="BK276" i="20"/>
  <c r="BK292" i="20"/>
  <c r="BK280" i="20"/>
  <c r="BK279" i="20"/>
  <c r="BK287" i="20"/>
  <c r="BK278" i="20"/>
  <c r="BK277" i="20"/>
  <c r="BK286" i="20"/>
  <c r="BK291" i="20"/>
  <c r="BK289" i="20"/>
  <c r="BK281" i="20"/>
  <c r="BK282" i="20"/>
  <c r="BK290" i="20"/>
  <c r="BL254" i="20"/>
  <c r="Z584" i="11"/>
  <c r="Z401" i="11"/>
  <c r="Z407" i="11" l="1"/>
  <c r="Z403" i="11"/>
  <c r="AU39" i="20"/>
  <c r="AT105" i="20"/>
  <c r="AT100" i="20"/>
  <c r="AU93" i="20"/>
  <c r="AT104" i="20"/>
  <c r="AT106" i="20"/>
  <c r="AT102" i="20"/>
  <c r="AT103" i="20"/>
  <c r="AT101" i="20"/>
  <c r="AT96" i="20"/>
  <c r="AW201" i="20"/>
  <c r="AW199" i="20"/>
  <c r="AW202" i="20"/>
  <c r="AX136" i="20"/>
  <c r="AW196" i="20"/>
  <c r="AW197" i="20"/>
  <c r="AW200" i="20"/>
  <c r="AW198" i="20"/>
  <c r="AU94" i="20"/>
  <c r="AU163" i="20"/>
  <c r="AU157" i="20"/>
  <c r="AV133" i="20"/>
  <c r="AV138" i="20" s="1"/>
  <c r="AU162" i="20"/>
  <c r="AU160" i="20"/>
  <c r="AU161" i="20"/>
  <c r="AU158" i="20"/>
  <c r="AU159" i="20"/>
  <c r="AT67" i="20"/>
  <c r="AT68" i="20"/>
  <c r="AT62" i="20"/>
  <c r="AT66" i="20"/>
  <c r="AT63" i="20"/>
  <c r="AT64" i="20"/>
  <c r="AT65" i="20"/>
  <c r="AU55" i="20"/>
  <c r="AT58" i="20"/>
  <c r="AX209" i="20"/>
  <c r="AX214" i="20"/>
  <c r="AX212" i="20"/>
  <c r="AX211" i="20"/>
  <c r="AX210" i="20"/>
  <c r="AX215" i="20"/>
  <c r="AX213" i="20"/>
  <c r="AY137" i="20"/>
  <c r="AT84" i="20"/>
  <c r="AT81" i="20"/>
  <c r="AT85" i="20"/>
  <c r="AU73" i="20"/>
  <c r="AT82" i="20"/>
  <c r="AT86" i="20"/>
  <c r="AT83" i="20"/>
  <c r="AT80" i="20"/>
  <c r="AT76" i="20"/>
  <c r="AV188" i="20"/>
  <c r="AV186" i="20"/>
  <c r="AV183" i="20"/>
  <c r="AV187" i="20"/>
  <c r="AW135" i="20"/>
  <c r="AV184" i="20"/>
  <c r="AV185" i="20"/>
  <c r="AV189" i="20"/>
  <c r="AT50" i="20"/>
  <c r="AT47" i="20"/>
  <c r="AT40" i="20"/>
  <c r="AT44" i="20"/>
  <c r="AT48" i="20"/>
  <c r="AT45" i="20"/>
  <c r="AT49" i="20"/>
  <c r="AU37" i="20"/>
  <c r="AT46" i="20"/>
  <c r="AU74" i="20"/>
  <c r="AV144" i="20"/>
  <c r="AV146" i="20"/>
  <c r="AV148" i="20"/>
  <c r="AV150" i="20"/>
  <c r="AV145" i="20"/>
  <c r="AV147" i="20"/>
  <c r="AV149" i="20"/>
  <c r="AW132" i="20"/>
  <c r="AU57" i="20"/>
  <c r="AU95" i="20"/>
  <c r="AV172" i="20"/>
  <c r="AV171" i="20"/>
  <c r="AV176" i="20"/>
  <c r="AV173" i="20"/>
  <c r="AV170" i="20"/>
  <c r="AV175" i="20"/>
  <c r="AV174" i="20"/>
  <c r="AW134" i="20"/>
  <c r="AU38" i="20"/>
  <c r="AV834" i="20"/>
  <c r="AU919" i="20"/>
  <c r="AV945" i="20"/>
  <c r="AW804" i="20"/>
  <c r="AT915" i="20"/>
  <c r="AU790" i="20"/>
  <c r="AT917" i="20"/>
  <c r="AU812" i="20"/>
  <c r="AU823" i="20"/>
  <c r="AT918" i="20"/>
  <c r="AW801" i="20"/>
  <c r="AV916" i="20"/>
  <c r="AV826" i="20"/>
  <c r="AU941" i="20"/>
  <c r="AV848" i="20"/>
  <c r="AU943" i="20"/>
  <c r="AX573" i="20"/>
  <c r="AW908" i="20"/>
  <c r="AV631" i="20"/>
  <c r="AU933" i="20"/>
  <c r="AU920" i="20"/>
  <c r="AV779" i="20"/>
  <c r="AV837" i="20"/>
  <c r="AU942" i="20"/>
  <c r="BA932" i="20"/>
  <c r="BB457" i="20"/>
  <c r="AV815" i="20"/>
  <c r="AU940" i="20"/>
  <c r="BC313" i="20"/>
  <c r="BB906" i="20"/>
  <c r="BG881" i="20"/>
  <c r="BH288" i="20"/>
  <c r="BB882" i="20"/>
  <c r="BC407" i="20"/>
  <c r="BN522" i="20"/>
  <c r="BN517" i="20"/>
  <c r="BN519" i="20"/>
  <c r="BN521" i="20"/>
  <c r="BN520" i="20"/>
  <c r="BN518" i="20"/>
  <c r="BL262" i="20"/>
  <c r="BL261" i="20"/>
  <c r="BL260" i="20"/>
  <c r="BL259" i="20"/>
  <c r="BL257" i="20"/>
  <c r="BL256" i="20"/>
  <c r="BL258" i="20"/>
  <c r="BL272" i="20"/>
  <c r="BL266" i="20"/>
  <c r="BL270" i="20"/>
  <c r="BL268" i="20"/>
  <c r="BL271" i="20"/>
  <c r="BL267" i="20"/>
  <c r="BL269" i="20"/>
  <c r="BL290" i="20"/>
  <c r="BL291" i="20"/>
  <c r="BL281" i="20"/>
  <c r="BL277" i="20"/>
  <c r="BL279" i="20"/>
  <c r="BL280" i="20"/>
  <c r="BL289" i="20"/>
  <c r="BL292" i="20"/>
  <c r="BL287" i="20"/>
  <c r="BL282" i="20"/>
  <c r="BL286" i="20"/>
  <c r="BL278" i="20"/>
  <c r="BL276" i="20"/>
  <c r="BM254" i="20"/>
  <c r="AA584" i="11"/>
  <c r="AA401" i="11"/>
  <c r="AA407" i="11" l="1"/>
  <c r="AA403" i="11"/>
  <c r="AV57" i="20"/>
  <c r="AV38" i="20"/>
  <c r="AV74" i="20"/>
  <c r="AV95" i="20"/>
  <c r="AV39" i="20"/>
  <c r="AW173" i="20"/>
  <c r="AX134" i="20"/>
  <c r="AW170" i="20"/>
  <c r="AW175" i="20"/>
  <c r="AW174" i="20"/>
  <c r="AW176" i="20"/>
  <c r="AW172" i="20"/>
  <c r="AW171" i="20"/>
  <c r="AU82" i="20"/>
  <c r="AV73" i="20"/>
  <c r="AU86" i="20"/>
  <c r="AU80" i="20"/>
  <c r="AU81" i="20"/>
  <c r="AU83" i="20"/>
  <c r="AU85" i="20"/>
  <c r="AU84" i="20"/>
  <c r="AU76" i="20"/>
  <c r="AY211" i="20"/>
  <c r="AY212" i="20"/>
  <c r="AY215" i="20"/>
  <c r="AY213" i="20"/>
  <c r="AY210" i="20"/>
  <c r="AY209" i="20"/>
  <c r="AY214" i="20"/>
  <c r="AZ137" i="20"/>
  <c r="AW145" i="20"/>
  <c r="AX132" i="20"/>
  <c r="AW146" i="20"/>
  <c r="AW147" i="20"/>
  <c r="AW150" i="20"/>
  <c r="AW144" i="20"/>
  <c r="AW148" i="20"/>
  <c r="AW149" i="20"/>
  <c r="AU67" i="20"/>
  <c r="AU65" i="20"/>
  <c r="AV55" i="20"/>
  <c r="AU63" i="20"/>
  <c r="AU66" i="20"/>
  <c r="AU64" i="20"/>
  <c r="AU62" i="20"/>
  <c r="AU58" i="20"/>
  <c r="AU68" i="20"/>
  <c r="AV94" i="20"/>
  <c r="AU105" i="20"/>
  <c r="AV93" i="20"/>
  <c r="AU103" i="20"/>
  <c r="AU100" i="20"/>
  <c r="AU106" i="20"/>
  <c r="AU104" i="20"/>
  <c r="AU101" i="20"/>
  <c r="AU102" i="20"/>
  <c r="AU96" i="20"/>
  <c r="AW185" i="20"/>
  <c r="AW186" i="20"/>
  <c r="AW187" i="20"/>
  <c r="AW189" i="20"/>
  <c r="AW184" i="20"/>
  <c r="AX135" i="20"/>
  <c r="AW188" i="20"/>
  <c r="AW183" i="20"/>
  <c r="AV162" i="20"/>
  <c r="AW133" i="20"/>
  <c r="AW138" i="20" s="1"/>
  <c r="AV157" i="20"/>
  <c r="AV163" i="20"/>
  <c r="AV158" i="20"/>
  <c r="AV159" i="20"/>
  <c r="AV160" i="20"/>
  <c r="AV161" i="20"/>
  <c r="AX202" i="20"/>
  <c r="AX200" i="20"/>
  <c r="AX197" i="20"/>
  <c r="AX201" i="20"/>
  <c r="AX199" i="20"/>
  <c r="AY136" i="20"/>
  <c r="AX198" i="20"/>
  <c r="AX196" i="20"/>
  <c r="AV75" i="20"/>
  <c r="AV56" i="20"/>
  <c r="AU45" i="20"/>
  <c r="AU49" i="20"/>
  <c r="AU46" i="20"/>
  <c r="AU47" i="20"/>
  <c r="AU40" i="20"/>
  <c r="AU44" i="20"/>
  <c r="AU48" i="20"/>
  <c r="AU50" i="20"/>
  <c r="AV37" i="20"/>
  <c r="BC882" i="20"/>
  <c r="BD407" i="20"/>
  <c r="BB932" i="20"/>
  <c r="BC457" i="20"/>
  <c r="AV790" i="20"/>
  <c r="AU915" i="20"/>
  <c r="BC906" i="20"/>
  <c r="BD313" i="20"/>
  <c r="AV943" i="20"/>
  <c r="AW848" i="20"/>
  <c r="AW916" i="20"/>
  <c r="AX801" i="20"/>
  <c r="AV823" i="20"/>
  <c r="AU918" i="20"/>
  <c r="AW631" i="20"/>
  <c r="AV933" i="20"/>
  <c r="BH881" i="20"/>
  <c r="BI288" i="20"/>
  <c r="AX908" i="20"/>
  <c r="AY573" i="20"/>
  <c r="AU917" i="20"/>
  <c r="AV812" i="20"/>
  <c r="AW945" i="20"/>
  <c r="AX804" i="20"/>
  <c r="AW834" i="20"/>
  <c r="AV919" i="20"/>
  <c r="AV920" i="20"/>
  <c r="AW779" i="20"/>
  <c r="AV940" i="20"/>
  <c r="AW815" i="20"/>
  <c r="AV942" i="20"/>
  <c r="AW837" i="20"/>
  <c r="AV941" i="20"/>
  <c r="AW826" i="20"/>
  <c r="BM257" i="20"/>
  <c r="BM262" i="20"/>
  <c r="BM258" i="20"/>
  <c r="BM260" i="20"/>
  <c r="BM259" i="20"/>
  <c r="BM256" i="20"/>
  <c r="BM261" i="20"/>
  <c r="BM269" i="20"/>
  <c r="BM267" i="20"/>
  <c r="BM271" i="20"/>
  <c r="BM270" i="20"/>
  <c r="BM266" i="20"/>
  <c r="BM272" i="20"/>
  <c r="BM268" i="20"/>
  <c r="BM278" i="20"/>
  <c r="BM292" i="20"/>
  <c r="BM276" i="20"/>
  <c r="BM282" i="20"/>
  <c r="BM291" i="20"/>
  <c r="BM287" i="20"/>
  <c r="BM280" i="20"/>
  <c r="BM279" i="20"/>
  <c r="BM281" i="20"/>
  <c r="BM289" i="20"/>
  <c r="BM277" i="20"/>
  <c r="BM286" i="20"/>
  <c r="BM290" i="20"/>
  <c r="BN254" i="20"/>
  <c r="AB584" i="11"/>
  <c r="AB401" i="11"/>
  <c r="AW75" i="20" l="1"/>
  <c r="AW38" i="20"/>
  <c r="AW56" i="20"/>
  <c r="AW94" i="20"/>
  <c r="AV46" i="20"/>
  <c r="AV45" i="20"/>
  <c r="AV47" i="20"/>
  <c r="AV49" i="20"/>
  <c r="AV50" i="20"/>
  <c r="AV40" i="20"/>
  <c r="AV44" i="20"/>
  <c r="AV48" i="20"/>
  <c r="AW37" i="20"/>
  <c r="AW57" i="20"/>
  <c r="AW95" i="20"/>
  <c r="AV106" i="20"/>
  <c r="AW93" i="20"/>
  <c r="AV104" i="20"/>
  <c r="AV102" i="20"/>
  <c r="AV100" i="20"/>
  <c r="AV103" i="20"/>
  <c r="AV105" i="20"/>
  <c r="AV101" i="20"/>
  <c r="AV96" i="20"/>
  <c r="AW74" i="20"/>
  <c r="AX144" i="20"/>
  <c r="AX150" i="20"/>
  <c r="AX148" i="20"/>
  <c r="AX147" i="20"/>
  <c r="AX145" i="20"/>
  <c r="AX146" i="20"/>
  <c r="AX149" i="20"/>
  <c r="AY132" i="20"/>
  <c r="AV62" i="20"/>
  <c r="AV66" i="20"/>
  <c r="AV58" i="20"/>
  <c r="AV63" i="20"/>
  <c r="AV64" i="20"/>
  <c r="AV68" i="20"/>
  <c r="AV65" i="20"/>
  <c r="AW55" i="20"/>
  <c r="AV67" i="20"/>
  <c r="AY201" i="20"/>
  <c r="AZ136" i="20"/>
  <c r="AY196" i="20"/>
  <c r="AY198" i="20"/>
  <c r="AY200" i="20"/>
  <c r="AY202" i="20"/>
  <c r="AY197" i="20"/>
  <c r="AY199" i="20"/>
  <c r="AW157" i="20"/>
  <c r="AX133" i="20"/>
  <c r="AW162" i="20"/>
  <c r="AW161" i="20"/>
  <c r="AW159" i="20"/>
  <c r="AW163" i="20"/>
  <c r="AW160" i="20"/>
  <c r="AW158" i="20"/>
  <c r="AX185" i="20"/>
  <c r="AX183" i="20"/>
  <c r="AX189" i="20"/>
  <c r="AY135" i="20"/>
  <c r="AX184" i="20"/>
  <c r="AX186" i="20"/>
  <c r="AX188" i="20"/>
  <c r="AX187" i="20"/>
  <c r="AW39" i="20"/>
  <c r="AV83" i="20"/>
  <c r="AW73" i="20"/>
  <c r="AV80" i="20"/>
  <c r="AV81" i="20"/>
  <c r="AV84" i="20"/>
  <c r="AV85" i="20"/>
  <c r="AV86" i="20"/>
  <c r="AV82" i="20"/>
  <c r="AV76" i="20"/>
  <c r="AX173" i="20"/>
  <c r="AX175" i="20"/>
  <c r="AX170" i="20"/>
  <c r="AY134" i="20"/>
  <c r="AX172" i="20"/>
  <c r="AX174" i="20"/>
  <c r="AX176" i="20"/>
  <c r="AX171" i="20"/>
  <c r="BA137" i="20"/>
  <c r="AZ212" i="20"/>
  <c r="AZ209" i="20"/>
  <c r="AZ213" i="20"/>
  <c r="AZ210" i="20"/>
  <c r="AZ211" i="20"/>
  <c r="AZ214" i="20"/>
  <c r="AZ215" i="20"/>
  <c r="AX848" i="20"/>
  <c r="AW943" i="20"/>
  <c r="BC932" i="20"/>
  <c r="BD457" i="20"/>
  <c r="AX826" i="20"/>
  <c r="AW941" i="20"/>
  <c r="AX815" i="20"/>
  <c r="AW940" i="20"/>
  <c r="AV917" i="20"/>
  <c r="AW812" i="20"/>
  <c r="AV918" i="20"/>
  <c r="AW823" i="20"/>
  <c r="AZ573" i="20"/>
  <c r="AY908" i="20"/>
  <c r="AX834" i="20"/>
  <c r="AW919" i="20"/>
  <c r="AY801" i="20"/>
  <c r="AX916" i="20"/>
  <c r="AV915" i="20"/>
  <c r="AW790" i="20"/>
  <c r="BD882" i="20"/>
  <c r="BE407" i="20"/>
  <c r="AX837" i="20"/>
  <c r="AW942" i="20"/>
  <c r="AW920" i="20"/>
  <c r="AX779" i="20"/>
  <c r="AX945" i="20"/>
  <c r="AY804" i="20"/>
  <c r="BI881" i="20"/>
  <c r="BJ288" i="20"/>
  <c r="AW933" i="20"/>
  <c r="AX631" i="20"/>
  <c r="BE313" i="20"/>
  <c r="BD906" i="20"/>
  <c r="BN258" i="20"/>
  <c r="BN256" i="20"/>
  <c r="BN262" i="20"/>
  <c r="BN260" i="20"/>
  <c r="BN257" i="20"/>
  <c r="BN261" i="20"/>
  <c r="BN259" i="20"/>
  <c r="BN266" i="20"/>
  <c r="BN270" i="20"/>
  <c r="BN268" i="20"/>
  <c r="BN271" i="20"/>
  <c r="BN269" i="20"/>
  <c r="BN272" i="20"/>
  <c r="BN267" i="20"/>
  <c r="BN292" i="20"/>
  <c r="BN290" i="20"/>
  <c r="BN286" i="20"/>
  <c r="BN278" i="20"/>
  <c r="BN279" i="20"/>
  <c r="BN287" i="20"/>
  <c r="BN276" i="20"/>
  <c r="BN291" i="20"/>
  <c r="BN277" i="20"/>
  <c r="BN289" i="20"/>
  <c r="BN281" i="20"/>
  <c r="BN280" i="20"/>
  <c r="BN282" i="20"/>
  <c r="AC584" i="11"/>
  <c r="AC401" i="11"/>
  <c r="AX94" i="20" l="1"/>
  <c r="AX75" i="20"/>
  <c r="AX95" i="20"/>
  <c r="AX39" i="20"/>
  <c r="AY170" i="20"/>
  <c r="AY171" i="20"/>
  <c r="AY174" i="20"/>
  <c r="AY175" i="20"/>
  <c r="AZ134" i="20"/>
  <c r="AY172" i="20"/>
  <c r="AY173" i="20"/>
  <c r="AY176" i="20"/>
  <c r="AX159" i="20"/>
  <c r="AY133" i="20"/>
  <c r="AX158" i="20"/>
  <c r="AX160" i="20"/>
  <c r="AX161" i="20"/>
  <c r="AX157" i="20"/>
  <c r="AX163" i="20"/>
  <c r="AX162" i="20"/>
  <c r="AZ201" i="20"/>
  <c r="AZ196" i="20"/>
  <c r="AZ199" i="20"/>
  <c r="AZ197" i="20"/>
  <c r="AZ200" i="20"/>
  <c r="BA136" i="20"/>
  <c r="AZ202" i="20"/>
  <c r="AZ198" i="20"/>
  <c r="AW65" i="20"/>
  <c r="AW62" i="20"/>
  <c r="AW58" i="20"/>
  <c r="AW63" i="20"/>
  <c r="AW64" i="20"/>
  <c r="AW68" i="20"/>
  <c r="AX55" i="20"/>
  <c r="AW66" i="20"/>
  <c r="AW67" i="20"/>
  <c r="AX56" i="20"/>
  <c r="BA213" i="20"/>
  <c r="BA214" i="20"/>
  <c r="BA211" i="20"/>
  <c r="BA210" i="20"/>
  <c r="BA215" i="20"/>
  <c r="BA209" i="20"/>
  <c r="BB137" i="20"/>
  <c r="BA212" i="20"/>
  <c r="AX138" i="20"/>
  <c r="AX57" i="20"/>
  <c r="AW81" i="20"/>
  <c r="AW85" i="20"/>
  <c r="AW86" i="20"/>
  <c r="AW82" i="20"/>
  <c r="AW83" i="20"/>
  <c r="AW80" i="20"/>
  <c r="AX73" i="20"/>
  <c r="AW84" i="20"/>
  <c r="AW76" i="20"/>
  <c r="AY183" i="20"/>
  <c r="AY188" i="20"/>
  <c r="AY187" i="20"/>
  <c r="AY185" i="20"/>
  <c r="AY186" i="20"/>
  <c r="AY189" i="20"/>
  <c r="AZ135" i="20"/>
  <c r="AY184" i="20"/>
  <c r="AX38" i="20"/>
  <c r="AY148" i="20"/>
  <c r="AY144" i="20"/>
  <c r="AY149" i="20"/>
  <c r="AY147" i="20"/>
  <c r="AY145" i="20"/>
  <c r="AY150" i="20"/>
  <c r="AY146" i="20"/>
  <c r="AZ132" i="20"/>
  <c r="AY138" i="20"/>
  <c r="AX74" i="20"/>
  <c r="AW104" i="20"/>
  <c r="AW103" i="20"/>
  <c r="AX93" i="20"/>
  <c r="AY95" i="20" s="1"/>
  <c r="AW105" i="20"/>
  <c r="AW100" i="20"/>
  <c r="AW102" i="20"/>
  <c r="AW101" i="20"/>
  <c r="AW106" i="20"/>
  <c r="AW96" i="20"/>
  <c r="AW48" i="20"/>
  <c r="AW45" i="20"/>
  <c r="AX37" i="20"/>
  <c r="AW49" i="20"/>
  <c r="AW50" i="20"/>
  <c r="AW46" i="20"/>
  <c r="AW47" i="20"/>
  <c r="AW44" i="20"/>
  <c r="AW40" i="20"/>
  <c r="AY945" i="20"/>
  <c r="AZ804" i="20"/>
  <c r="AX790" i="20"/>
  <c r="AW915" i="20"/>
  <c r="AW917" i="20"/>
  <c r="AX812" i="20"/>
  <c r="BJ881" i="20"/>
  <c r="BK288" i="20"/>
  <c r="AY837" i="20"/>
  <c r="AX942" i="20"/>
  <c r="AY826" i="20"/>
  <c r="AX941" i="20"/>
  <c r="AY848" i="20"/>
  <c r="AX943" i="20"/>
  <c r="AZ908" i="20"/>
  <c r="BA573" i="20"/>
  <c r="BF313" i="20"/>
  <c r="BE906" i="20"/>
  <c r="AX920" i="20"/>
  <c r="AY779" i="20"/>
  <c r="BE882" i="20"/>
  <c r="BF407" i="20"/>
  <c r="AY834" i="20"/>
  <c r="AX919" i="20"/>
  <c r="AX823" i="20"/>
  <c r="AW918" i="20"/>
  <c r="BD932" i="20"/>
  <c r="BE457" i="20"/>
  <c r="AY631" i="20"/>
  <c r="AX933" i="20"/>
  <c r="AY916" i="20"/>
  <c r="AZ801" i="20"/>
  <c r="AY815" i="20"/>
  <c r="AX940" i="20"/>
  <c r="AD584" i="11"/>
  <c r="AD401" i="11"/>
  <c r="AY57" i="20" l="1"/>
  <c r="AY75" i="20"/>
  <c r="AY38" i="20"/>
  <c r="AX40" i="20"/>
  <c r="AX45" i="20"/>
  <c r="AY37" i="20"/>
  <c r="AX46" i="20"/>
  <c r="AX50" i="20"/>
  <c r="AX47" i="20"/>
  <c r="AX44" i="20"/>
  <c r="AX48" i="20"/>
  <c r="AX49" i="20"/>
  <c r="AY74" i="20"/>
  <c r="AZ185" i="20"/>
  <c r="AZ188" i="20"/>
  <c r="BA135" i="20"/>
  <c r="AZ187" i="20"/>
  <c r="AZ189" i="20"/>
  <c r="AZ186" i="20"/>
  <c r="AZ184" i="20"/>
  <c r="AZ183" i="20"/>
  <c r="AX67" i="20"/>
  <c r="AY55" i="20"/>
  <c r="AX64" i="20"/>
  <c r="AX66" i="20"/>
  <c r="AX63" i="20"/>
  <c r="AX65" i="20"/>
  <c r="AX62" i="20"/>
  <c r="AX58" i="20"/>
  <c r="AX68" i="20"/>
  <c r="AX106" i="20"/>
  <c r="AX100" i="20"/>
  <c r="AX101" i="20"/>
  <c r="AX103" i="20"/>
  <c r="AX105" i="20"/>
  <c r="AX104" i="20"/>
  <c r="AX102" i="20"/>
  <c r="AY93" i="20"/>
  <c r="AX96" i="20"/>
  <c r="AX84" i="20"/>
  <c r="AX85" i="20"/>
  <c r="AX82" i="20"/>
  <c r="AY73" i="20"/>
  <c r="AX86" i="20"/>
  <c r="AX81" i="20"/>
  <c r="AX80" i="20"/>
  <c r="AX83" i="20"/>
  <c r="AX76" i="20"/>
  <c r="BB215" i="20"/>
  <c r="BB213" i="20"/>
  <c r="BB211" i="20"/>
  <c r="BB210" i="20"/>
  <c r="BB209" i="20"/>
  <c r="BB214" i="20"/>
  <c r="BB212" i="20"/>
  <c r="BC137" i="20"/>
  <c r="AY56" i="20"/>
  <c r="BA197" i="20"/>
  <c r="BA200" i="20"/>
  <c r="BB136" i="20"/>
  <c r="BA201" i="20"/>
  <c r="BA198" i="20"/>
  <c r="BA199" i="20"/>
  <c r="BA202" i="20"/>
  <c r="BA196" i="20"/>
  <c r="AY157" i="20"/>
  <c r="AY163" i="20"/>
  <c r="AY160" i="20"/>
  <c r="AY162" i="20"/>
  <c r="AZ133" i="20"/>
  <c r="AY158" i="20"/>
  <c r="AY159" i="20"/>
  <c r="AY161" i="20"/>
  <c r="AZ147" i="20"/>
  <c r="AZ149" i="20"/>
  <c r="AZ144" i="20"/>
  <c r="AZ150" i="20"/>
  <c r="AZ148" i="20"/>
  <c r="AZ146" i="20"/>
  <c r="AZ145" i="20"/>
  <c r="BA132" i="20"/>
  <c r="AZ138" i="20"/>
  <c r="AY94" i="20"/>
  <c r="AY39" i="20"/>
  <c r="AZ173" i="20"/>
  <c r="AZ176" i="20"/>
  <c r="AZ171" i="20"/>
  <c r="AZ174" i="20"/>
  <c r="AZ175" i="20"/>
  <c r="BA134" i="20"/>
  <c r="AZ172" i="20"/>
  <c r="AZ170" i="20"/>
  <c r="BA801" i="20"/>
  <c r="AZ916" i="20"/>
  <c r="AY933" i="20"/>
  <c r="AZ631" i="20"/>
  <c r="BF882" i="20"/>
  <c r="BG407" i="20"/>
  <c r="AY941" i="20"/>
  <c r="AZ826" i="20"/>
  <c r="AY823" i="20"/>
  <c r="AX918" i="20"/>
  <c r="BG313" i="20"/>
  <c r="BF906" i="20"/>
  <c r="AX917" i="20"/>
  <c r="AY812" i="20"/>
  <c r="AX915" i="20"/>
  <c r="AY790" i="20"/>
  <c r="AZ815" i="20"/>
  <c r="AY940" i="20"/>
  <c r="BE932" i="20"/>
  <c r="BF457" i="20"/>
  <c r="AY920" i="20"/>
  <c r="AZ779" i="20"/>
  <c r="AY943" i="20"/>
  <c r="AZ848" i="20"/>
  <c r="AY942" i="20"/>
  <c r="AZ837" i="20"/>
  <c r="AZ945" i="20"/>
  <c r="BA804" i="20"/>
  <c r="AZ834" i="20"/>
  <c r="AY919" i="20"/>
  <c r="BB573" i="20"/>
  <c r="BA908" i="20"/>
  <c r="BK881" i="20"/>
  <c r="BL288" i="20"/>
  <c r="AE584" i="11"/>
  <c r="AE401" i="11"/>
  <c r="AZ56" i="20" l="1"/>
  <c r="AZ94" i="20"/>
  <c r="AZ39" i="20"/>
  <c r="AZ38" i="20"/>
  <c r="BB199" i="20"/>
  <c r="BC136" i="20"/>
  <c r="BB196" i="20"/>
  <c r="BB200" i="20"/>
  <c r="BB197" i="20"/>
  <c r="BB198" i="20"/>
  <c r="BB201" i="20"/>
  <c r="BB202" i="20"/>
  <c r="BD137" i="20"/>
  <c r="BC209" i="20"/>
  <c r="BC211" i="20"/>
  <c r="BC213" i="20"/>
  <c r="BC215" i="20"/>
  <c r="BC214" i="20"/>
  <c r="BC212" i="20"/>
  <c r="BC210" i="20"/>
  <c r="AZ57" i="20"/>
  <c r="AZ74" i="20"/>
  <c r="BA176" i="20"/>
  <c r="BA170" i="20"/>
  <c r="BA173" i="20"/>
  <c r="BA174" i="20"/>
  <c r="BA171" i="20"/>
  <c r="BB134" i="20"/>
  <c r="BA175" i="20"/>
  <c r="BA172" i="20"/>
  <c r="BA185" i="20"/>
  <c r="BB135" i="20"/>
  <c r="BA189" i="20"/>
  <c r="BA183" i="20"/>
  <c r="BA188" i="20"/>
  <c r="BA186" i="20"/>
  <c r="BA187" i="20"/>
  <c r="BA184" i="20"/>
  <c r="AZ163" i="20"/>
  <c r="AZ160" i="20"/>
  <c r="AZ157" i="20"/>
  <c r="AZ161" i="20"/>
  <c r="BA133" i="20"/>
  <c r="BA138" i="20" s="1"/>
  <c r="AZ162" i="20"/>
  <c r="AZ159" i="20"/>
  <c r="AZ158" i="20"/>
  <c r="AZ73" i="20"/>
  <c r="AY86" i="20"/>
  <c r="AY83" i="20"/>
  <c r="AY82" i="20"/>
  <c r="AY80" i="20"/>
  <c r="AY81" i="20"/>
  <c r="AY84" i="20"/>
  <c r="AY85" i="20"/>
  <c r="AY76" i="20"/>
  <c r="AY65" i="20"/>
  <c r="AY66" i="20"/>
  <c r="AY63" i="20"/>
  <c r="AY64" i="20"/>
  <c r="AY68" i="20"/>
  <c r="AZ55" i="20"/>
  <c r="BA56" i="20" s="1"/>
  <c r="AY62" i="20"/>
  <c r="AY58" i="20"/>
  <c r="AY67" i="20"/>
  <c r="AZ75" i="20"/>
  <c r="BA144" i="20"/>
  <c r="BA146" i="20"/>
  <c r="BA150" i="20"/>
  <c r="BA148" i="20"/>
  <c r="BA145" i="20"/>
  <c r="BB132" i="20"/>
  <c r="BA149" i="20"/>
  <c r="BA147" i="20"/>
  <c r="AY105" i="20"/>
  <c r="AY106" i="20"/>
  <c r="AY101" i="20"/>
  <c r="AY100" i="20"/>
  <c r="AZ93" i="20"/>
  <c r="AY102" i="20"/>
  <c r="AY103" i="20"/>
  <c r="AY104" i="20"/>
  <c r="AY96" i="20"/>
  <c r="AY40" i="20"/>
  <c r="AY50" i="20"/>
  <c r="AY45" i="20"/>
  <c r="AY46" i="20"/>
  <c r="AY47" i="20"/>
  <c r="AY44" i="20"/>
  <c r="AY48" i="20"/>
  <c r="AY49" i="20"/>
  <c r="AZ37" i="20"/>
  <c r="AZ95" i="20"/>
  <c r="BB908" i="20"/>
  <c r="BC573" i="20"/>
  <c r="BA815" i="20"/>
  <c r="AZ940" i="20"/>
  <c r="AY918" i="20"/>
  <c r="AZ823" i="20"/>
  <c r="BL881" i="20"/>
  <c r="BM288" i="20"/>
  <c r="BA837" i="20"/>
  <c r="AZ942" i="20"/>
  <c r="AZ920" i="20"/>
  <c r="BA779" i="20"/>
  <c r="AZ790" i="20"/>
  <c r="AY915" i="20"/>
  <c r="BG882" i="20"/>
  <c r="BH407" i="20"/>
  <c r="BA834" i="20"/>
  <c r="AZ919" i="20"/>
  <c r="BG906" i="20"/>
  <c r="BH313" i="20"/>
  <c r="BA826" i="20"/>
  <c r="AZ941" i="20"/>
  <c r="BA916" i="20"/>
  <c r="BB801" i="20"/>
  <c r="BA945" i="20"/>
  <c r="BB804" i="20"/>
  <c r="BA848" i="20"/>
  <c r="AZ943" i="20"/>
  <c r="BF932" i="20"/>
  <c r="BG457" i="20"/>
  <c r="AY917" i="20"/>
  <c r="AZ812" i="20"/>
  <c r="BA631" i="20"/>
  <c r="AZ933" i="20"/>
  <c r="AF584" i="11"/>
  <c r="AF401" i="11"/>
  <c r="BA75" i="20" l="1"/>
  <c r="AZ47" i="20"/>
  <c r="BA37" i="20"/>
  <c r="AZ49" i="20"/>
  <c r="AZ45" i="20"/>
  <c r="AZ44" i="20"/>
  <c r="AZ48" i="20"/>
  <c r="AZ40" i="20"/>
  <c r="AZ46" i="20"/>
  <c r="AZ50" i="20"/>
  <c r="BA39" i="20"/>
  <c r="BA38" i="20"/>
  <c r="AZ102" i="20"/>
  <c r="AZ106" i="20"/>
  <c r="AZ100" i="20"/>
  <c r="AZ103" i="20"/>
  <c r="AZ101" i="20"/>
  <c r="AZ105" i="20"/>
  <c r="AZ104" i="20"/>
  <c r="BA93" i="20"/>
  <c r="AZ96" i="20"/>
  <c r="AZ62" i="20"/>
  <c r="AZ66" i="20"/>
  <c r="AZ58" i="20"/>
  <c r="AZ67" i="20"/>
  <c r="AZ68" i="20"/>
  <c r="AZ65" i="20"/>
  <c r="BA55" i="20"/>
  <c r="AZ63" i="20"/>
  <c r="AZ64" i="20"/>
  <c r="BA74" i="20"/>
  <c r="BC196" i="20"/>
  <c r="BC200" i="20"/>
  <c r="BC199" i="20"/>
  <c r="BC197" i="20"/>
  <c r="BC201" i="20"/>
  <c r="BD136" i="20"/>
  <c r="BC198" i="20"/>
  <c r="BC202" i="20"/>
  <c r="BB147" i="20"/>
  <c r="BB148" i="20"/>
  <c r="BB145" i="20"/>
  <c r="BC132" i="20"/>
  <c r="BB144" i="20"/>
  <c r="BB150" i="20"/>
  <c r="BB149" i="20"/>
  <c r="BB146" i="20"/>
  <c r="BB184" i="20"/>
  <c r="BB189" i="20"/>
  <c r="BB188" i="20"/>
  <c r="BC135" i="20"/>
  <c r="BB186" i="20"/>
  <c r="BB185" i="20"/>
  <c r="BB187" i="20"/>
  <c r="BB183" i="20"/>
  <c r="BA57" i="20"/>
  <c r="BB57" i="20" s="1"/>
  <c r="BD213" i="20"/>
  <c r="BD211" i="20"/>
  <c r="BD215" i="20"/>
  <c r="BD212" i="20"/>
  <c r="BD209" i="20"/>
  <c r="BD214" i="20"/>
  <c r="BE137" i="20"/>
  <c r="BD210" i="20"/>
  <c r="BA95" i="20"/>
  <c r="AZ85" i="20"/>
  <c r="AZ86" i="20"/>
  <c r="AZ81" i="20"/>
  <c r="AZ80" i="20"/>
  <c r="AZ82" i="20"/>
  <c r="AZ83" i="20"/>
  <c r="AZ84" i="20"/>
  <c r="BA73" i="20"/>
  <c r="AZ76" i="20"/>
  <c r="BA159" i="20"/>
  <c r="BA163" i="20"/>
  <c r="BA161" i="20"/>
  <c r="BB133" i="20"/>
  <c r="BA158" i="20"/>
  <c r="BA157" i="20"/>
  <c r="BA162" i="20"/>
  <c r="BA160" i="20"/>
  <c r="BB172" i="20"/>
  <c r="BB170" i="20"/>
  <c r="BB176" i="20"/>
  <c r="BB174" i="20"/>
  <c r="BC134" i="20"/>
  <c r="BB173" i="20"/>
  <c r="BB175" i="20"/>
  <c r="BB171" i="20"/>
  <c r="BA94" i="20"/>
  <c r="BA943" i="20"/>
  <c r="BB848" i="20"/>
  <c r="BA942" i="20"/>
  <c r="BB837" i="20"/>
  <c r="BD573" i="20"/>
  <c r="BC908" i="20"/>
  <c r="BG932" i="20"/>
  <c r="BH457" i="20"/>
  <c r="BB945" i="20"/>
  <c r="BC804" i="20"/>
  <c r="BA920" i="20"/>
  <c r="BB779" i="20"/>
  <c r="BM881" i="20"/>
  <c r="BN288" i="20"/>
  <c r="BN881" i="20" s="1"/>
  <c r="BA933" i="20"/>
  <c r="BB631" i="20"/>
  <c r="BA941" i="20"/>
  <c r="BB826" i="20"/>
  <c r="BA919" i="20"/>
  <c r="BB834" i="20"/>
  <c r="BB815" i="20"/>
  <c r="BA940" i="20"/>
  <c r="AZ917" i="20"/>
  <c r="BA812" i="20"/>
  <c r="BC801" i="20"/>
  <c r="BB916" i="20"/>
  <c r="BI313" i="20"/>
  <c r="BH906" i="20"/>
  <c r="BH882" i="20"/>
  <c r="BI407" i="20"/>
  <c r="BA790" i="20"/>
  <c r="AZ915" i="20"/>
  <c r="BA823" i="20"/>
  <c r="AZ918" i="20"/>
  <c r="AG584" i="11"/>
  <c r="AG401" i="11"/>
  <c r="BB94" i="20" l="1"/>
  <c r="BB39" i="20"/>
  <c r="BB161" i="20"/>
  <c r="BB158" i="20"/>
  <c r="BB159" i="20"/>
  <c r="BB162" i="20"/>
  <c r="BC133" i="20"/>
  <c r="BB163" i="20"/>
  <c r="BB157" i="20"/>
  <c r="BB160" i="20"/>
  <c r="BC146" i="20"/>
  <c r="BC150" i="20"/>
  <c r="BC148" i="20"/>
  <c r="BC145" i="20"/>
  <c r="BD132" i="20"/>
  <c r="BC147" i="20"/>
  <c r="BC149" i="20"/>
  <c r="BC144" i="20"/>
  <c r="BC138" i="20"/>
  <c r="BB56" i="20"/>
  <c r="BA62" i="20"/>
  <c r="BA66" i="20"/>
  <c r="BA58" i="20"/>
  <c r="BA68" i="20"/>
  <c r="BA64" i="20"/>
  <c r="BB55" i="20"/>
  <c r="BA65" i="20"/>
  <c r="BA63" i="20"/>
  <c r="BA67" i="20"/>
  <c r="BA86" i="20"/>
  <c r="BA85" i="20"/>
  <c r="BA80" i="20"/>
  <c r="BA83" i="20"/>
  <c r="BA84" i="20"/>
  <c r="BA82" i="20"/>
  <c r="BA81" i="20"/>
  <c r="BB73" i="20"/>
  <c r="BA76" i="20"/>
  <c r="BB95" i="20"/>
  <c r="BB74" i="20"/>
  <c r="BA104" i="20"/>
  <c r="BA105" i="20"/>
  <c r="BA106" i="20"/>
  <c r="BA101" i="20"/>
  <c r="BA100" i="20"/>
  <c r="BA102" i="20"/>
  <c r="BA103" i="20"/>
  <c r="BB93" i="20"/>
  <c r="BA96" i="20"/>
  <c r="BB38" i="20"/>
  <c r="BA45" i="20"/>
  <c r="BA49" i="20"/>
  <c r="BB37" i="20"/>
  <c r="BA46" i="20"/>
  <c r="BA44" i="20"/>
  <c r="BA48" i="20"/>
  <c r="BA40" i="20"/>
  <c r="BA50" i="20"/>
  <c r="BA47" i="20"/>
  <c r="BC171" i="20"/>
  <c r="BC173" i="20"/>
  <c r="BC174" i="20"/>
  <c r="BD134" i="20"/>
  <c r="BC175" i="20"/>
  <c r="BC176" i="20"/>
  <c r="BC172" i="20"/>
  <c r="BC170" i="20"/>
  <c r="BE214" i="20"/>
  <c r="BE210" i="20"/>
  <c r="BE212" i="20"/>
  <c r="BE215" i="20"/>
  <c r="BE209" i="20"/>
  <c r="BF137" i="20"/>
  <c r="BE211" i="20"/>
  <c r="BE213" i="20"/>
  <c r="BC185" i="20"/>
  <c r="BC189" i="20"/>
  <c r="BC183" i="20"/>
  <c r="BC184" i="20"/>
  <c r="BC187" i="20"/>
  <c r="BD135" i="20"/>
  <c r="BC188" i="20"/>
  <c r="BC186" i="20"/>
  <c r="BB138" i="20"/>
  <c r="BD202" i="20"/>
  <c r="BD200" i="20"/>
  <c r="BD196" i="20"/>
  <c r="BD201" i="20"/>
  <c r="BE136" i="20"/>
  <c r="BD198" i="20"/>
  <c r="BD199" i="20"/>
  <c r="BD197" i="20"/>
  <c r="BB75" i="20"/>
  <c r="BB790" i="20"/>
  <c r="BA915" i="20"/>
  <c r="BA917" i="20"/>
  <c r="BB812" i="20"/>
  <c r="BC815" i="20"/>
  <c r="BB940" i="20"/>
  <c r="BE573" i="20"/>
  <c r="BD908" i="20"/>
  <c r="BI906" i="20"/>
  <c r="BJ313" i="20"/>
  <c r="BC834" i="20"/>
  <c r="BB919" i="20"/>
  <c r="BC631" i="20"/>
  <c r="BB933" i="20"/>
  <c r="BB920" i="20"/>
  <c r="BC779" i="20"/>
  <c r="BH932" i="20"/>
  <c r="BI457" i="20"/>
  <c r="BC848" i="20"/>
  <c r="BB943" i="20"/>
  <c r="BA918" i="20"/>
  <c r="BB823" i="20"/>
  <c r="BI882" i="20"/>
  <c r="BJ407" i="20"/>
  <c r="BC837" i="20"/>
  <c r="BB942" i="20"/>
  <c r="BC916" i="20"/>
  <c r="BD801" i="20"/>
  <c r="BC826" i="20"/>
  <c r="BB941" i="20"/>
  <c r="BC945" i="20"/>
  <c r="BD804" i="20"/>
  <c r="AH584" i="11"/>
  <c r="AH401" i="11"/>
  <c r="AH407" i="11" l="1"/>
  <c r="AH403" i="11"/>
  <c r="BC94" i="20"/>
  <c r="BC57" i="20"/>
  <c r="BC39" i="20"/>
  <c r="BC75" i="20"/>
  <c r="BC56" i="20"/>
  <c r="BD171" i="20"/>
  <c r="BD175" i="20"/>
  <c r="BD176" i="20"/>
  <c r="BD172" i="20"/>
  <c r="BD170" i="20"/>
  <c r="BD174" i="20"/>
  <c r="BD173" i="20"/>
  <c r="BE134" i="20"/>
  <c r="BC38" i="20"/>
  <c r="BB66" i="20"/>
  <c r="BB63" i="20"/>
  <c r="BB64" i="20"/>
  <c r="BB67" i="20"/>
  <c r="BB62" i="20"/>
  <c r="BB68" i="20"/>
  <c r="BC55" i="20"/>
  <c r="BB65" i="20"/>
  <c r="BB58" i="20"/>
  <c r="BB85" i="20"/>
  <c r="BC73" i="20"/>
  <c r="BB83" i="20"/>
  <c r="BB81" i="20"/>
  <c r="BB82" i="20"/>
  <c r="BB86" i="20"/>
  <c r="BB84" i="20"/>
  <c r="BB80" i="20"/>
  <c r="BB76" i="20"/>
  <c r="BE201" i="20"/>
  <c r="BE199" i="20"/>
  <c r="BF136" i="20"/>
  <c r="BE198" i="20"/>
  <c r="BE196" i="20"/>
  <c r="BE200" i="20"/>
  <c r="BE197" i="20"/>
  <c r="BE202" i="20"/>
  <c r="BD188" i="20"/>
  <c r="BD183" i="20"/>
  <c r="BE135" i="20"/>
  <c r="BD184" i="20"/>
  <c r="BD189" i="20"/>
  <c r="BD186" i="20"/>
  <c r="BD185" i="20"/>
  <c r="BD187" i="20"/>
  <c r="BG137" i="20"/>
  <c r="BF209" i="20"/>
  <c r="BF215" i="20"/>
  <c r="BF210" i="20"/>
  <c r="BF214" i="20"/>
  <c r="BF211" i="20"/>
  <c r="BF213" i="20"/>
  <c r="BF212" i="20"/>
  <c r="BB102" i="20"/>
  <c r="BB104" i="20"/>
  <c r="BB100" i="20"/>
  <c r="BB101" i="20"/>
  <c r="BB103" i="20"/>
  <c r="BB106" i="20"/>
  <c r="BC93" i="20"/>
  <c r="BB105" i="20"/>
  <c r="BB96" i="20"/>
  <c r="BC74" i="20"/>
  <c r="BB45" i="20"/>
  <c r="BB49" i="20"/>
  <c r="BB44" i="20"/>
  <c r="BB50" i="20"/>
  <c r="BB48" i="20"/>
  <c r="BC37" i="20"/>
  <c r="BB40" i="20"/>
  <c r="BB46" i="20"/>
  <c r="BB47" i="20"/>
  <c r="BC95" i="20"/>
  <c r="BD144" i="20"/>
  <c r="BD148" i="20"/>
  <c r="BD149" i="20"/>
  <c r="BD146" i="20"/>
  <c r="BE132" i="20"/>
  <c r="BD147" i="20"/>
  <c r="BD150" i="20"/>
  <c r="BD145" i="20"/>
  <c r="BC160" i="20"/>
  <c r="BC161" i="20"/>
  <c r="BD133" i="20"/>
  <c r="BC162" i="20"/>
  <c r="BC157" i="20"/>
  <c r="BC163" i="20"/>
  <c r="BC159" i="20"/>
  <c r="BC158" i="20"/>
  <c r="BC823" i="20"/>
  <c r="BB918" i="20"/>
  <c r="BI932" i="20"/>
  <c r="BJ457" i="20"/>
  <c r="BK313" i="20"/>
  <c r="BJ906" i="20"/>
  <c r="BF573" i="20"/>
  <c r="BE908" i="20"/>
  <c r="BJ882" i="20"/>
  <c r="BK407" i="20"/>
  <c r="BD631" i="20"/>
  <c r="BC933" i="20"/>
  <c r="BC941" i="20"/>
  <c r="BD826" i="20"/>
  <c r="BC942" i="20"/>
  <c r="BD837" i="20"/>
  <c r="BC920" i="20"/>
  <c r="BD779" i="20"/>
  <c r="BC940" i="20"/>
  <c r="BD815" i="20"/>
  <c r="BB915" i="20"/>
  <c r="BC790" i="20"/>
  <c r="BD945" i="20"/>
  <c r="BE804" i="20"/>
  <c r="BE801" i="20"/>
  <c r="BD916" i="20"/>
  <c r="BD848" i="20"/>
  <c r="BC943" i="20"/>
  <c r="BC919" i="20"/>
  <c r="BD834" i="20"/>
  <c r="BB917" i="20"/>
  <c r="BC812" i="20"/>
  <c r="AI584" i="11"/>
  <c r="AI401" i="11"/>
  <c r="AI403" i="11" l="1"/>
  <c r="AI407" i="11"/>
  <c r="BD57" i="20"/>
  <c r="BD56" i="20"/>
  <c r="BD74" i="20"/>
  <c r="BD95" i="20"/>
  <c r="BD157" i="20"/>
  <c r="BD159" i="20"/>
  <c r="BD160" i="20"/>
  <c r="BD158" i="20"/>
  <c r="BD161" i="20"/>
  <c r="BD163" i="20"/>
  <c r="BD162" i="20"/>
  <c r="BE133" i="20"/>
  <c r="BE188" i="20"/>
  <c r="BE185" i="20"/>
  <c r="BE183" i="20"/>
  <c r="BF135" i="20"/>
  <c r="BE187" i="20"/>
  <c r="BE186" i="20"/>
  <c r="BE189" i="20"/>
  <c r="BE184" i="20"/>
  <c r="BF200" i="20"/>
  <c r="BF196" i="20"/>
  <c r="BF197" i="20"/>
  <c r="BF198" i="20"/>
  <c r="BF201" i="20"/>
  <c r="BF202" i="20"/>
  <c r="BF199" i="20"/>
  <c r="BG136" i="20"/>
  <c r="BC49" i="20"/>
  <c r="BC46" i="20"/>
  <c r="BC47" i="20"/>
  <c r="BC50" i="20"/>
  <c r="BC44" i="20"/>
  <c r="BC48" i="20"/>
  <c r="BC40" i="20"/>
  <c r="BC45" i="20"/>
  <c r="BD37" i="20"/>
  <c r="BD39" i="20"/>
  <c r="BG212" i="20"/>
  <c r="BG210" i="20"/>
  <c r="BG211" i="20"/>
  <c r="BG214" i="20"/>
  <c r="BG209" i="20"/>
  <c r="BG215" i="20"/>
  <c r="BH137" i="20"/>
  <c r="BG213" i="20"/>
  <c r="BD38" i="20"/>
  <c r="BD138" i="20"/>
  <c r="BE150" i="20"/>
  <c r="BE144" i="20"/>
  <c r="BF132" i="20"/>
  <c r="BE148" i="20"/>
  <c r="BE146" i="20"/>
  <c r="BE147" i="20"/>
  <c r="BE149" i="20"/>
  <c r="BE145" i="20"/>
  <c r="BE138" i="20"/>
  <c r="BC103" i="20"/>
  <c r="BC106" i="20"/>
  <c r="BC102" i="20"/>
  <c r="BD93" i="20"/>
  <c r="BC101" i="20"/>
  <c r="BC105" i="20"/>
  <c r="BC104" i="20"/>
  <c r="BC100" i="20"/>
  <c r="BC96" i="20"/>
  <c r="BD75" i="20"/>
  <c r="BD73" i="20"/>
  <c r="BC86" i="20"/>
  <c r="BC81" i="20"/>
  <c r="BC80" i="20"/>
  <c r="BC85" i="20"/>
  <c r="BC84" i="20"/>
  <c r="BC82" i="20"/>
  <c r="BC83" i="20"/>
  <c r="BC76" i="20"/>
  <c r="BC62" i="20"/>
  <c r="BC58" i="20"/>
  <c r="BC63" i="20"/>
  <c r="BD55" i="20"/>
  <c r="BC68" i="20"/>
  <c r="BC65" i="20"/>
  <c r="BC66" i="20"/>
  <c r="BC67" i="20"/>
  <c r="BC64" i="20"/>
  <c r="BE174" i="20"/>
  <c r="BE172" i="20"/>
  <c r="BE173" i="20"/>
  <c r="BF134" i="20"/>
  <c r="BE170" i="20"/>
  <c r="BE171" i="20"/>
  <c r="BE176" i="20"/>
  <c r="BE175" i="20"/>
  <c r="BD94" i="20"/>
  <c r="BE837" i="20"/>
  <c r="BD942" i="20"/>
  <c r="BE815" i="20"/>
  <c r="BD940" i="20"/>
  <c r="BK882" i="20"/>
  <c r="BL407" i="20"/>
  <c r="BE834" i="20"/>
  <c r="BD919" i="20"/>
  <c r="BD790" i="20"/>
  <c r="BC915" i="20"/>
  <c r="BL313" i="20"/>
  <c r="BK906" i="20"/>
  <c r="BD823" i="20"/>
  <c r="BC918" i="20"/>
  <c r="BE848" i="20"/>
  <c r="BD943" i="20"/>
  <c r="BE945" i="20"/>
  <c r="BF804" i="20"/>
  <c r="BF908" i="20"/>
  <c r="BG573" i="20"/>
  <c r="BC917" i="20"/>
  <c r="BD812" i="20"/>
  <c r="BE916" i="20"/>
  <c r="BF801" i="20"/>
  <c r="BD920" i="20"/>
  <c r="BE779" i="20"/>
  <c r="BE826" i="20"/>
  <c r="BD941" i="20"/>
  <c r="BE631" i="20"/>
  <c r="BD933" i="20"/>
  <c r="BJ932" i="20"/>
  <c r="BK457" i="20"/>
  <c r="AJ584" i="11"/>
  <c r="AJ401" i="11"/>
  <c r="AJ403" i="11" l="1"/>
  <c r="AJ407" i="11"/>
  <c r="BE94" i="20"/>
  <c r="BE75" i="20"/>
  <c r="BE38" i="20"/>
  <c r="BD63" i="20"/>
  <c r="BD67" i="20"/>
  <c r="BD64" i="20"/>
  <c r="BD65" i="20"/>
  <c r="BD62" i="20"/>
  <c r="BD66" i="20"/>
  <c r="BD58" i="20"/>
  <c r="BD68" i="20"/>
  <c r="BE55" i="20"/>
  <c r="BD84" i="20"/>
  <c r="BD85" i="20"/>
  <c r="BE73" i="20"/>
  <c r="BD82" i="20"/>
  <c r="BD81" i="20"/>
  <c r="BD80" i="20"/>
  <c r="BD86" i="20"/>
  <c r="BD83" i="20"/>
  <c r="BD76" i="20"/>
  <c r="BH212" i="20"/>
  <c r="BH214" i="20"/>
  <c r="BH209" i="20"/>
  <c r="BH211" i="20"/>
  <c r="BH213" i="20"/>
  <c r="BH215" i="20"/>
  <c r="BI137" i="20"/>
  <c r="BH210" i="20"/>
  <c r="BD48" i="20"/>
  <c r="BD46" i="20"/>
  <c r="BD47" i="20"/>
  <c r="BD44" i="20"/>
  <c r="BD40" i="20"/>
  <c r="BE37" i="20"/>
  <c r="BD45" i="20"/>
  <c r="BD50" i="20"/>
  <c r="BD49" i="20"/>
  <c r="BE160" i="20"/>
  <c r="BE162" i="20"/>
  <c r="BE157" i="20"/>
  <c r="BE158" i="20"/>
  <c r="BE163" i="20"/>
  <c r="BE159" i="20"/>
  <c r="BE161" i="20"/>
  <c r="BF133" i="20"/>
  <c r="BF138" i="20" s="1"/>
  <c r="BE57" i="20"/>
  <c r="BF149" i="20"/>
  <c r="BG132" i="20"/>
  <c r="BF144" i="20"/>
  <c r="BF148" i="20"/>
  <c r="BF145" i="20"/>
  <c r="BF147" i="20"/>
  <c r="BF146" i="20"/>
  <c r="BF150" i="20"/>
  <c r="BG198" i="20"/>
  <c r="BH136" i="20"/>
  <c r="BG197" i="20"/>
  <c r="BG199" i="20"/>
  <c r="BG200" i="20"/>
  <c r="BG202" i="20"/>
  <c r="BG201" i="20"/>
  <c r="BG196" i="20"/>
  <c r="BF183" i="20"/>
  <c r="BF189" i="20"/>
  <c r="BG135" i="20"/>
  <c r="BF184" i="20"/>
  <c r="BF185" i="20"/>
  <c r="BF188" i="20"/>
  <c r="BF186" i="20"/>
  <c r="BF187" i="20"/>
  <c r="BE74" i="20"/>
  <c r="BF173" i="20"/>
  <c r="BF176" i="20"/>
  <c r="BG134" i="20"/>
  <c r="BF170" i="20"/>
  <c r="BF175" i="20"/>
  <c r="BF174" i="20"/>
  <c r="BF172" i="20"/>
  <c r="BF171" i="20"/>
  <c r="BD103" i="20"/>
  <c r="BE93" i="20"/>
  <c r="BD104" i="20"/>
  <c r="BD102" i="20"/>
  <c r="BD101" i="20"/>
  <c r="BD106" i="20"/>
  <c r="BD105" i="20"/>
  <c r="BD100" i="20"/>
  <c r="BD96" i="20"/>
  <c r="BE56" i="20"/>
  <c r="BE39" i="20"/>
  <c r="BE95" i="20"/>
  <c r="BG801" i="20"/>
  <c r="BF916" i="20"/>
  <c r="BF834" i="20"/>
  <c r="BE919" i="20"/>
  <c r="BF826" i="20"/>
  <c r="BE941" i="20"/>
  <c r="BH573" i="20"/>
  <c r="BG908" i="20"/>
  <c r="BD915" i="20"/>
  <c r="BE790" i="20"/>
  <c r="BL882" i="20"/>
  <c r="BM407" i="20"/>
  <c r="BE940" i="20"/>
  <c r="BF815" i="20"/>
  <c r="BE920" i="20"/>
  <c r="BF779" i="20"/>
  <c r="BE943" i="20"/>
  <c r="BF848" i="20"/>
  <c r="BL906" i="20"/>
  <c r="BM313" i="20"/>
  <c r="BE823" i="20"/>
  <c r="BD918" i="20"/>
  <c r="BK932" i="20"/>
  <c r="BL457" i="20"/>
  <c r="BF631" i="20"/>
  <c r="BE933" i="20"/>
  <c r="BD917" i="20"/>
  <c r="BE812" i="20"/>
  <c r="BF945" i="20"/>
  <c r="BG804" i="20"/>
  <c r="BF837" i="20"/>
  <c r="BE942" i="20"/>
  <c r="AK584" i="11"/>
  <c r="AK401" i="11"/>
  <c r="AK407" i="11" l="1"/>
  <c r="AK403" i="11"/>
  <c r="BF56" i="20"/>
  <c r="BF39" i="20"/>
  <c r="BF95" i="20"/>
  <c r="BF74" i="20"/>
  <c r="BG172" i="20"/>
  <c r="BG170" i="20"/>
  <c r="BG176" i="20"/>
  <c r="BG174" i="20"/>
  <c r="BG173" i="20"/>
  <c r="BH134" i="20"/>
  <c r="BG175" i="20"/>
  <c r="BG171" i="20"/>
  <c r="BF38" i="20"/>
  <c r="BG146" i="20"/>
  <c r="BG150" i="20"/>
  <c r="BG149" i="20"/>
  <c r="BH132" i="20"/>
  <c r="BG147" i="20"/>
  <c r="BG144" i="20"/>
  <c r="BG145" i="20"/>
  <c r="BG148" i="20"/>
  <c r="BF75" i="20"/>
  <c r="BE45" i="20"/>
  <c r="BE49" i="20"/>
  <c r="BE46" i="20"/>
  <c r="BE40" i="20"/>
  <c r="BE50" i="20"/>
  <c r="BE44" i="20"/>
  <c r="BE48" i="20"/>
  <c r="BF37" i="20"/>
  <c r="BE47" i="20"/>
  <c r="BE81" i="20"/>
  <c r="BE82" i="20"/>
  <c r="BE86" i="20"/>
  <c r="BE84" i="20"/>
  <c r="BE80" i="20"/>
  <c r="BE83" i="20"/>
  <c r="BE85" i="20"/>
  <c r="BF73" i="20"/>
  <c r="BE76" i="20"/>
  <c r="BF93" i="20"/>
  <c r="BE100" i="20"/>
  <c r="BE105" i="20"/>
  <c r="BE102" i="20"/>
  <c r="BE103" i="20"/>
  <c r="BE104" i="20"/>
  <c r="BE101" i="20"/>
  <c r="BE106" i="20"/>
  <c r="BE96" i="20"/>
  <c r="BG188" i="20"/>
  <c r="BG189" i="20"/>
  <c r="BG183" i="20"/>
  <c r="BG187" i="20"/>
  <c r="BG186" i="20"/>
  <c r="BG184" i="20"/>
  <c r="BG185" i="20"/>
  <c r="BH135" i="20"/>
  <c r="BG133" i="20"/>
  <c r="BG138" i="20" s="1"/>
  <c r="BF159" i="20"/>
  <c r="BF158" i="20"/>
  <c r="BF161" i="20"/>
  <c r="BF162" i="20"/>
  <c r="BF163" i="20"/>
  <c r="BF160" i="20"/>
  <c r="BF157" i="20"/>
  <c r="BH196" i="20"/>
  <c r="BH201" i="20"/>
  <c r="BH198" i="20"/>
  <c r="BH197" i="20"/>
  <c r="BH202" i="20"/>
  <c r="BI136" i="20"/>
  <c r="BH199" i="20"/>
  <c r="BH200" i="20"/>
  <c r="BF94" i="20"/>
  <c r="BF57" i="20"/>
  <c r="BJ137" i="20"/>
  <c r="BI212" i="20"/>
  <c r="BI213" i="20"/>
  <c r="BI211" i="20"/>
  <c r="BI215" i="20"/>
  <c r="BI210" i="20"/>
  <c r="BI209" i="20"/>
  <c r="BI214" i="20"/>
  <c r="BE64" i="20"/>
  <c r="BE68" i="20"/>
  <c r="BE66" i="20"/>
  <c r="BE62" i="20"/>
  <c r="BE63" i="20"/>
  <c r="BE67" i="20"/>
  <c r="BF55" i="20"/>
  <c r="BE58" i="20"/>
  <c r="BE65" i="20"/>
  <c r="BG945" i="20"/>
  <c r="BH804" i="20"/>
  <c r="BM906" i="20"/>
  <c r="BN313" i="20"/>
  <c r="BN906" i="20" s="1"/>
  <c r="BG815" i="20"/>
  <c r="BF940" i="20"/>
  <c r="BH908" i="20"/>
  <c r="BI573" i="20"/>
  <c r="BG834" i="20"/>
  <c r="BF919" i="20"/>
  <c r="BM882" i="20"/>
  <c r="BN407" i="20"/>
  <c r="BN882" i="20" s="1"/>
  <c r="BG631" i="20"/>
  <c r="BF933" i="20"/>
  <c r="BF920" i="20"/>
  <c r="BG779" i="20"/>
  <c r="BE915" i="20"/>
  <c r="BF790" i="20"/>
  <c r="BM457" i="20"/>
  <c r="BL932" i="20"/>
  <c r="BG837" i="20"/>
  <c r="BF942" i="20"/>
  <c r="BE917" i="20"/>
  <c r="BF812" i="20"/>
  <c r="BF823" i="20"/>
  <c r="BE918" i="20"/>
  <c r="BG848" i="20"/>
  <c r="BF943" i="20"/>
  <c r="BG826" i="20"/>
  <c r="BF941" i="20"/>
  <c r="BH801" i="20"/>
  <c r="BG916" i="20"/>
  <c r="AL584" i="11"/>
  <c r="AL401" i="11"/>
  <c r="AL403" i="11" l="1"/>
  <c r="AL407" i="11"/>
  <c r="BG94" i="20"/>
  <c r="BG74" i="20"/>
  <c r="BG95" i="20"/>
  <c r="BG57" i="20"/>
  <c r="BH187" i="20"/>
  <c r="BH183" i="20"/>
  <c r="BH189" i="20"/>
  <c r="BH185" i="20"/>
  <c r="BH188" i="20"/>
  <c r="BI135" i="20"/>
  <c r="BH186" i="20"/>
  <c r="BH184" i="20"/>
  <c r="BF101" i="20"/>
  <c r="BF105" i="20"/>
  <c r="BF106" i="20"/>
  <c r="BF103" i="20"/>
  <c r="BF104" i="20"/>
  <c r="BF100" i="20"/>
  <c r="BF102" i="20"/>
  <c r="BG93" i="20"/>
  <c r="BF96" i="20"/>
  <c r="BG37" i="20"/>
  <c r="BF48" i="20"/>
  <c r="BF40" i="20"/>
  <c r="BF49" i="20"/>
  <c r="BF45" i="20"/>
  <c r="BF46" i="20"/>
  <c r="BF50" i="20"/>
  <c r="BF47" i="20"/>
  <c r="BF44" i="20"/>
  <c r="BG75" i="20"/>
  <c r="BF65" i="20"/>
  <c r="BG55" i="20"/>
  <c r="BF64" i="20"/>
  <c r="BF58" i="20"/>
  <c r="BF68" i="20"/>
  <c r="BF67" i="20"/>
  <c r="BF63" i="20"/>
  <c r="BF62" i="20"/>
  <c r="BF66" i="20"/>
  <c r="BG56" i="20"/>
  <c r="BH176" i="20"/>
  <c r="BH174" i="20"/>
  <c r="BH173" i="20"/>
  <c r="BH171" i="20"/>
  <c r="BI134" i="20"/>
  <c r="BH172" i="20"/>
  <c r="BH170" i="20"/>
  <c r="BH175" i="20"/>
  <c r="BI201" i="20"/>
  <c r="BJ136" i="20"/>
  <c r="BI199" i="20"/>
  <c r="BI196" i="20"/>
  <c r="BI200" i="20"/>
  <c r="BI198" i="20"/>
  <c r="BI197" i="20"/>
  <c r="BI202" i="20"/>
  <c r="BH148" i="20"/>
  <c r="BI132" i="20"/>
  <c r="BH146" i="20"/>
  <c r="BH144" i="20"/>
  <c r="BH145" i="20"/>
  <c r="BH150" i="20"/>
  <c r="BH147" i="20"/>
  <c r="BH149" i="20"/>
  <c r="BG38" i="20"/>
  <c r="BJ212" i="20"/>
  <c r="BJ210" i="20"/>
  <c r="BJ215" i="20"/>
  <c r="BJ209" i="20"/>
  <c r="BK137" i="20"/>
  <c r="BJ213" i="20"/>
  <c r="BJ214" i="20"/>
  <c r="BJ211" i="20"/>
  <c r="BG163" i="20"/>
  <c r="BG161" i="20"/>
  <c r="BG158" i="20"/>
  <c r="BG160" i="20"/>
  <c r="BG162" i="20"/>
  <c r="BG157" i="20"/>
  <c r="BG159" i="20"/>
  <c r="BH133" i="20"/>
  <c r="BG73" i="20"/>
  <c r="BF86" i="20"/>
  <c r="BF81" i="20"/>
  <c r="BF80" i="20"/>
  <c r="BF85" i="20"/>
  <c r="BF84" i="20"/>
  <c r="BF82" i="20"/>
  <c r="BF83" i="20"/>
  <c r="BF76" i="20"/>
  <c r="BG39" i="20"/>
  <c r="BI801" i="20"/>
  <c r="BH916" i="20"/>
  <c r="BG823" i="20"/>
  <c r="BF918" i="20"/>
  <c r="BH945" i="20"/>
  <c r="BI804" i="20"/>
  <c r="BF917" i="20"/>
  <c r="BG812" i="20"/>
  <c r="BG920" i="20"/>
  <c r="BH779" i="20"/>
  <c r="BG933" i="20"/>
  <c r="BH631" i="20"/>
  <c r="BH837" i="20"/>
  <c r="BG942" i="20"/>
  <c r="BH826" i="20"/>
  <c r="BG941" i="20"/>
  <c r="BH848" i="20"/>
  <c r="BG943" i="20"/>
  <c r="BM932" i="20"/>
  <c r="BN457" i="20"/>
  <c r="BN932" i="20" s="1"/>
  <c r="BH834" i="20"/>
  <c r="BG919" i="20"/>
  <c r="BH815" i="20"/>
  <c r="BG940" i="20"/>
  <c r="BF915" i="20"/>
  <c r="BG790" i="20"/>
  <c r="BJ573" i="20"/>
  <c r="BI908" i="20"/>
  <c r="AM584" i="11"/>
  <c r="AM401" i="11"/>
  <c r="AM403" i="11" l="1"/>
  <c r="AM407" i="11"/>
  <c r="BH39" i="20"/>
  <c r="BH95" i="20"/>
  <c r="BH94" i="20"/>
  <c r="BH56" i="20"/>
  <c r="BH38" i="20"/>
  <c r="BG85" i="20"/>
  <c r="BH73" i="20"/>
  <c r="BG80" i="20"/>
  <c r="BG84" i="20"/>
  <c r="BG81" i="20"/>
  <c r="BG86" i="20"/>
  <c r="BG82" i="20"/>
  <c r="BG83" i="20"/>
  <c r="BG76" i="20"/>
  <c r="BI175" i="20"/>
  <c r="BJ134" i="20"/>
  <c r="BI171" i="20"/>
  <c r="BI173" i="20"/>
  <c r="BI170" i="20"/>
  <c r="BI174" i="20"/>
  <c r="BI176" i="20"/>
  <c r="BI172" i="20"/>
  <c r="BH75" i="20"/>
  <c r="BH163" i="20"/>
  <c r="BH158" i="20"/>
  <c r="BH159" i="20"/>
  <c r="BH161" i="20"/>
  <c r="BH162" i="20"/>
  <c r="BH157" i="20"/>
  <c r="BH160" i="20"/>
  <c r="BI133" i="20"/>
  <c r="BI138" i="20" s="1"/>
  <c r="BK209" i="20"/>
  <c r="BK211" i="20"/>
  <c r="BK213" i="20"/>
  <c r="BK215" i="20"/>
  <c r="BK210" i="20"/>
  <c r="BL137" i="20"/>
  <c r="BK214" i="20"/>
  <c r="BK212" i="20"/>
  <c r="BG48" i="20"/>
  <c r="BG49" i="20"/>
  <c r="BG46" i="20"/>
  <c r="BH37" i="20"/>
  <c r="BG47" i="20"/>
  <c r="BG44" i="20"/>
  <c r="BG40" i="20"/>
  <c r="BG45" i="20"/>
  <c r="BG50" i="20"/>
  <c r="BI185" i="20"/>
  <c r="BI187" i="20"/>
  <c r="BI184" i="20"/>
  <c r="BI188" i="20"/>
  <c r="BI186" i="20"/>
  <c r="BJ135" i="20"/>
  <c r="BI183" i="20"/>
  <c r="BI189" i="20"/>
  <c r="BI149" i="20"/>
  <c r="BI150" i="20"/>
  <c r="BI144" i="20"/>
  <c r="BJ132" i="20"/>
  <c r="BI148" i="20"/>
  <c r="BI147" i="20"/>
  <c r="BI145" i="20"/>
  <c r="BI146" i="20"/>
  <c r="BJ196" i="20"/>
  <c r="BJ198" i="20"/>
  <c r="BJ202" i="20"/>
  <c r="BJ199" i="20"/>
  <c r="BJ200" i="20"/>
  <c r="BJ197" i="20"/>
  <c r="BJ201" i="20"/>
  <c r="BK136" i="20"/>
  <c r="BH74" i="20"/>
  <c r="BG65" i="20"/>
  <c r="BG62" i="20"/>
  <c r="BG66" i="20"/>
  <c r="BG63" i="20"/>
  <c r="BG64" i="20"/>
  <c r="BG68" i="20"/>
  <c r="BH55" i="20"/>
  <c r="BG58" i="20"/>
  <c r="BG67" i="20"/>
  <c r="BH138" i="20"/>
  <c r="BG104" i="20"/>
  <c r="BG106" i="20"/>
  <c r="BG103" i="20"/>
  <c r="BG102" i="20"/>
  <c r="BG101" i="20"/>
  <c r="BG105" i="20"/>
  <c r="BH93" i="20"/>
  <c r="BG100" i="20"/>
  <c r="BG96" i="20"/>
  <c r="BH57" i="20"/>
  <c r="BI834" i="20"/>
  <c r="BH919" i="20"/>
  <c r="BH920" i="20"/>
  <c r="BI779" i="20"/>
  <c r="BI945" i="20"/>
  <c r="BJ804" i="20"/>
  <c r="BH823" i="20"/>
  <c r="BG918" i="20"/>
  <c r="BI826" i="20"/>
  <c r="BH941" i="20"/>
  <c r="BJ908" i="20"/>
  <c r="BK573" i="20"/>
  <c r="BI848" i="20"/>
  <c r="BH943" i="20"/>
  <c r="BI837" i="20"/>
  <c r="BH942" i="20"/>
  <c r="BH790" i="20"/>
  <c r="BG915" i="20"/>
  <c r="BI815" i="20"/>
  <c r="BH940" i="20"/>
  <c r="BI631" i="20"/>
  <c r="BH933" i="20"/>
  <c r="BG917" i="20"/>
  <c r="BH812" i="20"/>
  <c r="BI916" i="20"/>
  <c r="BJ801" i="20"/>
  <c r="AN584" i="11"/>
  <c r="AN401" i="11"/>
  <c r="AN403" i="11" l="1"/>
  <c r="AN407" i="11"/>
  <c r="BI74" i="20"/>
  <c r="BI57" i="20"/>
  <c r="BI38" i="20"/>
  <c r="BI39" i="20"/>
  <c r="BH101" i="20"/>
  <c r="BH102" i="20"/>
  <c r="BH106" i="20"/>
  <c r="BH104" i="20"/>
  <c r="BH100" i="20"/>
  <c r="BI93" i="20"/>
  <c r="BH105" i="20"/>
  <c r="BH103" i="20"/>
  <c r="BH96" i="20"/>
  <c r="BH66" i="20"/>
  <c r="BH58" i="20"/>
  <c r="BH67" i="20"/>
  <c r="BH64" i="20"/>
  <c r="BH65" i="20"/>
  <c r="BH62" i="20"/>
  <c r="BH63" i="20"/>
  <c r="BH68" i="20"/>
  <c r="BI55" i="20"/>
  <c r="BL136" i="20"/>
  <c r="BK196" i="20"/>
  <c r="BK198" i="20"/>
  <c r="BK197" i="20"/>
  <c r="BK201" i="20"/>
  <c r="BK199" i="20"/>
  <c r="BK200" i="20"/>
  <c r="BK202" i="20"/>
  <c r="BJ189" i="20"/>
  <c r="BJ187" i="20"/>
  <c r="BJ186" i="20"/>
  <c r="BJ184" i="20"/>
  <c r="BK135" i="20"/>
  <c r="BJ185" i="20"/>
  <c r="BJ183" i="20"/>
  <c r="BJ188" i="20"/>
  <c r="BI94" i="20"/>
  <c r="BJ171" i="20"/>
  <c r="BJ172" i="20"/>
  <c r="BJ170" i="20"/>
  <c r="BJ175" i="20"/>
  <c r="BJ173" i="20"/>
  <c r="BJ176" i="20"/>
  <c r="BK134" i="20"/>
  <c r="BJ174" i="20"/>
  <c r="BJ148" i="20"/>
  <c r="BJ146" i="20"/>
  <c r="BK132" i="20"/>
  <c r="BJ145" i="20"/>
  <c r="BJ150" i="20"/>
  <c r="BJ144" i="20"/>
  <c r="BJ149" i="20"/>
  <c r="BJ147" i="20"/>
  <c r="BI157" i="20"/>
  <c r="BI161" i="20"/>
  <c r="BI162" i="20"/>
  <c r="BI160" i="20"/>
  <c r="BI163" i="20"/>
  <c r="BI158" i="20"/>
  <c r="BI159" i="20"/>
  <c r="BJ133" i="20"/>
  <c r="BI75" i="20"/>
  <c r="BL212" i="20"/>
  <c r="BL214" i="20"/>
  <c r="BL209" i="20"/>
  <c r="BL211" i="20"/>
  <c r="BL213" i="20"/>
  <c r="BL215" i="20"/>
  <c r="BM137" i="20"/>
  <c r="BL210" i="20"/>
  <c r="BI95" i="20"/>
  <c r="BH85" i="20"/>
  <c r="BH86" i="20"/>
  <c r="BI73" i="20"/>
  <c r="BJ74" i="20" s="1"/>
  <c r="BH83" i="20"/>
  <c r="BH81" i="20"/>
  <c r="BH82" i="20"/>
  <c r="BH80" i="20"/>
  <c r="BH84" i="20"/>
  <c r="BH76" i="20"/>
  <c r="BH45" i="20"/>
  <c r="BH49" i="20"/>
  <c r="BH50" i="20"/>
  <c r="BI37" i="20"/>
  <c r="BH44" i="20"/>
  <c r="BH46" i="20"/>
  <c r="BH40" i="20"/>
  <c r="BH47" i="20"/>
  <c r="BH48" i="20"/>
  <c r="BI56" i="20"/>
  <c r="BK908" i="20"/>
  <c r="BL573" i="20"/>
  <c r="BI919" i="20"/>
  <c r="BJ834" i="20"/>
  <c r="BI942" i="20"/>
  <c r="BJ837" i="20"/>
  <c r="BI823" i="20"/>
  <c r="BH918" i="20"/>
  <c r="BK801" i="20"/>
  <c r="BJ916" i="20"/>
  <c r="BJ815" i="20"/>
  <c r="BI940" i="20"/>
  <c r="BJ631" i="20"/>
  <c r="BI933" i="20"/>
  <c r="BI790" i="20"/>
  <c r="BH915" i="20"/>
  <c r="BJ945" i="20"/>
  <c r="BK804" i="20"/>
  <c r="BI920" i="20"/>
  <c r="BJ779" i="20"/>
  <c r="BH917" i="20"/>
  <c r="BI812" i="20"/>
  <c r="BJ848" i="20"/>
  <c r="BI943" i="20"/>
  <c r="BI941" i="20"/>
  <c r="BJ826" i="20"/>
  <c r="AO584" i="11"/>
  <c r="AO401" i="11"/>
  <c r="AO407" i="11" l="1"/>
  <c r="AO403" i="11"/>
  <c r="BJ38" i="20"/>
  <c r="BJ56" i="20"/>
  <c r="BJ95" i="20"/>
  <c r="BJ75" i="20"/>
  <c r="BI83" i="20"/>
  <c r="BI80" i="20"/>
  <c r="BI82" i="20"/>
  <c r="BJ73" i="20"/>
  <c r="BI86" i="20"/>
  <c r="BI81" i="20"/>
  <c r="BI85" i="20"/>
  <c r="BI84" i="20"/>
  <c r="BI76" i="20"/>
  <c r="BJ57" i="20"/>
  <c r="BJ39" i="20"/>
  <c r="BK74" i="20"/>
  <c r="BM214" i="20"/>
  <c r="BM215" i="20"/>
  <c r="BM212" i="20"/>
  <c r="BM211" i="20"/>
  <c r="BN137" i="20"/>
  <c r="BM210" i="20"/>
  <c r="BM209" i="20"/>
  <c r="BM213" i="20"/>
  <c r="BK149" i="20"/>
  <c r="BK150" i="20"/>
  <c r="BK146" i="20"/>
  <c r="BL132" i="20"/>
  <c r="BK144" i="20"/>
  <c r="BK148" i="20"/>
  <c r="BK145" i="20"/>
  <c r="BK147" i="20"/>
  <c r="BJ94" i="20"/>
  <c r="BK186" i="20"/>
  <c r="BK188" i="20"/>
  <c r="BL135" i="20"/>
  <c r="BK185" i="20"/>
  <c r="BK189" i="20"/>
  <c r="BK187" i="20"/>
  <c r="BK184" i="20"/>
  <c r="BK183" i="20"/>
  <c r="BL202" i="20"/>
  <c r="BM136" i="20"/>
  <c r="BL199" i="20"/>
  <c r="BL197" i="20"/>
  <c r="BL198" i="20"/>
  <c r="BL196" i="20"/>
  <c r="BL200" i="20"/>
  <c r="BL201" i="20"/>
  <c r="BK133" i="20"/>
  <c r="BK138" i="20" s="1"/>
  <c r="BJ158" i="20"/>
  <c r="BJ159" i="20"/>
  <c r="BJ162" i="20"/>
  <c r="BJ157" i="20"/>
  <c r="BJ163" i="20"/>
  <c r="BJ160" i="20"/>
  <c r="BJ161" i="20"/>
  <c r="BK171" i="20"/>
  <c r="BK175" i="20"/>
  <c r="BL134" i="20"/>
  <c r="BK173" i="20"/>
  <c r="BK170" i="20"/>
  <c r="BK174" i="20"/>
  <c r="BK172" i="20"/>
  <c r="BK176" i="20"/>
  <c r="BI63" i="20"/>
  <c r="BI67" i="20"/>
  <c r="BI68" i="20"/>
  <c r="BI62" i="20"/>
  <c r="BI66" i="20"/>
  <c r="BI58" i="20"/>
  <c r="BI64" i="20"/>
  <c r="BI65" i="20"/>
  <c r="BJ55" i="20"/>
  <c r="BK56" i="20" s="1"/>
  <c r="BI106" i="20"/>
  <c r="BI101" i="20"/>
  <c r="BI100" i="20"/>
  <c r="BI104" i="20"/>
  <c r="BI103" i="20"/>
  <c r="BI105" i="20"/>
  <c r="BI102" i="20"/>
  <c r="BJ93" i="20"/>
  <c r="BI96" i="20"/>
  <c r="BI46" i="20"/>
  <c r="BI50" i="20"/>
  <c r="BI47" i="20"/>
  <c r="BJ37" i="20"/>
  <c r="BI44" i="20"/>
  <c r="BI48" i="20"/>
  <c r="BI40" i="20"/>
  <c r="BI45" i="20"/>
  <c r="BI49" i="20"/>
  <c r="BJ138" i="20"/>
  <c r="BK945" i="20"/>
  <c r="BL804" i="20"/>
  <c r="BK826" i="20"/>
  <c r="BJ941" i="20"/>
  <c r="BI917" i="20"/>
  <c r="BJ812" i="20"/>
  <c r="BI918" i="20"/>
  <c r="BJ823" i="20"/>
  <c r="BK848" i="20"/>
  <c r="BJ943" i="20"/>
  <c r="BK916" i="20"/>
  <c r="BL801" i="20"/>
  <c r="BK815" i="20"/>
  <c r="BJ940" i="20"/>
  <c r="BK837" i="20"/>
  <c r="BJ942" i="20"/>
  <c r="BM573" i="20"/>
  <c r="BL908" i="20"/>
  <c r="BK631" i="20"/>
  <c r="BJ933" i="20"/>
  <c r="BK834" i="20"/>
  <c r="BJ919" i="20"/>
  <c r="BJ920" i="20"/>
  <c r="BK779" i="20"/>
  <c r="BI915" i="20"/>
  <c r="BJ790" i="20"/>
  <c r="AP584" i="11"/>
  <c r="AP401" i="11"/>
  <c r="AP407" i="11" l="1"/>
  <c r="AP403" i="11"/>
  <c r="BK95" i="20"/>
  <c r="BK75" i="20"/>
  <c r="BK94" i="20"/>
  <c r="BK39" i="20"/>
  <c r="BL173" i="20"/>
  <c r="BL171" i="20"/>
  <c r="BL174" i="20"/>
  <c r="BL175" i="20"/>
  <c r="BL172" i="20"/>
  <c r="BL176" i="20"/>
  <c r="BM134" i="20"/>
  <c r="BL170" i="20"/>
  <c r="BL188" i="20"/>
  <c r="BL183" i="20"/>
  <c r="BM135" i="20"/>
  <c r="BL187" i="20"/>
  <c r="BL189" i="20"/>
  <c r="BL184" i="20"/>
  <c r="BL186" i="20"/>
  <c r="BL185" i="20"/>
  <c r="BK57" i="20"/>
  <c r="BJ47" i="20"/>
  <c r="BJ44" i="20"/>
  <c r="BJ40" i="20"/>
  <c r="BJ45" i="20"/>
  <c r="BJ49" i="20"/>
  <c r="BJ46" i="20"/>
  <c r="BJ50" i="20"/>
  <c r="BK37" i="20"/>
  <c r="BJ48" i="20"/>
  <c r="BM196" i="20"/>
  <c r="BN136" i="20"/>
  <c r="BM200" i="20"/>
  <c r="BM202" i="20"/>
  <c r="BM201" i="20"/>
  <c r="BM199" i="20"/>
  <c r="BM198" i="20"/>
  <c r="BM197" i="20"/>
  <c r="BL147" i="20"/>
  <c r="BL150" i="20"/>
  <c r="BL146" i="20"/>
  <c r="BL148" i="20"/>
  <c r="BL145" i="20"/>
  <c r="BL149" i="20"/>
  <c r="BL144" i="20"/>
  <c r="BM132" i="20"/>
  <c r="BN211" i="20"/>
  <c r="BN215" i="20"/>
  <c r="BN212" i="20"/>
  <c r="BN213" i="20"/>
  <c r="BN214" i="20"/>
  <c r="BN210" i="20"/>
  <c r="BN209" i="20"/>
  <c r="BJ106" i="20"/>
  <c r="BJ102" i="20"/>
  <c r="BJ103" i="20"/>
  <c r="BJ105" i="20"/>
  <c r="BJ101" i="20"/>
  <c r="BJ100" i="20"/>
  <c r="BJ104" i="20"/>
  <c r="BK93" i="20"/>
  <c r="BJ96" i="20"/>
  <c r="BJ64" i="20"/>
  <c r="BJ62" i="20"/>
  <c r="BJ58" i="20"/>
  <c r="BJ68" i="20"/>
  <c r="BJ67" i="20"/>
  <c r="BJ65" i="20"/>
  <c r="BJ66" i="20"/>
  <c r="BK55" i="20"/>
  <c r="BJ63" i="20"/>
  <c r="BK161" i="20"/>
  <c r="BK159" i="20"/>
  <c r="BK158" i="20"/>
  <c r="BK163" i="20"/>
  <c r="BK160" i="20"/>
  <c r="BK157" i="20"/>
  <c r="BK162" i="20"/>
  <c r="BL133" i="20"/>
  <c r="BL138" i="20" s="1"/>
  <c r="BJ81" i="20"/>
  <c r="BJ83" i="20"/>
  <c r="BJ85" i="20"/>
  <c r="BJ80" i="20"/>
  <c r="BJ82" i="20"/>
  <c r="BJ84" i="20"/>
  <c r="BJ86" i="20"/>
  <c r="BK73" i="20"/>
  <c r="BJ76" i="20"/>
  <c r="BK38" i="20"/>
  <c r="BK823" i="20"/>
  <c r="BJ918" i="20"/>
  <c r="BK933" i="20"/>
  <c r="BL631" i="20"/>
  <c r="BL837" i="20"/>
  <c r="BK942" i="20"/>
  <c r="BK941" i="20"/>
  <c r="BL826" i="20"/>
  <c r="BK920" i="20"/>
  <c r="BL779" i="20"/>
  <c r="BM801" i="20"/>
  <c r="BL916" i="20"/>
  <c r="BJ915" i="20"/>
  <c r="BK790" i="20"/>
  <c r="BJ917" i="20"/>
  <c r="BK812" i="20"/>
  <c r="BL945" i="20"/>
  <c r="BM804" i="20"/>
  <c r="BL834" i="20"/>
  <c r="BK919" i="20"/>
  <c r="BN573" i="20"/>
  <c r="BN908" i="20" s="1"/>
  <c r="BM908" i="20"/>
  <c r="BL815" i="20"/>
  <c r="BK940" i="20"/>
  <c r="BL848" i="20"/>
  <c r="BK943" i="20"/>
  <c r="AQ584" i="11"/>
  <c r="AQ401" i="11"/>
  <c r="AQ403" i="11" l="1"/>
  <c r="AQ407" i="11"/>
  <c r="BL38" i="20"/>
  <c r="BK85" i="20"/>
  <c r="BK80" i="20"/>
  <c r="BK82" i="20"/>
  <c r="BK84" i="20"/>
  <c r="BK81" i="20"/>
  <c r="BK83" i="20"/>
  <c r="BL73" i="20"/>
  <c r="BK86" i="20"/>
  <c r="BK76" i="20"/>
  <c r="BK64" i="20"/>
  <c r="BK68" i="20"/>
  <c r="BL55" i="20"/>
  <c r="BK66" i="20"/>
  <c r="BK65" i="20"/>
  <c r="BK62" i="20"/>
  <c r="BK63" i="20"/>
  <c r="BK67" i="20"/>
  <c r="BK58" i="20"/>
  <c r="BK45" i="20"/>
  <c r="BK49" i="20"/>
  <c r="BK50" i="20"/>
  <c r="BK40" i="20"/>
  <c r="BK44" i="20"/>
  <c r="BK48" i="20"/>
  <c r="BL37" i="20"/>
  <c r="BK46" i="20"/>
  <c r="BK47" i="20"/>
  <c r="BL57" i="20"/>
  <c r="BK102" i="20"/>
  <c r="BK105" i="20"/>
  <c r="BK100" i="20"/>
  <c r="BK104" i="20"/>
  <c r="BK103" i="20"/>
  <c r="BK106" i="20"/>
  <c r="BL93" i="20"/>
  <c r="BK101" i="20"/>
  <c r="BK96" i="20"/>
  <c r="BL95" i="20"/>
  <c r="BL75" i="20"/>
  <c r="BN199" i="20"/>
  <c r="BN201" i="20"/>
  <c r="BN198" i="20"/>
  <c r="BN200" i="20"/>
  <c r="BN202" i="20"/>
  <c r="BN197" i="20"/>
  <c r="BN196" i="20"/>
  <c r="BL39" i="20"/>
  <c r="BL74" i="20"/>
  <c r="BM183" i="20"/>
  <c r="BM186" i="20"/>
  <c r="BM189" i="20"/>
  <c r="BM184" i="20"/>
  <c r="BN135" i="20"/>
  <c r="BM185" i="20"/>
  <c r="BM188" i="20"/>
  <c r="BM187" i="20"/>
  <c r="BM176" i="20"/>
  <c r="BN134" i="20"/>
  <c r="BM171" i="20"/>
  <c r="BM174" i="20"/>
  <c r="BM172" i="20"/>
  <c r="BM173" i="20"/>
  <c r="BM170" i="20"/>
  <c r="BM175" i="20"/>
  <c r="BL94" i="20"/>
  <c r="BM133" i="20"/>
  <c r="BL163" i="20"/>
  <c r="BL158" i="20"/>
  <c r="BL157" i="20"/>
  <c r="BL159" i="20"/>
  <c r="BL160" i="20"/>
  <c r="BL162" i="20"/>
  <c r="BL161" i="20"/>
  <c r="BM145" i="20"/>
  <c r="BM149" i="20"/>
  <c r="BM144" i="20"/>
  <c r="BM150" i="20"/>
  <c r="BM148" i="20"/>
  <c r="BN132" i="20"/>
  <c r="BM147" i="20"/>
  <c r="BM146" i="20"/>
  <c r="BM138" i="20"/>
  <c r="BL56" i="20"/>
  <c r="BM815" i="20"/>
  <c r="BL940" i="20"/>
  <c r="BM834" i="20"/>
  <c r="BL919" i="20"/>
  <c r="BN801" i="20"/>
  <c r="BN916" i="20" s="1"/>
  <c r="BM916" i="20"/>
  <c r="BK917" i="20"/>
  <c r="BL812" i="20"/>
  <c r="BM631" i="20"/>
  <c r="BL933" i="20"/>
  <c r="BM945" i="20"/>
  <c r="BN804" i="20"/>
  <c r="BN945" i="20" s="1"/>
  <c r="BL790" i="20"/>
  <c r="BK915" i="20"/>
  <c r="BL920" i="20"/>
  <c r="BM779" i="20"/>
  <c r="BM826" i="20"/>
  <c r="BL941" i="20"/>
  <c r="BL943" i="20"/>
  <c r="BM848" i="20"/>
  <c r="BM837" i="20"/>
  <c r="BL942" i="20"/>
  <c r="BK918" i="20"/>
  <c r="BL823" i="20"/>
  <c r="AR584" i="11"/>
  <c r="AR401" i="11"/>
  <c r="AR403" i="11" l="1"/>
  <c r="AR407" i="11"/>
  <c r="BM39" i="20"/>
  <c r="BM56" i="20"/>
  <c r="BM94" i="20"/>
  <c r="BM74" i="20"/>
  <c r="BN150" i="20"/>
  <c r="BN149" i="20"/>
  <c r="BN148" i="20"/>
  <c r="BN146" i="20"/>
  <c r="BN147" i="20"/>
  <c r="BN145" i="20"/>
  <c r="BN144" i="20"/>
  <c r="BM75" i="20"/>
  <c r="BL103" i="20"/>
  <c r="BL104" i="20"/>
  <c r="BL106" i="20"/>
  <c r="BL101" i="20"/>
  <c r="BL105" i="20"/>
  <c r="BL100" i="20"/>
  <c r="BM93" i="20"/>
  <c r="BL102" i="20"/>
  <c r="BL96" i="20"/>
  <c r="BM158" i="20"/>
  <c r="BM163" i="20"/>
  <c r="BN133" i="20"/>
  <c r="BM162" i="20"/>
  <c r="BM157" i="20"/>
  <c r="BM159" i="20"/>
  <c r="BM160" i="20"/>
  <c r="BM161" i="20"/>
  <c r="BN173" i="20"/>
  <c r="BN175" i="20"/>
  <c r="BN170" i="20"/>
  <c r="BN176" i="20"/>
  <c r="BN172" i="20"/>
  <c r="BN174" i="20"/>
  <c r="BN171" i="20"/>
  <c r="BM95" i="20"/>
  <c r="BL82" i="20"/>
  <c r="BL84" i="20"/>
  <c r="BL83" i="20"/>
  <c r="BL81" i="20"/>
  <c r="BL85" i="20"/>
  <c r="BL80" i="20"/>
  <c r="BL86" i="20"/>
  <c r="BM73" i="20"/>
  <c r="BL76" i="20"/>
  <c r="BN183" i="20"/>
  <c r="BN185" i="20"/>
  <c r="BN187" i="20"/>
  <c r="BN189" i="20"/>
  <c r="BN184" i="20"/>
  <c r="BN186" i="20"/>
  <c r="BN188" i="20"/>
  <c r="BL46" i="20"/>
  <c r="BL44" i="20"/>
  <c r="BL48" i="20"/>
  <c r="BM37" i="20"/>
  <c r="BL45" i="20"/>
  <c r="BL49" i="20"/>
  <c r="BL50" i="20"/>
  <c r="BL40" i="20"/>
  <c r="BL47" i="20"/>
  <c r="BM38" i="20"/>
  <c r="BM57" i="20"/>
  <c r="BL63" i="20"/>
  <c r="BL67" i="20"/>
  <c r="BL58" i="20"/>
  <c r="BL64" i="20"/>
  <c r="BL65" i="20"/>
  <c r="BM55" i="20"/>
  <c r="BL62" i="20"/>
  <c r="BL66" i="20"/>
  <c r="BL68" i="20"/>
  <c r="BM943" i="20"/>
  <c r="BN848" i="20"/>
  <c r="BN943" i="20" s="1"/>
  <c r="BM919" i="20"/>
  <c r="BN834" i="20"/>
  <c r="BN919" i="20" s="1"/>
  <c r="BM823" i="20"/>
  <c r="BL918" i="20"/>
  <c r="BM920" i="20"/>
  <c r="BN779" i="20"/>
  <c r="BN920" i="20" s="1"/>
  <c r="BL917" i="20"/>
  <c r="BM812" i="20"/>
  <c r="BN837" i="20"/>
  <c r="BN942" i="20" s="1"/>
  <c r="BM942" i="20"/>
  <c r="BM941" i="20"/>
  <c r="BN826" i="20"/>
  <c r="BN941" i="20" s="1"/>
  <c r="BL915" i="20"/>
  <c r="BM790" i="20"/>
  <c r="BN631" i="20"/>
  <c r="BN933" i="20" s="1"/>
  <c r="BM933" i="20"/>
  <c r="BM940" i="20"/>
  <c r="BN815" i="20"/>
  <c r="BN940" i="20" s="1"/>
  <c r="AS584" i="11"/>
  <c r="AS401" i="11"/>
  <c r="AS407" i="11" l="1"/>
  <c r="AS403" i="11"/>
  <c r="BN74" i="20"/>
  <c r="BN95" i="20"/>
  <c r="BN38" i="20"/>
  <c r="BN94" i="20"/>
  <c r="BN39" i="20"/>
  <c r="BM85" i="20"/>
  <c r="BN73" i="20"/>
  <c r="BM81" i="20"/>
  <c r="BM80" i="20"/>
  <c r="BM84" i="20"/>
  <c r="BM82" i="20"/>
  <c r="BM86" i="20"/>
  <c r="BM83" i="20"/>
  <c r="BM76" i="20"/>
  <c r="BM65" i="20"/>
  <c r="BM62" i="20"/>
  <c r="BM66" i="20"/>
  <c r="BM58" i="20"/>
  <c r="BM63" i="20"/>
  <c r="BM67" i="20"/>
  <c r="BM64" i="20"/>
  <c r="BM68" i="20"/>
  <c r="BN55" i="20"/>
  <c r="BN160" i="20"/>
  <c r="BN162" i="20"/>
  <c r="BN159" i="20"/>
  <c r="BN161" i="20"/>
  <c r="BN163" i="20"/>
  <c r="BN158" i="20"/>
  <c r="BN157" i="20"/>
  <c r="BN75" i="20"/>
  <c r="BM101" i="20"/>
  <c r="BM103" i="20"/>
  <c r="BM100" i="20"/>
  <c r="BM102" i="20"/>
  <c r="BM104" i="20"/>
  <c r="BM106" i="20"/>
  <c r="BN93" i="20"/>
  <c r="BM105" i="20"/>
  <c r="BM96" i="20"/>
  <c r="BN57" i="20"/>
  <c r="BM44" i="20"/>
  <c r="BM48" i="20"/>
  <c r="BM45" i="20"/>
  <c r="BM46" i="20"/>
  <c r="BM47" i="20"/>
  <c r="BN37" i="20"/>
  <c r="BM40" i="20"/>
  <c r="BM49" i="20"/>
  <c r="BM50" i="20"/>
  <c r="BN138" i="20"/>
  <c r="BN56" i="20"/>
  <c r="BN790" i="20"/>
  <c r="BN915" i="20" s="1"/>
  <c r="BM915" i="20"/>
  <c r="BM917" i="20"/>
  <c r="BN812" i="20"/>
  <c r="BN917" i="20" s="1"/>
  <c r="BM918" i="20"/>
  <c r="BN823" i="20"/>
  <c r="BN918" i="20" s="1"/>
  <c r="AT584" i="11"/>
  <c r="AT401" i="11"/>
  <c r="AT407" i="11" l="1"/>
  <c r="AT403" i="11"/>
  <c r="BN46" i="20"/>
  <c r="BN44" i="20"/>
  <c r="BN40" i="20"/>
  <c r="BN50" i="20"/>
  <c r="BN45" i="20"/>
  <c r="BN49" i="20"/>
  <c r="BN47" i="20"/>
  <c r="BN48" i="20"/>
  <c r="BN66" i="20"/>
  <c r="BN64" i="20"/>
  <c r="BN68" i="20"/>
  <c r="BN58" i="20"/>
  <c r="BN62" i="20"/>
  <c r="BN65" i="20"/>
  <c r="BN63" i="20"/>
  <c r="BN67" i="20"/>
  <c r="BN82" i="20"/>
  <c r="BN83" i="20"/>
  <c r="BN86" i="20"/>
  <c r="BN81" i="20"/>
  <c r="BN80" i="20"/>
  <c r="BN85" i="20"/>
  <c r="BN84" i="20"/>
  <c r="BN76" i="20"/>
  <c r="BN100" i="20"/>
  <c r="BN102" i="20"/>
  <c r="BN103" i="20"/>
  <c r="BN106" i="20"/>
  <c r="BN104" i="20"/>
  <c r="BN101" i="20"/>
  <c r="BN105" i="20"/>
  <c r="BN96" i="20"/>
  <c r="AU584" i="11"/>
  <c r="AU401" i="11"/>
  <c r="AU403" i="11" l="1"/>
  <c r="AU407" i="11"/>
  <c r="AV584" i="11"/>
  <c r="AV401" i="11"/>
  <c r="AV403" i="11" l="1"/>
  <c r="AV407" i="11"/>
  <c r="AW584" i="11"/>
  <c r="AW401" i="11"/>
  <c r="AW407" i="11" l="1"/>
  <c r="AW403" i="11"/>
  <c r="AX584" i="11"/>
  <c r="AX401" i="11"/>
  <c r="AX407" i="11" l="1"/>
  <c r="AX403" i="11"/>
  <c r="AY584" i="11"/>
  <c r="AY401" i="11"/>
  <c r="AY403" i="11" l="1"/>
  <c r="AY407" i="11"/>
  <c r="AZ584" i="11"/>
  <c r="AZ401" i="11"/>
  <c r="AZ403" i="11" l="1"/>
  <c r="AZ407" i="11"/>
  <c r="BA584" i="11"/>
  <c r="BA401" i="11"/>
  <c r="BA407" i="11" l="1"/>
  <c r="BA403" i="11"/>
  <c r="AL4" i="20" l="1"/>
  <c r="B11" i="20"/>
  <c r="AK237" i="20"/>
  <c r="AM4" i="20" l="1"/>
  <c r="Y119" i="11"/>
  <c r="Z119" i="11" s="1"/>
  <c r="AA119" i="11" s="1"/>
  <c r="AB119" i="11" s="1"/>
  <c r="AC119" i="11" s="1"/>
  <c r="AD119" i="11" s="1"/>
  <c r="AE119" i="11" s="1"/>
  <c r="AF119" i="11" s="1"/>
  <c r="AG119" i="11" s="1"/>
  <c r="AH119" i="11" s="1"/>
  <c r="AI119" i="11" s="1"/>
  <c r="AJ119" i="11" s="1"/>
  <c r="AK119" i="11" s="1"/>
  <c r="AL119" i="11" s="1"/>
  <c r="AM119" i="11" s="1"/>
  <c r="AN119" i="11" s="1"/>
  <c r="AO119" i="11" s="1"/>
  <c r="AP119" i="11" s="1"/>
  <c r="AQ119" i="11" s="1"/>
  <c r="AR119" i="11" s="1"/>
  <c r="AS119" i="11" s="1"/>
  <c r="AT119" i="11" s="1"/>
  <c r="AU119" i="11" s="1"/>
  <c r="AV119" i="11" s="1"/>
  <c r="AW119" i="11" s="1"/>
  <c r="AX119" i="11" s="1"/>
  <c r="AY119" i="11" s="1"/>
  <c r="AZ119" i="11" s="1"/>
  <c r="BA119" i="11" s="1"/>
  <c r="Y114" i="11"/>
  <c r="Z114" i="11" s="1"/>
  <c r="AA114" i="11" s="1"/>
  <c r="AB114" i="11" s="1"/>
  <c r="AC114" i="11" s="1"/>
  <c r="AD114" i="11" s="1"/>
  <c r="AE114" i="11" s="1"/>
  <c r="AF114" i="11" s="1"/>
  <c r="AG114" i="11" s="1"/>
  <c r="AH114" i="11" s="1"/>
  <c r="AI114" i="11" s="1"/>
  <c r="AJ114" i="11" s="1"/>
  <c r="AK114" i="11" s="1"/>
  <c r="AL114" i="11" s="1"/>
  <c r="AM114" i="11" s="1"/>
  <c r="AN114" i="11" s="1"/>
  <c r="AO114" i="11" s="1"/>
  <c r="AP114" i="11" s="1"/>
  <c r="AQ114" i="11" s="1"/>
  <c r="AR114" i="11" s="1"/>
  <c r="AS114" i="11" s="1"/>
  <c r="AT114" i="11" s="1"/>
  <c r="AU114" i="11" s="1"/>
  <c r="AV114" i="11" s="1"/>
  <c r="AW114" i="11" s="1"/>
  <c r="AX114" i="11" s="1"/>
  <c r="AY114" i="11" s="1"/>
  <c r="AZ114" i="11" s="1"/>
  <c r="BA114" i="11" s="1"/>
  <c r="E86" i="13"/>
  <c r="E87" i="13" s="1"/>
  <c r="E88" i="13" s="1"/>
  <c r="E89" i="13" s="1"/>
  <c r="E90" i="13" s="1"/>
  <c r="E91" i="13" s="1"/>
  <c r="E92" i="13" s="1"/>
  <c r="E93" i="13" s="1"/>
  <c r="E94" i="13" s="1"/>
  <c r="E95" i="13" s="1"/>
  <c r="E96" i="13" s="1"/>
  <c r="E97" i="13" s="1"/>
  <c r="E98" i="13" s="1"/>
  <c r="E99" i="13" s="1"/>
  <c r="E100" i="13" s="1"/>
  <c r="E101" i="13" s="1"/>
  <c r="E102" i="13" s="1"/>
  <c r="E103" i="13" s="1"/>
  <c r="E104" i="13" s="1"/>
  <c r="E105" i="13" s="1"/>
  <c r="E106" i="13" s="1"/>
  <c r="E107" i="13" s="1"/>
  <c r="E108" i="13" s="1"/>
  <c r="E109" i="13" s="1"/>
  <c r="E110" i="13" s="1"/>
  <c r="E111" i="13" s="1"/>
  <c r="E112" i="13" s="1"/>
  <c r="E113" i="13" s="1"/>
  <c r="E114" i="13" s="1"/>
  <c r="E115" i="13" s="1"/>
  <c r="E116" i="13" s="1"/>
  <c r="E117" i="13" s="1"/>
  <c r="E118" i="13" s="1"/>
  <c r="E119" i="13" s="1"/>
  <c r="E120" i="13" s="1"/>
  <c r="E121" i="13" s="1"/>
  <c r="E122" i="13" s="1"/>
  <c r="E123" i="13" s="1"/>
  <c r="E124" i="13" s="1"/>
  <c r="E125" i="13" s="1"/>
  <c r="E126" i="13" s="1"/>
  <c r="E127" i="13" s="1"/>
  <c r="E128" i="13" s="1"/>
  <c r="E129" i="13" s="1"/>
  <c r="E130" i="13" s="1"/>
  <c r="E131" i="13" s="1"/>
  <c r="E132" i="13" s="1"/>
  <c r="E133" i="13" s="1"/>
  <c r="E134" i="13" s="1"/>
  <c r="E135" i="13" s="1"/>
  <c r="E136" i="13" s="1"/>
  <c r="E137" i="13" s="1"/>
  <c r="E138" i="13" s="1"/>
  <c r="E139" i="13" s="1"/>
  <c r="E140" i="13" s="1"/>
  <c r="E141" i="13" s="1"/>
  <c r="E85" i="13"/>
  <c r="Y111" i="11"/>
  <c r="Y107" i="11"/>
  <c r="Z107" i="11" s="1"/>
  <c r="AA107" i="11" s="1"/>
  <c r="AB107" i="11" s="1"/>
  <c r="AC107" i="11" s="1"/>
  <c r="AD107" i="11" s="1"/>
  <c r="AE107" i="11" s="1"/>
  <c r="AF107" i="11" s="1"/>
  <c r="AG107" i="11" s="1"/>
  <c r="AH107" i="11" s="1"/>
  <c r="AI107" i="11" s="1"/>
  <c r="AJ107" i="11" s="1"/>
  <c r="AK107" i="11" s="1"/>
  <c r="AL107" i="11" s="1"/>
  <c r="AM107" i="11" s="1"/>
  <c r="AN107" i="11" s="1"/>
  <c r="AO107" i="11" s="1"/>
  <c r="AP107" i="11" s="1"/>
  <c r="AQ107" i="11" s="1"/>
  <c r="AR107" i="11" s="1"/>
  <c r="AS107" i="11" s="1"/>
  <c r="AT107" i="11" s="1"/>
  <c r="AU107" i="11" s="1"/>
  <c r="AV107" i="11" s="1"/>
  <c r="AW107" i="11" s="1"/>
  <c r="AX107" i="11" s="1"/>
  <c r="AY107" i="11" s="1"/>
  <c r="AZ107" i="11" s="1"/>
  <c r="BA107" i="11" s="1"/>
  <c r="Y104" i="11"/>
  <c r="Z104" i="11" s="1"/>
  <c r="AA104" i="11" s="1"/>
  <c r="AB104" i="11" s="1"/>
  <c r="AC104" i="11" s="1"/>
  <c r="AD104" i="11" s="1"/>
  <c r="AE104" i="11" s="1"/>
  <c r="AF104" i="11" s="1"/>
  <c r="AG104" i="11" s="1"/>
  <c r="AH104" i="11" s="1"/>
  <c r="AI104" i="11" s="1"/>
  <c r="AJ104" i="11" s="1"/>
  <c r="AK104" i="11" s="1"/>
  <c r="AL104" i="11" s="1"/>
  <c r="AM104" i="11" s="1"/>
  <c r="AN104" i="11" s="1"/>
  <c r="AO104" i="11" s="1"/>
  <c r="AP104" i="11" s="1"/>
  <c r="AQ104" i="11" s="1"/>
  <c r="AR104" i="11" s="1"/>
  <c r="AS104" i="11" s="1"/>
  <c r="AT104" i="11" s="1"/>
  <c r="AU104" i="11" s="1"/>
  <c r="AV104" i="11" s="1"/>
  <c r="AW104" i="11" s="1"/>
  <c r="AX104" i="11" s="1"/>
  <c r="AY104" i="11" s="1"/>
  <c r="AZ104" i="11" s="1"/>
  <c r="BA104" i="11" s="1"/>
  <c r="Y101" i="11"/>
  <c r="Z101" i="11" s="1"/>
  <c r="AA101" i="11" s="1"/>
  <c r="AB101" i="11" s="1"/>
  <c r="AC101" i="11" s="1"/>
  <c r="AD101" i="11" s="1"/>
  <c r="AE101" i="11" s="1"/>
  <c r="AF101" i="11" s="1"/>
  <c r="AG101" i="11" s="1"/>
  <c r="AH101" i="11" s="1"/>
  <c r="AI101" i="11" s="1"/>
  <c r="AJ101" i="11" s="1"/>
  <c r="AK101" i="11" s="1"/>
  <c r="AL101" i="11" s="1"/>
  <c r="AM101" i="11" s="1"/>
  <c r="AN101" i="11" s="1"/>
  <c r="AO101" i="11" s="1"/>
  <c r="AP101" i="11" s="1"/>
  <c r="AQ101" i="11" s="1"/>
  <c r="AR101" i="11" s="1"/>
  <c r="AS101" i="11" s="1"/>
  <c r="AT101" i="11" s="1"/>
  <c r="AU101" i="11" s="1"/>
  <c r="AV101" i="11" s="1"/>
  <c r="AW101" i="11" s="1"/>
  <c r="AX101" i="11" s="1"/>
  <c r="AY101" i="11" s="1"/>
  <c r="AZ101" i="11" s="1"/>
  <c r="BA101" i="11" s="1"/>
  <c r="Y97" i="1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Y94" i="11"/>
  <c r="Z94" i="11" s="1"/>
  <c r="AA94" i="11" s="1"/>
  <c r="AB94" i="11" s="1"/>
  <c r="AC94" i="11" s="1"/>
  <c r="AD94" i="11" s="1"/>
  <c r="AE94" i="11" s="1"/>
  <c r="AF94" i="11" s="1"/>
  <c r="AG94" i="11" s="1"/>
  <c r="AH94" i="11" s="1"/>
  <c r="AI94" i="11" s="1"/>
  <c r="AJ94" i="11" s="1"/>
  <c r="AK94" i="11" s="1"/>
  <c r="AL94" i="11" s="1"/>
  <c r="AM94" i="11" s="1"/>
  <c r="AN94" i="11" s="1"/>
  <c r="AO94" i="11" s="1"/>
  <c r="AP94" i="11" s="1"/>
  <c r="AQ94" i="11" s="1"/>
  <c r="AR94" i="11" s="1"/>
  <c r="AS94" i="11" s="1"/>
  <c r="AT94" i="11" s="1"/>
  <c r="AU94" i="11" s="1"/>
  <c r="AV94" i="11" s="1"/>
  <c r="AW94" i="11" s="1"/>
  <c r="AX94" i="11" s="1"/>
  <c r="AY94" i="11" s="1"/>
  <c r="AZ94" i="11" s="1"/>
  <c r="BA94" i="11" s="1"/>
  <c r="Y91" i="11"/>
  <c r="Z91" i="11" s="1"/>
  <c r="AA91" i="11" s="1"/>
  <c r="AB91" i="11" s="1"/>
  <c r="AC91" i="11" s="1"/>
  <c r="AD91" i="11" s="1"/>
  <c r="AE91" i="11" s="1"/>
  <c r="AF91" i="11" s="1"/>
  <c r="AG91" i="11" s="1"/>
  <c r="AH91" i="11" s="1"/>
  <c r="AI91" i="11" s="1"/>
  <c r="AJ91" i="11" s="1"/>
  <c r="AK91" i="11" s="1"/>
  <c r="AL91" i="11" s="1"/>
  <c r="AM91" i="11" s="1"/>
  <c r="AN91" i="11" s="1"/>
  <c r="AO91" i="11" s="1"/>
  <c r="AP91" i="11" s="1"/>
  <c r="AQ91" i="11" s="1"/>
  <c r="AR91" i="11" s="1"/>
  <c r="AS91" i="11" s="1"/>
  <c r="AT91" i="11" s="1"/>
  <c r="AU91" i="11" s="1"/>
  <c r="AV91" i="11" s="1"/>
  <c r="AW91" i="11" s="1"/>
  <c r="AX91" i="11" s="1"/>
  <c r="AY91" i="11" s="1"/>
  <c r="AZ91" i="11" s="1"/>
  <c r="BA91" i="11" s="1"/>
  <c r="E25" i="13"/>
  <c r="I26" i="11"/>
  <c r="I25" i="11"/>
  <c r="B31" i="11"/>
  <c r="B30" i="11"/>
  <c r="B29" i="11"/>
  <c r="B28" i="11"/>
  <c r="B27" i="11"/>
  <c r="B26" i="11"/>
  <c r="B25" i="11"/>
  <c r="E26" i="13" l="1"/>
  <c r="F25" i="13"/>
  <c r="G25" i="13"/>
  <c r="H25" i="13"/>
  <c r="I25" i="13"/>
  <c r="J25" i="13"/>
  <c r="K25" i="13"/>
  <c r="L25" i="13"/>
  <c r="M25" i="13"/>
  <c r="N25" i="13"/>
  <c r="O25" i="13"/>
  <c r="P25" i="13"/>
  <c r="Q25" i="13"/>
  <c r="R25" i="13"/>
  <c r="S25" i="13"/>
  <c r="T25" i="13"/>
  <c r="U25" i="13"/>
  <c r="V25" i="13"/>
  <c r="W25" i="13"/>
  <c r="X25" i="13"/>
  <c r="Y25" i="13"/>
  <c r="Z25" i="13"/>
  <c r="AA25" i="13"/>
  <c r="AB25" i="13"/>
  <c r="AC25" i="13"/>
  <c r="AD25" i="13"/>
  <c r="AE25" i="13"/>
  <c r="AF25" i="13"/>
  <c r="AG25" i="13"/>
  <c r="AH25" i="13"/>
  <c r="AI25" i="13"/>
  <c r="AJ25" i="13"/>
  <c r="AK25" i="13"/>
  <c r="I27" i="11" s="1"/>
  <c r="Z111" i="11"/>
  <c r="AN4" i="20"/>
  <c r="E27" i="13" l="1"/>
  <c r="F26" i="13"/>
  <c r="G26" i="13"/>
  <c r="H26" i="13"/>
  <c r="I26" i="13"/>
  <c r="J26" i="13"/>
  <c r="K26" i="13"/>
  <c r="L26" i="13"/>
  <c r="M26" i="13"/>
  <c r="N26" i="13"/>
  <c r="O26" i="13"/>
  <c r="P26" i="13"/>
  <c r="Q26" i="13"/>
  <c r="R26" i="13"/>
  <c r="S26" i="13"/>
  <c r="T26" i="13"/>
  <c r="U26" i="13"/>
  <c r="V26" i="13"/>
  <c r="W26" i="13"/>
  <c r="X26" i="13"/>
  <c r="Y26" i="13"/>
  <c r="Z26" i="13"/>
  <c r="AA26" i="13"/>
  <c r="AB26" i="13"/>
  <c r="AC26" i="13"/>
  <c r="AD26" i="13"/>
  <c r="AE26" i="13"/>
  <c r="AF26" i="13"/>
  <c r="AG26" i="13"/>
  <c r="AH26" i="13"/>
  <c r="AI26" i="13"/>
  <c r="AJ26" i="13"/>
  <c r="AK26" i="13"/>
  <c r="AA111" i="11"/>
  <c r="AO4" i="20"/>
  <c r="Y78" i="11"/>
  <c r="Z78" i="11" s="1"/>
  <c r="AA78" i="11" s="1"/>
  <c r="AB78" i="11" s="1"/>
  <c r="AC78" i="11" s="1"/>
  <c r="AD78" i="11" s="1"/>
  <c r="AE78" i="11" s="1"/>
  <c r="AF78" i="11" s="1"/>
  <c r="AG78" i="11" s="1"/>
  <c r="AH78" i="11" s="1"/>
  <c r="AI78" i="11" s="1"/>
  <c r="AJ78" i="11" s="1"/>
  <c r="AK78" i="11" s="1"/>
  <c r="AL78" i="11" s="1"/>
  <c r="AM78" i="11" s="1"/>
  <c r="AN78" i="11" s="1"/>
  <c r="AO78" i="11" s="1"/>
  <c r="AP78" i="11" s="1"/>
  <c r="AQ78" i="11" s="1"/>
  <c r="AR78" i="11" s="1"/>
  <c r="AS78" i="11" s="1"/>
  <c r="AT78" i="11" s="1"/>
  <c r="AU78" i="11" s="1"/>
  <c r="AV78" i="11" s="1"/>
  <c r="AW78" i="11" s="1"/>
  <c r="AX78" i="11" s="1"/>
  <c r="AY78" i="11" s="1"/>
  <c r="AZ78" i="11" s="1"/>
  <c r="BA78" i="11" s="1"/>
  <c r="W80" i="11"/>
  <c r="W81" i="11"/>
  <c r="W82" i="11"/>
  <c r="W83" i="11"/>
  <c r="W79" i="11"/>
  <c r="Y86" i="11"/>
  <c r="Z86" i="11" s="1"/>
  <c r="AA86" i="11" s="1"/>
  <c r="AB86" i="11" s="1"/>
  <c r="AC86" i="11" s="1"/>
  <c r="AD86" i="11" s="1"/>
  <c r="AE86" i="11" s="1"/>
  <c r="AF86" i="11" s="1"/>
  <c r="AG86" i="11" s="1"/>
  <c r="AH86" i="11" s="1"/>
  <c r="AI86" i="11" s="1"/>
  <c r="AJ86" i="11" s="1"/>
  <c r="AK86" i="11" s="1"/>
  <c r="AL86" i="11" s="1"/>
  <c r="AM86" i="11" s="1"/>
  <c r="AN86" i="11" s="1"/>
  <c r="AO86" i="11" s="1"/>
  <c r="AP86" i="11" s="1"/>
  <c r="AQ86" i="11" s="1"/>
  <c r="AR86" i="11" s="1"/>
  <c r="AS86" i="11" s="1"/>
  <c r="AT86" i="11" s="1"/>
  <c r="AU86" i="11" s="1"/>
  <c r="AV86" i="11" s="1"/>
  <c r="AW86" i="11" s="1"/>
  <c r="AX86" i="11" s="1"/>
  <c r="AY86" i="11" s="1"/>
  <c r="AZ86" i="11" s="1"/>
  <c r="BA86" i="11" s="1"/>
  <c r="X55" i="11"/>
  <c r="Y51" i="11"/>
  <c r="Y47" i="11"/>
  <c r="Z47" i="11" s="1"/>
  <c r="AA47" i="11" s="1"/>
  <c r="AB47" i="11" s="1"/>
  <c r="AC47" i="11" s="1"/>
  <c r="AD47" i="11" s="1"/>
  <c r="AE47" i="11" s="1"/>
  <c r="AF47" i="11" s="1"/>
  <c r="AG47" i="11" s="1"/>
  <c r="AH47" i="11" s="1"/>
  <c r="AI47" i="11" s="1"/>
  <c r="AJ47" i="11" s="1"/>
  <c r="AK47" i="11" s="1"/>
  <c r="AL47" i="11" s="1"/>
  <c r="AM47" i="11" s="1"/>
  <c r="AN47" i="11" s="1"/>
  <c r="AO47" i="11" s="1"/>
  <c r="AP47" i="11" s="1"/>
  <c r="AQ47" i="11" s="1"/>
  <c r="AR47" i="11" s="1"/>
  <c r="AS47" i="11" s="1"/>
  <c r="AT47" i="11" s="1"/>
  <c r="AU47" i="11" s="1"/>
  <c r="AV47" i="11" s="1"/>
  <c r="AW47" i="11" s="1"/>
  <c r="AX47" i="11" s="1"/>
  <c r="AY47" i="11" s="1"/>
  <c r="AZ47" i="11" s="1"/>
  <c r="BA47" i="11" s="1"/>
  <c r="Y4" i="11"/>
  <c r="Z4" i="11" s="1"/>
  <c r="AA4" i="11" s="1"/>
  <c r="AB4" i="11" s="1"/>
  <c r="AC4" i="11" s="1"/>
  <c r="AD4" i="11" s="1"/>
  <c r="AE4" i="11" s="1"/>
  <c r="AF4" i="11" s="1"/>
  <c r="AG4" i="11" s="1"/>
  <c r="AH4" i="11" s="1"/>
  <c r="AI4" i="11" s="1"/>
  <c r="AJ4" i="11" s="1"/>
  <c r="AK4" i="11" s="1"/>
  <c r="AL4" i="11" s="1"/>
  <c r="AM4" i="11" s="1"/>
  <c r="AN4" i="11" s="1"/>
  <c r="AO4" i="11" s="1"/>
  <c r="AP4" i="11" s="1"/>
  <c r="AQ4" i="11" s="1"/>
  <c r="AR4" i="11" s="1"/>
  <c r="AS4" i="11" s="1"/>
  <c r="AT4" i="11" s="1"/>
  <c r="AU4" i="11" s="1"/>
  <c r="AV4" i="11" s="1"/>
  <c r="AW4" i="11" s="1"/>
  <c r="AX4" i="11" s="1"/>
  <c r="AY4" i="11" s="1"/>
  <c r="AZ4" i="11" s="1"/>
  <c r="BA4" i="11" s="1"/>
  <c r="I28" i="11" l="1"/>
  <c r="E28" i="13"/>
  <c r="F27" i="13"/>
  <c r="G27" i="13"/>
  <c r="H27" i="13"/>
  <c r="I27" i="13"/>
  <c r="J27" i="13"/>
  <c r="K27" i="13"/>
  <c r="L27" i="13"/>
  <c r="M27" i="13"/>
  <c r="N27" i="13"/>
  <c r="O27" i="13"/>
  <c r="P27" i="13"/>
  <c r="Q27" i="13"/>
  <c r="R27" i="13"/>
  <c r="S27" i="13"/>
  <c r="T27" i="13"/>
  <c r="U27" i="13"/>
  <c r="V27" i="13"/>
  <c r="W27" i="13"/>
  <c r="X27" i="13"/>
  <c r="Y27" i="13"/>
  <c r="Z27" i="13"/>
  <c r="AA27" i="13"/>
  <c r="AB27" i="13"/>
  <c r="AC27" i="13"/>
  <c r="AD27" i="13"/>
  <c r="AE27" i="13"/>
  <c r="AF27" i="13"/>
  <c r="AG27" i="13"/>
  <c r="AH27" i="13"/>
  <c r="AI27" i="13"/>
  <c r="AJ27" i="13"/>
  <c r="AK27" i="13"/>
  <c r="AB111" i="11"/>
  <c r="AC111" i="11" s="1"/>
  <c r="AD111" i="11" s="1"/>
  <c r="AE111" i="11" s="1"/>
  <c r="AF111" i="11" s="1"/>
  <c r="AG111" i="11" s="1"/>
  <c r="AH111" i="11" s="1"/>
  <c r="AP4" i="20"/>
  <c r="Y55" i="11"/>
  <c r="Z51" i="11"/>
  <c r="I29" i="11" l="1"/>
  <c r="E29" i="13"/>
  <c r="F28" i="13"/>
  <c r="G28" i="13"/>
  <c r="H28" i="13"/>
  <c r="I28" i="13"/>
  <c r="J28" i="13"/>
  <c r="K28" i="13"/>
  <c r="L28" i="13"/>
  <c r="M28" i="13"/>
  <c r="N28" i="13"/>
  <c r="O28" i="13"/>
  <c r="P28" i="13"/>
  <c r="Q28" i="13"/>
  <c r="R28" i="13"/>
  <c r="S28" i="13"/>
  <c r="T28" i="13"/>
  <c r="U28" i="13"/>
  <c r="V28" i="13"/>
  <c r="W28" i="13"/>
  <c r="X28" i="13"/>
  <c r="Y28" i="13"/>
  <c r="Z28" i="13"/>
  <c r="AA28" i="13"/>
  <c r="AB28" i="13"/>
  <c r="AC28" i="13"/>
  <c r="AD28" i="13"/>
  <c r="AE28" i="13"/>
  <c r="AF28" i="13"/>
  <c r="AG28" i="13"/>
  <c r="AH28" i="13"/>
  <c r="AI28" i="13"/>
  <c r="AJ28" i="13"/>
  <c r="AK28" i="13"/>
  <c r="I30" i="11" s="1"/>
  <c r="AI111" i="11"/>
  <c r="AQ4" i="20"/>
  <c r="AA51" i="11"/>
  <c r="Z55" i="11"/>
  <c r="N70" i="18"/>
  <c r="N71" i="18" s="1"/>
  <c r="N72" i="18" s="1"/>
  <c r="N73" i="18" s="1"/>
  <c r="N74" i="18" s="1"/>
  <c r="N75" i="18" s="1"/>
  <c r="N76" i="18" s="1"/>
  <c r="N77" i="18" s="1"/>
  <c r="N78" i="18" s="1"/>
  <c r="N79" i="18" s="1"/>
  <c r="N80" i="18" s="1"/>
  <c r="N81" i="18" s="1"/>
  <c r="N82" i="18" s="1"/>
  <c r="N83" i="18" s="1"/>
  <c r="N84" i="18" s="1"/>
  <c r="N85" i="18" s="1"/>
  <c r="N86" i="18" s="1"/>
  <c r="N87" i="18" s="1"/>
  <c r="N88" i="18" s="1"/>
  <c r="N89" i="18" s="1"/>
  <c r="N90" i="18" s="1"/>
  <c r="N91" i="18" s="1"/>
  <c r="N92" i="18" s="1"/>
  <c r="N93" i="18" s="1"/>
  <c r="N94" i="18" s="1"/>
  <c r="N95" i="18" s="1"/>
  <c r="N96" i="18" s="1"/>
  <c r="N97" i="18" s="1"/>
  <c r="N98" i="18" s="1"/>
  <c r="E30" i="13" l="1"/>
  <c r="F29" i="13"/>
  <c r="G29" i="13"/>
  <c r="H29" i="13"/>
  <c r="I29" i="13"/>
  <c r="J29" i="13"/>
  <c r="K29" i="13"/>
  <c r="L29" i="13"/>
  <c r="M29" i="13"/>
  <c r="N29" i="13"/>
  <c r="O29" i="13"/>
  <c r="P29" i="13"/>
  <c r="Q29" i="13"/>
  <c r="R29" i="13"/>
  <c r="S29" i="13"/>
  <c r="T29" i="13"/>
  <c r="U29" i="13"/>
  <c r="V29" i="13"/>
  <c r="W29" i="13"/>
  <c r="X29" i="13"/>
  <c r="Y29" i="13"/>
  <c r="Z29" i="13"/>
  <c r="AA29" i="13"/>
  <c r="AB29" i="13"/>
  <c r="AC29" i="13"/>
  <c r="AD29" i="13"/>
  <c r="AE29" i="13"/>
  <c r="AF29" i="13"/>
  <c r="AG29" i="13"/>
  <c r="AH29" i="13"/>
  <c r="AI29" i="13"/>
  <c r="AJ29" i="13"/>
  <c r="AK29" i="13"/>
  <c r="AJ111" i="11"/>
  <c r="AK111" i="11" s="1"/>
  <c r="AL111" i="11" s="1"/>
  <c r="AM111" i="11" s="1"/>
  <c r="AN111" i="11" s="1"/>
  <c r="AO111" i="11" s="1"/>
  <c r="AP111" i="11" s="1"/>
  <c r="AQ111" i="11" s="1"/>
  <c r="AR111" i="11" s="1"/>
  <c r="AR4" i="20"/>
  <c r="AB51" i="11"/>
  <c r="AA55" i="11"/>
  <c r="Q68" i="18"/>
  <c r="O98" i="18"/>
  <c r="O69" i="18"/>
  <c r="O70" i="18"/>
  <c r="O71" i="18"/>
  <c r="O72" i="18"/>
  <c r="O73" i="18"/>
  <c r="O74" i="18"/>
  <c r="O75" i="18"/>
  <c r="O76" i="18"/>
  <c r="O77" i="18"/>
  <c r="O78" i="18"/>
  <c r="O79" i="18"/>
  <c r="O80" i="18"/>
  <c r="O81" i="18"/>
  <c r="O82" i="18"/>
  <c r="O83" i="18"/>
  <c r="O84" i="18"/>
  <c r="O85" i="18"/>
  <c r="O86" i="18"/>
  <c r="O87" i="18"/>
  <c r="O88" i="18"/>
  <c r="O89" i="18"/>
  <c r="O90" i="18"/>
  <c r="O91" i="18"/>
  <c r="O92" i="18"/>
  <c r="O93" i="18"/>
  <c r="O94" i="18"/>
  <c r="O95" i="18"/>
  <c r="O96" i="18"/>
  <c r="O97" i="18"/>
  <c r="O68" i="18"/>
  <c r="P36" i="18"/>
  <c r="P37" i="18"/>
  <c r="P38" i="18"/>
  <c r="P39" i="18"/>
  <c r="P40" i="18"/>
  <c r="P41" i="18"/>
  <c r="P42" i="18"/>
  <c r="P43" i="18"/>
  <c r="P44" i="18"/>
  <c r="P45" i="18"/>
  <c r="P46" i="18"/>
  <c r="P47" i="18"/>
  <c r="P48" i="18"/>
  <c r="P49" i="18"/>
  <c r="P50" i="18"/>
  <c r="P51" i="18"/>
  <c r="P52" i="18"/>
  <c r="P53" i="18"/>
  <c r="P54" i="18"/>
  <c r="P55" i="18"/>
  <c r="P56" i="18"/>
  <c r="P57" i="18"/>
  <c r="P58" i="18"/>
  <c r="P59" i="18"/>
  <c r="P60" i="18"/>
  <c r="P61" i="18"/>
  <c r="P62" i="18"/>
  <c r="P63" i="18"/>
  <c r="P64" i="18"/>
  <c r="P35" i="18"/>
  <c r="K36" i="18"/>
  <c r="L36" i="18"/>
  <c r="M36" i="18"/>
  <c r="K37" i="18"/>
  <c r="L37" i="18"/>
  <c r="M37" i="18"/>
  <c r="K38" i="18"/>
  <c r="L38" i="18"/>
  <c r="M38" i="18"/>
  <c r="K39" i="18"/>
  <c r="L39" i="18"/>
  <c r="M39" i="18"/>
  <c r="K40" i="18"/>
  <c r="L40" i="18"/>
  <c r="M40" i="18"/>
  <c r="K41" i="18"/>
  <c r="L41" i="18"/>
  <c r="M41" i="18"/>
  <c r="K42" i="18"/>
  <c r="L42" i="18"/>
  <c r="M42" i="18"/>
  <c r="K43" i="18"/>
  <c r="L43" i="18"/>
  <c r="M43" i="18"/>
  <c r="K44" i="18"/>
  <c r="L44" i="18"/>
  <c r="M44" i="18"/>
  <c r="K45" i="18"/>
  <c r="L45" i="18"/>
  <c r="M45" i="18"/>
  <c r="K46" i="18"/>
  <c r="L46" i="18"/>
  <c r="M46" i="18"/>
  <c r="K47" i="18"/>
  <c r="L47" i="18"/>
  <c r="M47" i="18"/>
  <c r="K48" i="18"/>
  <c r="L48" i="18"/>
  <c r="M48" i="18"/>
  <c r="K49" i="18"/>
  <c r="L49" i="18"/>
  <c r="M49" i="18"/>
  <c r="K50" i="18"/>
  <c r="L50" i="18"/>
  <c r="M50" i="18"/>
  <c r="K51" i="18"/>
  <c r="L51" i="18"/>
  <c r="M51" i="18"/>
  <c r="K52" i="18"/>
  <c r="L52" i="18"/>
  <c r="M52" i="18"/>
  <c r="K53" i="18"/>
  <c r="L53" i="18"/>
  <c r="M53" i="18"/>
  <c r="K54" i="18"/>
  <c r="L54" i="18"/>
  <c r="M54" i="18"/>
  <c r="K55" i="18"/>
  <c r="L55" i="18"/>
  <c r="M55" i="18"/>
  <c r="K56" i="18"/>
  <c r="L56" i="18"/>
  <c r="M56" i="18"/>
  <c r="K57" i="18"/>
  <c r="L57" i="18"/>
  <c r="M57" i="18"/>
  <c r="K58" i="18"/>
  <c r="L58" i="18"/>
  <c r="M58" i="18"/>
  <c r="K59" i="18"/>
  <c r="L59" i="18"/>
  <c r="M59" i="18"/>
  <c r="K60" i="18"/>
  <c r="L60" i="18"/>
  <c r="M60" i="18"/>
  <c r="K61" i="18"/>
  <c r="L61" i="18"/>
  <c r="M61" i="18"/>
  <c r="K62" i="18"/>
  <c r="L62" i="18"/>
  <c r="M62" i="18"/>
  <c r="K63" i="18"/>
  <c r="L63" i="18"/>
  <c r="M63" i="18"/>
  <c r="K64" i="18"/>
  <c r="L64" i="18"/>
  <c r="M64" i="18"/>
  <c r="L35" i="18"/>
  <c r="M35" i="18"/>
  <c r="K35" i="18"/>
  <c r="G77" i="18"/>
  <c r="F77" i="18"/>
  <c r="E77" i="18"/>
  <c r="R68" i="18" l="1"/>
  <c r="S68" i="18" s="1"/>
  <c r="T68" i="18" s="1"/>
  <c r="U68" i="18" s="1"/>
  <c r="V68" i="18" s="1"/>
  <c r="W68" i="18" s="1"/>
  <c r="X68" i="18" s="1"/>
  <c r="Y68" i="18" s="1"/>
  <c r="Z68" i="18" s="1"/>
  <c r="AA68" i="18" s="1"/>
  <c r="AB68" i="18" s="1"/>
  <c r="AC68" i="18" s="1"/>
  <c r="AD68" i="18" s="1"/>
  <c r="AE68" i="18" s="1"/>
  <c r="AF68" i="18" s="1"/>
  <c r="AG68" i="18" s="1"/>
  <c r="AH68" i="18" s="1"/>
  <c r="AI68" i="18" s="1"/>
  <c r="AJ68" i="18" s="1"/>
  <c r="AK68" i="18" s="1"/>
  <c r="AL68" i="18" s="1"/>
  <c r="AM68" i="18" s="1"/>
  <c r="AN68" i="18" s="1"/>
  <c r="AO68" i="18" s="1"/>
  <c r="AP68" i="18" s="1"/>
  <c r="AQ68" i="18" s="1"/>
  <c r="AR68" i="18" s="1"/>
  <c r="AS68" i="18" s="1"/>
  <c r="AS98" i="18" s="1"/>
  <c r="Q101" i="18"/>
  <c r="R101" i="18" s="1"/>
  <c r="S101" i="18" s="1"/>
  <c r="T101" i="18" s="1"/>
  <c r="U101" i="18" s="1"/>
  <c r="V101" i="18" s="1"/>
  <c r="W101" i="18" s="1"/>
  <c r="X101" i="18" s="1"/>
  <c r="Y101" i="18" s="1"/>
  <c r="Z101" i="18" s="1"/>
  <c r="AA101" i="18" s="1"/>
  <c r="AB101" i="18" s="1"/>
  <c r="AC101" i="18" s="1"/>
  <c r="AD101" i="18" s="1"/>
  <c r="AE101" i="18" s="1"/>
  <c r="AF101" i="18" s="1"/>
  <c r="AG101" i="18" s="1"/>
  <c r="AH101" i="18" s="1"/>
  <c r="AI101" i="18" s="1"/>
  <c r="AJ101" i="18" s="1"/>
  <c r="AK101" i="18" s="1"/>
  <c r="AL101" i="18" s="1"/>
  <c r="AM101" i="18" s="1"/>
  <c r="AN101" i="18" s="1"/>
  <c r="AO101" i="18" s="1"/>
  <c r="AP101" i="18" s="1"/>
  <c r="AQ101" i="18" s="1"/>
  <c r="AR101" i="18" s="1"/>
  <c r="AS101" i="18" s="1"/>
  <c r="AR97" i="18"/>
  <c r="I31" i="11"/>
  <c r="E31" i="13"/>
  <c r="F30" i="13"/>
  <c r="G30" i="13"/>
  <c r="H30" i="13"/>
  <c r="I30" i="13"/>
  <c r="J30" i="13"/>
  <c r="K30" i="13"/>
  <c r="L30" i="13"/>
  <c r="M30" i="13"/>
  <c r="N30" i="13"/>
  <c r="O30" i="13"/>
  <c r="P30" i="13"/>
  <c r="Q30" i="13"/>
  <c r="R30" i="13"/>
  <c r="S30" i="13"/>
  <c r="T30" i="13"/>
  <c r="U30" i="13"/>
  <c r="V30" i="13"/>
  <c r="W30" i="13"/>
  <c r="X30" i="13"/>
  <c r="Y30" i="13"/>
  <c r="Z30" i="13"/>
  <c r="AA30" i="13"/>
  <c r="AB30" i="13"/>
  <c r="AC30" i="13"/>
  <c r="AD30" i="13"/>
  <c r="AE30" i="13"/>
  <c r="AF30" i="13"/>
  <c r="AG30" i="13"/>
  <c r="AH30" i="13"/>
  <c r="AI30" i="13"/>
  <c r="AJ30" i="13"/>
  <c r="AK30" i="13"/>
  <c r="AS111" i="11"/>
  <c r="AS4" i="20"/>
  <c r="AQ97" i="18"/>
  <c r="AO97" i="18"/>
  <c r="AP97" i="18"/>
  <c r="AP98" i="18"/>
  <c r="AN98" i="18"/>
  <c r="AC51" i="11"/>
  <c r="AB55" i="11"/>
  <c r="AL96" i="18"/>
  <c r="AP96" i="18"/>
  <c r="AQ96" i="18"/>
  <c r="AS96" i="18"/>
  <c r="AO96" i="18"/>
  <c r="AL95" i="18"/>
  <c r="AK95" i="18"/>
  <c r="AS95" i="18"/>
  <c r="AM95" i="18"/>
  <c r="AN95" i="18"/>
  <c r="AR95" i="18"/>
  <c r="AO95" i="18"/>
  <c r="W41" i="11"/>
  <c r="W42" i="11"/>
  <c r="W43" i="11"/>
  <c r="W44" i="11"/>
  <c r="W40" i="11"/>
  <c r="S41" i="11"/>
  <c r="S42" i="11"/>
  <c r="S43" i="11"/>
  <c r="S44" i="11"/>
  <c r="S40" i="11"/>
  <c r="X28" i="11"/>
  <c r="X39" i="11" s="1"/>
  <c r="B232" i="11"/>
  <c r="B200" i="11"/>
  <c r="B189" i="11"/>
  <c r="B179" i="11"/>
  <c r="B162" i="11"/>
  <c r="B153" i="11"/>
  <c r="B231" i="11"/>
  <c r="B224" i="11"/>
  <c r="B199" i="11"/>
  <c r="B188" i="11"/>
  <c r="G195" i="11"/>
  <c r="G184" i="11"/>
  <c r="X378" i="11"/>
  <c r="X379" i="11"/>
  <c r="X380" i="11"/>
  <c r="X381" i="11"/>
  <c r="X382" i="11"/>
  <c r="AR96" i="18" l="1"/>
  <c r="AM96" i="18"/>
  <c r="AS94" i="18"/>
  <c r="AR98" i="18"/>
  <c r="AN97" i="18"/>
  <c r="AM97" i="18"/>
  <c r="AQ95" i="18"/>
  <c r="AP95" i="18"/>
  <c r="AN96" i="18"/>
  <c r="AK96" i="18"/>
  <c r="AQ98" i="18"/>
  <c r="AS97" i="18"/>
  <c r="AO98" i="18"/>
  <c r="I32" i="11"/>
  <c r="E32" i="13"/>
  <c r="F31" i="13"/>
  <c r="G31" i="13"/>
  <c r="H31" i="13"/>
  <c r="I31" i="13"/>
  <c r="J31" i="13"/>
  <c r="K31" i="13"/>
  <c r="L31" i="13"/>
  <c r="M31" i="13"/>
  <c r="N31" i="13"/>
  <c r="O31" i="13"/>
  <c r="P31" i="13"/>
  <c r="Q31" i="13"/>
  <c r="R31" i="13"/>
  <c r="S31" i="13"/>
  <c r="T31" i="13"/>
  <c r="U31" i="13"/>
  <c r="V31" i="13"/>
  <c r="W31" i="13"/>
  <c r="X31" i="13"/>
  <c r="Y31" i="13"/>
  <c r="Z31" i="13"/>
  <c r="AA31" i="13"/>
  <c r="AB31" i="13"/>
  <c r="AC31" i="13"/>
  <c r="AD31" i="13"/>
  <c r="AE31" i="13"/>
  <c r="AF31" i="13"/>
  <c r="AG31" i="13"/>
  <c r="AH31" i="13"/>
  <c r="AI31" i="13"/>
  <c r="AJ31" i="13"/>
  <c r="AK31" i="13"/>
  <c r="AT111" i="11"/>
  <c r="AU111" i="11" s="1"/>
  <c r="AV111" i="11" s="1"/>
  <c r="AW111" i="11" s="1"/>
  <c r="AX111" i="11" s="1"/>
  <c r="AY111" i="11" s="1"/>
  <c r="AZ111" i="11" s="1"/>
  <c r="BA111" i="11" s="1"/>
  <c r="AT4" i="20"/>
  <c r="AD51" i="11"/>
  <c r="AC55" i="11"/>
  <c r="X383" i="11"/>
  <c r="I33" i="11" l="1"/>
  <c r="E33" i="13"/>
  <c r="F32" i="13"/>
  <c r="G32" i="13"/>
  <c r="H32" i="13"/>
  <c r="I32" i="13"/>
  <c r="J32" i="13"/>
  <c r="K32" i="13"/>
  <c r="L32" i="13"/>
  <c r="M32" i="13"/>
  <c r="N32" i="13"/>
  <c r="O32" i="13"/>
  <c r="P32" i="13"/>
  <c r="Q32" i="13"/>
  <c r="R32" i="13"/>
  <c r="S32" i="13"/>
  <c r="T32" i="13"/>
  <c r="U32" i="13"/>
  <c r="V32" i="13"/>
  <c r="W32" i="13"/>
  <c r="X32" i="13"/>
  <c r="Y32" i="13"/>
  <c r="Z32" i="13"/>
  <c r="AA32" i="13"/>
  <c r="AB32" i="13"/>
  <c r="AC32" i="13"/>
  <c r="AD32" i="13"/>
  <c r="AE32" i="13"/>
  <c r="AF32" i="13"/>
  <c r="AG32" i="13"/>
  <c r="AH32" i="13"/>
  <c r="AI32" i="13"/>
  <c r="AJ32" i="13"/>
  <c r="AK32" i="13"/>
  <c r="AU4" i="20"/>
  <c r="AE51" i="11"/>
  <c r="AD55" i="11"/>
  <c r="G130" i="16"/>
  <c r="MH185" i="16" s="1"/>
  <c r="F130" i="16"/>
  <c r="MG185" i="16" s="1"/>
  <c r="E130" i="16"/>
  <c r="MF185" i="16" s="1"/>
  <c r="D130" i="16"/>
  <c r="ME185" i="16" s="1"/>
  <c r="C130" i="16"/>
  <c r="MD185" i="16" s="1"/>
  <c r="B130" i="16"/>
  <c r="MC185" i="16" s="1"/>
  <c r="G129" i="16"/>
  <c r="MB185" i="16" s="1"/>
  <c r="F129" i="16"/>
  <c r="MA185" i="16" s="1"/>
  <c r="E129" i="16"/>
  <c r="LZ185" i="16" s="1"/>
  <c r="D129" i="16"/>
  <c r="LY185" i="16" s="1"/>
  <c r="C129" i="16"/>
  <c r="LX185" i="16" s="1"/>
  <c r="B129" i="16"/>
  <c r="LW185" i="16" s="1"/>
  <c r="G128" i="16"/>
  <c r="LV185" i="16" s="1"/>
  <c r="F128" i="16"/>
  <c r="LU185" i="16" s="1"/>
  <c r="E128" i="16"/>
  <c r="LT185" i="16" s="1"/>
  <c r="D128" i="16"/>
  <c r="LS185" i="16" s="1"/>
  <c r="C128" i="16"/>
  <c r="LR185" i="16" s="1"/>
  <c r="B128" i="16"/>
  <c r="LQ185" i="16" s="1"/>
  <c r="G127" i="16"/>
  <c r="LP185" i="16" s="1"/>
  <c r="F127" i="16"/>
  <c r="LO185" i="16" s="1"/>
  <c r="E127" i="16"/>
  <c r="LN185" i="16" s="1"/>
  <c r="D127" i="16"/>
  <c r="LM185" i="16" s="1"/>
  <c r="C127" i="16"/>
  <c r="LL185" i="16" s="1"/>
  <c r="B127" i="16"/>
  <c r="LK185" i="16" s="1"/>
  <c r="G126" i="16"/>
  <c r="LJ185" i="16" s="1"/>
  <c r="F126" i="16"/>
  <c r="LI185" i="16" s="1"/>
  <c r="E126" i="16"/>
  <c r="LH185" i="16" s="1"/>
  <c r="D126" i="16"/>
  <c r="LG185" i="16" s="1"/>
  <c r="C126" i="16"/>
  <c r="LF185" i="16" s="1"/>
  <c r="B126" i="16"/>
  <c r="LE185" i="16" s="1"/>
  <c r="G125" i="16"/>
  <c r="LD185" i="16" s="1"/>
  <c r="F125" i="16"/>
  <c r="LC185" i="16" s="1"/>
  <c r="E125" i="16"/>
  <c r="LB185" i="16" s="1"/>
  <c r="D125" i="16"/>
  <c r="LA185" i="16" s="1"/>
  <c r="C125" i="16"/>
  <c r="KZ185" i="16" s="1"/>
  <c r="B125" i="16"/>
  <c r="KY185" i="16" s="1"/>
  <c r="G124" i="16"/>
  <c r="KX185" i="16" s="1"/>
  <c r="F124" i="16"/>
  <c r="KW185" i="16" s="1"/>
  <c r="E124" i="16"/>
  <c r="KV185" i="16" s="1"/>
  <c r="D124" i="16"/>
  <c r="KU185" i="16" s="1"/>
  <c r="C124" i="16"/>
  <c r="KT185" i="16" s="1"/>
  <c r="B124" i="16"/>
  <c r="KS185" i="16" s="1"/>
  <c r="G123" i="16"/>
  <c r="KR185" i="16" s="1"/>
  <c r="F123" i="16"/>
  <c r="KQ185" i="16" s="1"/>
  <c r="E123" i="16"/>
  <c r="KP185" i="16" s="1"/>
  <c r="D123" i="16"/>
  <c r="KO185" i="16" s="1"/>
  <c r="C123" i="16"/>
  <c r="KN185" i="16" s="1"/>
  <c r="B123" i="16"/>
  <c r="KM185" i="16" s="1"/>
  <c r="G122" i="16"/>
  <c r="KL185" i="16" s="1"/>
  <c r="F122" i="16"/>
  <c r="KK185" i="16" s="1"/>
  <c r="E122" i="16"/>
  <c r="KJ185" i="16" s="1"/>
  <c r="D122" i="16"/>
  <c r="KI185" i="16" s="1"/>
  <c r="C122" i="16"/>
  <c r="KH185" i="16" s="1"/>
  <c r="B122" i="16"/>
  <c r="KG185" i="16" s="1"/>
  <c r="G121" i="16"/>
  <c r="KF185" i="16" s="1"/>
  <c r="F121" i="16"/>
  <c r="KE185" i="16" s="1"/>
  <c r="E121" i="16"/>
  <c r="KD185" i="16" s="1"/>
  <c r="D121" i="16"/>
  <c r="KC185" i="16" s="1"/>
  <c r="C121" i="16"/>
  <c r="KB185" i="16" s="1"/>
  <c r="B121" i="16"/>
  <c r="KA185" i="16" s="1"/>
  <c r="G120" i="16"/>
  <c r="JZ185" i="16" s="1"/>
  <c r="F120" i="16"/>
  <c r="JY185" i="16" s="1"/>
  <c r="E120" i="16"/>
  <c r="JX185" i="16" s="1"/>
  <c r="D120" i="16"/>
  <c r="JW185" i="16" s="1"/>
  <c r="C120" i="16"/>
  <c r="JV185" i="16" s="1"/>
  <c r="B120" i="16"/>
  <c r="JU185" i="16" s="1"/>
  <c r="G119" i="16"/>
  <c r="JT185" i="16" s="1"/>
  <c r="F119" i="16"/>
  <c r="JS185" i="16" s="1"/>
  <c r="E119" i="16"/>
  <c r="JR185" i="16" s="1"/>
  <c r="D119" i="16"/>
  <c r="JQ185" i="16" s="1"/>
  <c r="C119" i="16"/>
  <c r="JP185" i="16" s="1"/>
  <c r="B119" i="16"/>
  <c r="JO185" i="16" s="1"/>
  <c r="G118" i="16"/>
  <c r="JN185" i="16" s="1"/>
  <c r="F118" i="16"/>
  <c r="JM185" i="16" s="1"/>
  <c r="E118" i="16"/>
  <c r="JL185" i="16" s="1"/>
  <c r="D118" i="16"/>
  <c r="JK185" i="16" s="1"/>
  <c r="C118" i="16"/>
  <c r="JJ185" i="16" s="1"/>
  <c r="B118" i="16"/>
  <c r="JI185" i="16" s="1"/>
  <c r="G117" i="16"/>
  <c r="JH185" i="16" s="1"/>
  <c r="F117" i="16"/>
  <c r="JG185" i="16" s="1"/>
  <c r="E117" i="16"/>
  <c r="JF185" i="16" s="1"/>
  <c r="D117" i="16"/>
  <c r="JE185" i="16" s="1"/>
  <c r="C117" i="16"/>
  <c r="JD185" i="16" s="1"/>
  <c r="B117" i="16"/>
  <c r="JC185" i="16" s="1"/>
  <c r="G116" i="16"/>
  <c r="JB185" i="16" s="1"/>
  <c r="F116" i="16"/>
  <c r="JA185" i="16" s="1"/>
  <c r="E116" i="16"/>
  <c r="IZ185" i="16" s="1"/>
  <c r="D116" i="16"/>
  <c r="IY185" i="16" s="1"/>
  <c r="C116" i="16"/>
  <c r="IX185" i="16" s="1"/>
  <c r="B116" i="16"/>
  <c r="IW185" i="16" s="1"/>
  <c r="G115" i="16"/>
  <c r="IV185" i="16" s="1"/>
  <c r="F115" i="16"/>
  <c r="IU185" i="16" s="1"/>
  <c r="E115" i="16"/>
  <c r="IT185" i="16" s="1"/>
  <c r="D115" i="16"/>
  <c r="IS185" i="16" s="1"/>
  <c r="C115" i="16"/>
  <c r="IR185" i="16" s="1"/>
  <c r="B115" i="16"/>
  <c r="IQ185" i="16" s="1"/>
  <c r="G114" i="16"/>
  <c r="IP185" i="16" s="1"/>
  <c r="F114" i="16"/>
  <c r="IO185" i="16" s="1"/>
  <c r="E114" i="16"/>
  <c r="IN185" i="16" s="1"/>
  <c r="D114" i="16"/>
  <c r="IM185" i="16" s="1"/>
  <c r="C114" i="16"/>
  <c r="IL185" i="16" s="1"/>
  <c r="B114" i="16"/>
  <c r="IK185" i="16" s="1"/>
  <c r="G113" i="16"/>
  <c r="IJ185" i="16" s="1"/>
  <c r="F113" i="16"/>
  <c r="II185" i="16" s="1"/>
  <c r="E113" i="16"/>
  <c r="IH185" i="16" s="1"/>
  <c r="D113" i="16"/>
  <c r="IG185" i="16" s="1"/>
  <c r="C113" i="16"/>
  <c r="IF185" i="16" s="1"/>
  <c r="B113" i="16"/>
  <c r="IE185" i="16" s="1"/>
  <c r="G112" i="16"/>
  <c r="ID185" i="16" s="1"/>
  <c r="F112" i="16"/>
  <c r="IC185" i="16" s="1"/>
  <c r="E112" i="16"/>
  <c r="IB185" i="16" s="1"/>
  <c r="D112" i="16"/>
  <c r="IA185" i="16" s="1"/>
  <c r="C112" i="16"/>
  <c r="HZ185" i="16" s="1"/>
  <c r="B112" i="16"/>
  <c r="HY185" i="16" s="1"/>
  <c r="G111" i="16"/>
  <c r="HX185" i="16" s="1"/>
  <c r="F111" i="16"/>
  <c r="HW185" i="16" s="1"/>
  <c r="E111" i="16"/>
  <c r="HV185" i="16" s="1"/>
  <c r="D111" i="16"/>
  <c r="HU185" i="16" s="1"/>
  <c r="C111" i="16"/>
  <c r="HT185" i="16" s="1"/>
  <c r="B111" i="16"/>
  <c r="HS185" i="16" s="1"/>
  <c r="G110" i="16"/>
  <c r="HR185" i="16" s="1"/>
  <c r="F110" i="16"/>
  <c r="HQ185" i="16" s="1"/>
  <c r="E110" i="16"/>
  <c r="HP185" i="16" s="1"/>
  <c r="D110" i="16"/>
  <c r="HO185" i="16" s="1"/>
  <c r="C110" i="16"/>
  <c r="HN185" i="16" s="1"/>
  <c r="B110" i="16"/>
  <c r="HM185" i="16" s="1"/>
  <c r="G109" i="16"/>
  <c r="HL185" i="16" s="1"/>
  <c r="F109" i="16"/>
  <c r="HK185" i="16" s="1"/>
  <c r="E109" i="16"/>
  <c r="HJ185" i="16" s="1"/>
  <c r="D109" i="16"/>
  <c r="HI185" i="16" s="1"/>
  <c r="C109" i="16"/>
  <c r="HH185" i="16" s="1"/>
  <c r="B109" i="16"/>
  <c r="HG185" i="16" s="1"/>
  <c r="G108" i="16"/>
  <c r="HF185" i="16" s="1"/>
  <c r="F108" i="16"/>
  <c r="HE185" i="16" s="1"/>
  <c r="E108" i="16"/>
  <c r="HD185" i="16" s="1"/>
  <c r="D108" i="16"/>
  <c r="HC185" i="16" s="1"/>
  <c r="C108" i="16"/>
  <c r="HB185" i="16" s="1"/>
  <c r="B108" i="16"/>
  <c r="HA185" i="16" s="1"/>
  <c r="G107" i="16"/>
  <c r="GZ185" i="16" s="1"/>
  <c r="F107" i="16"/>
  <c r="GY185" i="16" s="1"/>
  <c r="E107" i="16"/>
  <c r="GX185" i="16" s="1"/>
  <c r="D107" i="16"/>
  <c r="GW185" i="16" s="1"/>
  <c r="C107" i="16"/>
  <c r="GV185" i="16" s="1"/>
  <c r="B107" i="16"/>
  <c r="GU185" i="16" s="1"/>
  <c r="G106" i="16"/>
  <c r="GT185" i="16" s="1"/>
  <c r="F106" i="16"/>
  <c r="GS185" i="16" s="1"/>
  <c r="E106" i="16"/>
  <c r="GR185" i="16" s="1"/>
  <c r="D106" i="16"/>
  <c r="GQ185" i="16" s="1"/>
  <c r="C106" i="16"/>
  <c r="GP185" i="16" s="1"/>
  <c r="B106" i="16"/>
  <c r="GO185" i="16" s="1"/>
  <c r="G105" i="16"/>
  <c r="GN185" i="16" s="1"/>
  <c r="F105" i="16"/>
  <c r="GM185" i="16" s="1"/>
  <c r="E105" i="16"/>
  <c r="GL185" i="16" s="1"/>
  <c r="D105" i="16"/>
  <c r="GK185" i="16" s="1"/>
  <c r="C105" i="16"/>
  <c r="GJ185" i="16" s="1"/>
  <c r="B105" i="16"/>
  <c r="GI185" i="16" s="1"/>
  <c r="G104" i="16"/>
  <c r="GH185" i="16" s="1"/>
  <c r="F104" i="16"/>
  <c r="GG185" i="16" s="1"/>
  <c r="E104" i="16"/>
  <c r="GF185" i="16" s="1"/>
  <c r="D104" i="16"/>
  <c r="GE185" i="16" s="1"/>
  <c r="C104" i="16"/>
  <c r="GD185" i="16" s="1"/>
  <c r="B104" i="16"/>
  <c r="GC185" i="16" s="1"/>
  <c r="G103" i="16"/>
  <c r="GB185" i="16" s="1"/>
  <c r="F103" i="16"/>
  <c r="GA185" i="16" s="1"/>
  <c r="E103" i="16"/>
  <c r="FZ185" i="16" s="1"/>
  <c r="D103" i="16"/>
  <c r="FY185" i="16" s="1"/>
  <c r="C103" i="16"/>
  <c r="FX185" i="16" s="1"/>
  <c r="B103" i="16"/>
  <c r="FW185" i="16" s="1"/>
  <c r="G102" i="16"/>
  <c r="FV185" i="16" s="1"/>
  <c r="F102" i="16"/>
  <c r="FU185" i="16" s="1"/>
  <c r="E102" i="16"/>
  <c r="FT185" i="16" s="1"/>
  <c r="D102" i="16"/>
  <c r="FS185" i="16" s="1"/>
  <c r="C102" i="16"/>
  <c r="FR185" i="16" s="1"/>
  <c r="B102" i="16"/>
  <c r="FQ185" i="16" s="1"/>
  <c r="G101" i="16"/>
  <c r="FP185" i="16" s="1"/>
  <c r="F101" i="16"/>
  <c r="FO185" i="16" s="1"/>
  <c r="E101" i="16"/>
  <c r="FN185" i="16" s="1"/>
  <c r="D101" i="16"/>
  <c r="FM185" i="16" s="1"/>
  <c r="C101" i="16"/>
  <c r="FL185" i="16" s="1"/>
  <c r="B101" i="16"/>
  <c r="FK185" i="16" s="1"/>
  <c r="G100" i="16"/>
  <c r="FJ185" i="16" s="1"/>
  <c r="F100" i="16"/>
  <c r="FI185" i="16" s="1"/>
  <c r="E100" i="16"/>
  <c r="FH185" i="16" s="1"/>
  <c r="D100" i="16"/>
  <c r="FG185" i="16" s="1"/>
  <c r="C100" i="16"/>
  <c r="FF185" i="16" s="1"/>
  <c r="B100" i="16"/>
  <c r="FE185" i="16" s="1"/>
  <c r="G99" i="16"/>
  <c r="FD185" i="16" s="1"/>
  <c r="F99" i="16"/>
  <c r="FC185" i="16" s="1"/>
  <c r="E99" i="16"/>
  <c r="FB185" i="16" s="1"/>
  <c r="D99" i="16"/>
  <c r="FA185" i="16" s="1"/>
  <c r="C99" i="16"/>
  <c r="EZ185" i="16" s="1"/>
  <c r="B99" i="16"/>
  <c r="EY185" i="16" s="1"/>
  <c r="G98" i="16"/>
  <c r="EX185" i="16" s="1"/>
  <c r="F98" i="16"/>
  <c r="EW185" i="16" s="1"/>
  <c r="E98" i="16"/>
  <c r="EV185" i="16" s="1"/>
  <c r="D98" i="16"/>
  <c r="EU185" i="16" s="1"/>
  <c r="C98" i="16"/>
  <c r="ET185" i="16" s="1"/>
  <c r="B98" i="16"/>
  <c r="ES185" i="16" s="1"/>
  <c r="G97" i="16"/>
  <c r="ER185" i="16" s="1"/>
  <c r="F97" i="16"/>
  <c r="EQ185" i="16" s="1"/>
  <c r="E97" i="16"/>
  <c r="EP185" i="16" s="1"/>
  <c r="D97" i="16"/>
  <c r="EO185" i="16" s="1"/>
  <c r="C97" i="16"/>
  <c r="EN185" i="16" s="1"/>
  <c r="B97" i="16"/>
  <c r="EM185" i="16" s="1"/>
  <c r="G96" i="16"/>
  <c r="EL185" i="16" s="1"/>
  <c r="F96" i="16"/>
  <c r="EK185" i="16" s="1"/>
  <c r="E96" i="16"/>
  <c r="EJ185" i="16" s="1"/>
  <c r="D96" i="16"/>
  <c r="EI185" i="16" s="1"/>
  <c r="C96" i="16"/>
  <c r="EH185" i="16" s="1"/>
  <c r="B96" i="16"/>
  <c r="EG185" i="16" s="1"/>
  <c r="G95" i="16"/>
  <c r="EF185" i="16" s="1"/>
  <c r="F95" i="16"/>
  <c r="EE185" i="16" s="1"/>
  <c r="E95" i="16"/>
  <c r="ED185" i="16" s="1"/>
  <c r="D95" i="16"/>
  <c r="EC185" i="16" s="1"/>
  <c r="C95" i="16"/>
  <c r="EB185" i="16" s="1"/>
  <c r="B95" i="16"/>
  <c r="EA185" i="16" s="1"/>
  <c r="I34" i="11" l="1"/>
  <c r="E34" i="13"/>
  <c r="F33" i="13"/>
  <c r="G33" i="13"/>
  <c r="H33" i="13"/>
  <c r="I33" i="13"/>
  <c r="J33" i="13"/>
  <c r="K33" i="13"/>
  <c r="L33" i="13"/>
  <c r="M33" i="13"/>
  <c r="N33" i="13"/>
  <c r="O33" i="13"/>
  <c r="P33" i="13"/>
  <c r="Q33" i="13"/>
  <c r="R33" i="13"/>
  <c r="S33" i="13"/>
  <c r="T33" i="13"/>
  <c r="U33" i="13"/>
  <c r="V33" i="13"/>
  <c r="W33" i="13"/>
  <c r="X33" i="13"/>
  <c r="Y33" i="13"/>
  <c r="Z33" i="13"/>
  <c r="AA33" i="13"/>
  <c r="AB33" i="13"/>
  <c r="AC33" i="13"/>
  <c r="AD33" i="13"/>
  <c r="AE33" i="13"/>
  <c r="AF33" i="13"/>
  <c r="AG33" i="13"/>
  <c r="AH33" i="13"/>
  <c r="AI33" i="13"/>
  <c r="AJ33" i="13"/>
  <c r="AK33" i="13"/>
  <c r="AV4" i="20"/>
  <c r="AF51" i="11"/>
  <c r="AE55" i="11"/>
  <c r="X59" i="11"/>
  <c r="X496" i="11" s="1"/>
  <c r="X62" i="11"/>
  <c r="X504" i="11" s="1"/>
  <c r="Y102" i="11"/>
  <c r="Z102" i="11" s="1"/>
  <c r="AA102" i="11" s="1"/>
  <c r="AB102" i="11" s="1"/>
  <c r="AC102" i="11" s="1"/>
  <c r="AD102" i="11" s="1"/>
  <c r="AE102" i="11" s="1"/>
  <c r="AF102" i="11" s="1"/>
  <c r="AG102" i="11" s="1"/>
  <c r="X170" i="11"/>
  <c r="Y170" i="11" s="1"/>
  <c r="Z170" i="11" s="1"/>
  <c r="AA170" i="11" s="1"/>
  <c r="AB170" i="11" s="1"/>
  <c r="AC170" i="11" s="1"/>
  <c r="AD170" i="11" s="1"/>
  <c r="AE170" i="11" s="1"/>
  <c r="AF170" i="11" s="1"/>
  <c r="AG170" i="11" s="1"/>
  <c r="AH170" i="11" s="1"/>
  <c r="AI170" i="11" s="1"/>
  <c r="AJ170" i="11" s="1"/>
  <c r="AK170" i="11" s="1"/>
  <c r="AL170" i="11" s="1"/>
  <c r="AM170" i="11" s="1"/>
  <c r="AN170" i="11" s="1"/>
  <c r="AO170" i="11" s="1"/>
  <c r="AP170" i="11" s="1"/>
  <c r="AQ170" i="11" s="1"/>
  <c r="AR170" i="11" s="1"/>
  <c r="AS170" i="11" s="1"/>
  <c r="AT170" i="11" s="1"/>
  <c r="AU170" i="11" s="1"/>
  <c r="AV170" i="11" s="1"/>
  <c r="AW170" i="11" s="1"/>
  <c r="AX170" i="11" s="1"/>
  <c r="AY170" i="11" s="1"/>
  <c r="AZ170" i="11" s="1"/>
  <c r="BA170" i="11" s="1"/>
  <c r="Q10" i="18"/>
  <c r="Q11" i="18"/>
  <c r="Q12" i="18"/>
  <c r="Q13" i="18"/>
  <c r="Q14" i="18"/>
  <c r="Q15" i="18"/>
  <c r="Q19" i="18"/>
  <c r="R19" i="18" s="1"/>
  <c r="S19" i="18" s="1"/>
  <c r="T19" i="18" s="1"/>
  <c r="U19" i="18" s="1"/>
  <c r="V19" i="18" s="1"/>
  <c r="W19" i="18" s="1"/>
  <c r="X19" i="18" s="1"/>
  <c r="Y19" i="18" s="1"/>
  <c r="Z19" i="18" s="1"/>
  <c r="AA19" i="18" s="1"/>
  <c r="AB19" i="18" s="1"/>
  <c r="AC19" i="18" s="1"/>
  <c r="AD19" i="18" s="1"/>
  <c r="AE19" i="18" s="1"/>
  <c r="AF19" i="18" s="1"/>
  <c r="AG19" i="18" s="1"/>
  <c r="AH19" i="18" s="1"/>
  <c r="AI19" i="18" s="1"/>
  <c r="AJ19" i="18" s="1"/>
  <c r="AK19" i="18" s="1"/>
  <c r="AL19" i="18" s="1"/>
  <c r="AM19" i="18" s="1"/>
  <c r="AN19" i="18" s="1"/>
  <c r="AO19" i="18" s="1"/>
  <c r="AP19" i="18" s="1"/>
  <c r="AQ19" i="18" s="1"/>
  <c r="AR19" i="18" s="1"/>
  <c r="AS19" i="18" s="1"/>
  <c r="B18" i="18"/>
  <c r="B19" i="18"/>
  <c r="B20" i="18"/>
  <c r="B21" i="18"/>
  <c r="B22" i="18"/>
  <c r="B17" i="18"/>
  <c r="N36" i="18"/>
  <c r="I35" i="11" l="1"/>
  <c r="E35" i="13"/>
  <c r="F34" i="13"/>
  <c r="G34" i="13"/>
  <c r="H34" i="13"/>
  <c r="I34" i="13"/>
  <c r="J34" i="13"/>
  <c r="K34" i="13"/>
  <c r="L34" i="13"/>
  <c r="M34" i="13"/>
  <c r="N34" i="13"/>
  <c r="O34" i="13"/>
  <c r="P34" i="13"/>
  <c r="Q34" i="13"/>
  <c r="R34" i="13"/>
  <c r="S34" i="13"/>
  <c r="T34" i="13"/>
  <c r="U34" i="13"/>
  <c r="V34" i="13"/>
  <c r="W34" i="13"/>
  <c r="X34" i="13"/>
  <c r="Y34" i="13"/>
  <c r="Z34" i="13"/>
  <c r="AA34" i="13"/>
  <c r="AB34" i="13"/>
  <c r="AC34" i="13"/>
  <c r="AD34" i="13"/>
  <c r="AE34" i="13"/>
  <c r="AF34" i="13"/>
  <c r="AG34" i="13"/>
  <c r="AH34" i="13"/>
  <c r="AI34" i="13"/>
  <c r="AJ34" i="13"/>
  <c r="AK34" i="13"/>
  <c r="AW4" i="20"/>
  <c r="AH102" i="11"/>
  <c r="AI102" i="11" s="1"/>
  <c r="AJ102" i="11" s="1"/>
  <c r="AK102" i="11" s="1"/>
  <c r="AL102" i="11" s="1"/>
  <c r="AM102" i="11" s="1"/>
  <c r="AN102" i="11" s="1"/>
  <c r="AO102" i="11" s="1"/>
  <c r="AP102" i="11" s="1"/>
  <c r="AQ102" i="11" s="1"/>
  <c r="AR102" i="11" s="1"/>
  <c r="AS102" i="11" s="1"/>
  <c r="AT102" i="11" s="1"/>
  <c r="AU102" i="11" s="1"/>
  <c r="AV102" i="11" s="1"/>
  <c r="AW102" i="11" s="1"/>
  <c r="AX102" i="11" s="1"/>
  <c r="AY102" i="11" s="1"/>
  <c r="AZ102" i="11" s="1"/>
  <c r="BA102" i="11" s="1"/>
  <c r="Z70" i="11"/>
  <c r="AD70" i="11"/>
  <c r="AH70" i="11"/>
  <c r="AL70" i="11"/>
  <c r="AP70" i="11"/>
  <c r="AT70" i="11"/>
  <c r="AX70" i="11"/>
  <c r="X70" i="11"/>
  <c r="AF70" i="11"/>
  <c r="AR70" i="11"/>
  <c r="AG70" i="11"/>
  <c r="AA70" i="11"/>
  <c r="AE70" i="11"/>
  <c r="AI70" i="11"/>
  <c r="AM70" i="11"/>
  <c r="AQ70" i="11"/>
  <c r="AU70" i="11"/>
  <c r="AY70" i="11"/>
  <c r="AB70" i="11"/>
  <c r="AN70" i="11"/>
  <c r="Y70" i="11"/>
  <c r="AJ70" i="11"/>
  <c r="AV70" i="11"/>
  <c r="AZ70" i="11"/>
  <c r="AC70" i="11"/>
  <c r="AW70" i="11"/>
  <c r="AK70" i="11"/>
  <c r="BA70" i="11"/>
  <c r="AO70" i="11"/>
  <c r="AS70" i="11"/>
  <c r="Z66" i="11"/>
  <c r="Z515" i="11" s="1"/>
  <c r="AD66" i="11"/>
  <c r="AD515" i="11" s="1"/>
  <c r="AH66" i="11"/>
  <c r="AH515" i="11" s="1"/>
  <c r="AL66" i="11"/>
  <c r="AL515" i="11" s="1"/>
  <c r="AP66" i="11"/>
  <c r="AP515" i="11" s="1"/>
  <c r="AT66" i="11"/>
  <c r="AT515" i="11" s="1"/>
  <c r="AX66" i="11"/>
  <c r="AX515" i="11" s="1"/>
  <c r="AA66" i="11"/>
  <c r="AA515" i="11" s="1"/>
  <c r="AE66" i="11"/>
  <c r="AE515" i="11" s="1"/>
  <c r="AI66" i="11"/>
  <c r="AI515" i="11" s="1"/>
  <c r="AM66" i="11"/>
  <c r="AM515" i="11" s="1"/>
  <c r="AQ66" i="11"/>
  <c r="AQ515" i="11" s="1"/>
  <c r="AU66" i="11"/>
  <c r="AU515" i="11" s="1"/>
  <c r="AY66" i="11"/>
  <c r="AY515" i="11" s="1"/>
  <c r="AF66" i="11"/>
  <c r="AF515" i="11" s="1"/>
  <c r="AN66" i="11"/>
  <c r="AN515" i="11" s="1"/>
  <c r="AV66" i="11"/>
  <c r="AV515" i="11" s="1"/>
  <c r="X66" i="11"/>
  <c r="X515" i="11" s="1"/>
  <c r="X517" i="11" s="1"/>
  <c r="BA66" i="11"/>
  <c r="BA515" i="11" s="1"/>
  <c r="Y66" i="11"/>
  <c r="Y515" i="11" s="1"/>
  <c r="AG66" i="11"/>
  <c r="AO66" i="11"/>
  <c r="AO515" i="11" s="1"/>
  <c r="AW66" i="11"/>
  <c r="AW515" i="11" s="1"/>
  <c r="AK66" i="11"/>
  <c r="AK515" i="11" s="1"/>
  <c r="AB66" i="11"/>
  <c r="AB515" i="11" s="1"/>
  <c r="AJ66" i="11"/>
  <c r="AJ515" i="11" s="1"/>
  <c r="AR66" i="11"/>
  <c r="AR515" i="11" s="1"/>
  <c r="AZ66" i="11"/>
  <c r="AZ515" i="11" s="1"/>
  <c r="AC66" i="11"/>
  <c r="AC515" i="11" s="1"/>
  <c r="AS66" i="11"/>
  <c r="AS515" i="11" s="1"/>
  <c r="AB58" i="11"/>
  <c r="AB493" i="11" s="1"/>
  <c r="AF58" i="11"/>
  <c r="AF493" i="11" s="1"/>
  <c r="AJ58" i="11"/>
  <c r="AJ493" i="11" s="1"/>
  <c r="AN58" i="11"/>
  <c r="AN493" i="11" s="1"/>
  <c r="AR58" i="11"/>
  <c r="AR493" i="11" s="1"/>
  <c r="AV58" i="11"/>
  <c r="AV493" i="11" s="1"/>
  <c r="AZ58" i="11"/>
  <c r="AZ493" i="11" s="1"/>
  <c r="Y58" i="11"/>
  <c r="Y493" i="11" s="1"/>
  <c r="AC58" i="11"/>
  <c r="AC493" i="11" s="1"/>
  <c r="AG58" i="11"/>
  <c r="AK58" i="11"/>
  <c r="AK493" i="11" s="1"/>
  <c r="AO58" i="11"/>
  <c r="AO493" i="11" s="1"/>
  <c r="AS58" i="11"/>
  <c r="AS493" i="11" s="1"/>
  <c r="AW58" i="11"/>
  <c r="AW493" i="11" s="1"/>
  <c r="BA58" i="11"/>
  <c r="BA493" i="11" s="1"/>
  <c r="AD58" i="11"/>
  <c r="AD493" i="11" s="1"/>
  <c r="AL58" i="11"/>
  <c r="AL493" i="11" s="1"/>
  <c r="AT58" i="11"/>
  <c r="AT493" i="11" s="1"/>
  <c r="X58" i="11"/>
  <c r="X493" i="11" s="1"/>
  <c r="X495" i="11" s="1"/>
  <c r="AA58" i="11"/>
  <c r="AA493" i="11" s="1"/>
  <c r="AE58" i="11"/>
  <c r="AE493" i="11" s="1"/>
  <c r="AM58" i="11"/>
  <c r="AM493" i="11" s="1"/>
  <c r="AU58" i="11"/>
  <c r="AU493" i="11" s="1"/>
  <c r="AQ58" i="11"/>
  <c r="AQ493" i="11" s="1"/>
  <c r="Z58" i="11"/>
  <c r="Z493" i="11" s="1"/>
  <c r="AH58" i="11"/>
  <c r="AH493" i="11" s="1"/>
  <c r="AP58" i="11"/>
  <c r="AP493" i="11" s="1"/>
  <c r="AX58" i="11"/>
  <c r="AX493" i="11" s="1"/>
  <c r="AI58" i="11"/>
  <c r="AI493" i="11" s="1"/>
  <c r="AY58" i="11"/>
  <c r="AY493" i="11" s="1"/>
  <c r="AA69" i="11"/>
  <c r="AA524" i="11" s="1"/>
  <c r="AE69" i="11"/>
  <c r="AE524" i="11" s="1"/>
  <c r="AI69" i="11"/>
  <c r="AI524" i="11" s="1"/>
  <c r="AM69" i="11"/>
  <c r="AM524" i="11" s="1"/>
  <c r="AQ69" i="11"/>
  <c r="AQ524" i="11" s="1"/>
  <c r="Z69" i="11"/>
  <c r="Z524" i="11" s="1"/>
  <c r="AF69" i="11"/>
  <c r="AF524" i="11" s="1"/>
  <c r="AK69" i="11"/>
  <c r="AK524" i="11" s="1"/>
  <c r="AP69" i="11"/>
  <c r="AP524" i="11" s="1"/>
  <c r="AU69" i="11"/>
  <c r="AU524" i="11" s="1"/>
  <c r="AY69" i="11"/>
  <c r="AY524" i="11" s="1"/>
  <c r="AH69" i="11"/>
  <c r="AH524" i="11" s="1"/>
  <c r="AW69" i="11"/>
  <c r="AW524" i="11" s="1"/>
  <c r="AJ69" i="11"/>
  <c r="AJ524" i="11" s="1"/>
  <c r="AX69" i="11"/>
  <c r="AX524" i="11" s="1"/>
  <c r="AB69" i="11"/>
  <c r="AB524" i="11" s="1"/>
  <c r="AG69" i="11"/>
  <c r="AL69" i="11"/>
  <c r="AL524" i="11" s="1"/>
  <c r="AR69" i="11"/>
  <c r="AR524" i="11" s="1"/>
  <c r="AV69" i="11"/>
  <c r="AV524" i="11" s="1"/>
  <c r="AZ69" i="11"/>
  <c r="AZ524" i="11" s="1"/>
  <c r="X69" i="11"/>
  <c r="X524" i="11" s="1"/>
  <c r="X526" i="11" s="1"/>
  <c r="AC69" i="11"/>
  <c r="AC524" i="11" s="1"/>
  <c r="AS69" i="11"/>
  <c r="AS524" i="11" s="1"/>
  <c r="Y69" i="11"/>
  <c r="Y524" i="11" s="1"/>
  <c r="AO69" i="11"/>
  <c r="AO524" i="11" s="1"/>
  <c r="AN69" i="11"/>
  <c r="AN524" i="11" s="1"/>
  <c r="BA69" i="11"/>
  <c r="BA524" i="11" s="1"/>
  <c r="AD69" i="11"/>
  <c r="AD524" i="11" s="1"/>
  <c r="AT69" i="11"/>
  <c r="AT524" i="11" s="1"/>
  <c r="AA65" i="11"/>
  <c r="AA512" i="11" s="1"/>
  <c r="AE65" i="11"/>
  <c r="AE512" i="11" s="1"/>
  <c r="AI65" i="11"/>
  <c r="AI512" i="11" s="1"/>
  <c r="AM65" i="11"/>
  <c r="AM512" i="11" s="1"/>
  <c r="AQ65" i="11"/>
  <c r="AQ512" i="11" s="1"/>
  <c r="AU65" i="11"/>
  <c r="AU512" i="11" s="1"/>
  <c r="AY65" i="11"/>
  <c r="AY512" i="11" s="1"/>
  <c r="AB65" i="11"/>
  <c r="AB512" i="11" s="1"/>
  <c r="AF65" i="11"/>
  <c r="AF512" i="11" s="1"/>
  <c r="AJ65" i="11"/>
  <c r="AJ512" i="11" s="1"/>
  <c r="AN65" i="11"/>
  <c r="AN512" i="11" s="1"/>
  <c r="AR65" i="11"/>
  <c r="AR512" i="11" s="1"/>
  <c r="AV65" i="11"/>
  <c r="AV512" i="11" s="1"/>
  <c r="AZ65" i="11"/>
  <c r="AZ512" i="11" s="1"/>
  <c r="AC65" i="11"/>
  <c r="AC512" i="11" s="1"/>
  <c r="AK65" i="11"/>
  <c r="AK512" i="11" s="1"/>
  <c r="AS65" i="11"/>
  <c r="AS512" i="11" s="1"/>
  <c r="BA65" i="11"/>
  <c r="BA512" i="11" s="1"/>
  <c r="Z65" i="11"/>
  <c r="Z512" i="11" s="1"/>
  <c r="AX65" i="11"/>
  <c r="AX512" i="11" s="1"/>
  <c r="AD65" i="11"/>
  <c r="AD512" i="11" s="1"/>
  <c r="AL65" i="11"/>
  <c r="AL512" i="11" s="1"/>
  <c r="AT65" i="11"/>
  <c r="AT512" i="11" s="1"/>
  <c r="X65" i="11"/>
  <c r="X512" i="11" s="1"/>
  <c r="X514" i="11" s="1"/>
  <c r="AP65" i="11"/>
  <c r="AP512" i="11" s="1"/>
  <c r="Y65" i="11"/>
  <c r="Y512" i="11" s="1"/>
  <c r="AG65" i="11"/>
  <c r="AO65" i="11"/>
  <c r="AO512" i="11" s="1"/>
  <c r="AW65" i="11"/>
  <c r="AW512" i="11" s="1"/>
  <c r="AH65" i="11"/>
  <c r="AH512" i="11" s="1"/>
  <c r="Y57" i="11"/>
  <c r="Y490" i="11" s="1"/>
  <c r="AC57" i="11"/>
  <c r="AC490" i="11" s="1"/>
  <c r="AG57" i="11"/>
  <c r="AK57" i="11"/>
  <c r="AK490" i="11" s="1"/>
  <c r="AO57" i="11"/>
  <c r="AO490" i="11" s="1"/>
  <c r="AS57" i="11"/>
  <c r="AS490" i="11" s="1"/>
  <c r="AW57" i="11"/>
  <c r="AW490" i="11" s="1"/>
  <c r="BA57" i="11"/>
  <c r="BA490" i="11" s="1"/>
  <c r="Z57" i="11"/>
  <c r="Z490" i="11" s="1"/>
  <c r="AD57" i="11"/>
  <c r="AD490" i="11" s="1"/>
  <c r="AH57" i="11"/>
  <c r="AH490" i="11" s="1"/>
  <c r="AL57" i="11"/>
  <c r="AL490" i="11" s="1"/>
  <c r="AP57" i="11"/>
  <c r="AP490" i="11" s="1"/>
  <c r="AT57" i="11"/>
  <c r="AT490" i="11" s="1"/>
  <c r="AX57" i="11"/>
  <c r="AX490" i="11" s="1"/>
  <c r="AA57" i="11"/>
  <c r="AA490" i="11" s="1"/>
  <c r="AI57" i="11"/>
  <c r="AI490" i="11" s="1"/>
  <c r="AQ57" i="11"/>
  <c r="AQ490" i="11" s="1"/>
  <c r="AY57" i="11"/>
  <c r="AY490" i="11" s="1"/>
  <c r="X57" i="11"/>
  <c r="X490" i="11" s="1"/>
  <c r="X492" i="11" s="1"/>
  <c r="AB57" i="11"/>
  <c r="AB490" i="11" s="1"/>
  <c r="AJ57" i="11"/>
  <c r="AJ490" i="11" s="1"/>
  <c r="AR57" i="11"/>
  <c r="AR490" i="11" s="1"/>
  <c r="AZ57" i="11"/>
  <c r="AZ490" i="11" s="1"/>
  <c r="AV57" i="11"/>
  <c r="AV490" i="11" s="1"/>
  <c r="AE57" i="11"/>
  <c r="AE490" i="11" s="1"/>
  <c r="AM57" i="11"/>
  <c r="AM490" i="11" s="1"/>
  <c r="AU57" i="11"/>
  <c r="AU490" i="11" s="1"/>
  <c r="AF57" i="11"/>
  <c r="AF490" i="11" s="1"/>
  <c r="AN57" i="11"/>
  <c r="AN490" i="11" s="1"/>
  <c r="AB68" i="11"/>
  <c r="AB521" i="11" s="1"/>
  <c r="AF68" i="11"/>
  <c r="AF521" i="11" s="1"/>
  <c r="AJ68" i="11"/>
  <c r="AJ521" i="11" s="1"/>
  <c r="AN68" i="11"/>
  <c r="AN521" i="11" s="1"/>
  <c r="AR68" i="11"/>
  <c r="AR521" i="11" s="1"/>
  <c r="AV68" i="11"/>
  <c r="AV521" i="11" s="1"/>
  <c r="AZ68" i="11"/>
  <c r="AZ521" i="11" s="1"/>
  <c r="AC68" i="11"/>
  <c r="AC521" i="11" s="1"/>
  <c r="AH68" i="11"/>
  <c r="AH521" i="11" s="1"/>
  <c r="AM68" i="11"/>
  <c r="AM521" i="11" s="1"/>
  <c r="AS68" i="11"/>
  <c r="AS521" i="11" s="1"/>
  <c r="AX68" i="11"/>
  <c r="AX521" i="11" s="1"/>
  <c r="Z68" i="11"/>
  <c r="Z521" i="11" s="1"/>
  <c r="AU68" i="11"/>
  <c r="AU521" i="11" s="1"/>
  <c r="AA68" i="11"/>
  <c r="AA521" i="11" s="1"/>
  <c r="AQ68" i="11"/>
  <c r="AQ521" i="11" s="1"/>
  <c r="Y68" i="11"/>
  <c r="Y521" i="11" s="1"/>
  <c r="AD68" i="11"/>
  <c r="AD521" i="11" s="1"/>
  <c r="AI68" i="11"/>
  <c r="AI521" i="11" s="1"/>
  <c r="AO68" i="11"/>
  <c r="AO521" i="11" s="1"/>
  <c r="AT68" i="11"/>
  <c r="AT521" i="11" s="1"/>
  <c r="AY68" i="11"/>
  <c r="AY521" i="11" s="1"/>
  <c r="AP68" i="11"/>
  <c r="AP521" i="11" s="1"/>
  <c r="X68" i="11"/>
  <c r="X521" i="11" s="1"/>
  <c r="X523" i="11" s="1"/>
  <c r="AG68" i="11"/>
  <c r="AE68" i="11"/>
  <c r="AE521" i="11" s="1"/>
  <c r="AK68" i="11"/>
  <c r="AK521" i="11" s="1"/>
  <c r="BA68" i="11"/>
  <c r="BA521" i="11" s="1"/>
  <c r="AL68" i="11"/>
  <c r="AL521" i="11" s="1"/>
  <c r="AW68" i="11"/>
  <c r="AW521" i="11" s="1"/>
  <c r="AA60" i="11"/>
  <c r="AA498" i="11" s="1"/>
  <c r="AE60" i="11"/>
  <c r="AE498" i="11" s="1"/>
  <c r="AI60" i="11"/>
  <c r="AI498" i="11" s="1"/>
  <c r="AM60" i="11"/>
  <c r="AM498" i="11" s="1"/>
  <c r="AQ60" i="11"/>
  <c r="AQ498" i="11" s="1"/>
  <c r="AU60" i="11"/>
  <c r="AU498" i="11" s="1"/>
  <c r="AY60" i="11"/>
  <c r="AY498" i="11" s="1"/>
  <c r="AB60" i="11"/>
  <c r="AB498" i="11" s="1"/>
  <c r="AF60" i="11"/>
  <c r="AF498" i="11" s="1"/>
  <c r="AJ60" i="11"/>
  <c r="AJ498" i="11" s="1"/>
  <c r="AN60" i="11"/>
  <c r="AN498" i="11" s="1"/>
  <c r="AR60" i="11"/>
  <c r="AR498" i="11" s="1"/>
  <c r="AV60" i="11"/>
  <c r="AV498" i="11" s="1"/>
  <c r="AZ60" i="11"/>
  <c r="AZ498" i="11" s="1"/>
  <c r="Y60" i="11"/>
  <c r="Y498" i="11" s="1"/>
  <c r="AG60" i="11"/>
  <c r="AO60" i="11"/>
  <c r="AO498" i="11" s="1"/>
  <c r="AW60" i="11"/>
  <c r="AW498" i="11" s="1"/>
  <c r="AD60" i="11"/>
  <c r="AD498" i="11" s="1"/>
  <c r="Z60" i="11"/>
  <c r="Z498" i="11" s="1"/>
  <c r="AH60" i="11"/>
  <c r="AH498" i="11" s="1"/>
  <c r="AP60" i="11"/>
  <c r="AP498" i="11" s="1"/>
  <c r="AX60" i="11"/>
  <c r="AX498" i="11" s="1"/>
  <c r="AL60" i="11"/>
  <c r="AL498" i="11" s="1"/>
  <c r="AC60" i="11"/>
  <c r="AC498" i="11" s="1"/>
  <c r="AK60" i="11"/>
  <c r="AK498" i="11" s="1"/>
  <c r="AS60" i="11"/>
  <c r="AS498" i="11" s="1"/>
  <c r="BA60" i="11"/>
  <c r="BA498" i="11" s="1"/>
  <c r="X60" i="11"/>
  <c r="X498" i="11" s="1"/>
  <c r="X500" i="11" s="1"/>
  <c r="AT60" i="11"/>
  <c r="AT498" i="11" s="1"/>
  <c r="Z56" i="11"/>
  <c r="Z487" i="11" s="1"/>
  <c r="AD56" i="11"/>
  <c r="AD487" i="11" s="1"/>
  <c r="AH56" i="11"/>
  <c r="AH487" i="11" s="1"/>
  <c r="AL56" i="11"/>
  <c r="AL487" i="11" s="1"/>
  <c r="AP56" i="11"/>
  <c r="AP487" i="11" s="1"/>
  <c r="AT56" i="11"/>
  <c r="AT487" i="11" s="1"/>
  <c r="AX56" i="11"/>
  <c r="AX487" i="11" s="1"/>
  <c r="AA56" i="11"/>
  <c r="AA487" i="11" s="1"/>
  <c r="AE56" i="11"/>
  <c r="AE487" i="11" s="1"/>
  <c r="AI56" i="11"/>
  <c r="AI487" i="11" s="1"/>
  <c r="AM56" i="11"/>
  <c r="AM487" i="11" s="1"/>
  <c r="AQ56" i="11"/>
  <c r="AQ487" i="11" s="1"/>
  <c r="AU56" i="11"/>
  <c r="AU487" i="11" s="1"/>
  <c r="AY56" i="11"/>
  <c r="AY487" i="11" s="1"/>
  <c r="AF56" i="11"/>
  <c r="AF487" i="11" s="1"/>
  <c r="AN56" i="11"/>
  <c r="AN487" i="11" s="1"/>
  <c r="AV56" i="11"/>
  <c r="AV487" i="11" s="1"/>
  <c r="AS56" i="11"/>
  <c r="AS487" i="11" s="1"/>
  <c r="Y56" i="11"/>
  <c r="Y487" i="11" s="1"/>
  <c r="AG56" i="11"/>
  <c r="AO56" i="11"/>
  <c r="AO487" i="11" s="1"/>
  <c r="AW56" i="11"/>
  <c r="AW487" i="11" s="1"/>
  <c r="X56" i="11"/>
  <c r="X487" i="11" s="1"/>
  <c r="X489" i="11" s="1"/>
  <c r="AC56" i="11"/>
  <c r="AC487" i="11" s="1"/>
  <c r="BA56" i="11"/>
  <c r="BA487" i="11" s="1"/>
  <c r="AB56" i="11"/>
  <c r="AB487" i="11" s="1"/>
  <c r="AJ56" i="11"/>
  <c r="AJ487" i="11" s="1"/>
  <c r="AR56" i="11"/>
  <c r="AR487" i="11" s="1"/>
  <c r="AZ56" i="11"/>
  <c r="AZ487" i="11" s="1"/>
  <c r="AK56" i="11"/>
  <c r="AK487" i="11" s="1"/>
  <c r="AK5" i="20"/>
  <c r="X5" i="11"/>
  <c r="X127" i="11" s="1"/>
  <c r="X129" i="11" s="1"/>
  <c r="Y92" i="11"/>
  <c r="Z92" i="11" s="1"/>
  <c r="AA92" i="11" s="1"/>
  <c r="AB92" i="11" s="1"/>
  <c r="AC92" i="11" s="1"/>
  <c r="AD92" i="11" s="1"/>
  <c r="AE92" i="11" s="1"/>
  <c r="AF92" i="11" s="1"/>
  <c r="AG92" i="11" s="1"/>
  <c r="AH92" i="11" s="1"/>
  <c r="AI92" i="11" s="1"/>
  <c r="AJ92" i="11" s="1"/>
  <c r="AK92" i="11" s="1"/>
  <c r="AL92" i="11" s="1"/>
  <c r="AM92" i="11" s="1"/>
  <c r="AN92" i="11" s="1"/>
  <c r="AO92" i="11" s="1"/>
  <c r="AP92" i="11" s="1"/>
  <c r="AQ92" i="11" s="1"/>
  <c r="AR92" i="11" s="1"/>
  <c r="AS92" i="11" s="1"/>
  <c r="AT92" i="11" s="1"/>
  <c r="AU92" i="11" s="1"/>
  <c r="AV92" i="11" s="1"/>
  <c r="AW92" i="11" s="1"/>
  <c r="AX92" i="11" s="1"/>
  <c r="AY92" i="11" s="1"/>
  <c r="AZ92" i="11" s="1"/>
  <c r="BA92" i="11" s="1"/>
  <c r="Y67" i="11"/>
  <c r="Y518" i="11" s="1"/>
  <c r="AC67" i="11"/>
  <c r="AC518" i="11" s="1"/>
  <c r="AG67" i="11"/>
  <c r="AK67" i="11"/>
  <c r="AK518" i="11" s="1"/>
  <c r="AO67" i="11"/>
  <c r="AO518" i="11" s="1"/>
  <c r="AS67" i="11"/>
  <c r="AS518" i="11" s="1"/>
  <c r="AW67" i="11"/>
  <c r="AW518" i="11" s="1"/>
  <c r="BA67" i="11"/>
  <c r="BA518" i="11" s="1"/>
  <c r="Z67" i="11"/>
  <c r="Z518" i="11" s="1"/>
  <c r="AE67" i="11"/>
  <c r="AE518" i="11" s="1"/>
  <c r="AJ67" i="11"/>
  <c r="AJ518" i="11" s="1"/>
  <c r="AP67" i="11"/>
  <c r="AP518" i="11" s="1"/>
  <c r="AU67" i="11"/>
  <c r="AU518" i="11" s="1"/>
  <c r="AZ67" i="11"/>
  <c r="AZ518" i="11" s="1"/>
  <c r="AN67" i="11"/>
  <c r="AN518" i="11" s="1"/>
  <c r="AA67" i="11"/>
  <c r="AA518" i="11" s="1"/>
  <c r="AF67" i="11"/>
  <c r="AF518" i="11" s="1"/>
  <c r="AL67" i="11"/>
  <c r="AL518" i="11" s="1"/>
  <c r="AQ67" i="11"/>
  <c r="AQ518" i="11" s="1"/>
  <c r="AV67" i="11"/>
  <c r="AV518" i="11" s="1"/>
  <c r="AX67" i="11"/>
  <c r="AX518" i="11" s="1"/>
  <c r="AD67" i="11"/>
  <c r="AD518" i="11" s="1"/>
  <c r="AT67" i="11"/>
  <c r="AT518" i="11" s="1"/>
  <c r="AB67" i="11"/>
  <c r="AB518" i="11" s="1"/>
  <c r="AH67" i="11"/>
  <c r="AH518" i="11" s="1"/>
  <c r="AM67" i="11"/>
  <c r="AM518" i="11" s="1"/>
  <c r="AR67" i="11"/>
  <c r="AR518" i="11" s="1"/>
  <c r="AI67" i="11"/>
  <c r="AI518" i="11" s="1"/>
  <c r="AY67" i="11"/>
  <c r="AY518" i="11" s="1"/>
  <c r="X67" i="11"/>
  <c r="X518" i="11" s="1"/>
  <c r="X520" i="11" s="1"/>
  <c r="Y63" i="11"/>
  <c r="Y506" i="11" s="1"/>
  <c r="AC63" i="11"/>
  <c r="AC506" i="11" s="1"/>
  <c r="AG63" i="11"/>
  <c r="AK63" i="11"/>
  <c r="AK506" i="11" s="1"/>
  <c r="AO63" i="11"/>
  <c r="AO506" i="11" s="1"/>
  <c r="AS63" i="11"/>
  <c r="AS506" i="11" s="1"/>
  <c r="AW63" i="11"/>
  <c r="AW506" i="11" s="1"/>
  <c r="BA63" i="11"/>
  <c r="BA506" i="11" s="1"/>
  <c r="Z63" i="11"/>
  <c r="Z506" i="11" s="1"/>
  <c r="AD63" i="11"/>
  <c r="AD506" i="11" s="1"/>
  <c r="AH63" i="11"/>
  <c r="AH506" i="11" s="1"/>
  <c r="AL63" i="11"/>
  <c r="AL506" i="11" s="1"/>
  <c r="AP63" i="11"/>
  <c r="AP506" i="11" s="1"/>
  <c r="AT63" i="11"/>
  <c r="AT506" i="11" s="1"/>
  <c r="AX63" i="11"/>
  <c r="AX506" i="11" s="1"/>
  <c r="AE63" i="11"/>
  <c r="AE506" i="11" s="1"/>
  <c r="AM63" i="11"/>
  <c r="AM506" i="11" s="1"/>
  <c r="AU63" i="11"/>
  <c r="AU506" i="11" s="1"/>
  <c r="AJ63" i="11"/>
  <c r="AJ506" i="11" s="1"/>
  <c r="AF63" i="11"/>
  <c r="AF506" i="11" s="1"/>
  <c r="AN63" i="11"/>
  <c r="AN506" i="11" s="1"/>
  <c r="AV63" i="11"/>
  <c r="AV506" i="11" s="1"/>
  <c r="AR63" i="11"/>
  <c r="AR506" i="11" s="1"/>
  <c r="AA63" i="11"/>
  <c r="AA506" i="11" s="1"/>
  <c r="AI63" i="11"/>
  <c r="AI506" i="11" s="1"/>
  <c r="AQ63" i="11"/>
  <c r="AQ506" i="11" s="1"/>
  <c r="AY63" i="11"/>
  <c r="AY506" i="11" s="1"/>
  <c r="AB63" i="11"/>
  <c r="AB506" i="11" s="1"/>
  <c r="AZ63" i="11"/>
  <c r="AZ506" i="11" s="1"/>
  <c r="X63" i="11"/>
  <c r="X506" i="11" s="1"/>
  <c r="X508" i="11" s="1"/>
  <c r="AG51" i="11"/>
  <c r="AF55" i="11"/>
  <c r="AB29" i="11"/>
  <c r="AB424" i="11" s="1"/>
  <c r="AF29" i="11"/>
  <c r="AF424" i="11" s="1"/>
  <c r="AJ29" i="11"/>
  <c r="AJ424" i="11" s="1"/>
  <c r="AN29" i="11"/>
  <c r="AN424" i="11" s="1"/>
  <c r="AR29" i="11"/>
  <c r="AR424" i="11" s="1"/>
  <c r="AV29" i="11"/>
  <c r="AV424" i="11" s="1"/>
  <c r="AZ29" i="11"/>
  <c r="AZ424" i="11" s="1"/>
  <c r="Y29" i="11"/>
  <c r="Y424" i="11" s="1"/>
  <c r="AC29" i="11"/>
  <c r="AC424" i="11" s="1"/>
  <c r="AG29" i="11"/>
  <c r="AG424" i="11" s="1"/>
  <c r="AK29" i="11"/>
  <c r="AK424" i="11" s="1"/>
  <c r="AO29" i="11"/>
  <c r="AO424" i="11" s="1"/>
  <c r="AS29" i="11"/>
  <c r="AS424" i="11" s="1"/>
  <c r="AW29" i="11"/>
  <c r="AW424" i="11" s="1"/>
  <c r="BA29" i="11"/>
  <c r="BA424" i="11" s="1"/>
  <c r="Z29" i="11"/>
  <c r="Z424" i="11" s="1"/>
  <c r="AD29" i="11"/>
  <c r="AD424" i="11" s="1"/>
  <c r="AH29" i="11"/>
  <c r="AH424" i="11" s="1"/>
  <c r="AL29" i="11"/>
  <c r="AL424" i="11" s="1"/>
  <c r="AP29" i="11"/>
  <c r="AP424" i="11" s="1"/>
  <c r="AT29" i="11"/>
  <c r="AT424" i="11" s="1"/>
  <c r="AX29" i="11"/>
  <c r="AX424" i="11" s="1"/>
  <c r="AA29" i="11"/>
  <c r="AA424" i="11" s="1"/>
  <c r="AQ29" i="11"/>
  <c r="AQ424" i="11" s="1"/>
  <c r="AM29" i="11"/>
  <c r="AM424" i="11" s="1"/>
  <c r="AE29" i="11"/>
  <c r="AE424" i="11" s="1"/>
  <c r="AU29" i="11"/>
  <c r="AU424" i="11" s="1"/>
  <c r="AI29" i="11"/>
  <c r="AI424" i="11" s="1"/>
  <c r="AY29" i="11"/>
  <c r="AY424" i="11" s="1"/>
  <c r="X29" i="11"/>
  <c r="X424" i="11" s="1"/>
  <c r="X426" i="11" s="1"/>
  <c r="X441" i="11" s="1"/>
  <c r="AA50" i="18"/>
  <c r="AQ50" i="18"/>
  <c r="AJ50" i="18"/>
  <c r="AC50" i="18"/>
  <c r="AS50" i="18"/>
  <c r="AH50" i="18"/>
  <c r="AE50" i="18"/>
  <c r="X50" i="18"/>
  <c r="AN50" i="18"/>
  <c r="AG50" i="18"/>
  <c r="Z50" i="18"/>
  <c r="AD50" i="18"/>
  <c r="AI50" i="18"/>
  <c r="AB50" i="18"/>
  <c r="AR50" i="18"/>
  <c r="AK50" i="18"/>
  <c r="AK84" i="18" s="1"/>
  <c r="AP50" i="18"/>
  <c r="AT50" i="18"/>
  <c r="W50" i="18"/>
  <c r="AO50" i="18"/>
  <c r="AM50" i="18"/>
  <c r="AM84" i="18" s="1"/>
  <c r="V50" i="18"/>
  <c r="AF50" i="18"/>
  <c r="AF84" i="18" s="1"/>
  <c r="AL50" i="18"/>
  <c r="AL84" i="18" s="1"/>
  <c r="Y50" i="18"/>
  <c r="AN54" i="18"/>
  <c r="AO54" i="18"/>
  <c r="AL52" i="18"/>
  <c r="AM52" i="18"/>
  <c r="AN53" i="18"/>
  <c r="AO53" i="18"/>
  <c r="AT53" i="18"/>
  <c r="AM54" i="18"/>
  <c r="AR54" i="18"/>
  <c r="AS54" i="18"/>
  <c r="AP52" i="18"/>
  <c r="AQ52" i="18"/>
  <c r="AR53" i="18"/>
  <c r="AS53" i="18"/>
  <c r="AQ53" i="18"/>
  <c r="AQ54" i="18"/>
  <c r="AK54" i="18"/>
  <c r="AT54" i="18"/>
  <c r="AO52" i="18"/>
  <c r="AO86" i="18" s="1"/>
  <c r="AT52" i="18"/>
  <c r="AK52" i="18"/>
  <c r="AK53" i="18"/>
  <c r="AL53" i="18"/>
  <c r="AN52" i="18"/>
  <c r="AM53" i="18"/>
  <c r="AP54" i="18"/>
  <c r="AP88" i="18" s="1"/>
  <c r="AP53" i="18"/>
  <c r="AR52" i="18"/>
  <c r="AR86" i="18" s="1"/>
  <c r="AL54" i="18"/>
  <c r="AS52" i="18"/>
  <c r="AS86" i="18" s="1"/>
  <c r="X32" i="11"/>
  <c r="X430" i="11" s="1"/>
  <c r="X432" i="11" s="1"/>
  <c r="AA32" i="11"/>
  <c r="AA430" i="11" s="1"/>
  <c r="AE32" i="11"/>
  <c r="AE430" i="11" s="1"/>
  <c r="AI32" i="11"/>
  <c r="AI430" i="11" s="1"/>
  <c r="AM32" i="11"/>
  <c r="AM430" i="11" s="1"/>
  <c r="AQ32" i="11"/>
  <c r="AQ430" i="11" s="1"/>
  <c r="AU32" i="11"/>
  <c r="AU430" i="11" s="1"/>
  <c r="AY32" i="11"/>
  <c r="AY430" i="11" s="1"/>
  <c r="AD32" i="11"/>
  <c r="AD430" i="11" s="1"/>
  <c r="AP32" i="11"/>
  <c r="AP430" i="11" s="1"/>
  <c r="AB32" i="11"/>
  <c r="AB430" i="11" s="1"/>
  <c r="AF32" i="11"/>
  <c r="AF430" i="11" s="1"/>
  <c r="AJ32" i="11"/>
  <c r="AJ430" i="11" s="1"/>
  <c r="AN32" i="11"/>
  <c r="AN430" i="11" s="1"/>
  <c r="AR32" i="11"/>
  <c r="AR430" i="11" s="1"/>
  <c r="AV32" i="11"/>
  <c r="AV430" i="11" s="1"/>
  <c r="AZ32" i="11"/>
  <c r="AZ430" i="11" s="1"/>
  <c r="Z32" i="11"/>
  <c r="Z430" i="11" s="1"/>
  <c r="AL32" i="11"/>
  <c r="AL430" i="11" s="1"/>
  <c r="AX32" i="11"/>
  <c r="AX430" i="11" s="1"/>
  <c r="Y32" i="11"/>
  <c r="Y430" i="11" s="1"/>
  <c r="AC32" i="11"/>
  <c r="AC430" i="11" s="1"/>
  <c r="AG32" i="11"/>
  <c r="AG430" i="11" s="1"/>
  <c r="AK32" i="11"/>
  <c r="AK430" i="11" s="1"/>
  <c r="AO32" i="11"/>
  <c r="AO430" i="11" s="1"/>
  <c r="AS32" i="11"/>
  <c r="AS430" i="11" s="1"/>
  <c r="AW32" i="11"/>
  <c r="AW430" i="11" s="1"/>
  <c r="BA32" i="11"/>
  <c r="BA430" i="11" s="1"/>
  <c r="AH32" i="11"/>
  <c r="AH430" i="11" s="1"/>
  <c r="AT32" i="11"/>
  <c r="AT430" i="11" s="1"/>
  <c r="AP43" i="18"/>
  <c r="AO43" i="18"/>
  <c r="AQ42" i="18"/>
  <c r="AP42" i="18"/>
  <c r="AT44" i="18"/>
  <c r="AQ44" i="18"/>
  <c r="AL40" i="18"/>
  <c r="AQ40" i="18"/>
  <c r="AR40" i="18"/>
  <c r="AN41" i="18"/>
  <c r="AK41" i="18"/>
  <c r="AN43" i="18"/>
  <c r="AS43" i="18"/>
  <c r="AS77" i="18" s="1"/>
  <c r="AO42" i="18"/>
  <c r="AT42" i="18"/>
  <c r="AK44" i="18"/>
  <c r="AS44" i="18"/>
  <c r="AS78" i="18" s="1"/>
  <c r="AP40" i="18"/>
  <c r="AK40" i="18"/>
  <c r="AS40" i="18"/>
  <c r="AL41" i="18"/>
  <c r="AR41" i="18"/>
  <c r="AM43" i="18"/>
  <c r="AR43" i="18"/>
  <c r="AT43" i="18"/>
  <c r="AN42" i="18"/>
  <c r="AS42" i="18"/>
  <c r="AK42" i="18"/>
  <c r="AL44" i="18"/>
  <c r="AO44" i="18"/>
  <c r="AN44" i="18"/>
  <c r="AT40" i="18"/>
  <c r="AO40" i="18"/>
  <c r="AO41" i="18"/>
  <c r="AP41" i="18"/>
  <c r="AM41" i="18"/>
  <c r="AQ43" i="18"/>
  <c r="AM44" i="18"/>
  <c r="AT41" i="18"/>
  <c r="AM42" i="18"/>
  <c r="AN40" i="18"/>
  <c r="AL43" i="18"/>
  <c r="AR42" i="18"/>
  <c r="AR44" i="18"/>
  <c r="AQ41" i="18"/>
  <c r="AS41" i="18"/>
  <c r="AS75" i="18" s="1"/>
  <c r="AK43" i="18"/>
  <c r="AL42" i="18"/>
  <c r="AM40" i="18"/>
  <c r="AP44" i="18"/>
  <c r="AS58" i="18"/>
  <c r="AS92" i="18" s="1"/>
  <c r="AK58" i="18"/>
  <c r="AK92" i="18" s="1"/>
  <c r="AR58" i="18"/>
  <c r="AR92" i="18" s="1"/>
  <c r="AN59" i="18"/>
  <c r="AS59" i="18"/>
  <c r="AT59" i="18"/>
  <c r="AQ55" i="18"/>
  <c r="AL55" i="18"/>
  <c r="AM56" i="18"/>
  <c r="AN56" i="18"/>
  <c r="AS56" i="18"/>
  <c r="AT57" i="18"/>
  <c r="AQ57" i="18"/>
  <c r="AL58" i="18"/>
  <c r="AL92" i="18" s="1"/>
  <c r="AN58" i="18"/>
  <c r="AN92" i="18" s="1"/>
  <c r="AR59" i="18"/>
  <c r="AQ59" i="18"/>
  <c r="AK59" i="18"/>
  <c r="AO55" i="18"/>
  <c r="AP55" i="18"/>
  <c r="AQ56" i="18"/>
  <c r="AR56" i="18"/>
  <c r="AT56" i="18"/>
  <c r="AK57" i="18"/>
  <c r="AN57" i="18"/>
  <c r="AP58" i="18"/>
  <c r="AP92" i="18" s="1"/>
  <c r="AM58" i="18"/>
  <c r="AM92" i="18" s="1"/>
  <c r="AM59" i="18"/>
  <c r="AL59" i="18"/>
  <c r="AN55" i="18"/>
  <c r="AS55" i="18"/>
  <c r="AT55" i="18"/>
  <c r="AP56" i="18"/>
  <c r="AL56" i="18"/>
  <c r="AL57" i="18"/>
  <c r="AO57" i="18"/>
  <c r="AR57" i="18"/>
  <c r="AT58" i="18"/>
  <c r="AK55" i="18"/>
  <c r="AK56" i="18"/>
  <c r="AR55" i="18"/>
  <c r="AQ58" i="18"/>
  <c r="AQ92" i="18" s="1"/>
  <c r="AO59" i="18"/>
  <c r="AO93" i="18" s="1"/>
  <c r="AM55" i="18"/>
  <c r="AO56" i="18"/>
  <c r="AP57" i="18"/>
  <c r="AO58" i="18"/>
  <c r="AO92" i="18" s="1"/>
  <c r="AP59" i="18"/>
  <c r="AP93" i="18" s="1"/>
  <c r="AM57" i="18"/>
  <c r="AS57" i="18"/>
  <c r="AS91" i="18" s="1"/>
  <c r="AO46" i="18"/>
  <c r="AT46" i="18"/>
  <c r="AN46" i="18"/>
  <c r="AN80" i="18" s="1"/>
  <c r="AN47" i="18"/>
  <c r="AN81" i="18" s="1"/>
  <c r="AL47" i="18"/>
  <c r="AL81" i="18" s="1"/>
  <c r="AQ47" i="18"/>
  <c r="AQ81" i="18" s="1"/>
  <c r="AM48" i="18"/>
  <c r="AM82" i="18" s="1"/>
  <c r="AO48" i="18"/>
  <c r="AO82" i="18" s="1"/>
  <c r="AT48" i="18"/>
  <c r="AT49" i="18"/>
  <c r="AN49" i="18"/>
  <c r="AN83" i="18" s="1"/>
  <c r="AL45" i="18"/>
  <c r="AQ45" i="18"/>
  <c r="AR45" i="18"/>
  <c r="AS46" i="18"/>
  <c r="AK46" i="18"/>
  <c r="AR46" i="18"/>
  <c r="AR80" i="18" s="1"/>
  <c r="AR47" i="18"/>
  <c r="AR81" i="18" s="1"/>
  <c r="AP47" i="18"/>
  <c r="AP81" i="18" s="1"/>
  <c r="AM47" i="18"/>
  <c r="AM81" i="18" s="1"/>
  <c r="AQ48" i="18"/>
  <c r="AQ82" i="18" s="1"/>
  <c r="AS48" i="18"/>
  <c r="AS82" i="18" s="1"/>
  <c r="AK48" i="18"/>
  <c r="AK82" i="18" s="1"/>
  <c r="AK49" i="18"/>
  <c r="AK83" i="18" s="1"/>
  <c r="AR49" i="18"/>
  <c r="AR83" i="18" s="1"/>
  <c r="AP45" i="18"/>
  <c r="AK45" i="18"/>
  <c r="AS45" i="18"/>
  <c r="AL46" i="18"/>
  <c r="AM46" i="18"/>
  <c r="AO47" i="18"/>
  <c r="AO81" i="18" s="1"/>
  <c r="AT47" i="18"/>
  <c r="AN48" i="18"/>
  <c r="AN82" i="18" s="1"/>
  <c r="AL48" i="18"/>
  <c r="AL82" i="18" s="1"/>
  <c r="AL49" i="18"/>
  <c r="AL83" i="18" s="1"/>
  <c r="AM49" i="18"/>
  <c r="AM83" i="18" s="1"/>
  <c r="AO49" i="18"/>
  <c r="AO83" i="18" s="1"/>
  <c r="AT45" i="18"/>
  <c r="AO45" i="18"/>
  <c r="AQ46" i="18"/>
  <c r="AS49" i="18"/>
  <c r="AS83" i="18" s="1"/>
  <c r="AP46" i="18"/>
  <c r="AP80" i="18" s="1"/>
  <c r="AQ49" i="18"/>
  <c r="AQ83" i="18" s="1"/>
  <c r="AR48" i="18"/>
  <c r="AR82" i="18" s="1"/>
  <c r="AM45" i="18"/>
  <c r="AK47" i="18"/>
  <c r="AK81" i="18" s="1"/>
  <c r="AS47" i="18"/>
  <c r="AS81" i="18" s="1"/>
  <c r="AP48" i="18"/>
  <c r="AP82" i="18" s="1"/>
  <c r="AP49" i="18"/>
  <c r="AP83" i="18" s="1"/>
  <c r="AN45" i="18"/>
  <c r="AM35" i="18"/>
  <c r="AP35" i="18"/>
  <c r="AN39" i="18"/>
  <c r="AS39" i="18"/>
  <c r="AT39" i="18"/>
  <c r="AP36" i="18"/>
  <c r="AL36" i="18"/>
  <c r="AO38" i="18"/>
  <c r="AT38" i="18"/>
  <c r="AQ38" i="18"/>
  <c r="AL37" i="18"/>
  <c r="AS37" i="18"/>
  <c r="AR37" i="18"/>
  <c r="AO35" i="18"/>
  <c r="AT35" i="18"/>
  <c r="AR39" i="18"/>
  <c r="AQ39" i="18"/>
  <c r="AK39" i="18"/>
  <c r="AK36" i="18"/>
  <c r="AT36" i="18"/>
  <c r="AS38" i="18"/>
  <c r="AK38" i="18"/>
  <c r="AR38" i="18"/>
  <c r="AP37" i="18"/>
  <c r="AM37" i="18"/>
  <c r="AO37" i="18"/>
  <c r="AN35" i="18"/>
  <c r="AS35" i="18"/>
  <c r="AQ35" i="18"/>
  <c r="AM39" i="18"/>
  <c r="AL39" i="18"/>
  <c r="AM36" i="18"/>
  <c r="AN36" i="18"/>
  <c r="AO36" i="18"/>
  <c r="AL38" i="18"/>
  <c r="AN38" i="18"/>
  <c r="AT37" i="18"/>
  <c r="AQ37" i="18"/>
  <c r="AP39" i="18"/>
  <c r="AQ36" i="18"/>
  <c r="AM38" i="18"/>
  <c r="AR35" i="18"/>
  <c r="AR36" i="18"/>
  <c r="AK35" i="18"/>
  <c r="AP38" i="18"/>
  <c r="AL35" i="18"/>
  <c r="AS36" i="18"/>
  <c r="AK37" i="18"/>
  <c r="AO39" i="18"/>
  <c r="AN37" i="18"/>
  <c r="U35" i="18"/>
  <c r="R35" i="18"/>
  <c r="R69" i="18" s="1"/>
  <c r="AH35" i="18"/>
  <c r="AE35" i="18"/>
  <c r="AB35" i="18"/>
  <c r="Y35" i="18"/>
  <c r="V35" i="18"/>
  <c r="S35" i="18"/>
  <c r="S69" i="18" s="1"/>
  <c r="AI35" i="18"/>
  <c r="AF35" i="18"/>
  <c r="AC35" i="18"/>
  <c r="Z35" i="18"/>
  <c r="W35" i="18"/>
  <c r="X35" i="18"/>
  <c r="T35" i="18"/>
  <c r="AG35" i="18"/>
  <c r="Q35" i="18"/>
  <c r="Q69" i="18" s="1"/>
  <c r="AD35" i="18"/>
  <c r="AA35" i="18"/>
  <c r="AJ35" i="18"/>
  <c r="AA30" i="11"/>
  <c r="AA427" i="11" s="1"/>
  <c r="AE30" i="11"/>
  <c r="AE427" i="11" s="1"/>
  <c r="AI30" i="11"/>
  <c r="AI427" i="11" s="1"/>
  <c r="AM30" i="11"/>
  <c r="AM427" i="11" s="1"/>
  <c r="AQ30" i="11"/>
  <c r="AQ427" i="11" s="1"/>
  <c r="AU30" i="11"/>
  <c r="AU427" i="11" s="1"/>
  <c r="AY30" i="11"/>
  <c r="AY427" i="11" s="1"/>
  <c r="AB30" i="11"/>
  <c r="AB427" i="11" s="1"/>
  <c r="AF30" i="11"/>
  <c r="AF427" i="11" s="1"/>
  <c r="AJ30" i="11"/>
  <c r="AJ427" i="11" s="1"/>
  <c r="AN30" i="11"/>
  <c r="AN427" i="11" s="1"/>
  <c r="AR30" i="11"/>
  <c r="AR427" i="11" s="1"/>
  <c r="AV30" i="11"/>
  <c r="AV427" i="11" s="1"/>
  <c r="AZ30" i="11"/>
  <c r="AZ427" i="11" s="1"/>
  <c r="X30" i="11"/>
  <c r="X427" i="11" s="1"/>
  <c r="X429" i="11" s="1"/>
  <c r="Y30" i="11"/>
  <c r="Y427" i="11" s="1"/>
  <c r="AC30" i="11"/>
  <c r="AC427" i="11" s="1"/>
  <c r="AG30" i="11"/>
  <c r="AG427" i="11" s="1"/>
  <c r="AK30" i="11"/>
  <c r="AK427" i="11" s="1"/>
  <c r="AO30" i="11"/>
  <c r="AO427" i="11" s="1"/>
  <c r="AS30" i="11"/>
  <c r="AS427" i="11" s="1"/>
  <c r="AW30" i="11"/>
  <c r="AW427" i="11" s="1"/>
  <c r="BA30" i="11"/>
  <c r="BA427" i="11" s="1"/>
  <c r="AD30" i="11"/>
  <c r="AD427" i="11" s="1"/>
  <c r="AT30" i="11"/>
  <c r="AT427" i="11" s="1"/>
  <c r="AH30" i="11"/>
  <c r="AH427" i="11" s="1"/>
  <c r="AX30" i="11"/>
  <c r="AX427" i="11" s="1"/>
  <c r="Z30" i="11"/>
  <c r="Z427" i="11" s="1"/>
  <c r="AL30" i="11"/>
  <c r="AL427" i="11" s="1"/>
  <c r="AP30" i="11"/>
  <c r="AP427" i="11" s="1"/>
  <c r="R36" i="18"/>
  <c r="R70" i="18" s="1"/>
  <c r="AH36" i="18"/>
  <c r="AE36" i="18"/>
  <c r="AB36" i="18"/>
  <c r="Y36" i="18"/>
  <c r="V36" i="18"/>
  <c r="S36" i="18"/>
  <c r="AI36" i="18"/>
  <c r="AF36" i="18"/>
  <c r="AC36" i="18"/>
  <c r="Z36" i="18"/>
  <c r="W36" i="18"/>
  <c r="T36" i="18"/>
  <c r="AJ36" i="18"/>
  <c r="Q36" i="18"/>
  <c r="Q70" i="18" s="1"/>
  <c r="AD36" i="18"/>
  <c r="AA36" i="18"/>
  <c r="X36" i="18"/>
  <c r="U36" i="18"/>
  <c r="AG36" i="18"/>
  <c r="N37" i="18"/>
  <c r="R11" i="18"/>
  <c r="S11" i="18" s="1"/>
  <c r="R15" i="18"/>
  <c r="S15" i="18" s="1"/>
  <c r="R13" i="18"/>
  <c r="R12" i="18"/>
  <c r="R10" i="18"/>
  <c r="R14" i="18"/>
  <c r="X546" i="11" l="1"/>
  <c r="Y526" i="11"/>
  <c r="AC494" i="11"/>
  <c r="AG494" i="11"/>
  <c r="AD494" i="11"/>
  <c r="AE494" i="11"/>
  <c r="AB494" i="11"/>
  <c r="AF494" i="11"/>
  <c r="AB507" i="11"/>
  <c r="AF507" i="11"/>
  <c r="AC507" i="11"/>
  <c r="AG507" i="11"/>
  <c r="AD507" i="11"/>
  <c r="AE507" i="11"/>
  <c r="X544" i="11"/>
  <c r="Y520" i="11"/>
  <c r="X533" i="11"/>
  <c r="Y489" i="11"/>
  <c r="X537" i="11"/>
  <c r="Y500" i="11"/>
  <c r="AD499" i="11"/>
  <c r="AE499" i="11"/>
  <c r="AB499" i="11"/>
  <c r="AC499" i="11"/>
  <c r="AF499" i="11"/>
  <c r="AG499" i="11"/>
  <c r="AC522" i="11"/>
  <c r="AG522" i="11"/>
  <c r="AD522" i="11"/>
  <c r="AF522" i="11"/>
  <c r="AB522" i="11"/>
  <c r="AE522" i="11"/>
  <c r="AD525" i="11"/>
  <c r="AE525" i="11"/>
  <c r="AG525" i="11"/>
  <c r="AB525" i="11"/>
  <c r="AF525" i="11"/>
  <c r="AC525" i="11"/>
  <c r="X535" i="11"/>
  <c r="Y495" i="11"/>
  <c r="X542" i="11"/>
  <c r="Y514" i="11"/>
  <c r="X543" i="11"/>
  <c r="Y517" i="11"/>
  <c r="X534" i="11"/>
  <c r="Y492" i="11"/>
  <c r="AB491" i="11"/>
  <c r="AF491" i="11"/>
  <c r="AG491" i="11"/>
  <c r="AC491" i="11"/>
  <c r="AD491" i="11"/>
  <c r="AE491" i="11"/>
  <c r="AE516" i="11"/>
  <c r="AB516" i="11"/>
  <c r="AF516" i="11"/>
  <c r="AG516" i="11"/>
  <c r="AC516" i="11"/>
  <c r="AD516" i="11"/>
  <c r="AB488" i="11"/>
  <c r="AF488" i="11"/>
  <c r="AG488" i="11"/>
  <c r="AC488" i="11"/>
  <c r="AD488" i="11"/>
  <c r="AE488" i="11"/>
  <c r="X545" i="11"/>
  <c r="Y523" i="11"/>
  <c r="X540" i="11"/>
  <c r="Y508" i="11"/>
  <c r="AB519" i="11"/>
  <c r="AF519" i="11"/>
  <c r="AC519" i="11"/>
  <c r="AG519" i="11"/>
  <c r="AE519" i="11"/>
  <c r="AD519" i="11"/>
  <c r="AD513" i="11"/>
  <c r="AE513" i="11"/>
  <c r="AB513" i="11"/>
  <c r="AG513" i="11"/>
  <c r="AF513" i="11"/>
  <c r="AC513" i="11"/>
  <c r="AG518" i="11"/>
  <c r="F212" i="11"/>
  <c r="F203" i="11"/>
  <c r="AG487" i="11"/>
  <c r="BA527" i="11"/>
  <c r="AZ527" i="11"/>
  <c r="AN527" i="11"/>
  <c r="AQ527" i="11"/>
  <c r="AA527" i="11"/>
  <c r="X527" i="11"/>
  <c r="X529" i="11" s="1"/>
  <c r="X505" i="11" s="1"/>
  <c r="X539" i="11" s="1"/>
  <c r="AL527" i="11"/>
  <c r="AG512" i="11"/>
  <c r="F210" i="11"/>
  <c r="AG524" i="11"/>
  <c r="F214" i="11"/>
  <c r="AG515" i="11"/>
  <c r="F211" i="11"/>
  <c r="AK527" i="11"/>
  <c r="AV527" i="11"/>
  <c r="AB527" i="11"/>
  <c r="AM527" i="11"/>
  <c r="AG527" i="11"/>
  <c r="F215" i="11"/>
  <c r="AX527" i="11"/>
  <c r="AH527" i="11"/>
  <c r="AG506" i="11"/>
  <c r="F208" i="11"/>
  <c r="AG498" i="11"/>
  <c r="F206" i="11"/>
  <c r="F205" i="11"/>
  <c r="AG493" i="11"/>
  <c r="AS527" i="11"/>
  <c r="AW527" i="11"/>
  <c r="AJ527" i="11"/>
  <c r="AY527" i="11"/>
  <c r="AI527" i="11"/>
  <c r="AR527" i="11"/>
  <c r="AT527" i="11"/>
  <c r="AD527" i="11"/>
  <c r="AG521" i="11"/>
  <c r="F213" i="11"/>
  <c r="F204" i="11"/>
  <c r="AG490" i="11"/>
  <c r="AO527" i="11"/>
  <c r="AC527" i="11"/>
  <c r="Y527" i="11"/>
  <c r="AU527" i="11"/>
  <c r="AE527" i="11"/>
  <c r="AF527" i="11"/>
  <c r="AP527" i="11"/>
  <c r="Z527" i="11"/>
  <c r="F192" i="11"/>
  <c r="F193" i="11"/>
  <c r="X442" i="11"/>
  <c r="Y429" i="11"/>
  <c r="AE428" i="11"/>
  <c r="AI428" i="11"/>
  <c r="AB428" i="11"/>
  <c r="AF428" i="11"/>
  <c r="AJ428" i="11"/>
  <c r="AC428" i="11"/>
  <c r="AG428" i="11"/>
  <c r="AK428" i="11"/>
  <c r="AD428" i="11"/>
  <c r="AH428" i="11"/>
  <c r="AC431" i="11"/>
  <c r="AG431" i="11"/>
  <c r="AK431" i="11"/>
  <c r="AD431" i="11"/>
  <c r="AH431" i="11"/>
  <c r="AE431" i="11"/>
  <c r="AI431" i="11"/>
  <c r="AB431" i="11"/>
  <c r="AF431" i="11"/>
  <c r="AJ431" i="11"/>
  <c r="AC425" i="11"/>
  <c r="AG425" i="11"/>
  <c r="AK425" i="11"/>
  <c r="AD425" i="11"/>
  <c r="AH425" i="11"/>
  <c r="AE425" i="11"/>
  <c r="AI425" i="11"/>
  <c r="AB425" i="11"/>
  <c r="AF425" i="11"/>
  <c r="AJ425" i="11"/>
  <c r="X444" i="11"/>
  <c r="Y432" i="11"/>
  <c r="Y426" i="11"/>
  <c r="Y441" i="11" s="1"/>
  <c r="X437" i="11"/>
  <c r="X443" i="11" s="1"/>
  <c r="F191" i="11"/>
  <c r="X75" i="11"/>
  <c r="X73" i="11"/>
  <c r="X74" i="11"/>
  <c r="I36" i="11"/>
  <c r="X95" i="11"/>
  <c r="X98" i="11" s="1"/>
  <c r="X115" i="11"/>
  <c r="X117" i="11" s="1"/>
  <c r="Y5" i="11"/>
  <c r="X105" i="11"/>
  <c r="X108" i="11" s="1"/>
  <c r="E36" i="13"/>
  <c r="F35" i="13"/>
  <c r="G35" i="13"/>
  <c r="H35" i="13"/>
  <c r="I35" i="13"/>
  <c r="J35" i="13"/>
  <c r="K35" i="13"/>
  <c r="L35" i="13"/>
  <c r="M35" i="13"/>
  <c r="N35" i="13"/>
  <c r="O35" i="13"/>
  <c r="P35" i="13"/>
  <c r="Q35" i="13"/>
  <c r="R35" i="13"/>
  <c r="S35" i="13"/>
  <c r="T35" i="13"/>
  <c r="U35" i="13"/>
  <c r="V35" i="13"/>
  <c r="W35" i="13"/>
  <c r="X35" i="13"/>
  <c r="Y35" i="13"/>
  <c r="Z35" i="13"/>
  <c r="AA35" i="13"/>
  <c r="AB35" i="13"/>
  <c r="AC35" i="13"/>
  <c r="AD35" i="13"/>
  <c r="AE35" i="13"/>
  <c r="AF35" i="13"/>
  <c r="AG35" i="13"/>
  <c r="AH35" i="13"/>
  <c r="AI35" i="13"/>
  <c r="AJ35" i="13"/>
  <c r="AK35" i="13"/>
  <c r="X31" i="11"/>
  <c r="T70" i="18"/>
  <c r="AD84" i="18"/>
  <c r="AH84" i="18"/>
  <c r="X70" i="18"/>
  <c r="AS70" i="18"/>
  <c r="U70" i="18"/>
  <c r="AD70" i="18"/>
  <c r="AS76" i="18"/>
  <c r="AJ69" i="18"/>
  <c r="AA70" i="18"/>
  <c r="AR69" i="18"/>
  <c r="W69" i="18"/>
  <c r="AP69" i="18"/>
  <c r="AI69" i="18"/>
  <c r="AN69" i="18"/>
  <c r="U69" i="18"/>
  <c r="AB69" i="18"/>
  <c r="AG69" i="18"/>
  <c r="AA69" i="18"/>
  <c r="AQ80" i="18"/>
  <c r="AS80" i="18"/>
  <c r="AO80" i="18"/>
  <c r="AL5" i="20"/>
  <c r="AS69" i="18"/>
  <c r="Z69" i="18"/>
  <c r="AE69" i="18"/>
  <c r="AL69" i="18"/>
  <c r="AO69" i="18"/>
  <c r="T69" i="18"/>
  <c r="AC69" i="18"/>
  <c r="V69" i="18"/>
  <c r="AH69" i="18"/>
  <c r="AQ69" i="18"/>
  <c r="AM69" i="18"/>
  <c r="AD69" i="18"/>
  <c r="X69" i="18"/>
  <c r="AF69" i="18"/>
  <c r="Y69" i="18"/>
  <c r="AK69" i="18"/>
  <c r="AX4" i="20"/>
  <c r="AS74" i="18"/>
  <c r="AG84" i="18"/>
  <c r="AQ84" i="18"/>
  <c r="AP84" i="18"/>
  <c r="AI84" i="18"/>
  <c r="AN84" i="18"/>
  <c r="AS84" i="18"/>
  <c r="AO84" i="18"/>
  <c r="AR84" i="18"/>
  <c r="AE84" i="18"/>
  <c r="AJ84" i="18"/>
  <c r="AC70" i="18"/>
  <c r="V70" i="18"/>
  <c r="AH70" i="18"/>
  <c r="AO70" i="18"/>
  <c r="AP70" i="18"/>
  <c r="AR87" i="18"/>
  <c r="AR88" i="18"/>
  <c r="AP86" i="18"/>
  <c r="AF70" i="18"/>
  <c r="Y70" i="18"/>
  <c r="AN70" i="18"/>
  <c r="AG70" i="18"/>
  <c r="W70" i="18"/>
  <c r="AI70" i="18"/>
  <c r="AB70" i="18"/>
  <c r="AQ70" i="18"/>
  <c r="AM70" i="18"/>
  <c r="Z70" i="18"/>
  <c r="S70" i="18"/>
  <c r="AE70" i="18"/>
  <c r="AR70" i="18"/>
  <c r="AK70" i="18"/>
  <c r="AL70" i="18"/>
  <c r="AQ93" i="18"/>
  <c r="AN86" i="18"/>
  <c r="AQ88" i="18"/>
  <c r="AP87" i="18"/>
  <c r="AQ87" i="18"/>
  <c r="AN87" i="18"/>
  <c r="AN88" i="18"/>
  <c r="AS93" i="18"/>
  <c r="AQ86" i="18"/>
  <c r="AR93" i="18"/>
  <c r="AN93" i="18"/>
  <c r="AS87" i="18"/>
  <c r="AS88" i="18"/>
  <c r="AO87" i="18"/>
  <c r="AO88" i="18"/>
  <c r="AL59" i="11"/>
  <c r="AL496" i="11" s="1"/>
  <c r="AB59" i="11"/>
  <c r="AB496" i="11" s="1"/>
  <c r="AD59" i="11"/>
  <c r="AD496" i="11" s="1"/>
  <c r="AZ59" i="11"/>
  <c r="AZ496" i="11" s="1"/>
  <c r="AY59" i="11"/>
  <c r="AY496" i="11" s="1"/>
  <c r="AQ59" i="11"/>
  <c r="AQ496" i="11" s="1"/>
  <c r="AW59" i="11"/>
  <c r="AW496" i="11" s="1"/>
  <c r="AN59" i="11"/>
  <c r="AN496" i="11" s="1"/>
  <c r="AV59" i="11"/>
  <c r="AV496" i="11" s="1"/>
  <c r="AP59" i="11"/>
  <c r="AP496" i="11" s="1"/>
  <c r="Z59" i="11"/>
  <c r="Z496" i="11" s="1"/>
  <c r="AO59" i="11"/>
  <c r="AO496" i="11" s="1"/>
  <c r="AY62" i="11"/>
  <c r="AY504" i="11" s="1"/>
  <c r="BA62" i="11"/>
  <c r="BA504" i="11" s="1"/>
  <c r="AR62" i="11"/>
  <c r="AR504" i="11" s="1"/>
  <c r="AA62" i="11"/>
  <c r="AA504" i="11" s="1"/>
  <c r="AU59" i="11"/>
  <c r="AU496" i="11" s="1"/>
  <c r="BA59" i="11"/>
  <c r="BA496" i="11" s="1"/>
  <c r="AE59" i="11"/>
  <c r="AE496" i="11" s="1"/>
  <c r="AX62" i="11"/>
  <c r="AX504" i="11" s="1"/>
  <c r="AC62" i="11"/>
  <c r="AC504" i="11" s="1"/>
  <c r="AA59" i="11"/>
  <c r="AA496" i="11" s="1"/>
  <c r="AG59" i="11"/>
  <c r="AR59" i="11"/>
  <c r="AR496" i="11" s="1"/>
  <c r="Y585" i="11"/>
  <c r="AG62" i="11"/>
  <c r="AV62" i="11"/>
  <c r="AV504" i="11" s="1"/>
  <c r="AJ59" i="11"/>
  <c r="AJ496" i="11" s="1"/>
  <c r="AC59" i="11"/>
  <c r="AC496" i="11" s="1"/>
  <c r="AX59" i="11"/>
  <c r="AX496" i="11" s="1"/>
  <c r="AF59" i="11"/>
  <c r="AF496" i="11" s="1"/>
  <c r="AH59" i="11"/>
  <c r="AH496" i="11" s="1"/>
  <c r="AO62" i="11"/>
  <c r="AO504" i="11" s="1"/>
  <c r="AT62" i="11"/>
  <c r="AT504" i="11" s="1"/>
  <c r="AW62" i="11"/>
  <c r="AW504" i="11" s="1"/>
  <c r="AH62" i="11"/>
  <c r="AH504" i="11" s="1"/>
  <c r="AS62" i="11"/>
  <c r="AS504" i="11" s="1"/>
  <c r="AB62" i="11"/>
  <c r="AB504" i="11" s="1"/>
  <c r="Z62" i="11"/>
  <c r="Z504" i="11" s="1"/>
  <c r="AF62" i="11"/>
  <c r="AF504" i="11" s="1"/>
  <c r="AS59" i="11"/>
  <c r="AS496" i="11" s="1"/>
  <c r="AT59" i="11"/>
  <c r="AT496" i="11" s="1"/>
  <c r="AK59" i="11"/>
  <c r="AK496" i="11" s="1"/>
  <c r="AI59" i="11"/>
  <c r="AI496" i="11" s="1"/>
  <c r="AU62" i="11"/>
  <c r="AU504" i="11" s="1"/>
  <c r="AP62" i="11"/>
  <c r="AP504" i="11" s="1"/>
  <c r="AE62" i="11"/>
  <c r="AE504" i="11" s="1"/>
  <c r="AD62" i="11"/>
  <c r="AD504" i="11" s="1"/>
  <c r="AJ62" i="11"/>
  <c r="AJ504" i="11" s="1"/>
  <c r="AM59" i="11"/>
  <c r="AM496" i="11" s="1"/>
  <c r="Y59" i="11"/>
  <c r="Y496" i="11" s="1"/>
  <c r="X585" i="11"/>
  <c r="X587" i="11" s="1"/>
  <c r="AM62" i="11"/>
  <c r="AM504" i="11" s="1"/>
  <c r="AZ62" i="11"/>
  <c r="AZ504" i="11" s="1"/>
  <c r="AN62" i="11"/>
  <c r="AN504" i="11" s="1"/>
  <c r="AL62" i="11"/>
  <c r="AL504" i="11" s="1"/>
  <c r="AQ62" i="11"/>
  <c r="AQ504" i="11" s="1"/>
  <c r="AI62" i="11"/>
  <c r="AI504" i="11" s="1"/>
  <c r="AK62" i="11"/>
  <c r="AK504" i="11" s="1"/>
  <c r="Y62" i="11"/>
  <c r="Y504" i="11" s="1"/>
  <c r="AV31" i="11"/>
  <c r="AV436" i="11" s="1"/>
  <c r="AF31" i="11"/>
  <c r="AF436" i="11" s="1"/>
  <c r="AL31" i="11"/>
  <c r="AL436" i="11" s="1"/>
  <c r="AU31" i="11"/>
  <c r="AU436" i="11" s="1"/>
  <c r="AA31" i="11"/>
  <c r="AA436" i="11" s="1"/>
  <c r="BA31" i="11"/>
  <c r="BA436" i="11" s="1"/>
  <c r="AK31" i="11"/>
  <c r="AK436" i="11" s="1"/>
  <c r="AZ31" i="11"/>
  <c r="AZ436" i="11" s="1"/>
  <c r="AJ31" i="11"/>
  <c r="AJ436" i="11" s="1"/>
  <c r="F195" i="11" s="1"/>
  <c r="AE31" i="11"/>
  <c r="AE436" i="11" s="1"/>
  <c r="AX31" i="11"/>
  <c r="AX436" i="11" s="1"/>
  <c r="AH31" i="11"/>
  <c r="AH436" i="11" s="1"/>
  <c r="AW31" i="11"/>
  <c r="AW436" i="11" s="1"/>
  <c r="AG31" i="11"/>
  <c r="AG436" i="11" s="1"/>
  <c r="AY31" i="11"/>
  <c r="AY436" i="11" s="1"/>
  <c r="AM31" i="11"/>
  <c r="AM436" i="11" s="1"/>
  <c r="AT31" i="11"/>
  <c r="AT436" i="11" s="1"/>
  <c r="AD31" i="11"/>
  <c r="AD436" i="11" s="1"/>
  <c r="AS31" i="11"/>
  <c r="AS436" i="11" s="1"/>
  <c r="AC31" i="11"/>
  <c r="AC436" i="11" s="1"/>
  <c r="AR31" i="11"/>
  <c r="AR436" i="11" s="1"/>
  <c r="AB31" i="11"/>
  <c r="AB436" i="11" s="1"/>
  <c r="AI31" i="11"/>
  <c r="AI436" i="11" s="1"/>
  <c r="AQ31" i="11"/>
  <c r="AQ436" i="11" s="1"/>
  <c r="AP31" i="11"/>
  <c r="AP436" i="11" s="1"/>
  <c r="Z31" i="11"/>
  <c r="Z436" i="11" s="1"/>
  <c r="AO31" i="11"/>
  <c r="AO436" i="11" s="1"/>
  <c r="Y31" i="11"/>
  <c r="Y436" i="11" s="1"/>
  <c r="AN31" i="11"/>
  <c r="AN436" i="11" s="1"/>
  <c r="AH51" i="11"/>
  <c r="AG55" i="11"/>
  <c r="AJ70" i="18"/>
  <c r="W37" i="18"/>
  <c r="T37" i="18"/>
  <c r="AG37" i="18"/>
  <c r="AA37" i="18"/>
  <c r="X37" i="18"/>
  <c r="U37" i="18"/>
  <c r="R37" i="18"/>
  <c r="R71" i="18" s="1"/>
  <c r="Z37" i="18"/>
  <c r="AE37" i="18"/>
  <c r="AB37" i="18"/>
  <c r="Y37" i="18"/>
  <c r="AH37" i="18"/>
  <c r="Q37" i="18"/>
  <c r="Q71" i="18" s="1"/>
  <c r="S37" i="18"/>
  <c r="S71" i="18" s="1"/>
  <c r="AI37" i="18"/>
  <c r="AF37" i="18"/>
  <c r="AS71" i="18" s="1"/>
  <c r="AC37" i="18"/>
  <c r="V37" i="18"/>
  <c r="V71" i="18" s="1"/>
  <c r="AJ37" i="18"/>
  <c r="AJ71" i="18" s="1"/>
  <c r="AD37" i="18"/>
  <c r="N38" i="18"/>
  <c r="T11" i="18"/>
  <c r="S14" i="18"/>
  <c r="S12" i="18"/>
  <c r="T15" i="18"/>
  <c r="S10" i="18"/>
  <c r="S13" i="18"/>
  <c r="X567" i="11" l="1"/>
  <c r="X564" i="11"/>
  <c r="X568" i="11"/>
  <c r="X565" i="11"/>
  <c r="X566" i="11"/>
  <c r="Y587" i="11"/>
  <c r="X588" i="11"/>
  <c r="X447" i="11" s="1"/>
  <c r="AE528" i="11"/>
  <c r="AB528" i="11"/>
  <c r="AF528" i="11"/>
  <c r="AC528" i="11"/>
  <c r="AG528" i="11"/>
  <c r="AD528" i="11"/>
  <c r="Y544" i="11"/>
  <c r="Z520" i="11"/>
  <c r="Y540" i="11"/>
  <c r="Z508" i="11"/>
  <c r="Y543" i="11"/>
  <c r="Z517" i="11"/>
  <c r="Y535" i="11"/>
  <c r="Z495" i="11"/>
  <c r="Y537" i="11"/>
  <c r="Z500" i="11"/>
  <c r="X497" i="11"/>
  <c r="Y546" i="11"/>
  <c r="Z526" i="11"/>
  <c r="X547" i="11"/>
  <c r="Y529" i="11"/>
  <c r="Y545" i="11"/>
  <c r="Z523" i="11"/>
  <c r="Y534" i="11"/>
  <c r="Z492" i="11"/>
  <c r="Y542" i="11"/>
  <c r="Z514" i="11"/>
  <c r="Y533" i="11"/>
  <c r="Y497" i="11"/>
  <c r="Z489" i="11"/>
  <c r="AG504" i="11"/>
  <c r="F217" i="11"/>
  <c r="AG496" i="11"/>
  <c r="F216" i="11"/>
  <c r="Z429" i="11"/>
  <c r="Y442" i="11"/>
  <c r="Z432" i="11"/>
  <c r="Y444" i="11"/>
  <c r="Z426" i="11"/>
  <c r="Z441" i="11" s="1"/>
  <c r="Y437" i="11"/>
  <c r="Y443" i="11" s="1"/>
  <c r="X36" i="11"/>
  <c r="X436" i="11"/>
  <c r="Y73" i="11"/>
  <c r="AA73" i="11"/>
  <c r="AB74" i="11"/>
  <c r="AA74" i="11"/>
  <c r="Z74" i="11"/>
  <c r="AB73" i="11"/>
  <c r="Z73" i="11"/>
  <c r="AA75" i="11"/>
  <c r="AB75" i="11"/>
  <c r="Y75" i="11"/>
  <c r="Z75" i="11"/>
  <c r="Y74" i="11"/>
  <c r="Y36" i="11"/>
  <c r="I37" i="11"/>
  <c r="Y115" i="11"/>
  <c r="Y117" i="11" s="1"/>
  <c r="Y127" i="11"/>
  <c r="Y129" i="11" s="1"/>
  <c r="Z5" i="11"/>
  <c r="AC75" i="11" s="1"/>
  <c r="Y105" i="11"/>
  <c r="Y108" i="11" s="1"/>
  <c r="Y191" i="11" s="1"/>
  <c r="Y95" i="11"/>
  <c r="Y98" i="11" s="1"/>
  <c r="X35" i="11"/>
  <c r="X34" i="11"/>
  <c r="E37" i="13"/>
  <c r="F36" i="13"/>
  <c r="G36" i="13"/>
  <c r="H36" i="13"/>
  <c r="I36" i="13"/>
  <c r="J36" i="13"/>
  <c r="K36" i="13"/>
  <c r="L36" i="13"/>
  <c r="M36" i="13"/>
  <c r="N36" i="13"/>
  <c r="O36" i="13"/>
  <c r="P36" i="13"/>
  <c r="Q36" i="13"/>
  <c r="R36" i="13"/>
  <c r="S36" i="13"/>
  <c r="T36" i="13"/>
  <c r="U36" i="13"/>
  <c r="V36" i="13"/>
  <c r="W36" i="13"/>
  <c r="X36" i="13"/>
  <c r="Y36" i="13"/>
  <c r="Z36" i="13"/>
  <c r="AA36" i="13"/>
  <c r="AB36" i="13"/>
  <c r="AC36" i="13"/>
  <c r="AD36" i="13"/>
  <c r="AE36" i="13"/>
  <c r="AF36" i="13"/>
  <c r="AG36" i="13"/>
  <c r="AH36" i="13"/>
  <c r="AI36" i="13"/>
  <c r="AJ36" i="13"/>
  <c r="AK36" i="13"/>
  <c r="AB71" i="18"/>
  <c r="U71" i="18"/>
  <c r="AH71" i="18"/>
  <c r="T71" i="18"/>
  <c r="AE71" i="18"/>
  <c r="X71" i="18"/>
  <c r="W71" i="18"/>
  <c r="AL195" i="20"/>
  <c r="AL156" i="20"/>
  <c r="AL208" i="20"/>
  <c r="AL182" i="20"/>
  <c r="AL169" i="20"/>
  <c r="AL143" i="20"/>
  <c r="AF71" i="18"/>
  <c r="AC71" i="18"/>
  <c r="AM71" i="18"/>
  <c r="AD71" i="18"/>
  <c r="Z71" i="18"/>
  <c r="AA71" i="18"/>
  <c r="AI71" i="18"/>
  <c r="Y71" i="18"/>
  <c r="AG71" i="18"/>
  <c r="AK71" i="18"/>
  <c r="AN71" i="18"/>
  <c r="AO71" i="18"/>
  <c r="AL71" i="18"/>
  <c r="AR71" i="18"/>
  <c r="AQ71" i="18"/>
  <c r="AP71" i="18"/>
  <c r="AM5" i="20"/>
  <c r="AL99" i="20"/>
  <c r="AL61" i="20"/>
  <c r="AL43" i="20"/>
  <c r="AL79" i="20"/>
  <c r="AY4" i="20"/>
  <c r="X82" i="11"/>
  <c r="X83" i="11"/>
  <c r="X81" i="11"/>
  <c r="X80" i="11"/>
  <c r="X79" i="11"/>
  <c r="Y35" i="11"/>
  <c r="Y34" i="11"/>
  <c r="AI51" i="11"/>
  <c r="AH55" i="11"/>
  <c r="AB38" i="18"/>
  <c r="Y38" i="18"/>
  <c r="V38" i="18"/>
  <c r="AE38" i="18"/>
  <c r="W38" i="18"/>
  <c r="AF38" i="18"/>
  <c r="AS72" i="18" s="1"/>
  <c r="AC38" i="18"/>
  <c r="Z38" i="18"/>
  <c r="Q38" i="18"/>
  <c r="Q72" i="18" s="1"/>
  <c r="AA38" i="18"/>
  <c r="T38" i="18"/>
  <c r="AJ38" i="18"/>
  <c r="AG38" i="18"/>
  <c r="AD38" i="18"/>
  <c r="S38" i="18"/>
  <c r="S72" i="18" s="1"/>
  <c r="X38" i="18"/>
  <c r="U38" i="18"/>
  <c r="R38" i="18"/>
  <c r="R72" i="18" s="1"/>
  <c r="AH38" i="18"/>
  <c r="AI38" i="18"/>
  <c r="N39" i="18"/>
  <c r="T13" i="18"/>
  <c r="U15" i="18"/>
  <c r="T10" i="18"/>
  <c r="S16" i="18"/>
  <c r="T12" i="18"/>
  <c r="U11" i="18"/>
  <c r="T14" i="18"/>
  <c r="Y301" i="11" l="1"/>
  <c r="Y300" i="11"/>
  <c r="Y304" i="11"/>
  <c r="Y303" i="11"/>
  <c r="Y302" i="11"/>
  <c r="AB567" i="11"/>
  <c r="AB568" i="11"/>
  <c r="AB566" i="11"/>
  <c r="AB565" i="11"/>
  <c r="AB564" i="11"/>
  <c r="Z565" i="11"/>
  <c r="Z566" i="11"/>
  <c r="Z567" i="11"/>
  <c r="Z568" i="11"/>
  <c r="Z564" i="11"/>
  <c r="X569" i="11"/>
  <c r="Y566" i="11"/>
  <c r="Y565" i="11"/>
  <c r="Y564" i="11"/>
  <c r="Y567" i="11"/>
  <c r="Y568" i="11"/>
  <c r="AA564" i="11"/>
  <c r="AA567" i="11"/>
  <c r="AA566" i="11"/>
  <c r="AA565" i="11"/>
  <c r="AA568" i="11"/>
  <c r="X446" i="11"/>
  <c r="X448" i="11"/>
  <c r="X454" i="11" s="1"/>
  <c r="Y588" i="11"/>
  <c r="Y448" i="11" s="1"/>
  <c r="Y460" i="11"/>
  <c r="Y461" i="11"/>
  <c r="Y462" i="11"/>
  <c r="Y464" i="11"/>
  <c r="Y463" i="11"/>
  <c r="X464" i="11"/>
  <c r="X463" i="11"/>
  <c r="X462" i="11"/>
  <c r="X461" i="11"/>
  <c r="X460" i="11"/>
  <c r="X452" i="11"/>
  <c r="AA517" i="11"/>
  <c r="Z543" i="11"/>
  <c r="AA520" i="11"/>
  <c r="Z544" i="11"/>
  <c r="AA514" i="11"/>
  <c r="Z542" i="11"/>
  <c r="AA523" i="11"/>
  <c r="Z545" i="11"/>
  <c r="AA526" i="11"/>
  <c r="Z546" i="11"/>
  <c r="X536" i="11"/>
  <c r="X530" i="11"/>
  <c r="AA489" i="11"/>
  <c r="Z533" i="11"/>
  <c r="AA500" i="11"/>
  <c r="Z537" i="11"/>
  <c r="AA495" i="11"/>
  <c r="Z535" i="11"/>
  <c r="AA508" i="11"/>
  <c r="Z540" i="11"/>
  <c r="Y536" i="11"/>
  <c r="AA492" i="11"/>
  <c r="Z534" i="11"/>
  <c r="Y505" i="11"/>
  <c r="Y539" i="11" s="1"/>
  <c r="Y547" i="11"/>
  <c r="Z529" i="11"/>
  <c r="Z497" i="11" s="1"/>
  <c r="X40" i="11"/>
  <c r="F218" i="11"/>
  <c r="AA432" i="11"/>
  <c r="Z444" i="11"/>
  <c r="AA429" i="11"/>
  <c r="Z442" i="11"/>
  <c r="AA426" i="11"/>
  <c r="AA441" i="11" s="1"/>
  <c r="Z437" i="11"/>
  <c r="Z443" i="11" s="1"/>
  <c r="Y40" i="11"/>
  <c r="F196" i="11"/>
  <c r="AA5" i="11"/>
  <c r="AD75" i="11" s="1"/>
  <c r="Z34" i="11"/>
  <c r="Z127" i="11"/>
  <c r="Z129" i="11" s="1"/>
  <c r="AC73" i="11"/>
  <c r="Z35" i="11"/>
  <c r="AC74" i="11"/>
  <c r="Z36" i="11"/>
  <c r="Z585" i="11"/>
  <c r="Z587" i="11" s="1"/>
  <c r="Z95" i="11"/>
  <c r="Z98" i="11" s="1"/>
  <c r="Z190" i="11" s="1"/>
  <c r="I38" i="11"/>
  <c r="Z105" i="11"/>
  <c r="Z115" i="11"/>
  <c r="Z117" i="11" s="1"/>
  <c r="X43" i="11"/>
  <c r="X42" i="11"/>
  <c r="X41" i="11"/>
  <c r="X44" i="11"/>
  <c r="Y190" i="11"/>
  <c r="E38" i="13"/>
  <c r="F37" i="13"/>
  <c r="G37" i="13"/>
  <c r="H37" i="13"/>
  <c r="I37" i="13"/>
  <c r="J37" i="13"/>
  <c r="K37" i="13"/>
  <c r="L37" i="13"/>
  <c r="M37" i="13"/>
  <c r="N37" i="13"/>
  <c r="O37" i="13"/>
  <c r="P37" i="13"/>
  <c r="Q37" i="13"/>
  <c r="R37" i="13"/>
  <c r="S37" i="13"/>
  <c r="T37" i="13"/>
  <c r="U37" i="13"/>
  <c r="V37" i="13"/>
  <c r="W37" i="13"/>
  <c r="X37" i="13"/>
  <c r="Y37" i="13"/>
  <c r="Z37" i="13"/>
  <c r="AA37" i="13"/>
  <c r="AB37" i="13"/>
  <c r="AC37" i="13"/>
  <c r="AD37" i="13"/>
  <c r="AE37" i="13"/>
  <c r="AF37" i="13"/>
  <c r="AG37" i="13"/>
  <c r="AH37" i="13"/>
  <c r="AI37" i="13"/>
  <c r="AJ37" i="13"/>
  <c r="AK37" i="13"/>
  <c r="U72" i="18"/>
  <c r="W72" i="18"/>
  <c r="X72" i="18"/>
  <c r="T72" i="18"/>
  <c r="V72" i="18"/>
  <c r="Z81" i="11"/>
  <c r="AL69" i="20"/>
  <c r="AL221" i="20" s="1"/>
  <c r="AL981" i="20" s="1"/>
  <c r="B178" i="20" s="1"/>
  <c r="AL107" i="20"/>
  <c r="AL223" i="20" s="1"/>
  <c r="AL983" i="20" s="1"/>
  <c r="B180" i="20" s="1"/>
  <c r="AL87" i="20"/>
  <c r="AL222" i="20" s="1"/>
  <c r="AL982" i="20" s="1"/>
  <c r="B179" i="20" s="1"/>
  <c r="AL51" i="20"/>
  <c r="AL220" i="20" s="1"/>
  <c r="AL980" i="20" s="1"/>
  <c r="B177" i="20" s="1"/>
  <c r="AM670" i="20"/>
  <c r="AM659" i="20"/>
  <c r="AM648" i="20"/>
  <c r="AM637" i="20"/>
  <c r="AM626" i="20"/>
  <c r="AM615" i="20"/>
  <c r="AM843" i="20"/>
  <c r="AM832" i="20"/>
  <c r="AM810" i="20"/>
  <c r="AM821" i="20"/>
  <c r="AM754" i="20"/>
  <c r="AM765" i="20"/>
  <c r="AM890" i="20" s="1"/>
  <c r="AM743" i="20"/>
  <c r="AM776" i="20"/>
  <c r="AM891" i="20" s="1"/>
  <c r="AM788" i="20"/>
  <c r="AM523" i="20"/>
  <c r="AM858" i="20" s="1"/>
  <c r="AM414" i="20"/>
  <c r="AM464" i="20"/>
  <c r="AM424" i="20"/>
  <c r="AM454" i="20"/>
  <c r="AM434" i="20"/>
  <c r="AM431" i="20"/>
  <c r="AM444" i="20"/>
  <c r="AM347" i="20"/>
  <c r="AM307" i="20"/>
  <c r="AM327" i="20"/>
  <c r="AM337" i="20"/>
  <c r="AM317" i="20"/>
  <c r="AM297" i="20"/>
  <c r="Z82" i="11"/>
  <c r="AL164" i="20"/>
  <c r="AL225" i="20" s="1"/>
  <c r="AL985" i="20" s="1"/>
  <c r="B182" i="20" s="1"/>
  <c r="AL190" i="20"/>
  <c r="AL227" i="20" s="1"/>
  <c r="AL987" i="20" s="1"/>
  <c r="B184" i="20" s="1"/>
  <c r="AL216" i="20"/>
  <c r="AL229" i="20" s="1"/>
  <c r="AL989" i="20" s="1"/>
  <c r="B186" i="20" s="1"/>
  <c r="AL151" i="20"/>
  <c r="AL224" i="20" s="1"/>
  <c r="AL984" i="20" s="1"/>
  <c r="B181" i="20" s="1"/>
  <c r="AL177" i="20"/>
  <c r="AL226" i="20" s="1"/>
  <c r="AL986" i="20" s="1"/>
  <c r="B183" i="20" s="1"/>
  <c r="AL203" i="20"/>
  <c r="AL228" i="20" s="1"/>
  <c r="AL988" i="20" s="1"/>
  <c r="B185" i="20" s="1"/>
  <c r="AM195" i="20"/>
  <c r="AM156" i="20"/>
  <c r="AM143" i="20"/>
  <c r="AM182" i="20"/>
  <c r="AM169" i="20"/>
  <c r="AM208" i="20"/>
  <c r="AN5" i="20"/>
  <c r="AN799" i="20" s="1"/>
  <c r="Z72" i="18"/>
  <c r="AB72" i="18"/>
  <c r="AG72" i="18"/>
  <c r="AO72" i="18"/>
  <c r="AI72" i="18"/>
  <c r="AQ72" i="18"/>
  <c r="AJ72" i="18"/>
  <c r="AR72" i="18"/>
  <c r="AE72" i="18"/>
  <c r="AM72" i="18"/>
  <c r="AC72" i="18"/>
  <c r="AK72" i="18"/>
  <c r="AH72" i="18"/>
  <c r="AP72" i="18"/>
  <c r="AD72" i="18"/>
  <c r="AL72" i="18"/>
  <c r="AA72" i="18"/>
  <c r="AF72" i="18"/>
  <c r="AN72" i="18"/>
  <c r="Y72" i="18"/>
  <c r="AM99" i="20"/>
  <c r="AM107" i="20" s="1"/>
  <c r="AM223" i="20" s="1"/>
  <c r="AM43" i="20"/>
  <c r="AM51" i="20" s="1"/>
  <c r="AM220" i="20" s="1"/>
  <c r="AM61" i="20"/>
  <c r="AM69" i="20" s="1"/>
  <c r="AM221" i="20" s="1"/>
  <c r="AM79" i="20"/>
  <c r="AM87" i="20" s="1"/>
  <c r="AM222" i="20" s="1"/>
  <c r="Z79" i="11"/>
  <c r="AZ4" i="20"/>
  <c r="Z80" i="11"/>
  <c r="Z83" i="11"/>
  <c r="AA81" i="11"/>
  <c r="Y79" i="11"/>
  <c r="Y80" i="11"/>
  <c r="AA82" i="11"/>
  <c r="AA83" i="11"/>
  <c r="AA79" i="11"/>
  <c r="AA80" i="11"/>
  <c r="Y83" i="11"/>
  <c r="Y81" i="11"/>
  <c r="Y82" i="11"/>
  <c r="AB83" i="11"/>
  <c r="AB81" i="11"/>
  <c r="AB80" i="11"/>
  <c r="AB82" i="11"/>
  <c r="AB79" i="11"/>
  <c r="X84" i="11"/>
  <c r="Y44" i="11"/>
  <c r="Y43" i="11"/>
  <c r="Y41" i="11"/>
  <c r="Y42" i="11"/>
  <c r="AJ51" i="11"/>
  <c r="AI55" i="11"/>
  <c r="U39" i="18"/>
  <c r="R39" i="18"/>
  <c r="R73" i="18" s="1"/>
  <c r="AH39" i="18"/>
  <c r="AE39" i="18"/>
  <c r="Q39" i="18"/>
  <c r="Q73" i="18" s="1"/>
  <c r="AC39" i="18"/>
  <c r="Z39" i="18"/>
  <c r="W39" i="18"/>
  <c r="AB39" i="18"/>
  <c r="AJ39" i="18"/>
  <c r="AG39" i="18"/>
  <c r="AA39" i="18"/>
  <c r="X39" i="18"/>
  <c r="V39" i="18"/>
  <c r="AI39" i="18"/>
  <c r="AD39" i="18"/>
  <c r="AF39" i="18"/>
  <c r="AS73" i="18" s="1"/>
  <c r="Y39" i="18"/>
  <c r="S39" i="18"/>
  <c r="S73" i="18" s="1"/>
  <c r="T39" i="18"/>
  <c r="N40" i="18"/>
  <c r="V15" i="18"/>
  <c r="V11" i="18"/>
  <c r="U10" i="18"/>
  <c r="T16" i="18"/>
  <c r="U13" i="18"/>
  <c r="U14" i="18"/>
  <c r="U12" i="18"/>
  <c r="Z300" i="11" l="1"/>
  <c r="Z320" i="11" s="1"/>
  <c r="Z303" i="11"/>
  <c r="Z301" i="11"/>
  <c r="Z304" i="11"/>
  <c r="Z302" i="11"/>
  <c r="Y305" i="11"/>
  <c r="X470" i="11"/>
  <c r="X465" i="11"/>
  <c r="Y569" i="11"/>
  <c r="AC80" i="11"/>
  <c r="AC566" i="11"/>
  <c r="AC567" i="11"/>
  <c r="AC568" i="11"/>
  <c r="AC565" i="11"/>
  <c r="AC564" i="11"/>
  <c r="X455" i="11"/>
  <c r="X471" i="11" s="1"/>
  <c r="X456" i="11"/>
  <c r="X472" i="11" s="1"/>
  <c r="Y550" i="11"/>
  <c r="X453" i="11"/>
  <c r="X469" i="11" s="1"/>
  <c r="Z588" i="11"/>
  <c r="Z447" i="11" s="1"/>
  <c r="Y465" i="11"/>
  <c r="Y551" i="11"/>
  <c r="Y552" i="11"/>
  <c r="X468" i="11"/>
  <c r="Y446" i="11"/>
  <c r="Y447" i="11"/>
  <c r="Y558" i="11" s="1"/>
  <c r="Y574" i="11" s="1"/>
  <c r="X552" i="11"/>
  <c r="X550" i="11"/>
  <c r="X551" i="11"/>
  <c r="Z460" i="11"/>
  <c r="Z461" i="11"/>
  <c r="Z462" i="11"/>
  <c r="Z463" i="11"/>
  <c r="Z464" i="11"/>
  <c r="AA35" i="11"/>
  <c r="AA34" i="11"/>
  <c r="AA585" i="11"/>
  <c r="Y559" i="11"/>
  <c r="Y575" i="11" s="1"/>
  <c r="Z536" i="11"/>
  <c r="AB489" i="11"/>
  <c r="AA533" i="11"/>
  <c r="AA546" i="11"/>
  <c r="AB526" i="11"/>
  <c r="AB514" i="11"/>
  <c r="AA542" i="11"/>
  <c r="AB517" i="11"/>
  <c r="AA543" i="11"/>
  <c r="Y530" i="11"/>
  <c r="AB495" i="11"/>
  <c r="AA535" i="11"/>
  <c r="Z505" i="11"/>
  <c r="Z539" i="11" s="1"/>
  <c r="AB523" i="11"/>
  <c r="AA545" i="11"/>
  <c r="AB520" i="11"/>
  <c r="AA544" i="11"/>
  <c r="AA529" i="11"/>
  <c r="Z547" i="11"/>
  <c r="AB492" i="11"/>
  <c r="AA534" i="11"/>
  <c r="AB508" i="11"/>
  <c r="AA540" i="11"/>
  <c r="AA537" i="11"/>
  <c r="AB500" i="11"/>
  <c r="AA36" i="11"/>
  <c r="AA40" i="11" s="1"/>
  <c r="AB5" i="11"/>
  <c r="AE75" i="11" s="1"/>
  <c r="AC79" i="11"/>
  <c r="AA127" i="11"/>
  <c r="AA129" i="11" s="1"/>
  <c r="AA95" i="11"/>
  <c r="AA98" i="11" s="1"/>
  <c r="AA190" i="11" s="1"/>
  <c r="AD73" i="11"/>
  <c r="AA442" i="11"/>
  <c r="AB429" i="11"/>
  <c r="AC83" i="11"/>
  <c r="AA444" i="11"/>
  <c r="AB432" i="11"/>
  <c r="AB426" i="11"/>
  <c r="AB441" i="11" s="1"/>
  <c r="AA437" i="11"/>
  <c r="AA443" i="11" s="1"/>
  <c r="AA115" i="11"/>
  <c r="AA117" i="11" s="1"/>
  <c r="AA105" i="11"/>
  <c r="AD74" i="11"/>
  <c r="Z44" i="11"/>
  <c r="Y84" i="11"/>
  <c r="Z43" i="11"/>
  <c r="Z40" i="11"/>
  <c r="AC81" i="11"/>
  <c r="AC82" i="11"/>
  <c r="Z41" i="11"/>
  <c r="Z42" i="11"/>
  <c r="I39" i="11"/>
  <c r="X45" i="11"/>
  <c r="E39" i="13"/>
  <c r="F38" i="13"/>
  <c r="G38" i="13"/>
  <c r="H38" i="13"/>
  <c r="I38" i="13"/>
  <c r="J38" i="13"/>
  <c r="K38" i="13"/>
  <c r="L38" i="13"/>
  <c r="M38" i="13"/>
  <c r="N38" i="13"/>
  <c r="O38" i="13"/>
  <c r="P38" i="13"/>
  <c r="Q38" i="13"/>
  <c r="R38" i="13"/>
  <c r="S38" i="13"/>
  <c r="T38" i="13"/>
  <c r="U38" i="13"/>
  <c r="V38" i="13"/>
  <c r="W38" i="13"/>
  <c r="X38" i="13"/>
  <c r="Y38" i="13"/>
  <c r="Z38" i="13"/>
  <c r="AA38" i="13"/>
  <c r="AB38" i="13"/>
  <c r="AC38" i="13"/>
  <c r="AD38" i="13"/>
  <c r="AE38" i="13"/>
  <c r="AF38" i="13"/>
  <c r="AG38" i="13"/>
  <c r="AH38" i="13"/>
  <c r="AI38" i="13"/>
  <c r="AJ38" i="13"/>
  <c r="AK38" i="13"/>
  <c r="T73" i="18"/>
  <c r="V73" i="18"/>
  <c r="AM889" i="20"/>
  <c r="AM895" i="20"/>
  <c r="AL991" i="20"/>
  <c r="AM980" i="20"/>
  <c r="C177" i="20" s="1"/>
  <c r="AM930" i="20"/>
  <c r="AM951" i="20" s="1"/>
  <c r="AL930" i="20"/>
  <c r="AL951" i="20" s="1"/>
  <c r="AL230" i="20"/>
  <c r="AL990" i="20" s="1"/>
  <c r="AL855" i="20"/>
  <c r="AL876" i="20" s="1"/>
  <c r="X73" i="18"/>
  <c r="U73" i="18"/>
  <c r="W73" i="18"/>
  <c r="AL905" i="20"/>
  <c r="AL926" i="20" s="1"/>
  <c r="AM905" i="20"/>
  <c r="AM880" i="20"/>
  <c r="AL880" i="20"/>
  <c r="AL901" i="20" s="1"/>
  <c r="AM855" i="20"/>
  <c r="AO799" i="20"/>
  <c r="AN765" i="20"/>
  <c r="AN890" i="20" s="1"/>
  <c r="AN832" i="20"/>
  <c r="AO832" i="20" s="1"/>
  <c r="AP832" i="20" s="1"/>
  <c r="AQ832" i="20" s="1"/>
  <c r="AR832" i="20" s="1"/>
  <c r="AS832" i="20" s="1"/>
  <c r="AT832" i="20" s="1"/>
  <c r="AU832" i="20" s="1"/>
  <c r="AV832" i="20" s="1"/>
  <c r="AW832" i="20" s="1"/>
  <c r="AX832" i="20" s="1"/>
  <c r="AY832" i="20" s="1"/>
  <c r="AZ832" i="20" s="1"/>
  <c r="BA832" i="20" s="1"/>
  <c r="BB832" i="20" s="1"/>
  <c r="BC832" i="20" s="1"/>
  <c r="BD832" i="20" s="1"/>
  <c r="BE832" i="20" s="1"/>
  <c r="BF832" i="20" s="1"/>
  <c r="BG832" i="20" s="1"/>
  <c r="BH832" i="20" s="1"/>
  <c r="BI832" i="20" s="1"/>
  <c r="BJ832" i="20" s="1"/>
  <c r="BK832" i="20" s="1"/>
  <c r="BL832" i="20" s="1"/>
  <c r="BM832" i="20" s="1"/>
  <c r="BN832" i="20" s="1"/>
  <c r="AN637" i="20"/>
  <c r="AO637" i="20" s="1"/>
  <c r="AP637" i="20" s="1"/>
  <c r="AQ637" i="20" s="1"/>
  <c r="AR637" i="20" s="1"/>
  <c r="AS637" i="20" s="1"/>
  <c r="AT637" i="20" s="1"/>
  <c r="AU637" i="20" s="1"/>
  <c r="AV637" i="20" s="1"/>
  <c r="AW637" i="20" s="1"/>
  <c r="AX637" i="20" s="1"/>
  <c r="AY637" i="20" s="1"/>
  <c r="AZ637" i="20" s="1"/>
  <c r="BA637" i="20" s="1"/>
  <c r="BB637" i="20" s="1"/>
  <c r="BC637" i="20" s="1"/>
  <c r="BD637" i="20" s="1"/>
  <c r="BE637" i="20" s="1"/>
  <c r="BF637" i="20" s="1"/>
  <c r="BG637" i="20" s="1"/>
  <c r="BH637" i="20" s="1"/>
  <c r="BI637" i="20" s="1"/>
  <c r="BJ637" i="20" s="1"/>
  <c r="BK637" i="20" s="1"/>
  <c r="BL637" i="20" s="1"/>
  <c r="BM637" i="20" s="1"/>
  <c r="BN637" i="20" s="1"/>
  <c r="AN754" i="20"/>
  <c r="AN843" i="20"/>
  <c r="AO843" i="20" s="1"/>
  <c r="AP843" i="20" s="1"/>
  <c r="AQ843" i="20" s="1"/>
  <c r="AR843" i="20" s="1"/>
  <c r="AS843" i="20" s="1"/>
  <c r="AT843" i="20" s="1"/>
  <c r="AU843" i="20" s="1"/>
  <c r="AV843" i="20" s="1"/>
  <c r="AW843" i="20" s="1"/>
  <c r="AX843" i="20" s="1"/>
  <c r="AY843" i="20" s="1"/>
  <c r="AZ843" i="20" s="1"/>
  <c r="BA843" i="20" s="1"/>
  <c r="BB843" i="20" s="1"/>
  <c r="BC843" i="20" s="1"/>
  <c r="BD843" i="20" s="1"/>
  <c r="BE843" i="20" s="1"/>
  <c r="BF843" i="20" s="1"/>
  <c r="BG843" i="20" s="1"/>
  <c r="BH843" i="20" s="1"/>
  <c r="BI843" i="20" s="1"/>
  <c r="BJ843" i="20" s="1"/>
  <c r="BK843" i="20" s="1"/>
  <c r="BL843" i="20" s="1"/>
  <c r="BM843" i="20" s="1"/>
  <c r="BN843" i="20" s="1"/>
  <c r="AN648" i="20"/>
  <c r="AO648" i="20" s="1"/>
  <c r="AP648" i="20" s="1"/>
  <c r="AQ648" i="20" s="1"/>
  <c r="AR648" i="20" s="1"/>
  <c r="AS648" i="20" s="1"/>
  <c r="AT648" i="20" s="1"/>
  <c r="AU648" i="20" s="1"/>
  <c r="AV648" i="20" s="1"/>
  <c r="AW648" i="20" s="1"/>
  <c r="AX648" i="20" s="1"/>
  <c r="AY648" i="20" s="1"/>
  <c r="AZ648" i="20" s="1"/>
  <c r="BA648" i="20" s="1"/>
  <c r="BB648" i="20" s="1"/>
  <c r="BC648" i="20" s="1"/>
  <c r="BD648" i="20" s="1"/>
  <c r="BE648" i="20" s="1"/>
  <c r="BF648" i="20" s="1"/>
  <c r="BG648" i="20" s="1"/>
  <c r="BH648" i="20" s="1"/>
  <c r="BI648" i="20" s="1"/>
  <c r="BJ648" i="20" s="1"/>
  <c r="BK648" i="20" s="1"/>
  <c r="BL648" i="20" s="1"/>
  <c r="BM648" i="20" s="1"/>
  <c r="BN648" i="20" s="1"/>
  <c r="AN776" i="20"/>
  <c r="AN891" i="20" s="1"/>
  <c r="AN821" i="20"/>
  <c r="AO821" i="20" s="1"/>
  <c r="AP821" i="20" s="1"/>
  <c r="AQ821" i="20" s="1"/>
  <c r="AR821" i="20" s="1"/>
  <c r="AS821" i="20" s="1"/>
  <c r="AT821" i="20" s="1"/>
  <c r="AU821" i="20" s="1"/>
  <c r="AV821" i="20" s="1"/>
  <c r="AW821" i="20" s="1"/>
  <c r="AX821" i="20" s="1"/>
  <c r="AY821" i="20" s="1"/>
  <c r="AZ821" i="20" s="1"/>
  <c r="BA821" i="20" s="1"/>
  <c r="BB821" i="20" s="1"/>
  <c r="BC821" i="20" s="1"/>
  <c r="BD821" i="20" s="1"/>
  <c r="BE821" i="20" s="1"/>
  <c r="BF821" i="20" s="1"/>
  <c r="BG821" i="20" s="1"/>
  <c r="BH821" i="20" s="1"/>
  <c r="BI821" i="20" s="1"/>
  <c r="BJ821" i="20" s="1"/>
  <c r="BK821" i="20" s="1"/>
  <c r="BL821" i="20" s="1"/>
  <c r="BM821" i="20" s="1"/>
  <c r="BN821" i="20" s="1"/>
  <c r="AN615" i="20"/>
  <c r="AO615" i="20" s="1"/>
  <c r="AP615" i="20" s="1"/>
  <c r="AQ615" i="20" s="1"/>
  <c r="AR615" i="20" s="1"/>
  <c r="AS615" i="20" s="1"/>
  <c r="AT615" i="20" s="1"/>
  <c r="AU615" i="20" s="1"/>
  <c r="AV615" i="20" s="1"/>
  <c r="AW615" i="20" s="1"/>
  <c r="AX615" i="20" s="1"/>
  <c r="AY615" i="20" s="1"/>
  <c r="AZ615" i="20" s="1"/>
  <c r="BA615" i="20" s="1"/>
  <c r="BB615" i="20" s="1"/>
  <c r="BC615" i="20" s="1"/>
  <c r="BD615" i="20" s="1"/>
  <c r="BE615" i="20" s="1"/>
  <c r="BF615" i="20" s="1"/>
  <c r="BG615" i="20" s="1"/>
  <c r="BH615" i="20" s="1"/>
  <c r="BI615" i="20" s="1"/>
  <c r="BJ615" i="20" s="1"/>
  <c r="BK615" i="20" s="1"/>
  <c r="BL615" i="20" s="1"/>
  <c r="BM615" i="20" s="1"/>
  <c r="BN615" i="20" s="1"/>
  <c r="AN659" i="20"/>
  <c r="AO659" i="20" s="1"/>
  <c r="AP659" i="20" s="1"/>
  <c r="AQ659" i="20" s="1"/>
  <c r="AR659" i="20" s="1"/>
  <c r="AS659" i="20" s="1"/>
  <c r="AT659" i="20" s="1"/>
  <c r="AU659" i="20" s="1"/>
  <c r="AV659" i="20" s="1"/>
  <c r="AW659" i="20" s="1"/>
  <c r="AX659" i="20" s="1"/>
  <c r="AY659" i="20" s="1"/>
  <c r="AZ659" i="20" s="1"/>
  <c r="BA659" i="20" s="1"/>
  <c r="BB659" i="20" s="1"/>
  <c r="BC659" i="20" s="1"/>
  <c r="BD659" i="20" s="1"/>
  <c r="BE659" i="20" s="1"/>
  <c r="BF659" i="20" s="1"/>
  <c r="BG659" i="20" s="1"/>
  <c r="BH659" i="20" s="1"/>
  <c r="BI659" i="20" s="1"/>
  <c r="BJ659" i="20" s="1"/>
  <c r="BK659" i="20" s="1"/>
  <c r="BL659" i="20" s="1"/>
  <c r="BM659" i="20" s="1"/>
  <c r="BN659" i="20" s="1"/>
  <c r="AN743" i="20"/>
  <c r="AO743" i="20" s="1"/>
  <c r="AP743" i="20" s="1"/>
  <c r="AQ743" i="20" s="1"/>
  <c r="AR743" i="20" s="1"/>
  <c r="AS743" i="20" s="1"/>
  <c r="AT743" i="20" s="1"/>
  <c r="AU743" i="20" s="1"/>
  <c r="AV743" i="20" s="1"/>
  <c r="AW743" i="20" s="1"/>
  <c r="AX743" i="20" s="1"/>
  <c r="AY743" i="20" s="1"/>
  <c r="AZ743" i="20" s="1"/>
  <c r="BA743" i="20" s="1"/>
  <c r="BB743" i="20" s="1"/>
  <c r="BC743" i="20" s="1"/>
  <c r="BD743" i="20" s="1"/>
  <c r="BE743" i="20" s="1"/>
  <c r="BF743" i="20" s="1"/>
  <c r="BG743" i="20" s="1"/>
  <c r="BH743" i="20" s="1"/>
  <c r="BI743" i="20" s="1"/>
  <c r="BJ743" i="20" s="1"/>
  <c r="BK743" i="20" s="1"/>
  <c r="BL743" i="20" s="1"/>
  <c r="BM743" i="20" s="1"/>
  <c r="BN743" i="20" s="1"/>
  <c r="AN810" i="20"/>
  <c r="AO810" i="20" s="1"/>
  <c r="AP810" i="20" s="1"/>
  <c r="AQ810" i="20" s="1"/>
  <c r="AR810" i="20" s="1"/>
  <c r="AS810" i="20" s="1"/>
  <c r="AT810" i="20" s="1"/>
  <c r="AU810" i="20" s="1"/>
  <c r="AV810" i="20" s="1"/>
  <c r="AW810" i="20" s="1"/>
  <c r="AX810" i="20" s="1"/>
  <c r="AY810" i="20" s="1"/>
  <c r="AZ810" i="20" s="1"/>
  <c r="BA810" i="20" s="1"/>
  <c r="BB810" i="20" s="1"/>
  <c r="BC810" i="20" s="1"/>
  <c r="BD810" i="20" s="1"/>
  <c r="BE810" i="20" s="1"/>
  <c r="BF810" i="20" s="1"/>
  <c r="BG810" i="20" s="1"/>
  <c r="BH810" i="20" s="1"/>
  <c r="BI810" i="20" s="1"/>
  <c r="BJ810" i="20" s="1"/>
  <c r="BK810" i="20" s="1"/>
  <c r="BL810" i="20" s="1"/>
  <c r="BM810" i="20" s="1"/>
  <c r="BN810" i="20" s="1"/>
  <c r="AN626" i="20"/>
  <c r="AO626" i="20" s="1"/>
  <c r="AP626" i="20" s="1"/>
  <c r="AQ626" i="20" s="1"/>
  <c r="AR626" i="20" s="1"/>
  <c r="AS626" i="20" s="1"/>
  <c r="AT626" i="20" s="1"/>
  <c r="AU626" i="20" s="1"/>
  <c r="AV626" i="20" s="1"/>
  <c r="AW626" i="20" s="1"/>
  <c r="AX626" i="20" s="1"/>
  <c r="AY626" i="20" s="1"/>
  <c r="AZ626" i="20" s="1"/>
  <c r="BA626" i="20" s="1"/>
  <c r="BB626" i="20" s="1"/>
  <c r="BC626" i="20" s="1"/>
  <c r="BD626" i="20" s="1"/>
  <c r="BE626" i="20" s="1"/>
  <c r="BF626" i="20" s="1"/>
  <c r="BG626" i="20" s="1"/>
  <c r="BH626" i="20" s="1"/>
  <c r="BI626" i="20" s="1"/>
  <c r="BJ626" i="20" s="1"/>
  <c r="BK626" i="20" s="1"/>
  <c r="BL626" i="20" s="1"/>
  <c r="BM626" i="20" s="1"/>
  <c r="BN626" i="20" s="1"/>
  <c r="AN670" i="20"/>
  <c r="AO670" i="20" s="1"/>
  <c r="AP670" i="20" s="1"/>
  <c r="AQ670" i="20" s="1"/>
  <c r="AR670" i="20" s="1"/>
  <c r="AS670" i="20" s="1"/>
  <c r="AT670" i="20" s="1"/>
  <c r="AU670" i="20" s="1"/>
  <c r="AV670" i="20" s="1"/>
  <c r="AW670" i="20" s="1"/>
  <c r="AX670" i="20" s="1"/>
  <c r="AY670" i="20" s="1"/>
  <c r="AZ670" i="20" s="1"/>
  <c r="BA670" i="20" s="1"/>
  <c r="BB670" i="20" s="1"/>
  <c r="BC670" i="20" s="1"/>
  <c r="BD670" i="20" s="1"/>
  <c r="BE670" i="20" s="1"/>
  <c r="BF670" i="20" s="1"/>
  <c r="BG670" i="20" s="1"/>
  <c r="BH670" i="20" s="1"/>
  <c r="BI670" i="20" s="1"/>
  <c r="BJ670" i="20" s="1"/>
  <c r="BK670" i="20" s="1"/>
  <c r="BL670" i="20" s="1"/>
  <c r="BM670" i="20" s="1"/>
  <c r="BN670" i="20" s="1"/>
  <c r="AM784" i="20"/>
  <c r="AM869" i="20" s="1"/>
  <c r="AM807" i="20"/>
  <c r="AM762" i="20"/>
  <c r="AM867" i="20" s="1"/>
  <c r="AM840" i="20"/>
  <c r="AM965" i="20" s="1"/>
  <c r="AN523" i="20"/>
  <c r="AN858" i="20" s="1"/>
  <c r="AN732" i="20"/>
  <c r="AN721" i="20"/>
  <c r="AM773" i="20"/>
  <c r="AM868" i="20" s="1"/>
  <c r="AM851" i="20"/>
  <c r="AM966" i="20" s="1"/>
  <c r="AM818" i="20"/>
  <c r="AM751" i="20"/>
  <c r="AM866" i="20" s="1"/>
  <c r="AM829" i="20"/>
  <c r="AN788" i="20"/>
  <c r="AM796" i="20"/>
  <c r="AM656" i="20"/>
  <c r="AM958" i="20" s="1"/>
  <c r="AM623" i="20"/>
  <c r="AM667" i="20"/>
  <c r="AM959" i="20" s="1"/>
  <c r="AM634" i="20"/>
  <c r="AM678" i="20"/>
  <c r="AM645" i="20"/>
  <c r="AN444" i="20"/>
  <c r="AM452" i="20"/>
  <c r="AN424" i="20"/>
  <c r="AM432" i="20"/>
  <c r="AM907" i="20" s="1"/>
  <c r="AN431" i="20"/>
  <c r="AO431" i="20" s="1"/>
  <c r="AP431" i="20" s="1"/>
  <c r="AQ431" i="20" s="1"/>
  <c r="AR431" i="20" s="1"/>
  <c r="AS431" i="20" s="1"/>
  <c r="AN464" i="20"/>
  <c r="AM472" i="20"/>
  <c r="AN454" i="20"/>
  <c r="AM462" i="20"/>
  <c r="AN434" i="20"/>
  <c r="AM442" i="20"/>
  <c r="AN414" i="20"/>
  <c r="AM422" i="20"/>
  <c r="AN337" i="20"/>
  <c r="AM345" i="20"/>
  <c r="AN327" i="20"/>
  <c r="AM335" i="20"/>
  <c r="AN297" i="20"/>
  <c r="AM305" i="20"/>
  <c r="AN307" i="20"/>
  <c r="AM315" i="20"/>
  <c r="AN317" i="20"/>
  <c r="AM325" i="20"/>
  <c r="AN347" i="20"/>
  <c r="AM355" i="20"/>
  <c r="AM177" i="20"/>
  <c r="AM226" i="20" s="1"/>
  <c r="AM203" i="20"/>
  <c r="AM228" i="20" s="1"/>
  <c r="AM190" i="20"/>
  <c r="AM227" i="20" s="1"/>
  <c r="AM151" i="20"/>
  <c r="AM224" i="20" s="1"/>
  <c r="AM216" i="20"/>
  <c r="AM229" i="20" s="1"/>
  <c r="AM164" i="20"/>
  <c r="AM225" i="20" s="1"/>
  <c r="AN156" i="20"/>
  <c r="AN195" i="20"/>
  <c r="AN182" i="20"/>
  <c r="AN143" i="20"/>
  <c r="AN208" i="20"/>
  <c r="AN169" i="20"/>
  <c r="AN79" i="20"/>
  <c r="AN87" i="20" s="1"/>
  <c r="AN222" i="20" s="1"/>
  <c r="AN99" i="20"/>
  <c r="AN107" i="20" s="1"/>
  <c r="AN223" i="20" s="1"/>
  <c r="AO5" i="20"/>
  <c r="AO255" i="20" s="1"/>
  <c r="AN43" i="20"/>
  <c r="AN51" i="20" s="1"/>
  <c r="AN220" i="20" s="1"/>
  <c r="AN61" i="20"/>
  <c r="AN69" i="20" s="1"/>
  <c r="AN221" i="20" s="1"/>
  <c r="Y73" i="18"/>
  <c r="AF73" i="18"/>
  <c r="AN73" i="18"/>
  <c r="AB73" i="18"/>
  <c r="AJ73" i="18"/>
  <c r="AR73" i="18"/>
  <c r="AD73" i="18"/>
  <c r="AL73" i="18"/>
  <c r="AA73" i="18"/>
  <c r="AE73" i="18"/>
  <c r="AM73" i="18"/>
  <c r="AC73" i="18"/>
  <c r="AK73" i="18"/>
  <c r="AI73" i="18"/>
  <c r="AQ73" i="18"/>
  <c r="AG73" i="18"/>
  <c r="AO73" i="18"/>
  <c r="Z73" i="18"/>
  <c r="AH73" i="18"/>
  <c r="AP73" i="18"/>
  <c r="Z84" i="11"/>
  <c r="BA4" i="20"/>
  <c r="AA84" i="11"/>
  <c r="AA42" i="11"/>
  <c r="AA43" i="11"/>
  <c r="AA41" i="11"/>
  <c r="AB35" i="11"/>
  <c r="AB84" i="11"/>
  <c r="Y45" i="11"/>
  <c r="AK51" i="11"/>
  <c r="AJ55" i="11"/>
  <c r="V40" i="18"/>
  <c r="R40" i="18"/>
  <c r="R74" i="18" s="1"/>
  <c r="AI40" i="18"/>
  <c r="AQ74" i="18" s="1"/>
  <c r="AF40" i="18"/>
  <c r="U40" i="18"/>
  <c r="Z40" i="18"/>
  <c r="W40" i="18"/>
  <c r="T40" i="18"/>
  <c r="AJ40" i="18"/>
  <c r="AR74" i="18" s="1"/>
  <c r="Y40" i="18"/>
  <c r="AH40" i="18"/>
  <c r="AP74" i="18" s="1"/>
  <c r="AE40" i="18"/>
  <c r="AB40" i="18"/>
  <c r="AG40" i="18"/>
  <c r="AO74" i="18" s="1"/>
  <c r="AD40" i="18"/>
  <c r="AC40" i="18"/>
  <c r="AA40" i="18"/>
  <c r="Q40" i="18"/>
  <c r="Q74" i="18" s="1"/>
  <c r="X40" i="18"/>
  <c r="X74" i="18" s="1"/>
  <c r="S40" i="18"/>
  <c r="S74" i="18" s="1"/>
  <c r="N41" i="18"/>
  <c r="V12" i="18"/>
  <c r="W11" i="18"/>
  <c r="V14" i="18"/>
  <c r="V13" i="18"/>
  <c r="V10" i="18"/>
  <c r="U16" i="18"/>
  <c r="W15" i="18"/>
  <c r="AA44" i="11" l="1"/>
  <c r="AA300" i="11"/>
  <c r="AA320" i="11" s="1"/>
  <c r="AA304" i="11"/>
  <c r="AA301" i="11"/>
  <c r="AA302" i="11"/>
  <c r="AA303" i="11"/>
  <c r="AB301" i="11"/>
  <c r="AD82" i="11"/>
  <c r="AD565" i="11"/>
  <c r="AD568" i="11"/>
  <c r="AD567" i="11"/>
  <c r="AD564" i="11"/>
  <c r="AD566" i="11"/>
  <c r="X473" i="11"/>
  <c r="X476" i="11" s="1"/>
  <c r="X595" i="11" s="1"/>
  <c r="X457" i="11"/>
  <c r="Z552" i="11"/>
  <c r="Y453" i="11"/>
  <c r="Y469" i="11" s="1"/>
  <c r="Y456" i="11"/>
  <c r="Y472" i="11" s="1"/>
  <c r="Y455" i="11"/>
  <c r="Y471" i="11" s="1"/>
  <c r="Y454" i="11"/>
  <c r="Y470" i="11" s="1"/>
  <c r="Y556" i="11"/>
  <c r="Y572" i="11" s="1"/>
  <c r="Y452" i="11"/>
  <c r="Y468" i="11" s="1"/>
  <c r="Z446" i="11"/>
  <c r="Z448" i="11"/>
  <c r="Z557" i="11" s="1"/>
  <c r="Z573" i="11" s="1"/>
  <c r="Y560" i="11"/>
  <c r="Y576" i="11" s="1"/>
  <c r="Z551" i="11"/>
  <c r="AE73" i="11"/>
  <c r="Y557" i="11"/>
  <c r="Y573" i="11" s="1"/>
  <c r="Z550" i="11"/>
  <c r="AA587" i="11"/>
  <c r="AA464" i="11"/>
  <c r="AA463" i="11"/>
  <c r="AA462" i="11"/>
  <c r="AA460" i="11"/>
  <c r="AA461" i="11"/>
  <c r="AB34" i="11"/>
  <c r="AB115" i="11"/>
  <c r="AB117" i="11" s="1"/>
  <c r="AC5" i="11"/>
  <c r="AC105" i="11" s="1"/>
  <c r="AB95" i="11"/>
  <c r="AB98" i="11" s="1"/>
  <c r="AB190" i="11" s="1"/>
  <c r="AB36" i="11"/>
  <c r="AB41" i="11" s="1"/>
  <c r="AB585" i="11"/>
  <c r="AB105" i="11"/>
  <c r="AE74" i="11"/>
  <c r="X558" i="11"/>
  <c r="X574" i="11" s="1"/>
  <c r="X557" i="11"/>
  <c r="X573" i="11" s="1"/>
  <c r="X560" i="11"/>
  <c r="X576" i="11" s="1"/>
  <c r="X556" i="11"/>
  <c r="X572" i="11" s="1"/>
  <c r="X559" i="11"/>
  <c r="X575" i="11" s="1"/>
  <c r="AB127" i="11"/>
  <c r="AB129" i="11" s="1"/>
  <c r="AC520" i="11"/>
  <c r="AB544" i="11"/>
  <c r="AC517" i="11"/>
  <c r="AB543" i="11"/>
  <c r="AC508" i="11"/>
  <c r="AB540" i="11"/>
  <c r="AB529" i="11"/>
  <c r="AB505" i="11" s="1"/>
  <c r="AB539" i="11" s="1"/>
  <c r="AA547" i="11"/>
  <c r="AC495" i="11"/>
  <c r="AB535" i="11"/>
  <c r="AC489" i="11"/>
  <c r="AB533" i="11"/>
  <c r="AB537" i="11"/>
  <c r="AC500" i="11"/>
  <c r="AC523" i="11"/>
  <c r="AB545" i="11"/>
  <c r="AC514" i="11"/>
  <c r="AB542" i="11"/>
  <c r="AA505" i="11"/>
  <c r="AA539" i="11" s="1"/>
  <c r="Z530" i="11"/>
  <c r="AC492" i="11"/>
  <c r="AB534" i="11"/>
  <c r="AB546" i="11"/>
  <c r="AC526" i="11"/>
  <c r="AA497" i="11"/>
  <c r="AB444" i="11"/>
  <c r="AC432" i="11"/>
  <c r="AB442" i="11"/>
  <c r="AC429" i="11"/>
  <c r="AC426" i="11"/>
  <c r="AC441" i="11" s="1"/>
  <c r="AB437" i="11"/>
  <c r="AB443" i="11" s="1"/>
  <c r="AD83" i="11"/>
  <c r="AD80" i="11"/>
  <c r="AD81" i="11"/>
  <c r="AD79" i="11"/>
  <c r="Z45" i="11"/>
  <c r="AC84" i="11"/>
  <c r="I40" i="11"/>
  <c r="E40" i="13"/>
  <c r="F39" i="13"/>
  <c r="G39" i="13"/>
  <c r="H39" i="13"/>
  <c r="I39" i="13"/>
  <c r="J39" i="13"/>
  <c r="K39" i="13"/>
  <c r="L39" i="13"/>
  <c r="M39" i="13"/>
  <c r="N39" i="13"/>
  <c r="O39" i="13"/>
  <c r="P39" i="13"/>
  <c r="Q39" i="13"/>
  <c r="R39" i="13"/>
  <c r="S39" i="13"/>
  <c r="T39" i="13"/>
  <c r="U39" i="13"/>
  <c r="V39" i="13"/>
  <c r="W39" i="13"/>
  <c r="X39" i="13"/>
  <c r="Y39" i="13"/>
  <c r="Z39" i="13"/>
  <c r="AA39" i="13"/>
  <c r="AB39" i="13"/>
  <c r="AC39" i="13"/>
  <c r="AD39" i="13"/>
  <c r="AE39" i="13"/>
  <c r="AF39" i="13"/>
  <c r="AG39" i="13"/>
  <c r="AH39" i="13"/>
  <c r="AI39" i="13"/>
  <c r="AJ39" i="13"/>
  <c r="AK39" i="13"/>
  <c r="B188" i="20"/>
  <c r="C11" i="17"/>
  <c r="B187" i="20"/>
  <c r="AM901" i="20"/>
  <c r="AN74" i="18"/>
  <c r="AM964" i="20"/>
  <c r="AM970" i="20"/>
  <c r="AN889" i="20"/>
  <c r="AN895" i="20"/>
  <c r="AM985" i="20"/>
  <c r="C182" i="20" s="1"/>
  <c r="AM982" i="20"/>
  <c r="C179" i="20" s="1"/>
  <c r="AM983" i="20"/>
  <c r="C180" i="20" s="1"/>
  <c r="AM981" i="20"/>
  <c r="C178" i="20" s="1"/>
  <c r="AM986" i="20"/>
  <c r="C183" i="20" s="1"/>
  <c r="AM984" i="20"/>
  <c r="C181" i="20" s="1"/>
  <c r="AM988" i="20"/>
  <c r="C185" i="20" s="1"/>
  <c r="AN980" i="20"/>
  <c r="D177" i="20" s="1"/>
  <c r="AM989" i="20"/>
  <c r="C186" i="20" s="1"/>
  <c r="AM987" i="20"/>
  <c r="C184" i="20" s="1"/>
  <c r="AN930" i="20"/>
  <c r="AN951" i="20" s="1"/>
  <c r="AM230" i="20"/>
  <c r="AM926" i="20"/>
  <c r="AM876" i="20"/>
  <c r="AN880" i="20"/>
  <c r="AN905" i="20"/>
  <c r="AO754" i="20"/>
  <c r="AO776" i="20"/>
  <c r="AO891" i="20" s="1"/>
  <c r="AO765" i="20"/>
  <c r="AO890" i="20" s="1"/>
  <c r="AN855" i="20"/>
  <c r="AP799" i="20"/>
  <c r="AN818" i="20"/>
  <c r="AN751" i="20"/>
  <c r="AN866" i="20" s="1"/>
  <c r="AO721" i="20"/>
  <c r="AN729" i="20"/>
  <c r="AN840" i="20"/>
  <c r="AN965" i="20" s="1"/>
  <c r="AN807" i="20"/>
  <c r="AO788" i="20"/>
  <c r="AN796" i="20"/>
  <c r="AN851" i="20"/>
  <c r="AN966" i="20" s="1"/>
  <c r="AO732" i="20"/>
  <c r="AN740" i="20"/>
  <c r="AN865" i="20" s="1"/>
  <c r="AN829" i="20"/>
  <c r="AN773" i="20"/>
  <c r="AN868" i="20" s="1"/>
  <c r="AN762" i="20"/>
  <c r="AN867" i="20" s="1"/>
  <c r="AN784" i="20"/>
  <c r="AN869" i="20" s="1"/>
  <c r="AN645" i="20"/>
  <c r="AN634" i="20"/>
  <c r="AN623" i="20"/>
  <c r="AN678" i="20"/>
  <c r="AN667" i="20"/>
  <c r="AN959" i="20" s="1"/>
  <c r="AN656" i="20"/>
  <c r="AN958" i="20" s="1"/>
  <c r="AO559" i="20"/>
  <c r="AO884" i="20" s="1"/>
  <c r="AO969" i="20" s="1"/>
  <c r="AO570" i="20"/>
  <c r="AO537" i="20"/>
  <c r="AO548" i="20"/>
  <c r="AO883" i="20" s="1"/>
  <c r="AO523" i="20"/>
  <c r="AO858" i="20" s="1"/>
  <c r="AN432" i="20"/>
  <c r="AN907" i="20" s="1"/>
  <c r="AO424" i="20"/>
  <c r="AO414" i="20"/>
  <c r="AN422" i="20"/>
  <c r="AN462" i="20"/>
  <c r="AO454" i="20"/>
  <c r="AN442" i="20"/>
  <c r="AO434" i="20"/>
  <c r="AN472" i="20"/>
  <c r="AO464" i="20"/>
  <c r="AO444" i="20"/>
  <c r="AN452" i="20"/>
  <c r="AO347" i="20"/>
  <c r="AN355" i="20"/>
  <c r="AO307" i="20"/>
  <c r="AN315" i="20"/>
  <c r="AN335" i="20"/>
  <c r="AO327" i="20"/>
  <c r="AN325" i="20"/>
  <c r="AO317" i="20"/>
  <c r="AO297" i="20"/>
  <c r="AN305" i="20"/>
  <c r="AN345" i="20"/>
  <c r="AO337" i="20"/>
  <c r="AO374" i="20"/>
  <c r="AP374" i="20" s="1"/>
  <c r="AQ374" i="20" s="1"/>
  <c r="AR374" i="20" s="1"/>
  <c r="AS374" i="20" s="1"/>
  <c r="AO384" i="20"/>
  <c r="AO394" i="20"/>
  <c r="AO404" i="20"/>
  <c r="AP5" i="20"/>
  <c r="AQ5" i="20" s="1"/>
  <c r="AO61" i="20"/>
  <c r="AN177" i="20"/>
  <c r="AN226" i="20" s="1"/>
  <c r="AN203" i="20"/>
  <c r="AN228" i="20" s="1"/>
  <c r="AN216" i="20"/>
  <c r="AN229" i="20" s="1"/>
  <c r="AN164" i="20"/>
  <c r="AN225" i="20" s="1"/>
  <c r="AN151" i="20"/>
  <c r="AN224" i="20" s="1"/>
  <c r="AN190" i="20"/>
  <c r="AN227" i="20" s="1"/>
  <c r="AO143" i="20"/>
  <c r="AO156" i="20"/>
  <c r="AO195" i="20"/>
  <c r="AO169" i="20"/>
  <c r="AO182" i="20"/>
  <c r="AO208" i="20"/>
  <c r="AO43" i="20"/>
  <c r="AO79" i="20"/>
  <c r="AO99" i="20"/>
  <c r="AA74" i="18"/>
  <c r="Y74" i="18"/>
  <c r="BB4" i="20"/>
  <c r="AB74" i="18"/>
  <c r="U74" i="18"/>
  <c r="AC74" i="18"/>
  <c r="AG74" i="18"/>
  <c r="Z74" i="18"/>
  <c r="AE74" i="18"/>
  <c r="T74" i="18"/>
  <c r="AF74" i="18"/>
  <c r="AD74" i="18"/>
  <c r="AH74" i="18"/>
  <c r="AK74" i="18"/>
  <c r="W74" i="18"/>
  <c r="AI74" i="18"/>
  <c r="AL74" i="18"/>
  <c r="AJ74" i="18"/>
  <c r="AM74" i="18"/>
  <c r="V74" i="18"/>
  <c r="AA45" i="11"/>
  <c r="AB42" i="11"/>
  <c r="AB43" i="11"/>
  <c r="AL51" i="11"/>
  <c r="AK55" i="11"/>
  <c r="AD41" i="18"/>
  <c r="AA41" i="18"/>
  <c r="X41" i="18"/>
  <c r="X75" i="18" s="1"/>
  <c r="Y41" i="18"/>
  <c r="R41" i="18"/>
  <c r="R75" i="18" s="1"/>
  <c r="AH41" i="18"/>
  <c r="AE41" i="18"/>
  <c r="AB41" i="18"/>
  <c r="AC41" i="18"/>
  <c r="AI41" i="18"/>
  <c r="AG41" i="18"/>
  <c r="V41" i="18"/>
  <c r="V75" i="18" s="1"/>
  <c r="S41" i="18"/>
  <c r="S75" i="18" s="1"/>
  <c r="AF41" i="18"/>
  <c r="Z41" i="18"/>
  <c r="Z75" i="18" s="1"/>
  <c r="W41" i="18"/>
  <c r="W75" i="18" s="1"/>
  <c r="T41" i="18"/>
  <c r="T75" i="18" s="1"/>
  <c r="AJ41" i="18"/>
  <c r="U41" i="18"/>
  <c r="U75" i="18" s="1"/>
  <c r="Q41" i="18"/>
  <c r="Q75" i="18" s="1"/>
  <c r="N42" i="18"/>
  <c r="W13" i="18"/>
  <c r="X11" i="18"/>
  <c r="W10" i="18"/>
  <c r="V16" i="18"/>
  <c r="X15" i="18"/>
  <c r="W14" i="18"/>
  <c r="W12" i="18"/>
  <c r="AB303" i="11" l="1"/>
  <c r="AB304" i="11"/>
  <c r="AB300" i="11"/>
  <c r="AB320" i="11" s="1"/>
  <c r="AB302" i="11"/>
  <c r="AE80" i="11"/>
  <c r="AE567" i="11"/>
  <c r="AE566" i="11"/>
  <c r="AE565" i="11"/>
  <c r="AE568" i="11"/>
  <c r="AE564" i="11"/>
  <c r="AE81" i="11"/>
  <c r="Z456" i="11"/>
  <c r="Z472" i="11" s="1"/>
  <c r="Z559" i="11"/>
  <c r="Z575" i="11" s="1"/>
  <c r="Y457" i="11"/>
  <c r="Y473" i="11"/>
  <c r="Z454" i="11"/>
  <c r="Z470" i="11" s="1"/>
  <c r="Z560" i="11"/>
  <c r="Z576" i="11" s="1"/>
  <c r="Z556" i="11"/>
  <c r="Z572" i="11" s="1"/>
  <c r="Z455" i="11"/>
  <c r="Z471" i="11" s="1"/>
  <c r="Z452" i="11"/>
  <c r="Z468" i="11" s="1"/>
  <c r="Z558" i="11"/>
  <c r="Z574" i="11" s="1"/>
  <c r="Z453" i="11"/>
  <c r="Z469" i="11" s="1"/>
  <c r="Y577" i="11"/>
  <c r="Y561" i="11"/>
  <c r="X577" i="11"/>
  <c r="X580" i="11" s="1"/>
  <c r="AA588" i="11"/>
  <c r="AB462" i="11"/>
  <c r="AB463" i="11"/>
  <c r="AB460" i="11"/>
  <c r="AB464" i="11"/>
  <c r="AB461" i="11"/>
  <c r="AC36" i="11"/>
  <c r="AB40" i="11"/>
  <c r="AF74" i="11"/>
  <c r="AE82" i="11"/>
  <c r="AE83" i="11"/>
  <c r="AE79" i="11"/>
  <c r="AD5" i="11"/>
  <c r="AD115" i="11" s="1"/>
  <c r="AD117" i="11" s="1"/>
  <c r="AF75" i="11"/>
  <c r="AB44" i="11"/>
  <c r="AC34" i="11"/>
  <c r="AC585" i="11"/>
  <c r="AC95" i="11"/>
  <c r="AC98" i="11" s="1"/>
  <c r="AC190" i="11" s="1"/>
  <c r="AC115" i="11"/>
  <c r="AC117" i="11" s="1"/>
  <c r="AF73" i="11"/>
  <c r="AC127" i="11"/>
  <c r="AC129" i="11" s="1"/>
  <c r="AC35" i="11"/>
  <c r="X561" i="11"/>
  <c r="AC537" i="11"/>
  <c r="AD500" i="11"/>
  <c r="AD517" i="11"/>
  <c r="AC543" i="11"/>
  <c r="AA536" i="11"/>
  <c r="AA530" i="11"/>
  <c r="AD492" i="11"/>
  <c r="AC534" i="11"/>
  <c r="AD514" i="11"/>
  <c r="AC542" i="11"/>
  <c r="AD489" i="11"/>
  <c r="AC533" i="11"/>
  <c r="AC529" i="11"/>
  <c r="AC505" i="11" s="1"/>
  <c r="AC539" i="11" s="1"/>
  <c r="AB547" i="11"/>
  <c r="AC546" i="11"/>
  <c r="AD526" i="11"/>
  <c r="AB497" i="11"/>
  <c r="AD520" i="11"/>
  <c r="AC544" i="11"/>
  <c r="AD523" i="11"/>
  <c r="AC545" i="11"/>
  <c r="AD495" i="11"/>
  <c r="AC535" i="11"/>
  <c r="AD508" i="11"/>
  <c r="AC540" i="11"/>
  <c r="AD84" i="11"/>
  <c r="AC444" i="11"/>
  <c r="AD432" i="11"/>
  <c r="AC442" i="11"/>
  <c r="AD429" i="11"/>
  <c r="AD426" i="11"/>
  <c r="AD441" i="11" s="1"/>
  <c r="AC437" i="11"/>
  <c r="AC443" i="11" s="1"/>
  <c r="AF81" i="11"/>
  <c r="AF79" i="11"/>
  <c r="AF82" i="11"/>
  <c r="I41" i="11"/>
  <c r="E41" i="13"/>
  <c r="F40" i="13"/>
  <c r="G40" i="13"/>
  <c r="H40" i="13"/>
  <c r="I40" i="13"/>
  <c r="J40" i="13"/>
  <c r="K40" i="13"/>
  <c r="L40" i="13"/>
  <c r="M40" i="13"/>
  <c r="N40" i="13"/>
  <c r="O40" i="13"/>
  <c r="P40" i="13"/>
  <c r="Q40" i="13"/>
  <c r="R40" i="13"/>
  <c r="S40" i="13"/>
  <c r="T40" i="13"/>
  <c r="U40" i="13"/>
  <c r="V40" i="13"/>
  <c r="W40" i="13"/>
  <c r="X40" i="13"/>
  <c r="Y40" i="13"/>
  <c r="Z40" i="13"/>
  <c r="AA40" i="13"/>
  <c r="AB40" i="13"/>
  <c r="AC40" i="13"/>
  <c r="AD40" i="13"/>
  <c r="AE40" i="13"/>
  <c r="AF40" i="13"/>
  <c r="AG40" i="13"/>
  <c r="AH40" i="13"/>
  <c r="AI40" i="13"/>
  <c r="AJ40" i="13"/>
  <c r="AK40" i="13"/>
  <c r="AM976" i="20"/>
  <c r="AN901" i="20"/>
  <c r="AN989" i="20"/>
  <c r="D186" i="20" s="1"/>
  <c r="AN964" i="20"/>
  <c r="AN970" i="20"/>
  <c r="AO889" i="20"/>
  <c r="AO895" i="20"/>
  <c r="AN988" i="20"/>
  <c r="D185" i="20" s="1"/>
  <c r="AN986" i="20"/>
  <c r="D183" i="20" s="1"/>
  <c r="AN985" i="20"/>
  <c r="D182" i="20" s="1"/>
  <c r="AN864" i="20"/>
  <c r="AN870" i="20"/>
  <c r="AN982" i="20"/>
  <c r="D179" i="20" s="1"/>
  <c r="AN983" i="20"/>
  <c r="D180" i="20" s="1"/>
  <c r="AN981" i="20"/>
  <c r="D178" i="20" s="1"/>
  <c r="AM990" i="20"/>
  <c r="AM991" i="20"/>
  <c r="AN987" i="20"/>
  <c r="D184" i="20" s="1"/>
  <c r="AN984" i="20"/>
  <c r="D181" i="20" s="1"/>
  <c r="AN230" i="20"/>
  <c r="AN990" i="20" s="1"/>
  <c r="AP255" i="20"/>
  <c r="AQ255" i="20" s="1"/>
  <c r="AR255" i="20" s="1"/>
  <c r="AS255" i="20" s="1"/>
  <c r="AN926" i="20"/>
  <c r="AP776" i="20"/>
  <c r="AP891" i="20" s="1"/>
  <c r="AP765" i="20"/>
  <c r="AP890" i="20" s="1"/>
  <c r="AP754" i="20"/>
  <c r="AO51" i="20"/>
  <c r="AO220" i="20" s="1"/>
  <c r="AO107" i="20"/>
  <c r="AO223" i="20" s="1"/>
  <c r="AO87" i="20"/>
  <c r="AO222" i="20" s="1"/>
  <c r="AO69" i="20"/>
  <c r="AO221" i="20" s="1"/>
  <c r="AQ799" i="20"/>
  <c r="AO773" i="20"/>
  <c r="AO868" i="20" s="1"/>
  <c r="AP732" i="20"/>
  <c r="AO740" i="20"/>
  <c r="AO865" i="20" s="1"/>
  <c r="AO796" i="20"/>
  <c r="AP788" i="20"/>
  <c r="AO840" i="20"/>
  <c r="AO965" i="20" s="1"/>
  <c r="AO784" i="20"/>
  <c r="AO869" i="20" s="1"/>
  <c r="AO751" i="20"/>
  <c r="AO866" i="20" s="1"/>
  <c r="AO762" i="20"/>
  <c r="AO867" i="20" s="1"/>
  <c r="AO851" i="20"/>
  <c r="AO966" i="20" s="1"/>
  <c r="AO807" i="20"/>
  <c r="AO818" i="20"/>
  <c r="AO829" i="20"/>
  <c r="AP721" i="20"/>
  <c r="AO729" i="20"/>
  <c r="AP523" i="20"/>
  <c r="AP858" i="20" s="1"/>
  <c r="AO634" i="20"/>
  <c r="AO667" i="20"/>
  <c r="AO959" i="20" s="1"/>
  <c r="AO623" i="20"/>
  <c r="AO678" i="20"/>
  <c r="AO656" i="20"/>
  <c r="AO958" i="20" s="1"/>
  <c r="AO645" i="20"/>
  <c r="AO578" i="20"/>
  <c r="AP570" i="20"/>
  <c r="AO567" i="20"/>
  <c r="AP559" i="20"/>
  <c r="AP884" i="20" s="1"/>
  <c r="AP969" i="20" s="1"/>
  <c r="AO556" i="20"/>
  <c r="AP548" i="20"/>
  <c r="AP883" i="20" s="1"/>
  <c r="AO534" i="20"/>
  <c r="AO859" i="20" s="1"/>
  <c r="AO944" i="20" s="1"/>
  <c r="AP537" i="20"/>
  <c r="AO545" i="20"/>
  <c r="AO442" i="20"/>
  <c r="AP434" i="20"/>
  <c r="AP444" i="20"/>
  <c r="AO452" i="20"/>
  <c r="AP414" i="20"/>
  <c r="AO422" i="20"/>
  <c r="AO472" i="20"/>
  <c r="AP464" i="20"/>
  <c r="AO462" i="20"/>
  <c r="AP454" i="20"/>
  <c r="AO432" i="20"/>
  <c r="AO907" i="20" s="1"/>
  <c r="AP424" i="20"/>
  <c r="AO345" i="20"/>
  <c r="AP337" i="20"/>
  <c r="AP317" i="20"/>
  <c r="AO325" i="20"/>
  <c r="AP307" i="20"/>
  <c r="AO315" i="20"/>
  <c r="AO335" i="20"/>
  <c r="AP327" i="20"/>
  <c r="AO305" i="20"/>
  <c r="AP297" i="20"/>
  <c r="AP347" i="20"/>
  <c r="AO355" i="20"/>
  <c r="AP404" i="20"/>
  <c r="AO412" i="20"/>
  <c r="AP394" i="20"/>
  <c r="AO402" i="20"/>
  <c r="AP384" i="20"/>
  <c r="AO392" i="20"/>
  <c r="AO263" i="20"/>
  <c r="AO856" i="20" s="1"/>
  <c r="AO382" i="20"/>
  <c r="AO857" i="20" s="1"/>
  <c r="AP182" i="20"/>
  <c r="AP79" i="20"/>
  <c r="AP87" i="20" s="1"/>
  <c r="AP222" i="20" s="1"/>
  <c r="AP143" i="20"/>
  <c r="AP43" i="20"/>
  <c r="AP51" i="20" s="1"/>
  <c r="AP220" i="20" s="1"/>
  <c r="AP156" i="20"/>
  <c r="AP99" i="20"/>
  <c r="AP107" i="20" s="1"/>
  <c r="AP223" i="20" s="1"/>
  <c r="AP208" i="20"/>
  <c r="AP169" i="20"/>
  <c r="AP61" i="20"/>
  <c r="AP69" i="20" s="1"/>
  <c r="AP221" i="20" s="1"/>
  <c r="AP195" i="20"/>
  <c r="AO177" i="20"/>
  <c r="AO226" i="20" s="1"/>
  <c r="AO203" i="20"/>
  <c r="AO228" i="20" s="1"/>
  <c r="AO216" i="20"/>
  <c r="AO229" i="20" s="1"/>
  <c r="AO164" i="20"/>
  <c r="AO225" i="20" s="1"/>
  <c r="AO190" i="20"/>
  <c r="AO227" i="20" s="1"/>
  <c r="AO151" i="20"/>
  <c r="AO224" i="20" s="1"/>
  <c r="AQ195" i="20"/>
  <c r="AQ156" i="20"/>
  <c r="AQ143" i="20"/>
  <c r="AQ182" i="20"/>
  <c r="AQ169" i="20"/>
  <c r="AQ208" i="20"/>
  <c r="AB75" i="18"/>
  <c r="Y75" i="18"/>
  <c r="AG75" i="18"/>
  <c r="AO75" i="18"/>
  <c r="AE75" i="18"/>
  <c r="AM75" i="18"/>
  <c r="AF75" i="18"/>
  <c r="AN75" i="18"/>
  <c r="AI75" i="18"/>
  <c r="AQ75" i="18"/>
  <c r="AH75" i="18"/>
  <c r="AP75" i="18"/>
  <c r="AA75" i="18"/>
  <c r="AJ75" i="18"/>
  <c r="AR75" i="18"/>
  <c r="AC75" i="18"/>
  <c r="AK75" i="18"/>
  <c r="AD75" i="18"/>
  <c r="AL75" i="18"/>
  <c r="AQ79" i="20"/>
  <c r="AQ99" i="20"/>
  <c r="AQ61" i="20"/>
  <c r="AQ43" i="20"/>
  <c r="AQ51" i="20" s="1"/>
  <c r="AQ220" i="20" s="1"/>
  <c r="AR5" i="20"/>
  <c r="BC4" i="20"/>
  <c r="AM51" i="11"/>
  <c r="AL55" i="11"/>
  <c r="AE42" i="18"/>
  <c r="AB42" i="18"/>
  <c r="Y42" i="18"/>
  <c r="Q42" i="18"/>
  <c r="Q76" i="18" s="1"/>
  <c r="AH42" i="18"/>
  <c r="W42" i="18"/>
  <c r="W76" i="18" s="1"/>
  <c r="T42" i="18"/>
  <c r="T76" i="18" s="1"/>
  <c r="AJ42" i="18"/>
  <c r="AG42" i="18"/>
  <c r="Z42" i="18"/>
  <c r="S42" i="18"/>
  <c r="S76" i="18" s="1"/>
  <c r="AF42" i="18"/>
  <c r="R42" i="18"/>
  <c r="R76" i="18" s="1"/>
  <c r="AA42" i="18"/>
  <c r="U42" i="18"/>
  <c r="U76" i="18" s="1"/>
  <c r="AD42" i="18"/>
  <c r="AI42" i="18"/>
  <c r="AC42" i="18"/>
  <c r="X42" i="18"/>
  <c r="X76" i="18" s="1"/>
  <c r="V42" i="18"/>
  <c r="V76" i="18" s="1"/>
  <c r="N43" i="18"/>
  <c r="Y11" i="18"/>
  <c r="X14" i="18"/>
  <c r="X10" i="18"/>
  <c r="W16" i="18"/>
  <c r="X12" i="18"/>
  <c r="Y15" i="18"/>
  <c r="X13" i="18"/>
  <c r="AC303" i="11" l="1"/>
  <c r="AC302" i="11"/>
  <c r="AC301" i="11"/>
  <c r="AC300" i="11"/>
  <c r="AC320" i="11" s="1"/>
  <c r="AC304" i="11"/>
  <c r="AB45" i="11"/>
  <c r="AC41" i="11"/>
  <c r="AF567" i="11"/>
  <c r="AF564" i="11"/>
  <c r="AF568" i="11"/>
  <c r="AF566" i="11"/>
  <c r="AF565" i="11"/>
  <c r="X596" i="11"/>
  <c r="X604" i="11" s="1"/>
  <c r="AA448" i="11"/>
  <c r="AA447" i="11"/>
  <c r="AA446" i="11"/>
  <c r="AA551" i="11"/>
  <c r="AA552" i="11"/>
  <c r="AA550" i="11"/>
  <c r="AC461" i="11"/>
  <c r="AC462" i="11"/>
  <c r="AC460" i="11"/>
  <c r="AC464" i="11"/>
  <c r="AC463" i="11"/>
  <c r="AD34" i="11"/>
  <c r="AE84" i="11"/>
  <c r="AD95" i="11"/>
  <c r="AD98" i="11" s="1"/>
  <c r="AD190" i="11" s="1"/>
  <c r="AG74" i="11"/>
  <c r="AG82" i="11" s="1"/>
  <c r="AE5" i="11"/>
  <c r="AH74" i="11" s="1"/>
  <c r="AG75" i="11"/>
  <c r="AD127" i="11"/>
  <c r="AD129" i="11" s="1"/>
  <c r="AG73" i="11"/>
  <c r="AC43" i="11"/>
  <c r="AD105" i="11"/>
  <c r="AD108" i="11" s="1"/>
  <c r="AD191" i="11" s="1"/>
  <c r="AD36" i="11"/>
  <c r="AD35" i="11"/>
  <c r="AD585" i="11"/>
  <c r="AF83" i="11"/>
  <c r="AC42" i="11"/>
  <c r="AF80" i="11"/>
  <c r="AC40" i="11"/>
  <c r="AC44" i="11"/>
  <c r="AC497" i="11"/>
  <c r="AC536" i="11" s="1"/>
  <c r="AE514" i="11"/>
  <c r="AD542" i="11"/>
  <c r="AE495" i="11"/>
  <c r="AD535" i="11"/>
  <c r="AE520" i="11"/>
  <c r="AD544" i="11"/>
  <c r="AB530" i="11"/>
  <c r="AB536" i="11"/>
  <c r="AD529" i="11"/>
  <c r="AD505" i="11" s="1"/>
  <c r="AD539" i="11" s="1"/>
  <c r="AC547" i="11"/>
  <c r="AE489" i="11"/>
  <c r="AD533" i="11"/>
  <c r="AD497" i="11"/>
  <c r="AD536" i="11" s="1"/>
  <c r="AE492" i="11"/>
  <c r="AD534" i="11"/>
  <c r="AE517" i="11"/>
  <c r="AD543" i="11"/>
  <c r="AD537" i="11"/>
  <c r="AE500" i="11"/>
  <c r="AE508" i="11"/>
  <c r="AD540" i="11"/>
  <c r="AE523" i="11"/>
  <c r="AD545" i="11"/>
  <c r="AD546" i="11"/>
  <c r="AE526" i="11"/>
  <c r="AD444" i="11"/>
  <c r="AE432" i="11"/>
  <c r="AD442" i="11"/>
  <c r="AE429" i="11"/>
  <c r="AE426" i="11"/>
  <c r="AE441" i="11" s="1"/>
  <c r="AD437" i="11"/>
  <c r="AD443" i="11" s="1"/>
  <c r="AH73" i="11"/>
  <c r="I42" i="11"/>
  <c r="AE127" i="11"/>
  <c r="AE129" i="11" s="1"/>
  <c r="E42" i="13"/>
  <c r="F41" i="13"/>
  <c r="G41" i="13"/>
  <c r="H41" i="13"/>
  <c r="I41" i="13"/>
  <c r="J41" i="13"/>
  <c r="K41" i="13"/>
  <c r="L41" i="13"/>
  <c r="M41" i="13"/>
  <c r="N41" i="13"/>
  <c r="O41" i="13"/>
  <c r="P41" i="13"/>
  <c r="Q41" i="13"/>
  <c r="R41" i="13"/>
  <c r="S41" i="13"/>
  <c r="T41" i="13"/>
  <c r="U41" i="13"/>
  <c r="V41" i="13"/>
  <c r="W41" i="13"/>
  <c r="X41" i="13"/>
  <c r="Y41" i="13"/>
  <c r="Z41" i="13"/>
  <c r="AA41" i="13"/>
  <c r="AB41" i="13"/>
  <c r="AC41" i="13"/>
  <c r="AD41" i="13"/>
  <c r="AE41" i="13"/>
  <c r="AF41" i="13"/>
  <c r="AG41" i="13"/>
  <c r="AH41" i="13"/>
  <c r="AI41" i="13"/>
  <c r="AJ41" i="13"/>
  <c r="AK41" i="13"/>
  <c r="D188" i="20"/>
  <c r="C188" i="20"/>
  <c r="D11" i="17"/>
  <c r="C187" i="20"/>
  <c r="AN976" i="20"/>
  <c r="AP889" i="20"/>
  <c r="AP895" i="20"/>
  <c r="AO964" i="20"/>
  <c r="AO970" i="20"/>
  <c r="AN876" i="20"/>
  <c r="AO982" i="20"/>
  <c r="E179" i="20" s="1"/>
  <c r="AO984" i="20"/>
  <c r="E181" i="20" s="1"/>
  <c r="AO988" i="20"/>
  <c r="E185" i="20" s="1"/>
  <c r="AO981" i="20"/>
  <c r="E178" i="20" s="1"/>
  <c r="AO983" i="20"/>
  <c r="E180" i="20" s="1"/>
  <c r="AO864" i="20"/>
  <c r="AO870" i="20"/>
  <c r="AO989" i="20"/>
  <c r="E186" i="20" s="1"/>
  <c r="AO987" i="20"/>
  <c r="E184" i="20" s="1"/>
  <c r="AN991" i="20"/>
  <c r="AO986" i="20"/>
  <c r="E183" i="20" s="1"/>
  <c r="AO985" i="20"/>
  <c r="E182" i="20" s="1"/>
  <c r="AO980" i="20"/>
  <c r="E177" i="20" s="1"/>
  <c r="AP930" i="20"/>
  <c r="AP905" i="20"/>
  <c r="AO930" i="20"/>
  <c r="AO951" i="20" s="1"/>
  <c r="AP855" i="20"/>
  <c r="AQ855" i="20"/>
  <c r="AO855" i="20"/>
  <c r="AO230" i="20"/>
  <c r="AO990" i="20" s="1"/>
  <c r="AP263" i="20"/>
  <c r="AP856" i="20" s="1"/>
  <c r="AO905" i="20"/>
  <c r="AO926" i="20" s="1"/>
  <c r="AP880" i="20"/>
  <c r="AO880" i="20"/>
  <c r="AO901" i="20" s="1"/>
  <c r="AQ765" i="20"/>
  <c r="AQ890" i="20" s="1"/>
  <c r="AQ754" i="20"/>
  <c r="AQ776" i="20"/>
  <c r="AQ891" i="20" s="1"/>
  <c r="AP177" i="20"/>
  <c r="AP226" i="20" s="1"/>
  <c r="AP216" i="20"/>
  <c r="AP229" i="20" s="1"/>
  <c r="AP151" i="20"/>
  <c r="AP224" i="20" s="1"/>
  <c r="AP164" i="20"/>
  <c r="AP225" i="20" s="1"/>
  <c r="AP190" i="20"/>
  <c r="AP227" i="20" s="1"/>
  <c r="AQ523" i="20"/>
  <c r="AQ858" i="20" s="1"/>
  <c r="AR799" i="20"/>
  <c r="AQ732" i="20"/>
  <c r="AP740" i="20"/>
  <c r="AP865" i="20" s="1"/>
  <c r="AP851" i="20"/>
  <c r="AP966" i="20" s="1"/>
  <c r="AQ721" i="20"/>
  <c r="AP729" i="20"/>
  <c r="AP751" i="20"/>
  <c r="AP866" i="20" s="1"/>
  <c r="AP829" i="20"/>
  <c r="AP807" i="20"/>
  <c r="AP796" i="20"/>
  <c r="AQ788" i="20"/>
  <c r="AP773" i="20"/>
  <c r="AP868" i="20" s="1"/>
  <c r="AP818" i="20"/>
  <c r="AP840" i="20"/>
  <c r="AP965" i="20" s="1"/>
  <c r="AP762" i="20"/>
  <c r="AP867" i="20" s="1"/>
  <c r="AP784" i="20"/>
  <c r="AP869" i="20" s="1"/>
  <c r="AP645" i="20"/>
  <c r="AP678" i="20"/>
  <c r="AP667" i="20"/>
  <c r="AP959" i="20" s="1"/>
  <c r="AP656" i="20"/>
  <c r="AP958" i="20" s="1"/>
  <c r="AP623" i="20"/>
  <c r="AP634" i="20"/>
  <c r="AQ559" i="20"/>
  <c r="AQ884" i="20" s="1"/>
  <c r="AQ969" i="20" s="1"/>
  <c r="AP567" i="20"/>
  <c r="AP534" i="20"/>
  <c r="AP859" i="20" s="1"/>
  <c r="AP944" i="20" s="1"/>
  <c r="AP556" i="20"/>
  <c r="AQ548" i="20"/>
  <c r="AQ883" i="20" s="1"/>
  <c r="AQ570" i="20"/>
  <c r="AP578" i="20"/>
  <c r="AQ537" i="20"/>
  <c r="AP545" i="20"/>
  <c r="AP432" i="20"/>
  <c r="AP907" i="20" s="1"/>
  <c r="AQ424" i="20"/>
  <c r="AQ444" i="20"/>
  <c r="AP452" i="20"/>
  <c r="AP462" i="20"/>
  <c r="AQ454" i="20"/>
  <c r="AP442" i="20"/>
  <c r="AQ434" i="20"/>
  <c r="AP472" i="20"/>
  <c r="AQ464" i="20"/>
  <c r="AQ414" i="20"/>
  <c r="AP422" i="20"/>
  <c r="AQ327" i="20"/>
  <c r="AP335" i="20"/>
  <c r="AQ347" i="20"/>
  <c r="AP355" i="20"/>
  <c r="AP325" i="20"/>
  <c r="AQ317" i="20"/>
  <c r="AQ297" i="20"/>
  <c r="AP305" i="20"/>
  <c r="AQ337" i="20"/>
  <c r="AP345" i="20"/>
  <c r="AQ307" i="20"/>
  <c r="AP315" i="20"/>
  <c r="AQ394" i="20"/>
  <c r="AP402" i="20"/>
  <c r="AQ384" i="20"/>
  <c r="AP392" i="20"/>
  <c r="AQ404" i="20"/>
  <c r="AP412" i="20"/>
  <c r="AP382" i="20"/>
  <c r="AQ263" i="20"/>
  <c r="AQ856" i="20" s="1"/>
  <c r="AP203" i="20"/>
  <c r="AP228" i="20" s="1"/>
  <c r="AQ151" i="20"/>
  <c r="AQ224" i="20" s="1"/>
  <c r="AQ216" i="20"/>
  <c r="AQ229" i="20" s="1"/>
  <c r="AQ164" i="20"/>
  <c r="AQ225" i="20" s="1"/>
  <c r="AQ177" i="20"/>
  <c r="AQ226" i="20" s="1"/>
  <c r="AQ203" i="20"/>
  <c r="AQ228" i="20" s="1"/>
  <c r="AQ190" i="20"/>
  <c r="AQ227" i="20" s="1"/>
  <c r="AR143" i="20"/>
  <c r="AR195" i="20"/>
  <c r="AR156" i="20"/>
  <c r="AR208" i="20"/>
  <c r="AR169" i="20"/>
  <c r="AR182" i="20"/>
  <c r="Y76" i="18"/>
  <c r="Z76" i="18"/>
  <c r="AA76" i="18"/>
  <c r="AB76" i="18"/>
  <c r="AI76" i="18"/>
  <c r="AQ76" i="18"/>
  <c r="AG76" i="18"/>
  <c r="AO76" i="18"/>
  <c r="AH76" i="18"/>
  <c r="AP76" i="18"/>
  <c r="AE76" i="18"/>
  <c r="AM76" i="18"/>
  <c r="AC76" i="18"/>
  <c r="AK76" i="18"/>
  <c r="AD76" i="18"/>
  <c r="AL76" i="18"/>
  <c r="AF76" i="18"/>
  <c r="AN76" i="18"/>
  <c r="AJ76" i="18"/>
  <c r="AR76" i="18"/>
  <c r="AQ87" i="20"/>
  <c r="AQ222" i="20" s="1"/>
  <c r="AQ69" i="20"/>
  <c r="AQ221" i="20" s="1"/>
  <c r="AQ107" i="20"/>
  <c r="AQ223" i="20" s="1"/>
  <c r="AR99" i="20"/>
  <c r="AR107" i="20" s="1"/>
  <c r="AR223" i="20" s="1"/>
  <c r="AR79" i="20"/>
  <c r="AR87" i="20" s="1"/>
  <c r="AR222" i="20" s="1"/>
  <c r="AR61" i="20"/>
  <c r="AR69" i="20" s="1"/>
  <c r="AR221" i="20" s="1"/>
  <c r="AR43" i="20"/>
  <c r="AS5" i="20"/>
  <c r="BD4" i="20"/>
  <c r="AE585" i="11"/>
  <c r="AE34" i="11"/>
  <c r="AN51" i="11"/>
  <c r="AM55" i="11"/>
  <c r="T43" i="18"/>
  <c r="T77" i="18" s="1"/>
  <c r="AJ43" i="18"/>
  <c r="AG43" i="18"/>
  <c r="AD43" i="18"/>
  <c r="Q43" i="18"/>
  <c r="Q77" i="18" s="1"/>
  <c r="X43" i="18"/>
  <c r="X77" i="18" s="1"/>
  <c r="U43" i="18"/>
  <c r="U77" i="18" s="1"/>
  <c r="R43" i="18"/>
  <c r="R77" i="18" s="1"/>
  <c r="AH43" i="18"/>
  <c r="AE43" i="18"/>
  <c r="AB43" i="18"/>
  <c r="Y43" i="18"/>
  <c r="AF43" i="18"/>
  <c r="AC43" i="18"/>
  <c r="Z43" i="18"/>
  <c r="AI43" i="18"/>
  <c r="AA43" i="18"/>
  <c r="V43" i="18"/>
  <c r="V77" i="18" s="1"/>
  <c r="S43" i="18"/>
  <c r="S77" i="18" s="1"/>
  <c r="W43" i="18"/>
  <c r="W77" i="18" s="1"/>
  <c r="N44" i="18"/>
  <c r="Z15" i="18"/>
  <c r="Y14" i="18"/>
  <c r="Y10" i="18"/>
  <c r="X16" i="18"/>
  <c r="Y13" i="18"/>
  <c r="Y12" i="18"/>
  <c r="Z11" i="18"/>
  <c r="AD43" i="11" l="1"/>
  <c r="AD300" i="11"/>
  <c r="AD320" i="11" s="1"/>
  <c r="AD301" i="11"/>
  <c r="AD303" i="11"/>
  <c r="AD304" i="11"/>
  <c r="AD302" i="11"/>
  <c r="AD42" i="11"/>
  <c r="AE35" i="11"/>
  <c r="AE462" i="11" s="1"/>
  <c r="AE115" i="11"/>
  <c r="AE117" i="11" s="1"/>
  <c r="AH75" i="11"/>
  <c r="AH565" i="11" s="1"/>
  <c r="AE36" i="11"/>
  <c r="AE95" i="11"/>
  <c r="AE98" i="11" s="1"/>
  <c r="AE190" i="11" s="1"/>
  <c r="AF5" i="11"/>
  <c r="AE105" i="11"/>
  <c r="AE108" i="11" s="1"/>
  <c r="AF84" i="11"/>
  <c r="AH568" i="11"/>
  <c r="AH564" i="11"/>
  <c r="AD40" i="11"/>
  <c r="AG566" i="11"/>
  <c r="AG568" i="11"/>
  <c r="AG565" i="11"/>
  <c r="AG564" i="11"/>
  <c r="AG567" i="11"/>
  <c r="X608" i="11"/>
  <c r="X616" i="11" s="1"/>
  <c r="AG80" i="11"/>
  <c r="AA559" i="11"/>
  <c r="AA575" i="11" s="1"/>
  <c r="AA452" i="11"/>
  <c r="AA468" i="11" s="1"/>
  <c r="AA560" i="11"/>
  <c r="AA576" i="11" s="1"/>
  <c r="AA455" i="11"/>
  <c r="AA471" i="11" s="1"/>
  <c r="AA556" i="11"/>
  <c r="AA572" i="11" s="1"/>
  <c r="AA557" i="11"/>
  <c r="AA573" i="11" s="1"/>
  <c r="AA453" i="11"/>
  <c r="AA469" i="11" s="1"/>
  <c r="AA456" i="11"/>
  <c r="AA472" i="11" s="1"/>
  <c r="AA558" i="11"/>
  <c r="AA574" i="11" s="1"/>
  <c r="AA454" i="11"/>
  <c r="AA470" i="11" s="1"/>
  <c r="AD460" i="11"/>
  <c r="AD461" i="11"/>
  <c r="AD462" i="11"/>
  <c r="AD463" i="11"/>
  <c r="AD464" i="11"/>
  <c r="AC45" i="11"/>
  <c r="AD44" i="11"/>
  <c r="AC530" i="11"/>
  <c r="AG79" i="11"/>
  <c r="AD41" i="11"/>
  <c r="AG83" i="11"/>
  <c r="AG81" i="11"/>
  <c r="AG84" i="11" s="1"/>
  <c r="AF508" i="11"/>
  <c r="AE540" i="11"/>
  <c r="AF517" i="11"/>
  <c r="AE543" i="11"/>
  <c r="AF520" i="11"/>
  <c r="AE544" i="11"/>
  <c r="AE537" i="11"/>
  <c r="AF500" i="11"/>
  <c r="AE529" i="11"/>
  <c r="AE505" i="11" s="1"/>
  <c r="AE539" i="11" s="1"/>
  <c r="AD547" i="11"/>
  <c r="AF523" i="11"/>
  <c r="AE545" i="11"/>
  <c r="AF492" i="11"/>
  <c r="AE534" i="11"/>
  <c r="AF495" i="11"/>
  <c r="AE535" i="11"/>
  <c r="AE546" i="11"/>
  <c r="AF526" i="11"/>
  <c r="AD530" i="11"/>
  <c r="AF489" i="11"/>
  <c r="AE533" i="11"/>
  <c r="AF514" i="11"/>
  <c r="AE542" i="11"/>
  <c r="AE442" i="11"/>
  <c r="AF429" i="11"/>
  <c r="AE444" i="11"/>
  <c r="AF432" i="11"/>
  <c r="AF426" i="11"/>
  <c r="AF441" i="11" s="1"/>
  <c r="AE437" i="11"/>
  <c r="AE443" i="11" s="1"/>
  <c r="AI74" i="11"/>
  <c r="AI73" i="11"/>
  <c r="AI75" i="11"/>
  <c r="AH80" i="11"/>
  <c r="AH83" i="11"/>
  <c r="AH81" i="11"/>
  <c r="AH79" i="11"/>
  <c r="AH82" i="11"/>
  <c r="I43" i="11"/>
  <c r="AF115" i="11"/>
  <c r="AF117" i="11" s="1"/>
  <c r="AF127" i="11"/>
  <c r="AF129" i="11" s="1"/>
  <c r="AF105" i="11"/>
  <c r="AF108" i="11" s="1"/>
  <c r="AF95" i="11"/>
  <c r="AF98" i="11" s="1"/>
  <c r="AO976" i="20"/>
  <c r="AE191" i="11"/>
  <c r="E43" i="13"/>
  <c r="F42" i="13"/>
  <c r="G42" i="13"/>
  <c r="H42" i="13"/>
  <c r="I42" i="13"/>
  <c r="J42" i="13"/>
  <c r="K42" i="13"/>
  <c r="L42" i="13"/>
  <c r="M42" i="13"/>
  <c r="N42" i="13"/>
  <c r="O42" i="13"/>
  <c r="P42" i="13"/>
  <c r="Q42" i="13"/>
  <c r="R42" i="13"/>
  <c r="S42" i="13"/>
  <c r="T42" i="13"/>
  <c r="U42" i="13"/>
  <c r="V42" i="13"/>
  <c r="W42" i="13"/>
  <c r="X42" i="13"/>
  <c r="Y42" i="13"/>
  <c r="Z42" i="13"/>
  <c r="AA42" i="13"/>
  <c r="AB42" i="13"/>
  <c r="AC42" i="13"/>
  <c r="AD42" i="13"/>
  <c r="AE42" i="13"/>
  <c r="AF42" i="13"/>
  <c r="AG42" i="13"/>
  <c r="AH42" i="13"/>
  <c r="AI42" i="13"/>
  <c r="AJ42" i="13"/>
  <c r="AK42" i="13"/>
  <c r="E188" i="20"/>
  <c r="E11" i="17"/>
  <c r="D187" i="20"/>
  <c r="AP926" i="20"/>
  <c r="AP901" i="20"/>
  <c r="AP964" i="20"/>
  <c r="AP970" i="20"/>
  <c r="AP951" i="20"/>
  <c r="AQ889" i="20"/>
  <c r="AQ895" i="20"/>
  <c r="AO876" i="20"/>
  <c r="AP983" i="20"/>
  <c r="F180" i="20" s="1"/>
  <c r="AP987" i="20"/>
  <c r="F184" i="20" s="1"/>
  <c r="AP981" i="20"/>
  <c r="F178" i="20" s="1"/>
  <c r="AP985" i="20"/>
  <c r="F182" i="20" s="1"/>
  <c r="AP988" i="20"/>
  <c r="F185" i="20" s="1"/>
  <c r="AP982" i="20"/>
  <c r="F179" i="20" s="1"/>
  <c r="AP984" i="20"/>
  <c r="F181" i="20" s="1"/>
  <c r="AP864" i="20"/>
  <c r="AP870" i="20"/>
  <c r="AP986" i="20"/>
  <c r="F183" i="20" s="1"/>
  <c r="AP989" i="20"/>
  <c r="F186" i="20" s="1"/>
  <c r="AO991" i="20"/>
  <c r="AP980" i="20"/>
  <c r="F177" i="20" s="1"/>
  <c r="AQ930" i="20"/>
  <c r="AR905" i="20"/>
  <c r="AR930" i="20"/>
  <c r="AQ230" i="20"/>
  <c r="AP230" i="20"/>
  <c r="AP990" i="20" s="1"/>
  <c r="AR880" i="20"/>
  <c r="AQ880" i="20"/>
  <c r="AQ905" i="20"/>
  <c r="AR754" i="20"/>
  <c r="AR776" i="20"/>
  <c r="AR891" i="20" s="1"/>
  <c r="AR765" i="20"/>
  <c r="AR890" i="20" s="1"/>
  <c r="AP857" i="20"/>
  <c r="AR523" i="20"/>
  <c r="AR858" i="20" s="1"/>
  <c r="AS799" i="20"/>
  <c r="AQ840" i="20"/>
  <c r="AQ965" i="20" s="1"/>
  <c r="AQ773" i="20"/>
  <c r="AQ868" i="20" s="1"/>
  <c r="AQ807" i="20"/>
  <c r="AQ751" i="20"/>
  <c r="AQ866" i="20" s="1"/>
  <c r="AQ851" i="20"/>
  <c r="AQ966" i="20" s="1"/>
  <c r="AQ784" i="20"/>
  <c r="AQ869" i="20" s="1"/>
  <c r="AQ762" i="20"/>
  <c r="AQ867" i="20" s="1"/>
  <c r="AQ796" i="20"/>
  <c r="AR788" i="20"/>
  <c r="AQ818" i="20"/>
  <c r="AQ829" i="20"/>
  <c r="AR721" i="20"/>
  <c r="AQ729" i="20"/>
  <c r="AR732" i="20"/>
  <c r="AQ740" i="20"/>
  <c r="AQ865" i="20" s="1"/>
  <c r="AQ678" i="20"/>
  <c r="AQ656" i="20"/>
  <c r="AQ958" i="20" s="1"/>
  <c r="AQ634" i="20"/>
  <c r="AQ623" i="20"/>
  <c r="AQ667" i="20"/>
  <c r="AQ959" i="20" s="1"/>
  <c r="AQ645" i="20"/>
  <c r="AQ578" i="20"/>
  <c r="AR570" i="20"/>
  <c r="AQ534" i="20"/>
  <c r="AQ859" i="20" s="1"/>
  <c r="AQ944" i="20" s="1"/>
  <c r="AR548" i="20"/>
  <c r="AR883" i="20" s="1"/>
  <c r="AQ556" i="20"/>
  <c r="AR537" i="20"/>
  <c r="AQ545" i="20"/>
  <c r="AQ567" i="20"/>
  <c r="AR559" i="20"/>
  <c r="AR884" i="20" s="1"/>
  <c r="AR969" i="20" s="1"/>
  <c r="AR414" i="20"/>
  <c r="AQ422" i="20"/>
  <c r="AR444" i="20"/>
  <c r="AQ452" i="20"/>
  <c r="AQ442" i="20"/>
  <c r="AR434" i="20"/>
  <c r="AQ472" i="20"/>
  <c r="AR464" i="20"/>
  <c r="AQ462" i="20"/>
  <c r="AR454" i="20"/>
  <c r="AQ432" i="20"/>
  <c r="AQ907" i="20" s="1"/>
  <c r="AR424" i="20"/>
  <c r="AR307" i="20"/>
  <c r="AQ315" i="20"/>
  <c r="AR297" i="20"/>
  <c r="AQ305" i="20"/>
  <c r="AR347" i="20"/>
  <c r="AQ355" i="20"/>
  <c r="AR317" i="20"/>
  <c r="AQ325" i="20"/>
  <c r="AQ345" i="20"/>
  <c r="AR337" i="20"/>
  <c r="AQ335" i="20"/>
  <c r="AR327" i="20"/>
  <c r="AR404" i="20"/>
  <c r="AQ412" i="20"/>
  <c r="AR384" i="20"/>
  <c r="AQ392" i="20"/>
  <c r="AR394" i="20"/>
  <c r="AQ402" i="20"/>
  <c r="AQ382" i="20"/>
  <c r="AR263" i="20"/>
  <c r="AR856" i="20" s="1"/>
  <c r="AR164" i="20"/>
  <c r="AR225" i="20" s="1"/>
  <c r="AR190" i="20"/>
  <c r="AR227" i="20" s="1"/>
  <c r="AR203" i="20"/>
  <c r="AR228" i="20" s="1"/>
  <c r="AR177" i="20"/>
  <c r="AR226" i="20" s="1"/>
  <c r="AR151" i="20"/>
  <c r="AR224" i="20" s="1"/>
  <c r="AR216" i="20"/>
  <c r="AR229" i="20" s="1"/>
  <c r="AS143" i="20"/>
  <c r="AS156" i="20"/>
  <c r="AS195" i="20"/>
  <c r="AS208" i="20"/>
  <c r="AS169" i="20"/>
  <c r="AS182" i="20"/>
  <c r="AA77" i="18"/>
  <c r="AF77" i="18"/>
  <c r="AN77" i="18"/>
  <c r="Y77" i="18"/>
  <c r="Z77" i="18"/>
  <c r="AB77" i="18"/>
  <c r="AG77" i="18"/>
  <c r="AO77" i="18"/>
  <c r="AH77" i="18"/>
  <c r="AP77" i="18"/>
  <c r="AI77" i="18"/>
  <c r="AQ77" i="18"/>
  <c r="AD77" i="18"/>
  <c r="AL77" i="18"/>
  <c r="AC77" i="18"/>
  <c r="AK77" i="18"/>
  <c r="AE77" i="18"/>
  <c r="AM77" i="18"/>
  <c r="AJ77" i="18"/>
  <c r="AR77" i="18"/>
  <c r="AR51" i="20"/>
  <c r="AR220" i="20" s="1"/>
  <c r="AS99" i="20"/>
  <c r="AS107" i="20" s="1"/>
  <c r="AS223" i="20" s="1"/>
  <c r="AS79" i="20"/>
  <c r="AS87" i="20" s="1"/>
  <c r="AS222" i="20" s="1"/>
  <c r="AS61" i="20"/>
  <c r="AS69" i="20" s="1"/>
  <c r="AS221" i="20" s="1"/>
  <c r="AS43" i="20"/>
  <c r="AS51" i="20" s="1"/>
  <c r="AS220" i="20" s="1"/>
  <c r="AT5" i="20"/>
  <c r="BE4" i="20"/>
  <c r="AD45" i="11"/>
  <c r="AF585" i="11"/>
  <c r="AG5" i="11"/>
  <c r="AF35" i="11"/>
  <c r="AF34" i="11"/>
  <c r="AF36" i="11"/>
  <c r="AO51" i="11"/>
  <c r="AN55" i="11"/>
  <c r="Y44" i="18"/>
  <c r="V44" i="18"/>
  <c r="V78" i="18" s="1"/>
  <c r="S44" i="18"/>
  <c r="S78" i="18" s="1"/>
  <c r="AI44" i="18"/>
  <c r="X44" i="18"/>
  <c r="X78" i="18" s="1"/>
  <c r="AC44" i="18"/>
  <c r="Z44" i="18"/>
  <c r="W44" i="18"/>
  <c r="W78" i="18" s="1"/>
  <c r="AF44" i="18"/>
  <c r="Q44" i="18"/>
  <c r="Q78" i="18" s="1"/>
  <c r="AG44" i="18"/>
  <c r="AD44" i="18"/>
  <c r="AA44" i="18"/>
  <c r="T44" i="18"/>
  <c r="T78" i="18" s="1"/>
  <c r="AB44" i="18"/>
  <c r="U44" i="18"/>
  <c r="U78" i="18" s="1"/>
  <c r="R44" i="18"/>
  <c r="R78" i="18" s="1"/>
  <c r="AH44" i="18"/>
  <c r="AE44" i="18"/>
  <c r="AJ44" i="18"/>
  <c r="N45" i="18"/>
  <c r="Z12" i="18"/>
  <c r="Z14" i="18"/>
  <c r="AA15" i="18"/>
  <c r="AA11" i="18"/>
  <c r="Z13" i="18"/>
  <c r="Z10" i="18"/>
  <c r="Y16" i="18"/>
  <c r="Q5" i="18"/>
  <c r="R5" i="18" s="1"/>
  <c r="S5" i="18" s="1"/>
  <c r="T5" i="18" s="1"/>
  <c r="U5" i="18" s="1"/>
  <c r="V5" i="18" s="1"/>
  <c r="W5" i="18" s="1"/>
  <c r="X5" i="18" s="1"/>
  <c r="Y5" i="18" s="1"/>
  <c r="Z5" i="18" s="1"/>
  <c r="AA5" i="18" s="1"/>
  <c r="AB5" i="18" s="1"/>
  <c r="AC5" i="18" s="1"/>
  <c r="AD5" i="18" s="1"/>
  <c r="AE5" i="18" s="1"/>
  <c r="AF5" i="18" s="1"/>
  <c r="AG5" i="18" s="1"/>
  <c r="AH5" i="18" s="1"/>
  <c r="AI5" i="18" s="1"/>
  <c r="AJ5" i="18" s="1"/>
  <c r="AK5" i="18" s="1"/>
  <c r="AL5" i="18" s="1"/>
  <c r="AM5" i="18" s="1"/>
  <c r="AN5" i="18" s="1"/>
  <c r="AO5" i="18" s="1"/>
  <c r="AP5" i="18" s="1"/>
  <c r="AQ5" i="18" s="1"/>
  <c r="AR5" i="18" s="1"/>
  <c r="AS5" i="18" s="1"/>
  <c r="Q9" i="18"/>
  <c r="R9" i="18" s="1"/>
  <c r="S9" i="18" s="1"/>
  <c r="T9" i="18" s="1"/>
  <c r="U9" i="18" s="1"/>
  <c r="V9" i="18" s="1"/>
  <c r="W9" i="18" s="1"/>
  <c r="X9" i="18" s="1"/>
  <c r="Y9" i="18" s="1"/>
  <c r="Z9" i="18" s="1"/>
  <c r="AA9" i="18" s="1"/>
  <c r="AB9" i="18" s="1"/>
  <c r="AC9" i="18" s="1"/>
  <c r="AD9" i="18" s="1"/>
  <c r="AE9" i="18" s="1"/>
  <c r="AF9" i="18" s="1"/>
  <c r="AG9" i="18" s="1"/>
  <c r="AH9" i="18" s="1"/>
  <c r="AI9" i="18" s="1"/>
  <c r="AJ9" i="18" s="1"/>
  <c r="AK9" i="18" s="1"/>
  <c r="AL9" i="18" s="1"/>
  <c r="AM9" i="18" s="1"/>
  <c r="AN9" i="18" s="1"/>
  <c r="AO9" i="18" s="1"/>
  <c r="AP9" i="18" s="1"/>
  <c r="AQ9" i="18" s="1"/>
  <c r="AR9" i="18" s="1"/>
  <c r="AS9" i="18" s="1"/>
  <c r="DW185" i="16"/>
  <c r="DO185" i="16"/>
  <c r="DG185" i="16"/>
  <c r="M90" i="16"/>
  <c r="M86" i="16"/>
  <c r="M87" i="16"/>
  <c r="N87" i="16" s="1"/>
  <c r="O87" i="16" s="1"/>
  <c r="P87" i="16" s="1"/>
  <c r="Q87" i="16" s="1"/>
  <c r="R87" i="16" s="1"/>
  <c r="S87" i="16" s="1"/>
  <c r="T87" i="16" s="1"/>
  <c r="U87" i="16" s="1"/>
  <c r="V87" i="16" s="1"/>
  <c r="W87" i="16" s="1"/>
  <c r="X87" i="16" s="1"/>
  <c r="Y87" i="16" s="1"/>
  <c r="Z87" i="16" s="1"/>
  <c r="AA87" i="16" s="1"/>
  <c r="AB87" i="16" s="1"/>
  <c r="AC87" i="16" s="1"/>
  <c r="AD87" i="16" s="1"/>
  <c r="AE87" i="16" s="1"/>
  <c r="AF87" i="16" s="1"/>
  <c r="M88" i="16"/>
  <c r="M81" i="16" s="1"/>
  <c r="M89" i="16"/>
  <c r="N89" i="16" s="1"/>
  <c r="O89" i="16" s="1"/>
  <c r="P89" i="16" s="1"/>
  <c r="Q89" i="16" s="1"/>
  <c r="R89" i="16" s="1"/>
  <c r="S89" i="16" s="1"/>
  <c r="T89" i="16" s="1"/>
  <c r="U89" i="16" s="1"/>
  <c r="V89" i="16" s="1"/>
  <c r="W89" i="16" s="1"/>
  <c r="X89" i="16" s="1"/>
  <c r="Y89" i="16" s="1"/>
  <c r="Z89" i="16" s="1"/>
  <c r="AA89" i="16" s="1"/>
  <c r="AB89" i="16" s="1"/>
  <c r="AC89" i="16" s="1"/>
  <c r="AD89" i="16" s="1"/>
  <c r="AE89" i="16" s="1"/>
  <c r="AF89" i="16" s="1"/>
  <c r="B86" i="16"/>
  <c r="B87" i="16"/>
  <c r="B88" i="16"/>
  <c r="B89" i="16"/>
  <c r="C89" i="16" s="1"/>
  <c r="D89" i="16" s="1"/>
  <c r="E89" i="16" s="1"/>
  <c r="F89" i="16" s="1"/>
  <c r="G89" i="16" s="1"/>
  <c r="H89" i="16" s="1"/>
  <c r="I89" i="16" s="1"/>
  <c r="J89" i="16" s="1"/>
  <c r="K89" i="16" s="1"/>
  <c r="L89" i="16" s="1"/>
  <c r="B90" i="16"/>
  <c r="C90" i="16" s="1"/>
  <c r="D90" i="16" s="1"/>
  <c r="E90" i="16" s="1"/>
  <c r="F90" i="16" s="1"/>
  <c r="G90" i="16" s="1"/>
  <c r="H90" i="16" s="1"/>
  <c r="I90" i="16" s="1"/>
  <c r="J90" i="16" s="1"/>
  <c r="K90" i="16" s="1"/>
  <c r="L90" i="16" s="1"/>
  <c r="M85" i="16"/>
  <c r="M78" i="16" s="1"/>
  <c r="B85" i="16"/>
  <c r="C85" i="16" s="1"/>
  <c r="N88" i="16"/>
  <c r="O88" i="16" s="1"/>
  <c r="P88" i="16" s="1"/>
  <c r="Q88" i="16" s="1"/>
  <c r="R88" i="16" s="1"/>
  <c r="S88" i="16" s="1"/>
  <c r="T88" i="16" s="1"/>
  <c r="U88" i="16" s="1"/>
  <c r="V88" i="16" s="1"/>
  <c r="W88" i="16" s="1"/>
  <c r="X88" i="16" s="1"/>
  <c r="Y88" i="16" s="1"/>
  <c r="Z88" i="16" s="1"/>
  <c r="AA88" i="16" s="1"/>
  <c r="AB88" i="16" s="1"/>
  <c r="AC88" i="16" s="1"/>
  <c r="AD88" i="16" s="1"/>
  <c r="AE88" i="16" s="1"/>
  <c r="AF88" i="16" s="1"/>
  <c r="N90" i="16"/>
  <c r="O90" i="16" s="1"/>
  <c r="P90" i="16" s="1"/>
  <c r="Q90" i="16" s="1"/>
  <c r="R90" i="16" s="1"/>
  <c r="S90" i="16" s="1"/>
  <c r="T90" i="16" s="1"/>
  <c r="U90" i="16" s="1"/>
  <c r="V90" i="16" s="1"/>
  <c r="W90" i="16" s="1"/>
  <c r="X90" i="16" s="1"/>
  <c r="Y90" i="16" s="1"/>
  <c r="Z90" i="16" s="1"/>
  <c r="AA90" i="16" s="1"/>
  <c r="AB90" i="16" s="1"/>
  <c r="AC90" i="16" s="1"/>
  <c r="AD90" i="16" s="1"/>
  <c r="AE90" i="16" s="1"/>
  <c r="AF90" i="16" s="1"/>
  <c r="C87" i="16"/>
  <c r="D87" i="16" s="1"/>
  <c r="E87" i="16" s="1"/>
  <c r="F87" i="16" s="1"/>
  <c r="G87" i="16" s="1"/>
  <c r="H87" i="16" s="1"/>
  <c r="I87" i="16" s="1"/>
  <c r="J87" i="16" s="1"/>
  <c r="K87" i="16" s="1"/>
  <c r="L87" i="16" s="1"/>
  <c r="A90" i="16"/>
  <c r="A86" i="16"/>
  <c r="A87" i="16"/>
  <c r="A88" i="16"/>
  <c r="A89" i="16"/>
  <c r="A85" i="16"/>
  <c r="D77" i="16"/>
  <c r="E77" i="16" s="1"/>
  <c r="F77" i="16" s="1"/>
  <c r="G77" i="16" s="1"/>
  <c r="H77" i="16" s="1"/>
  <c r="I77" i="16" s="1"/>
  <c r="J77" i="16" s="1"/>
  <c r="K77" i="16" s="1"/>
  <c r="L77" i="16" s="1"/>
  <c r="M77" i="16" s="1"/>
  <c r="N77" i="16" s="1"/>
  <c r="O77" i="16" s="1"/>
  <c r="P77" i="16" s="1"/>
  <c r="Q77" i="16" s="1"/>
  <c r="R77" i="16" s="1"/>
  <c r="S77" i="16" s="1"/>
  <c r="T77" i="16" s="1"/>
  <c r="U77" i="16" s="1"/>
  <c r="V77" i="16" s="1"/>
  <c r="W77" i="16" s="1"/>
  <c r="X77" i="16" s="1"/>
  <c r="Y77" i="16" s="1"/>
  <c r="Z77" i="16" s="1"/>
  <c r="AA77" i="16" s="1"/>
  <c r="AB77" i="16" s="1"/>
  <c r="AC77" i="16" s="1"/>
  <c r="AD77" i="16" s="1"/>
  <c r="AE77" i="16" s="1"/>
  <c r="AF77" i="16" s="1"/>
  <c r="C77" i="16"/>
  <c r="AH566" i="11" l="1"/>
  <c r="AE460" i="11"/>
  <c r="AE302" i="11"/>
  <c r="AE300" i="11"/>
  <c r="AE320" i="11" s="1"/>
  <c r="AE303" i="11"/>
  <c r="AE304" i="11"/>
  <c r="AE301" i="11"/>
  <c r="AE40" i="11"/>
  <c r="AF300" i="11"/>
  <c r="AF320" i="11" s="1"/>
  <c r="AF302" i="11"/>
  <c r="AF304" i="11"/>
  <c r="AF301" i="11"/>
  <c r="AF303" i="11"/>
  <c r="AE43" i="11"/>
  <c r="AH567" i="11"/>
  <c r="AE42" i="11"/>
  <c r="AE44" i="11"/>
  <c r="AE463" i="11"/>
  <c r="AE461" i="11"/>
  <c r="AE41" i="11"/>
  <c r="AE464" i="11"/>
  <c r="AI564" i="11"/>
  <c r="AI568" i="11"/>
  <c r="AI567" i="11"/>
  <c r="AI566" i="11"/>
  <c r="AI565" i="11"/>
  <c r="AE497" i="11"/>
  <c r="AE536" i="11" s="1"/>
  <c r="AF464" i="11"/>
  <c r="AF463" i="11"/>
  <c r="AF461" i="11"/>
  <c r="AF460" i="11"/>
  <c r="AF462" i="11"/>
  <c r="AG489" i="11"/>
  <c r="AF533" i="11"/>
  <c r="AG495" i="11"/>
  <c r="AF535" i="11"/>
  <c r="AG492" i="11"/>
  <c r="AF534" i="11"/>
  <c r="AG517" i="11"/>
  <c r="AF543" i="11"/>
  <c r="AF546" i="11"/>
  <c r="AG526" i="11"/>
  <c r="AF529" i="11"/>
  <c r="AF497" i="11" s="1"/>
  <c r="AE547" i="11"/>
  <c r="AG520" i="11"/>
  <c r="AF544" i="11"/>
  <c r="AG514" i="11"/>
  <c r="AF542" i="11"/>
  <c r="AG523" i="11"/>
  <c r="AF545" i="11"/>
  <c r="AF537" i="11"/>
  <c r="AG500" i="11"/>
  <c r="AG508" i="11"/>
  <c r="AF540" i="11"/>
  <c r="AF444" i="11"/>
  <c r="AG432" i="11"/>
  <c r="AF442" i="11"/>
  <c r="AG429" i="11"/>
  <c r="AG426" i="11"/>
  <c r="AG441" i="11" s="1"/>
  <c r="AF437" i="11"/>
  <c r="AF443" i="11" s="1"/>
  <c r="I44" i="11"/>
  <c r="AJ75" i="11"/>
  <c r="AJ73" i="11"/>
  <c r="AJ74" i="11"/>
  <c r="AH84" i="11"/>
  <c r="AI83" i="11"/>
  <c r="AI80" i="11"/>
  <c r="AI82" i="11"/>
  <c r="AI79" i="11"/>
  <c r="AI81" i="11"/>
  <c r="AG115" i="11"/>
  <c r="AG117" i="11" s="1"/>
  <c r="AG127" i="11"/>
  <c r="AG129" i="11" s="1"/>
  <c r="AF190" i="11"/>
  <c r="AG105" i="11"/>
  <c r="AG108" i="11" s="1"/>
  <c r="AG95" i="11"/>
  <c r="AG98" i="11" s="1"/>
  <c r="AF191" i="11"/>
  <c r="E44" i="13"/>
  <c r="F43" i="13"/>
  <c r="G43" i="13"/>
  <c r="H43" i="13"/>
  <c r="I43" i="13"/>
  <c r="J43" i="13"/>
  <c r="K43" i="13"/>
  <c r="L43" i="13"/>
  <c r="M43" i="13"/>
  <c r="N43" i="13"/>
  <c r="O43" i="13"/>
  <c r="P43" i="13"/>
  <c r="Q43" i="13"/>
  <c r="R43" i="13"/>
  <c r="S43" i="13"/>
  <c r="T43" i="13"/>
  <c r="U43" i="13"/>
  <c r="V43" i="13"/>
  <c r="W43" i="13"/>
  <c r="X43" i="13"/>
  <c r="Y43" i="13"/>
  <c r="Z43" i="13"/>
  <c r="AA43" i="13"/>
  <c r="AB43" i="13"/>
  <c r="AC43" i="13"/>
  <c r="AD43" i="13"/>
  <c r="AE43" i="13"/>
  <c r="AF43" i="13"/>
  <c r="AG43" i="13"/>
  <c r="AH43" i="13"/>
  <c r="AI43" i="13"/>
  <c r="AJ43" i="13"/>
  <c r="AK43" i="13"/>
  <c r="F11" i="17"/>
  <c r="E187" i="20"/>
  <c r="F188" i="20"/>
  <c r="AQ980" i="20"/>
  <c r="G177" i="20" s="1"/>
  <c r="AP976" i="20"/>
  <c r="AQ901" i="20"/>
  <c r="AQ951" i="20"/>
  <c r="AQ964" i="20"/>
  <c r="AQ970" i="20"/>
  <c r="AR889" i="20"/>
  <c r="AR895" i="20"/>
  <c r="AQ982" i="20"/>
  <c r="G179" i="20" s="1"/>
  <c r="AQ983" i="20"/>
  <c r="G180" i="20" s="1"/>
  <c r="AP876" i="20"/>
  <c r="AQ988" i="20"/>
  <c r="G185" i="20" s="1"/>
  <c r="AQ981" i="20"/>
  <c r="G178" i="20" s="1"/>
  <c r="AQ987" i="20"/>
  <c r="G184" i="20" s="1"/>
  <c r="AQ864" i="20"/>
  <c r="AQ870" i="20"/>
  <c r="AP991" i="20"/>
  <c r="AQ990" i="20"/>
  <c r="AQ989" i="20"/>
  <c r="G186" i="20" s="1"/>
  <c r="AQ986" i="20"/>
  <c r="G183" i="20" s="1"/>
  <c r="AQ985" i="20"/>
  <c r="G182" i="20" s="1"/>
  <c r="AQ984" i="20"/>
  <c r="G181" i="20" s="1"/>
  <c r="AS905" i="20"/>
  <c r="AS930" i="20"/>
  <c r="AT285" i="20"/>
  <c r="AT275" i="20"/>
  <c r="AT431" i="20"/>
  <c r="AU431" i="20" s="1"/>
  <c r="AV431" i="20" s="1"/>
  <c r="AW431" i="20" s="1"/>
  <c r="AX431" i="20" s="1"/>
  <c r="AY431" i="20" s="1"/>
  <c r="AZ431" i="20" s="1"/>
  <c r="BA431" i="20" s="1"/>
  <c r="BB431" i="20" s="1"/>
  <c r="BC431" i="20" s="1"/>
  <c r="BD431" i="20" s="1"/>
  <c r="BE431" i="20" s="1"/>
  <c r="BF431" i="20" s="1"/>
  <c r="BG431" i="20" s="1"/>
  <c r="BH431" i="20" s="1"/>
  <c r="BI431" i="20" s="1"/>
  <c r="BJ431" i="20" s="1"/>
  <c r="BK431" i="20" s="1"/>
  <c r="BL431" i="20" s="1"/>
  <c r="BM431" i="20" s="1"/>
  <c r="BN431" i="20" s="1"/>
  <c r="AT374" i="20"/>
  <c r="AU374" i="20" s="1"/>
  <c r="AV374" i="20" s="1"/>
  <c r="AW374" i="20" s="1"/>
  <c r="AX374" i="20" s="1"/>
  <c r="AY374" i="20" s="1"/>
  <c r="AZ374" i="20" s="1"/>
  <c r="BA374" i="20" s="1"/>
  <c r="BB374" i="20" s="1"/>
  <c r="BC374" i="20" s="1"/>
  <c r="BD374" i="20" s="1"/>
  <c r="BE374" i="20" s="1"/>
  <c r="BF374" i="20" s="1"/>
  <c r="BG374" i="20" s="1"/>
  <c r="BH374" i="20" s="1"/>
  <c r="BI374" i="20" s="1"/>
  <c r="BJ374" i="20" s="1"/>
  <c r="BK374" i="20" s="1"/>
  <c r="BL374" i="20" s="1"/>
  <c r="BM374" i="20" s="1"/>
  <c r="BN374" i="20" s="1"/>
  <c r="AT255" i="20"/>
  <c r="AU255" i="20" s="1"/>
  <c r="AV255" i="20" s="1"/>
  <c r="AW255" i="20" s="1"/>
  <c r="AX255" i="20" s="1"/>
  <c r="AY255" i="20" s="1"/>
  <c r="AZ255" i="20" s="1"/>
  <c r="BA255" i="20" s="1"/>
  <c r="BB255" i="20" s="1"/>
  <c r="BC255" i="20" s="1"/>
  <c r="BD255" i="20" s="1"/>
  <c r="BE255" i="20" s="1"/>
  <c r="BF255" i="20" s="1"/>
  <c r="BG255" i="20" s="1"/>
  <c r="BH255" i="20" s="1"/>
  <c r="BI255" i="20" s="1"/>
  <c r="BJ255" i="20" s="1"/>
  <c r="BK255" i="20" s="1"/>
  <c r="BL255" i="20" s="1"/>
  <c r="BM255" i="20" s="1"/>
  <c r="BN255" i="20" s="1"/>
  <c r="AR855" i="20"/>
  <c r="AR230" i="20"/>
  <c r="AR990" i="20" s="1"/>
  <c r="AS855" i="20"/>
  <c r="AT515" i="20"/>
  <c r="AU515" i="20" s="1"/>
  <c r="AV515" i="20" s="1"/>
  <c r="AW515" i="20" s="1"/>
  <c r="AX515" i="20" s="1"/>
  <c r="AY515" i="20" s="1"/>
  <c r="AZ515" i="20" s="1"/>
  <c r="BA515" i="20" s="1"/>
  <c r="BB515" i="20" s="1"/>
  <c r="BC515" i="20" s="1"/>
  <c r="BD515" i="20" s="1"/>
  <c r="BE515" i="20" s="1"/>
  <c r="BF515" i="20" s="1"/>
  <c r="BG515" i="20" s="1"/>
  <c r="BH515" i="20" s="1"/>
  <c r="BI515" i="20" s="1"/>
  <c r="BJ515" i="20" s="1"/>
  <c r="BK515" i="20" s="1"/>
  <c r="BL515" i="20" s="1"/>
  <c r="BM515" i="20" s="1"/>
  <c r="BN515" i="20" s="1"/>
  <c r="AT526" i="20"/>
  <c r="AQ926" i="20"/>
  <c r="AS880" i="20"/>
  <c r="AS776" i="20"/>
  <c r="AS891" i="20" s="1"/>
  <c r="AS765" i="20"/>
  <c r="AS890" i="20" s="1"/>
  <c r="AS754" i="20"/>
  <c r="AQ857" i="20"/>
  <c r="AT265" i="20"/>
  <c r="AU265" i="20" s="1"/>
  <c r="AV265" i="20" s="1"/>
  <c r="AW265" i="20" s="1"/>
  <c r="AX265" i="20" s="1"/>
  <c r="AY265" i="20" s="1"/>
  <c r="AZ265" i="20" s="1"/>
  <c r="BA265" i="20" s="1"/>
  <c r="BB265" i="20" s="1"/>
  <c r="BC265" i="20" s="1"/>
  <c r="BD265" i="20" s="1"/>
  <c r="BE265" i="20" s="1"/>
  <c r="BF265" i="20" s="1"/>
  <c r="BG265" i="20" s="1"/>
  <c r="BH265" i="20" s="1"/>
  <c r="BI265" i="20" s="1"/>
  <c r="BJ265" i="20" s="1"/>
  <c r="BK265" i="20" s="1"/>
  <c r="BL265" i="20" s="1"/>
  <c r="BM265" i="20" s="1"/>
  <c r="BN265" i="20" s="1"/>
  <c r="AT43" i="20"/>
  <c r="AT799" i="20"/>
  <c r="AR829" i="20"/>
  <c r="AS788" i="20"/>
  <c r="AR796" i="20"/>
  <c r="AR784" i="20"/>
  <c r="AR869" i="20" s="1"/>
  <c r="AR751" i="20"/>
  <c r="AR866" i="20" s="1"/>
  <c r="AR773" i="20"/>
  <c r="AR868" i="20" s="1"/>
  <c r="AS732" i="20"/>
  <c r="AR740" i="20"/>
  <c r="AR865" i="20" s="1"/>
  <c r="AR818" i="20"/>
  <c r="AR762" i="20"/>
  <c r="AR867" i="20" s="1"/>
  <c r="AR840" i="20"/>
  <c r="AR965" i="20" s="1"/>
  <c r="AS721" i="20"/>
  <c r="AR729" i="20"/>
  <c r="AR851" i="20"/>
  <c r="AR966" i="20" s="1"/>
  <c r="AR807" i="20"/>
  <c r="AR645" i="20"/>
  <c r="AR656" i="20"/>
  <c r="AR958" i="20" s="1"/>
  <c r="AR623" i="20"/>
  <c r="AR634" i="20"/>
  <c r="AR678" i="20"/>
  <c r="AR667" i="20"/>
  <c r="AR959" i="20" s="1"/>
  <c r="AS537" i="20"/>
  <c r="AR545" i="20"/>
  <c r="AR534" i="20"/>
  <c r="AR859" i="20" s="1"/>
  <c r="AR944" i="20" s="1"/>
  <c r="AR951" i="20" s="1"/>
  <c r="AR567" i="20"/>
  <c r="AS559" i="20"/>
  <c r="AS884" i="20" s="1"/>
  <c r="AS969" i="20" s="1"/>
  <c r="AR578" i="20"/>
  <c r="AS570" i="20"/>
  <c r="AS548" i="20"/>
  <c r="AS883" i="20" s="1"/>
  <c r="AR556" i="20"/>
  <c r="AR432" i="20"/>
  <c r="AR907" i="20" s="1"/>
  <c r="AR926" i="20" s="1"/>
  <c r="AS424" i="20"/>
  <c r="AR472" i="20"/>
  <c r="AS464" i="20"/>
  <c r="AS444" i="20"/>
  <c r="AR452" i="20"/>
  <c r="AR462" i="20"/>
  <c r="AS454" i="20"/>
  <c r="AR442" i="20"/>
  <c r="AS434" i="20"/>
  <c r="AS414" i="20"/>
  <c r="AR422" i="20"/>
  <c r="AR335" i="20"/>
  <c r="AS327" i="20"/>
  <c r="AR325" i="20"/>
  <c r="AS317" i="20"/>
  <c r="AS297" i="20"/>
  <c r="AR305" i="20"/>
  <c r="AR345" i="20"/>
  <c r="AS337" i="20"/>
  <c r="AS347" i="20"/>
  <c r="AR355" i="20"/>
  <c r="AS307" i="20"/>
  <c r="AR315" i="20"/>
  <c r="AS384" i="20"/>
  <c r="AR392" i="20"/>
  <c r="AS394" i="20"/>
  <c r="AR402" i="20"/>
  <c r="AS404" i="20"/>
  <c r="AR412" i="20"/>
  <c r="AR382" i="20"/>
  <c r="AS263" i="20"/>
  <c r="AS856" i="20" s="1"/>
  <c r="AS177" i="20"/>
  <c r="AS226" i="20" s="1"/>
  <c r="AS151" i="20"/>
  <c r="AS224" i="20" s="1"/>
  <c r="AS216" i="20"/>
  <c r="AS229" i="20" s="1"/>
  <c r="AS203" i="20"/>
  <c r="AS228" i="20" s="1"/>
  <c r="AS190" i="20"/>
  <c r="AS227" i="20" s="1"/>
  <c r="AS164" i="20"/>
  <c r="AS225" i="20" s="1"/>
  <c r="AT143" i="20"/>
  <c r="AT195" i="20"/>
  <c r="AT156" i="20"/>
  <c r="AT169" i="20"/>
  <c r="AT208" i="20"/>
  <c r="AT182" i="20"/>
  <c r="AB78" i="18"/>
  <c r="Z78" i="18"/>
  <c r="AJ78" i="18"/>
  <c r="AR78" i="18"/>
  <c r="AD78" i="18"/>
  <c r="AL78" i="18"/>
  <c r="AI78" i="18"/>
  <c r="AQ78" i="18"/>
  <c r="AE78" i="18"/>
  <c r="AM78" i="18"/>
  <c r="AG78" i="18"/>
  <c r="AO78" i="18"/>
  <c r="AH78" i="18"/>
  <c r="AP78" i="18"/>
  <c r="AC78" i="18"/>
  <c r="AK78" i="18"/>
  <c r="AA78" i="18"/>
  <c r="AF78" i="18"/>
  <c r="AN78" i="18"/>
  <c r="Y78" i="18"/>
  <c r="AT99" i="20"/>
  <c r="AT79" i="20"/>
  <c r="AT61" i="20"/>
  <c r="AU5" i="20"/>
  <c r="BF4" i="20"/>
  <c r="AF41" i="11"/>
  <c r="AF40" i="11"/>
  <c r="AF42" i="11"/>
  <c r="AF43" i="11"/>
  <c r="AF44" i="11"/>
  <c r="AG36" i="11"/>
  <c r="AG34" i="11"/>
  <c r="AG35" i="11"/>
  <c r="AG585" i="11"/>
  <c r="AH5" i="11"/>
  <c r="AP51" i="11"/>
  <c r="AO55" i="11"/>
  <c r="AE45" i="18"/>
  <c r="AB45" i="18"/>
  <c r="U45" i="18"/>
  <c r="AH45" i="18"/>
  <c r="AD45" i="18"/>
  <c r="AI45" i="18"/>
  <c r="AF45" i="18"/>
  <c r="Y45" i="18"/>
  <c r="V45" i="18"/>
  <c r="W45" i="18"/>
  <c r="T45" i="18"/>
  <c r="AJ45" i="18"/>
  <c r="AC45" i="18"/>
  <c r="Z45" i="18"/>
  <c r="Q45" i="18"/>
  <c r="Q79" i="18" s="1"/>
  <c r="AA45" i="18"/>
  <c r="X45" i="18"/>
  <c r="S45" i="18"/>
  <c r="AG45" i="18"/>
  <c r="R45" i="18"/>
  <c r="R79" i="18" s="1"/>
  <c r="N46" i="18"/>
  <c r="DY185" i="16"/>
  <c r="AA14" i="18"/>
  <c r="AA13" i="18"/>
  <c r="AB15" i="18"/>
  <c r="AA10" i="18"/>
  <c r="Z16" i="18"/>
  <c r="AB11" i="18"/>
  <c r="AA12" i="18"/>
  <c r="DZ185" i="16"/>
  <c r="C83" i="16"/>
  <c r="D83" i="16" s="1"/>
  <c r="E83" i="16" s="1"/>
  <c r="F83" i="16" s="1"/>
  <c r="G83" i="16" s="1"/>
  <c r="H83" i="16" s="1"/>
  <c r="I83" i="16" s="1"/>
  <c r="J83" i="16" s="1"/>
  <c r="K83" i="16" s="1"/>
  <c r="M83" i="16"/>
  <c r="N83" i="16" s="1"/>
  <c r="O83" i="16" s="1"/>
  <c r="P83" i="16" s="1"/>
  <c r="Q83" i="16" s="1"/>
  <c r="R83" i="16" s="1"/>
  <c r="S83" i="16" s="1"/>
  <c r="T83" i="16" s="1"/>
  <c r="U83" i="16" s="1"/>
  <c r="N81" i="16"/>
  <c r="O81" i="16" s="1"/>
  <c r="P81" i="16" s="1"/>
  <c r="Q81" i="16" s="1"/>
  <c r="R81" i="16" s="1"/>
  <c r="S81" i="16" s="1"/>
  <c r="T81" i="16" s="1"/>
  <c r="U81" i="16" s="1"/>
  <c r="W83" i="16"/>
  <c r="X83" i="16" s="1"/>
  <c r="Y83" i="16" s="1"/>
  <c r="Z83" i="16" s="1"/>
  <c r="AA83" i="16" s="1"/>
  <c r="AB83" i="16" s="1"/>
  <c r="AC83" i="16" s="1"/>
  <c r="AD83" i="16" s="1"/>
  <c r="AE83" i="16" s="1"/>
  <c r="AF83" i="16" s="1"/>
  <c r="DV185" i="16"/>
  <c r="DU185" i="16"/>
  <c r="DX185" i="16"/>
  <c r="M79" i="16"/>
  <c r="N86" i="16"/>
  <c r="O86" i="16" s="1"/>
  <c r="P86" i="16" s="1"/>
  <c r="Q86" i="16" s="1"/>
  <c r="R86" i="16" s="1"/>
  <c r="S86" i="16" s="1"/>
  <c r="T86" i="16" s="1"/>
  <c r="U86" i="16" s="1"/>
  <c r="V86" i="16" s="1"/>
  <c r="W86" i="16" s="1"/>
  <c r="X86" i="16" s="1"/>
  <c r="Y86" i="16" s="1"/>
  <c r="Z86" i="16" s="1"/>
  <c r="AA86" i="16" s="1"/>
  <c r="AB86" i="16" s="1"/>
  <c r="AC86" i="16" s="1"/>
  <c r="AD86" i="16" s="1"/>
  <c r="AE86" i="16" s="1"/>
  <c r="AF86" i="16" s="1"/>
  <c r="W81" i="16"/>
  <c r="X81" i="16" s="1"/>
  <c r="Y81" i="16" s="1"/>
  <c r="Z81" i="16" s="1"/>
  <c r="AA81" i="16" s="1"/>
  <c r="AB81" i="16" s="1"/>
  <c r="AC81" i="16" s="1"/>
  <c r="AD81" i="16" s="1"/>
  <c r="AE81" i="16" s="1"/>
  <c r="AF81" i="16" s="1"/>
  <c r="DQ185" i="16"/>
  <c r="DM185" i="16"/>
  <c r="DR185" i="16"/>
  <c r="C80" i="16"/>
  <c r="D80" i="16" s="1"/>
  <c r="W80" i="16"/>
  <c r="X80" i="16" s="1"/>
  <c r="Y80" i="16" s="1"/>
  <c r="Z80" i="16" s="1"/>
  <c r="AA80" i="16" s="1"/>
  <c r="AB80" i="16" s="1"/>
  <c r="AC80" i="16" s="1"/>
  <c r="AD80" i="16" s="1"/>
  <c r="AE80" i="16" s="1"/>
  <c r="AF80" i="16" s="1"/>
  <c r="DN185" i="16"/>
  <c r="DT185" i="16"/>
  <c r="M80" i="16"/>
  <c r="N80" i="16" s="1"/>
  <c r="O80" i="16" s="1"/>
  <c r="P80" i="16" s="1"/>
  <c r="Q80" i="16" s="1"/>
  <c r="R80" i="16" s="1"/>
  <c r="S80" i="16" s="1"/>
  <c r="T80" i="16" s="1"/>
  <c r="U80" i="16" s="1"/>
  <c r="DL185" i="16"/>
  <c r="C82" i="16"/>
  <c r="D82" i="16" s="1"/>
  <c r="M82" i="16"/>
  <c r="N82" i="16" s="1"/>
  <c r="O82" i="16" s="1"/>
  <c r="P82" i="16" s="1"/>
  <c r="Q82" i="16" s="1"/>
  <c r="R82" i="16" s="1"/>
  <c r="S82" i="16" s="1"/>
  <c r="T82" i="16" s="1"/>
  <c r="U82" i="16" s="1"/>
  <c r="W82" i="16"/>
  <c r="X82" i="16" s="1"/>
  <c r="Y82" i="16" s="1"/>
  <c r="Z82" i="16" s="1"/>
  <c r="AA82" i="16" s="1"/>
  <c r="AB82" i="16" s="1"/>
  <c r="AC82" i="16" s="1"/>
  <c r="AD82" i="16" s="1"/>
  <c r="AE82" i="16" s="1"/>
  <c r="AF82" i="16" s="1"/>
  <c r="W79" i="16"/>
  <c r="X79" i="16" s="1"/>
  <c r="Y79" i="16" s="1"/>
  <c r="Z79" i="16" s="1"/>
  <c r="AA79" i="16" s="1"/>
  <c r="AB79" i="16" s="1"/>
  <c r="AC79" i="16" s="1"/>
  <c r="AD79" i="16" s="1"/>
  <c r="AE79" i="16" s="1"/>
  <c r="AF79" i="16" s="1"/>
  <c r="N85" i="16"/>
  <c r="O85" i="16" s="1"/>
  <c r="P85" i="16" s="1"/>
  <c r="Q85" i="16" s="1"/>
  <c r="R85" i="16" s="1"/>
  <c r="S85" i="16" s="1"/>
  <c r="T85" i="16" s="1"/>
  <c r="U85" i="16" s="1"/>
  <c r="V85" i="16" s="1"/>
  <c r="W85" i="16" s="1"/>
  <c r="D85" i="16"/>
  <c r="C78" i="16"/>
  <c r="AG302" i="11" l="1"/>
  <c r="AG303" i="11"/>
  <c r="AG301" i="11"/>
  <c r="AG300" i="11"/>
  <c r="AG320" i="11" s="1"/>
  <c r="AG304" i="11"/>
  <c r="AE45" i="11"/>
  <c r="AJ567" i="11"/>
  <c r="AJ568" i="11"/>
  <c r="AJ564" i="11"/>
  <c r="AJ566" i="11"/>
  <c r="AJ565" i="11"/>
  <c r="AE530" i="11"/>
  <c r="AG460" i="11"/>
  <c r="AG461" i="11"/>
  <c r="AG462" i="11"/>
  <c r="AG464" i="11"/>
  <c r="AG463" i="11"/>
  <c r="AF536" i="11"/>
  <c r="AH508" i="11"/>
  <c r="AG540" i="11"/>
  <c r="AH523" i="11"/>
  <c r="AG545" i="11"/>
  <c r="AG537" i="11"/>
  <c r="AH500" i="11"/>
  <c r="AH514" i="11"/>
  <c r="AG542" i="11"/>
  <c r="AG529" i="11"/>
  <c r="AG497" i="11" s="1"/>
  <c r="G216" i="11" s="1"/>
  <c r="AF547" i="11"/>
  <c r="AH517" i="11"/>
  <c r="AG543" i="11"/>
  <c r="AH495" i="11"/>
  <c r="AG535" i="11"/>
  <c r="AG546" i="11"/>
  <c r="AH526" i="11"/>
  <c r="AH489" i="11"/>
  <c r="AG533" i="11"/>
  <c r="AH520" i="11"/>
  <c r="AG544" i="11"/>
  <c r="AH492" i="11"/>
  <c r="AG534" i="11"/>
  <c r="AF505" i="11"/>
  <c r="AF539" i="11" s="1"/>
  <c r="AG444" i="11"/>
  <c r="AH432" i="11"/>
  <c r="AG442" i="11"/>
  <c r="AH429" i="11"/>
  <c r="AH426" i="11"/>
  <c r="AH441" i="11" s="1"/>
  <c r="AG437" i="11"/>
  <c r="AG443" i="11" s="1"/>
  <c r="AJ79" i="11"/>
  <c r="AJ81" i="11"/>
  <c r="AJ83" i="11"/>
  <c r="AJ80" i="11"/>
  <c r="AJ82" i="11"/>
  <c r="AI84" i="11"/>
  <c r="AK75" i="11"/>
  <c r="AK74" i="11"/>
  <c r="AK73" i="11"/>
  <c r="I45" i="11"/>
  <c r="AH115" i="11"/>
  <c r="AH117" i="11" s="1"/>
  <c r="AH127" i="11"/>
  <c r="AH129" i="11" s="1"/>
  <c r="AH105" i="11"/>
  <c r="AH108" i="11" s="1"/>
  <c r="AH95" i="11"/>
  <c r="AH98" i="11" s="1"/>
  <c r="AG190" i="11"/>
  <c r="AG191" i="11"/>
  <c r="E45" i="13"/>
  <c r="F44" i="13"/>
  <c r="G44" i="13"/>
  <c r="H44" i="13"/>
  <c r="I44" i="13"/>
  <c r="J44" i="13"/>
  <c r="K44" i="13"/>
  <c r="L44" i="13"/>
  <c r="M44" i="13"/>
  <c r="N44" i="13"/>
  <c r="O44" i="13"/>
  <c r="P44" i="13"/>
  <c r="Q44" i="13"/>
  <c r="R44" i="13"/>
  <c r="S44" i="13"/>
  <c r="T44" i="13"/>
  <c r="U44" i="13"/>
  <c r="V44" i="13"/>
  <c r="W44" i="13"/>
  <c r="X44" i="13"/>
  <c r="Y44" i="13"/>
  <c r="Z44" i="13"/>
  <c r="AA44" i="13"/>
  <c r="AB44" i="13"/>
  <c r="AC44" i="13"/>
  <c r="AD44" i="13"/>
  <c r="AE44" i="13"/>
  <c r="AF44" i="13"/>
  <c r="AG44" i="13"/>
  <c r="AH44" i="13"/>
  <c r="AI44" i="13"/>
  <c r="AJ44" i="13"/>
  <c r="AK44" i="13"/>
  <c r="H188" i="20"/>
  <c r="G188" i="20"/>
  <c r="G11" i="17"/>
  <c r="F187" i="20"/>
  <c r="AR901" i="20"/>
  <c r="AU526" i="20"/>
  <c r="AR980" i="20"/>
  <c r="H177" i="20" s="1"/>
  <c r="AQ976" i="20"/>
  <c r="AR964" i="20"/>
  <c r="AR970" i="20"/>
  <c r="AS889" i="20"/>
  <c r="AS895" i="20"/>
  <c r="AR987" i="20"/>
  <c r="H184" i="20" s="1"/>
  <c r="AQ876" i="20"/>
  <c r="AR983" i="20"/>
  <c r="H180" i="20" s="1"/>
  <c r="AR981" i="20"/>
  <c r="H178" i="20" s="1"/>
  <c r="AR989" i="20"/>
  <c r="H186" i="20" s="1"/>
  <c r="AR864" i="20"/>
  <c r="AR870" i="20"/>
  <c r="AR982" i="20"/>
  <c r="H179" i="20" s="1"/>
  <c r="AR985" i="20"/>
  <c r="H182" i="20" s="1"/>
  <c r="AR988" i="20"/>
  <c r="H185" i="20" s="1"/>
  <c r="AR986" i="20"/>
  <c r="H183" i="20" s="1"/>
  <c r="AQ991" i="20"/>
  <c r="AR984" i="20"/>
  <c r="H181" i="20" s="1"/>
  <c r="AS230" i="20"/>
  <c r="AU275" i="20"/>
  <c r="AT283" i="20"/>
  <c r="AU285" i="20"/>
  <c r="AT293" i="20"/>
  <c r="AT765" i="20"/>
  <c r="AT890" i="20" s="1"/>
  <c r="AT754" i="20"/>
  <c r="AT776" i="20"/>
  <c r="AT891" i="20" s="1"/>
  <c r="AS523" i="20"/>
  <c r="AS858" i="20" s="1"/>
  <c r="AR857" i="20"/>
  <c r="AT216" i="20"/>
  <c r="AT229" i="20" s="1"/>
  <c r="C42" i="20"/>
  <c r="G42" i="20"/>
  <c r="B157" i="20"/>
  <c r="D42" i="20"/>
  <c r="H42" i="20"/>
  <c r="B42" i="20"/>
  <c r="J157" i="20"/>
  <c r="E42" i="20"/>
  <c r="I42" i="20"/>
  <c r="F42" i="20"/>
  <c r="AT203" i="20"/>
  <c r="AT228" i="20" s="1"/>
  <c r="C41" i="20"/>
  <c r="D41" i="20"/>
  <c r="E41" i="20"/>
  <c r="I41" i="20"/>
  <c r="J156" i="20"/>
  <c r="F41" i="20"/>
  <c r="B41" i="20"/>
  <c r="G41" i="20"/>
  <c r="H41" i="20"/>
  <c r="B156" i="20"/>
  <c r="AT190" i="20"/>
  <c r="AT227" i="20" s="1"/>
  <c r="C40" i="20"/>
  <c r="G40" i="20"/>
  <c r="D40" i="20"/>
  <c r="H40" i="20"/>
  <c r="J155" i="20"/>
  <c r="E40" i="20"/>
  <c r="I40" i="20"/>
  <c r="B155" i="20"/>
  <c r="F40" i="20"/>
  <c r="B40" i="20"/>
  <c r="AT177" i="20"/>
  <c r="AT226" i="20" s="1"/>
  <c r="C39" i="20"/>
  <c r="G39" i="20"/>
  <c r="J154" i="20"/>
  <c r="B154" i="20"/>
  <c r="D39" i="20"/>
  <c r="H39" i="20"/>
  <c r="B39" i="20"/>
  <c r="E39" i="20"/>
  <c r="I39" i="20"/>
  <c r="F39" i="20"/>
  <c r="AT164" i="20"/>
  <c r="AT225" i="20" s="1"/>
  <c r="C38" i="20"/>
  <c r="G38" i="20"/>
  <c r="B153" i="20"/>
  <c r="I38" i="20"/>
  <c r="F38" i="20"/>
  <c r="B38" i="20"/>
  <c r="D38" i="20"/>
  <c r="H38" i="20"/>
  <c r="E38" i="20"/>
  <c r="J153" i="20"/>
  <c r="AT151" i="20"/>
  <c r="AT224" i="20" s="1"/>
  <c r="C37" i="20"/>
  <c r="G37" i="20"/>
  <c r="B37" i="20"/>
  <c r="D37" i="20"/>
  <c r="H37" i="20"/>
  <c r="E37" i="20"/>
  <c r="I37" i="20"/>
  <c r="B152" i="20"/>
  <c r="J152" i="20" s="1"/>
  <c r="F37" i="20"/>
  <c r="J37" i="20"/>
  <c r="AT107" i="20"/>
  <c r="AT223" i="20" s="1"/>
  <c r="B151" i="20"/>
  <c r="J151" i="20" s="1"/>
  <c r="B31" i="20"/>
  <c r="J31" i="20" s="1"/>
  <c r="AT51" i="20"/>
  <c r="AT220" i="20" s="1"/>
  <c r="B148" i="20"/>
  <c r="J148" i="20" s="1"/>
  <c r="B28" i="20"/>
  <c r="J28" i="20" s="1"/>
  <c r="AT69" i="20"/>
  <c r="AT221" i="20" s="1"/>
  <c r="B149" i="20"/>
  <c r="J149" i="20" s="1"/>
  <c r="B29" i="20"/>
  <c r="J29" i="20" s="1"/>
  <c r="AT87" i="20"/>
  <c r="AT222" i="20" s="1"/>
  <c r="B150" i="20"/>
  <c r="J150" i="20" s="1"/>
  <c r="B30" i="20"/>
  <c r="J30" i="20" s="1"/>
  <c r="AC79" i="18"/>
  <c r="AD79" i="18"/>
  <c r="AH79" i="18"/>
  <c r="AE79" i="18"/>
  <c r="AG79" i="18"/>
  <c r="AF79" i="18"/>
  <c r="AB79" i="18"/>
  <c r="AU799" i="20"/>
  <c r="AT721" i="20"/>
  <c r="AS729" i="20"/>
  <c r="AS762" i="20"/>
  <c r="AS867" i="20" s="1"/>
  <c r="AT732" i="20"/>
  <c r="AS740" i="20"/>
  <c r="AS865" i="20" s="1"/>
  <c r="AT788" i="20"/>
  <c r="AS796" i="20"/>
  <c r="AS751" i="20"/>
  <c r="AS866" i="20" s="1"/>
  <c r="AS851" i="20"/>
  <c r="AS966" i="20" s="1"/>
  <c r="AS840" i="20"/>
  <c r="AS965" i="20" s="1"/>
  <c r="AS818" i="20"/>
  <c r="AS807" i="20"/>
  <c r="AS773" i="20"/>
  <c r="AS868" i="20" s="1"/>
  <c r="AS784" i="20"/>
  <c r="AS869" i="20" s="1"/>
  <c r="AS829" i="20"/>
  <c r="AS656" i="20"/>
  <c r="AS958" i="20" s="1"/>
  <c r="AS667" i="20"/>
  <c r="AS959" i="20" s="1"/>
  <c r="AS678" i="20"/>
  <c r="AS623" i="20"/>
  <c r="AS645" i="20"/>
  <c r="AS634" i="20"/>
  <c r="AS534" i="20"/>
  <c r="AS859" i="20" s="1"/>
  <c r="AS944" i="20" s="1"/>
  <c r="AS951" i="20" s="1"/>
  <c r="AT559" i="20"/>
  <c r="AT884" i="20" s="1"/>
  <c r="AT969" i="20" s="1"/>
  <c r="AS567" i="20"/>
  <c r="AS578" i="20"/>
  <c r="AT570" i="20"/>
  <c r="AS556" i="20"/>
  <c r="AT548" i="20"/>
  <c r="AT883" i="20" s="1"/>
  <c r="AT537" i="20"/>
  <c r="AS545" i="20"/>
  <c r="AT523" i="20"/>
  <c r="AT858" i="20" s="1"/>
  <c r="AS462" i="20"/>
  <c r="AT454" i="20"/>
  <c r="AS472" i="20"/>
  <c r="AT464" i="20"/>
  <c r="AS442" i="20"/>
  <c r="AT434" i="20"/>
  <c r="AS432" i="20"/>
  <c r="AS907" i="20" s="1"/>
  <c r="AS926" i="20" s="1"/>
  <c r="AT424" i="20"/>
  <c r="AT414" i="20"/>
  <c r="AS422" i="20"/>
  <c r="AT444" i="20"/>
  <c r="AS452" i="20"/>
  <c r="AT337" i="20"/>
  <c r="AS345" i="20"/>
  <c r="AS325" i="20"/>
  <c r="AT317" i="20"/>
  <c r="AT307" i="20"/>
  <c r="AS315" i="20"/>
  <c r="AT327" i="20"/>
  <c r="AS335" i="20"/>
  <c r="AT347" i="20"/>
  <c r="AS355" i="20"/>
  <c r="AT297" i="20"/>
  <c r="AS305" i="20"/>
  <c r="AT394" i="20"/>
  <c r="AS402" i="20"/>
  <c r="AT273" i="20"/>
  <c r="AT404" i="20"/>
  <c r="AS412" i="20"/>
  <c r="AT384" i="20"/>
  <c r="AU384" i="20" s="1"/>
  <c r="AV384" i="20" s="1"/>
  <c r="AW384" i="20" s="1"/>
  <c r="AX384" i="20" s="1"/>
  <c r="AY384" i="20" s="1"/>
  <c r="AZ384" i="20" s="1"/>
  <c r="BA384" i="20" s="1"/>
  <c r="BB384" i="20" s="1"/>
  <c r="BC384" i="20" s="1"/>
  <c r="BD384" i="20" s="1"/>
  <c r="BE384" i="20" s="1"/>
  <c r="BF384" i="20" s="1"/>
  <c r="BG384" i="20" s="1"/>
  <c r="BH384" i="20" s="1"/>
  <c r="BI384" i="20" s="1"/>
  <c r="BJ384" i="20" s="1"/>
  <c r="BK384" i="20" s="1"/>
  <c r="BL384" i="20" s="1"/>
  <c r="BM384" i="20" s="1"/>
  <c r="BN384" i="20" s="1"/>
  <c r="AS392" i="20"/>
  <c r="AS382" i="20"/>
  <c r="AU273" i="20"/>
  <c r="AT263" i="20"/>
  <c r="AT856" i="20" s="1"/>
  <c r="AU143" i="20"/>
  <c r="AU151" i="20" s="1"/>
  <c r="AU224" i="20" s="1"/>
  <c r="AU156" i="20"/>
  <c r="AU164" i="20" s="1"/>
  <c r="AU225" i="20" s="1"/>
  <c r="AU195" i="20"/>
  <c r="AU203" i="20" s="1"/>
  <c r="AU228" i="20" s="1"/>
  <c r="AU182" i="20"/>
  <c r="AU190" i="20" s="1"/>
  <c r="AU227" i="20" s="1"/>
  <c r="AU169" i="20"/>
  <c r="AU177" i="20" s="1"/>
  <c r="AU226" i="20" s="1"/>
  <c r="AU208" i="20"/>
  <c r="AU216" i="20" s="1"/>
  <c r="AU229" i="20" s="1"/>
  <c r="AU99" i="20"/>
  <c r="AU107" i="20" s="1"/>
  <c r="AU223" i="20" s="1"/>
  <c r="AU79" i="20"/>
  <c r="AU87" i="20" s="1"/>
  <c r="AU222" i="20" s="1"/>
  <c r="AU61" i="20"/>
  <c r="AU69" i="20" s="1"/>
  <c r="AU221" i="20" s="1"/>
  <c r="AU43" i="20"/>
  <c r="AU51" i="20" s="1"/>
  <c r="AU220" i="20" s="1"/>
  <c r="AV5" i="20"/>
  <c r="BG4" i="20"/>
  <c r="T79" i="18"/>
  <c r="AL79" i="18"/>
  <c r="U79" i="18"/>
  <c r="AM79" i="18"/>
  <c r="S79" i="18"/>
  <c r="AK79" i="18"/>
  <c r="Z79" i="18"/>
  <c r="AR79" i="18"/>
  <c r="W79" i="18"/>
  <c r="AO79" i="18"/>
  <c r="AI79" i="18"/>
  <c r="X79" i="18"/>
  <c r="AP79" i="18"/>
  <c r="V79" i="18"/>
  <c r="AN79" i="18"/>
  <c r="AA79" i="18"/>
  <c r="AS79" i="18"/>
  <c r="AJ79" i="18"/>
  <c r="Y79" i="18"/>
  <c r="AQ79" i="18"/>
  <c r="AG44" i="11"/>
  <c r="AG41" i="11"/>
  <c r="AG42" i="11"/>
  <c r="AG43" i="11"/>
  <c r="AG40" i="11"/>
  <c r="AF45" i="11"/>
  <c r="AH585" i="11"/>
  <c r="AI5" i="11"/>
  <c r="AH35" i="11"/>
  <c r="AH36" i="11"/>
  <c r="AH34" i="11"/>
  <c r="AQ51" i="11"/>
  <c r="AP55" i="11"/>
  <c r="R46" i="18"/>
  <c r="R80" i="18" s="1"/>
  <c r="AH46" i="18"/>
  <c r="AE46" i="18"/>
  <c r="AB46" i="18"/>
  <c r="AB80" i="18" s="1"/>
  <c r="Q46" i="18"/>
  <c r="Q80" i="18" s="1"/>
  <c r="V46" i="18"/>
  <c r="S46" i="18"/>
  <c r="S80" i="18" s="1"/>
  <c r="AI46" i="18"/>
  <c r="AF46" i="18"/>
  <c r="Y46" i="18"/>
  <c r="Y80" i="18" s="1"/>
  <c r="Z46" i="18"/>
  <c r="W46" i="18"/>
  <c r="W80" i="18" s="1"/>
  <c r="T46" i="18"/>
  <c r="T80" i="18" s="1"/>
  <c r="AJ46" i="18"/>
  <c r="AG46" i="18"/>
  <c r="AD46" i="18"/>
  <c r="AD80" i="18" s="1"/>
  <c r="AA46" i="18"/>
  <c r="X46" i="18"/>
  <c r="AC46" i="18"/>
  <c r="AC80" i="18" s="1"/>
  <c r="U46" i="18"/>
  <c r="U80" i="18" s="1"/>
  <c r="N47" i="18"/>
  <c r="DJ185" i="16"/>
  <c r="N79" i="16"/>
  <c r="O79" i="16" s="1"/>
  <c r="P79" i="16" s="1"/>
  <c r="Q79" i="16" s="1"/>
  <c r="R79" i="16" s="1"/>
  <c r="S79" i="16" s="1"/>
  <c r="T79" i="16" s="1"/>
  <c r="U79" i="16" s="1"/>
  <c r="AC11" i="18"/>
  <c r="AB13" i="18"/>
  <c r="AC15" i="18"/>
  <c r="AB14" i="18"/>
  <c r="AB10" i="18"/>
  <c r="AA16" i="18"/>
  <c r="AB12" i="18"/>
  <c r="X85" i="16"/>
  <c r="Y85" i="16" s="1"/>
  <c r="Z85" i="16" s="1"/>
  <c r="AA85" i="16" s="1"/>
  <c r="AB85" i="16" s="1"/>
  <c r="AC85" i="16" s="1"/>
  <c r="AD85" i="16" s="1"/>
  <c r="AE85" i="16" s="1"/>
  <c r="AF85" i="16" s="1"/>
  <c r="W78" i="16"/>
  <c r="X78" i="16" s="1"/>
  <c r="Y78" i="16" s="1"/>
  <c r="Z78" i="16" s="1"/>
  <c r="AA78" i="16" s="1"/>
  <c r="AB78" i="16" s="1"/>
  <c r="AC78" i="16" s="1"/>
  <c r="AD78" i="16" s="1"/>
  <c r="AE78" i="16" s="1"/>
  <c r="AF78" i="16" s="1"/>
  <c r="DF185" i="16"/>
  <c r="DE185" i="16"/>
  <c r="E85" i="16"/>
  <c r="F85" i="16" s="1"/>
  <c r="G85" i="16" s="1"/>
  <c r="H85" i="16" s="1"/>
  <c r="I85" i="16" s="1"/>
  <c r="J85" i="16" s="1"/>
  <c r="K85" i="16" s="1"/>
  <c r="L85" i="16" s="1"/>
  <c r="DD185" i="16"/>
  <c r="D78" i="16"/>
  <c r="DI185" i="16"/>
  <c r="DS185" i="16"/>
  <c r="E82" i="16"/>
  <c r="F82" i="16" s="1"/>
  <c r="G82" i="16" s="1"/>
  <c r="H82" i="16" s="1"/>
  <c r="I82" i="16" s="1"/>
  <c r="J82" i="16" s="1"/>
  <c r="K82" i="16" s="1"/>
  <c r="E80" i="16"/>
  <c r="F80" i="16" s="1"/>
  <c r="G80" i="16" s="1"/>
  <c r="H80" i="16" s="1"/>
  <c r="I80" i="16" s="1"/>
  <c r="J80" i="16" s="1"/>
  <c r="K80" i="16" s="1"/>
  <c r="DK185" i="16"/>
  <c r="N78" i="16"/>
  <c r="O78" i="16" s="1"/>
  <c r="P78" i="16" s="1"/>
  <c r="Q78" i="16" s="1"/>
  <c r="R78" i="16" s="1"/>
  <c r="S78" i="16" s="1"/>
  <c r="T78" i="16" s="1"/>
  <c r="U78" i="16" s="1"/>
  <c r="AH304" i="11" l="1"/>
  <c r="AH302" i="11"/>
  <c r="AH301" i="11"/>
  <c r="AH300" i="11"/>
  <c r="AH320" i="11" s="1"/>
  <c r="AH303" i="11"/>
  <c r="AK566" i="11"/>
  <c r="AK568" i="11"/>
  <c r="AK567" i="11"/>
  <c r="AK565" i="11"/>
  <c r="AK564" i="11"/>
  <c r="AH460" i="11"/>
  <c r="AH461" i="11"/>
  <c r="AH462" i="11"/>
  <c r="AH463" i="11"/>
  <c r="AH464" i="11"/>
  <c r="AG505" i="11"/>
  <c r="AG536" i="11"/>
  <c r="AI492" i="11"/>
  <c r="AH534" i="11"/>
  <c r="AH537" i="11"/>
  <c r="AI500" i="11"/>
  <c r="AI495" i="11"/>
  <c r="AH535" i="11"/>
  <c r="AH529" i="11"/>
  <c r="AH505" i="11" s="1"/>
  <c r="AH539" i="11" s="1"/>
  <c r="AG547" i="11"/>
  <c r="AI508" i="11"/>
  <c r="AH540" i="11"/>
  <c r="AI520" i="11"/>
  <c r="AH544" i="11"/>
  <c r="AI489" i="11"/>
  <c r="AH533" i="11"/>
  <c r="AF530" i="11"/>
  <c r="AH546" i="11"/>
  <c r="AI526" i="11"/>
  <c r="AI517" i="11"/>
  <c r="AH543" i="11"/>
  <c r="AI514" i="11"/>
  <c r="AH542" i="11"/>
  <c r="AI523" i="11"/>
  <c r="AH545" i="11"/>
  <c r="AH442" i="11"/>
  <c r="AI429" i="11"/>
  <c r="AH444" i="11"/>
  <c r="AI432" i="11"/>
  <c r="AI426" i="11"/>
  <c r="AI441" i="11" s="1"/>
  <c r="AH437" i="11"/>
  <c r="AH443" i="11" s="1"/>
  <c r="AL73" i="11"/>
  <c r="AL75" i="11"/>
  <c r="AL74" i="11"/>
  <c r="AK82" i="11"/>
  <c r="AK80" i="11"/>
  <c r="AK79" i="11"/>
  <c r="AK83" i="11"/>
  <c r="AK81" i="11"/>
  <c r="AJ84" i="11"/>
  <c r="I46" i="11"/>
  <c r="AI115" i="11"/>
  <c r="AI117" i="11" s="1"/>
  <c r="AI127" i="11"/>
  <c r="AI129" i="11" s="1"/>
  <c r="AH190" i="11"/>
  <c r="AI105" i="11"/>
  <c r="AI108" i="11" s="1"/>
  <c r="AI95" i="11"/>
  <c r="AI98" i="11" s="1"/>
  <c r="AH191" i="11"/>
  <c r="E46" i="13"/>
  <c r="F45" i="13"/>
  <c r="G45" i="13"/>
  <c r="H45" i="13"/>
  <c r="I45" i="13"/>
  <c r="J45" i="13"/>
  <c r="K45" i="13"/>
  <c r="L45" i="13"/>
  <c r="M45" i="13"/>
  <c r="N45" i="13"/>
  <c r="O45" i="13"/>
  <c r="P45" i="13"/>
  <c r="Q45" i="13"/>
  <c r="R45" i="13"/>
  <c r="S45" i="13"/>
  <c r="T45" i="13"/>
  <c r="U45" i="13"/>
  <c r="V45" i="13"/>
  <c r="W45" i="13"/>
  <c r="X45" i="13"/>
  <c r="Y45" i="13"/>
  <c r="Z45" i="13"/>
  <c r="AA45" i="13"/>
  <c r="AB45" i="13"/>
  <c r="AC45" i="13"/>
  <c r="AD45" i="13"/>
  <c r="AE45" i="13"/>
  <c r="AF45" i="13"/>
  <c r="AG45" i="13"/>
  <c r="AH45" i="13"/>
  <c r="AI45" i="13"/>
  <c r="AJ45" i="13"/>
  <c r="AK45" i="13"/>
  <c r="H11" i="17"/>
  <c r="G187" i="20"/>
  <c r="AR976" i="20"/>
  <c r="AV526" i="20"/>
  <c r="AS901" i="20"/>
  <c r="AS980" i="20"/>
  <c r="I177" i="20" s="1"/>
  <c r="AS964" i="20"/>
  <c r="AS970" i="20"/>
  <c r="AT889" i="20"/>
  <c r="AT895" i="20"/>
  <c r="AS984" i="20"/>
  <c r="I181" i="20" s="1"/>
  <c r="AS987" i="20"/>
  <c r="I184" i="20" s="1"/>
  <c r="AR876" i="20"/>
  <c r="AS864" i="20"/>
  <c r="AS870" i="20"/>
  <c r="AR991" i="20"/>
  <c r="AS981" i="20"/>
  <c r="I178" i="20" s="1"/>
  <c r="AS982" i="20"/>
  <c r="I179" i="20" s="1"/>
  <c r="AS989" i="20"/>
  <c r="I186" i="20" s="1"/>
  <c r="AS983" i="20"/>
  <c r="I180" i="20" s="1"/>
  <c r="AS990" i="20"/>
  <c r="AS988" i="20"/>
  <c r="I185" i="20" s="1"/>
  <c r="AS986" i="20"/>
  <c r="I183" i="20" s="1"/>
  <c r="AS985" i="20"/>
  <c r="I182" i="20" s="1"/>
  <c r="AU905" i="20"/>
  <c r="AT905" i="20"/>
  <c r="AU930" i="20"/>
  <c r="AT930" i="20"/>
  <c r="AV285" i="20"/>
  <c r="AU293" i="20"/>
  <c r="AV275" i="20"/>
  <c r="AU283" i="20"/>
  <c r="AU855" i="20"/>
  <c r="AU230" i="20"/>
  <c r="AU990" i="20" s="1"/>
  <c r="AT855" i="20"/>
  <c r="AT230" i="20"/>
  <c r="AU880" i="20"/>
  <c r="AT880" i="20"/>
  <c r="AU754" i="20"/>
  <c r="AU776" i="20"/>
  <c r="AU891" i="20" s="1"/>
  <c r="AU765" i="20"/>
  <c r="AU890" i="20" s="1"/>
  <c r="AS857" i="20"/>
  <c r="J41" i="20"/>
  <c r="J39" i="20"/>
  <c r="J42" i="20"/>
  <c r="J40" i="20"/>
  <c r="J38" i="20"/>
  <c r="J32" i="20"/>
  <c r="J158" i="20"/>
  <c r="AV799" i="20"/>
  <c r="AT773" i="20"/>
  <c r="AT868" i="20" s="1"/>
  <c r="AT818" i="20"/>
  <c r="AT796" i="20"/>
  <c r="AU788" i="20"/>
  <c r="AT829" i="20"/>
  <c r="AT851" i="20"/>
  <c r="AT966" i="20" s="1"/>
  <c r="AT762" i="20"/>
  <c r="AT867" i="20" s="1"/>
  <c r="AT784" i="20"/>
  <c r="AT869" i="20" s="1"/>
  <c r="AT807" i="20"/>
  <c r="AT751" i="20"/>
  <c r="AT866" i="20" s="1"/>
  <c r="AT840" i="20"/>
  <c r="AT965" i="20" s="1"/>
  <c r="AU732" i="20"/>
  <c r="AT740" i="20"/>
  <c r="AT865" i="20" s="1"/>
  <c r="AU721" i="20"/>
  <c r="AT729" i="20"/>
  <c r="AT634" i="20"/>
  <c r="AT623" i="20"/>
  <c r="AT667" i="20"/>
  <c r="AT959" i="20" s="1"/>
  <c r="AT678" i="20"/>
  <c r="AT645" i="20"/>
  <c r="AT656" i="20"/>
  <c r="AT958" i="20" s="1"/>
  <c r="AT556" i="20"/>
  <c r="AU548" i="20"/>
  <c r="AU883" i="20" s="1"/>
  <c r="AU559" i="20"/>
  <c r="AU884" i="20" s="1"/>
  <c r="AU969" i="20" s="1"/>
  <c r="AT567" i="20"/>
  <c r="AU570" i="20"/>
  <c r="AT578" i="20"/>
  <c r="AU537" i="20"/>
  <c r="AT545" i="20"/>
  <c r="AT534" i="20"/>
  <c r="AT859" i="20" s="1"/>
  <c r="AT944" i="20" s="1"/>
  <c r="AU523" i="20"/>
  <c r="AU858" i="20" s="1"/>
  <c r="AT442" i="20"/>
  <c r="AU434" i="20"/>
  <c r="AT462" i="20"/>
  <c r="AU454" i="20"/>
  <c r="AT432" i="20"/>
  <c r="AT907" i="20" s="1"/>
  <c r="AT926" i="20" s="1"/>
  <c r="AU424" i="20"/>
  <c r="AT472" i="20"/>
  <c r="AU464" i="20"/>
  <c r="AU444" i="20"/>
  <c r="AT452" i="20"/>
  <c r="AU414" i="20"/>
  <c r="AT422" i="20"/>
  <c r="AT325" i="20"/>
  <c r="AU317" i="20"/>
  <c r="AU297" i="20"/>
  <c r="AT305" i="20"/>
  <c r="AU327" i="20"/>
  <c r="AT335" i="20"/>
  <c r="AU347" i="20"/>
  <c r="AT355" i="20"/>
  <c r="AU307" i="20"/>
  <c r="AT315" i="20"/>
  <c r="AT345" i="20"/>
  <c r="AU337" i="20"/>
  <c r="AU404" i="20"/>
  <c r="AT412" i="20"/>
  <c r="AT392" i="20"/>
  <c r="AU394" i="20"/>
  <c r="AT402" i="20"/>
  <c r="AU392" i="20"/>
  <c r="AT382" i="20"/>
  <c r="AT980" i="20" s="1"/>
  <c r="J177" i="20" s="1"/>
  <c r="AV273" i="20"/>
  <c r="AU263" i="20"/>
  <c r="AU856" i="20" s="1"/>
  <c r="AV143" i="20"/>
  <c r="AV151" i="20" s="1"/>
  <c r="AV224" i="20" s="1"/>
  <c r="AV156" i="20"/>
  <c r="AV164" i="20" s="1"/>
  <c r="AV225" i="20" s="1"/>
  <c r="AV195" i="20"/>
  <c r="AV203" i="20" s="1"/>
  <c r="AV228" i="20" s="1"/>
  <c r="AV208" i="20"/>
  <c r="AV216" i="20" s="1"/>
  <c r="AV229" i="20" s="1"/>
  <c r="AV182" i="20"/>
  <c r="AV190" i="20" s="1"/>
  <c r="AV227" i="20" s="1"/>
  <c r="AV169" i="20"/>
  <c r="AV177" i="20" s="1"/>
  <c r="AV226" i="20" s="1"/>
  <c r="AV99" i="20"/>
  <c r="AV107" i="20" s="1"/>
  <c r="AV223" i="20" s="1"/>
  <c r="AV79" i="20"/>
  <c r="AV87" i="20" s="1"/>
  <c r="AV222" i="20" s="1"/>
  <c r="AV43" i="20"/>
  <c r="AV51" i="20" s="1"/>
  <c r="AV220" i="20" s="1"/>
  <c r="AV61" i="20"/>
  <c r="AV69" i="20" s="1"/>
  <c r="AV221" i="20" s="1"/>
  <c r="AW5" i="20"/>
  <c r="V80" i="18"/>
  <c r="AG80" i="18"/>
  <c r="Z80" i="18"/>
  <c r="AE80" i="18"/>
  <c r="X80" i="18"/>
  <c r="AJ80" i="18"/>
  <c r="AM80" i="18"/>
  <c r="AH80" i="18"/>
  <c r="AK80" i="18"/>
  <c r="AI80" i="18"/>
  <c r="AL80" i="18"/>
  <c r="AA80" i="18"/>
  <c r="AF80" i="18"/>
  <c r="BH4" i="20"/>
  <c r="AI585" i="11"/>
  <c r="AI35" i="11"/>
  <c r="AI36" i="11"/>
  <c r="AI34" i="11"/>
  <c r="AJ5" i="11"/>
  <c r="AH43" i="11"/>
  <c r="AH44" i="11"/>
  <c r="AH42" i="11"/>
  <c r="AH40" i="11"/>
  <c r="AH41" i="11"/>
  <c r="AG45" i="11"/>
  <c r="AR51" i="11"/>
  <c r="AQ55" i="11"/>
  <c r="AA47" i="18"/>
  <c r="AA81" i="18" s="1"/>
  <c r="X47" i="18"/>
  <c r="X81" i="18" s="1"/>
  <c r="U47" i="18"/>
  <c r="U81" i="18" s="1"/>
  <c r="Z47" i="18"/>
  <c r="Z81" i="18" s="1"/>
  <c r="AH47" i="18"/>
  <c r="AH81" i="18" s="1"/>
  <c r="AE47" i="18"/>
  <c r="AE81" i="18" s="1"/>
  <c r="AB47" i="18"/>
  <c r="AB81" i="18" s="1"/>
  <c r="Y47" i="18"/>
  <c r="Y81" i="18" s="1"/>
  <c r="Q47" i="18"/>
  <c r="Q81" i="18" s="1"/>
  <c r="V47" i="18"/>
  <c r="V81" i="18" s="1"/>
  <c r="S47" i="18"/>
  <c r="S81" i="18" s="1"/>
  <c r="AI47" i="18"/>
  <c r="AI81" i="18" s="1"/>
  <c r="AF47" i="18"/>
  <c r="AF81" i="18" s="1"/>
  <c r="AC47" i="18"/>
  <c r="AC81" i="18" s="1"/>
  <c r="AD47" i="18"/>
  <c r="AD81" i="18" s="1"/>
  <c r="W47" i="18"/>
  <c r="W81" i="18" s="1"/>
  <c r="T47" i="18"/>
  <c r="T81" i="18" s="1"/>
  <c r="AJ47" i="18"/>
  <c r="AJ81" i="18" s="1"/>
  <c r="AG47" i="18"/>
  <c r="AG81" i="18" s="1"/>
  <c r="R47" i="18"/>
  <c r="R81" i="18" s="1"/>
  <c r="N48" i="18"/>
  <c r="AC12" i="18"/>
  <c r="AC13" i="18"/>
  <c r="AC14" i="18"/>
  <c r="AC10" i="18"/>
  <c r="AB16" i="18"/>
  <c r="AD15" i="18"/>
  <c r="AD11" i="18"/>
  <c r="E78" i="16"/>
  <c r="F78" i="16" s="1"/>
  <c r="G78" i="16" s="1"/>
  <c r="H78" i="16" s="1"/>
  <c r="I78" i="16" s="1"/>
  <c r="J78" i="16" s="1"/>
  <c r="K78" i="16" s="1"/>
  <c r="DC185" i="16"/>
  <c r="C41" i="10"/>
  <c r="D41" i="10"/>
  <c r="B41" i="10"/>
  <c r="Y8" i="11" s="1"/>
  <c r="Y179" i="11" s="1"/>
  <c r="B4" i="11"/>
  <c r="DJ42" i="10"/>
  <c r="AI303" i="11" l="1"/>
  <c r="AI302" i="11"/>
  <c r="AI300" i="11"/>
  <c r="AI320" i="11" s="1"/>
  <c r="AI301" i="11"/>
  <c r="AI304" i="11"/>
  <c r="I47" i="11"/>
  <c r="AL565" i="11"/>
  <c r="AL564" i="11"/>
  <c r="AL566" i="11"/>
  <c r="AL567" i="11"/>
  <c r="AL568" i="11"/>
  <c r="AG539" i="11"/>
  <c r="G217" i="11"/>
  <c r="G218" i="11" s="1"/>
  <c r="AH497" i="11"/>
  <c r="AH536" i="11" s="1"/>
  <c r="AI461" i="11"/>
  <c r="AI460" i="11"/>
  <c r="AI462" i="11"/>
  <c r="AI464" i="11"/>
  <c r="AI463" i="11"/>
  <c r="AG530" i="11"/>
  <c r="AJ514" i="11"/>
  <c r="AI542" i="11"/>
  <c r="AJ520" i="11"/>
  <c r="AI544" i="11"/>
  <c r="AI529" i="11"/>
  <c r="AI505" i="11" s="1"/>
  <c r="AH547" i="11"/>
  <c r="AJ492" i="11"/>
  <c r="AI534" i="11"/>
  <c r="AJ523" i="11"/>
  <c r="AI545" i="11"/>
  <c r="AJ517" i="11"/>
  <c r="AI543" i="11"/>
  <c r="AJ489" i="11"/>
  <c r="AI533" i="11"/>
  <c r="AJ508" i="11"/>
  <c r="AI540" i="11"/>
  <c r="AJ495" i="11"/>
  <c r="AI535" i="11"/>
  <c r="AI537" i="11"/>
  <c r="AJ500" i="11"/>
  <c r="AI546" i="11"/>
  <c r="AJ526" i="11"/>
  <c r="AI442" i="11"/>
  <c r="AJ429" i="11"/>
  <c r="AI444" i="11"/>
  <c r="AJ432" i="11"/>
  <c r="AJ426" i="11"/>
  <c r="AJ441" i="11" s="1"/>
  <c r="AI437" i="11"/>
  <c r="AI443" i="11" s="1"/>
  <c r="AK84" i="11"/>
  <c r="AL81" i="11"/>
  <c r="AL80" i="11"/>
  <c r="AL79" i="11"/>
  <c r="AL82" i="11"/>
  <c r="AL83" i="11"/>
  <c r="AM75" i="11"/>
  <c r="AM73" i="11"/>
  <c r="AM74" i="11"/>
  <c r="AJ115" i="11"/>
  <c r="AJ117" i="11" s="1"/>
  <c r="AJ127" i="11"/>
  <c r="AJ129" i="11" s="1"/>
  <c r="AI190" i="11"/>
  <c r="AJ105" i="11"/>
  <c r="AJ108" i="11" s="1"/>
  <c r="AJ95" i="11"/>
  <c r="AJ98" i="11" s="1"/>
  <c r="Z8" i="11"/>
  <c r="Z179" i="11" s="1"/>
  <c r="Y180" i="11"/>
  <c r="AI191" i="11"/>
  <c r="E47" i="13"/>
  <c r="F46" i="13"/>
  <c r="G46" i="13"/>
  <c r="H46" i="13"/>
  <c r="I46" i="13"/>
  <c r="J46" i="13"/>
  <c r="K46" i="13"/>
  <c r="L46" i="13"/>
  <c r="M46" i="13"/>
  <c r="N46" i="13"/>
  <c r="O46" i="13"/>
  <c r="P46" i="13"/>
  <c r="Q46" i="13"/>
  <c r="R46" i="13"/>
  <c r="S46" i="13"/>
  <c r="T46" i="13"/>
  <c r="U46" i="13"/>
  <c r="V46" i="13"/>
  <c r="W46" i="13"/>
  <c r="X46" i="13"/>
  <c r="Y46" i="13"/>
  <c r="Z46" i="13"/>
  <c r="AA46" i="13"/>
  <c r="AB46" i="13"/>
  <c r="AC46" i="13"/>
  <c r="AD46" i="13"/>
  <c r="AE46" i="13"/>
  <c r="AF46" i="13"/>
  <c r="AG46" i="13"/>
  <c r="AH46" i="13"/>
  <c r="AI46" i="13"/>
  <c r="AJ46" i="13"/>
  <c r="AK46" i="13"/>
  <c r="I11" i="17"/>
  <c r="H187" i="20"/>
  <c r="K188" i="20"/>
  <c r="I188" i="20"/>
  <c r="AW526" i="20"/>
  <c r="AS976" i="20"/>
  <c r="AT964" i="20"/>
  <c r="AT970" i="20"/>
  <c r="AU889" i="20"/>
  <c r="AU895" i="20"/>
  <c r="AT901" i="20"/>
  <c r="AT982" i="20"/>
  <c r="J179" i="20" s="1"/>
  <c r="AT984" i="20"/>
  <c r="J181" i="20" s="1"/>
  <c r="AT986" i="20"/>
  <c r="J183" i="20" s="1"/>
  <c r="AS876" i="20"/>
  <c r="AT983" i="20"/>
  <c r="J180" i="20" s="1"/>
  <c r="AT985" i="20"/>
  <c r="J182" i="20" s="1"/>
  <c r="AT864" i="20"/>
  <c r="AT870" i="20"/>
  <c r="AT981" i="20"/>
  <c r="J178" i="20" s="1"/>
  <c r="AT988" i="20"/>
  <c r="J185" i="20" s="1"/>
  <c r="AT987" i="20"/>
  <c r="J184" i="20" s="1"/>
  <c r="AT990" i="20"/>
  <c r="AT989" i="20"/>
  <c r="J186" i="20" s="1"/>
  <c r="AS991" i="20"/>
  <c r="AT951" i="20"/>
  <c r="AV930" i="20"/>
  <c r="AV283" i="20"/>
  <c r="AW275" i="20"/>
  <c r="AV293" i="20"/>
  <c r="AW285" i="20"/>
  <c r="AV855" i="20"/>
  <c r="AV230" i="20"/>
  <c r="AV880" i="20"/>
  <c r="AV905" i="20"/>
  <c r="AV776" i="20"/>
  <c r="AV891" i="20" s="1"/>
  <c r="AV765" i="20"/>
  <c r="AV890" i="20" s="1"/>
  <c r="AV754" i="20"/>
  <c r="AT857" i="20"/>
  <c r="J43" i="20"/>
  <c r="AW799" i="20"/>
  <c r="AU840" i="20"/>
  <c r="AU965" i="20" s="1"/>
  <c r="AU818" i="20"/>
  <c r="AU751" i="20"/>
  <c r="AU866" i="20" s="1"/>
  <c r="AU784" i="20"/>
  <c r="AU869" i="20" s="1"/>
  <c r="AU851" i="20"/>
  <c r="AU966" i="20" s="1"/>
  <c r="AU796" i="20"/>
  <c r="AV788" i="20"/>
  <c r="AU807" i="20"/>
  <c r="AU762" i="20"/>
  <c r="AU867" i="20" s="1"/>
  <c r="AU829" i="20"/>
  <c r="AV721" i="20"/>
  <c r="AU729" i="20"/>
  <c r="AV732" i="20"/>
  <c r="AU740" i="20"/>
  <c r="AU865" i="20" s="1"/>
  <c r="AU773" i="20"/>
  <c r="AU868" i="20" s="1"/>
  <c r="AU623" i="20"/>
  <c r="AU656" i="20"/>
  <c r="AU958" i="20" s="1"/>
  <c r="AU667" i="20"/>
  <c r="AU959" i="20" s="1"/>
  <c r="AU634" i="20"/>
  <c r="AU678" i="20"/>
  <c r="AU645" i="20"/>
  <c r="AV537" i="20"/>
  <c r="AU545" i="20"/>
  <c r="AU567" i="20"/>
  <c r="AV559" i="20"/>
  <c r="AV884" i="20" s="1"/>
  <c r="AV969" i="20" s="1"/>
  <c r="AV548" i="20"/>
  <c r="AV883" i="20" s="1"/>
  <c r="AU556" i="20"/>
  <c r="AU534" i="20"/>
  <c r="AU859" i="20" s="1"/>
  <c r="AU944" i="20" s="1"/>
  <c r="AU951" i="20" s="1"/>
  <c r="AU578" i="20"/>
  <c r="AV570" i="20"/>
  <c r="AV523" i="20"/>
  <c r="AV858" i="20" s="1"/>
  <c r="AU472" i="20"/>
  <c r="AV464" i="20"/>
  <c r="AU462" i="20"/>
  <c r="AV454" i="20"/>
  <c r="AU432" i="20"/>
  <c r="AU907" i="20" s="1"/>
  <c r="AU926" i="20" s="1"/>
  <c r="AV424" i="20"/>
  <c r="AU442" i="20"/>
  <c r="AV434" i="20"/>
  <c r="AV414" i="20"/>
  <c r="AU422" i="20"/>
  <c r="AV444" i="20"/>
  <c r="AU452" i="20"/>
  <c r="AV337" i="20"/>
  <c r="AU345" i="20"/>
  <c r="AV347" i="20"/>
  <c r="AU355" i="20"/>
  <c r="AV297" i="20"/>
  <c r="AU305" i="20"/>
  <c r="AU325" i="20"/>
  <c r="AV317" i="20"/>
  <c r="AV307" i="20"/>
  <c r="AU315" i="20"/>
  <c r="AU335" i="20"/>
  <c r="AV327" i="20"/>
  <c r="AV394" i="20"/>
  <c r="AU402" i="20"/>
  <c r="AV404" i="20"/>
  <c r="AU412" i="20"/>
  <c r="AU382" i="20"/>
  <c r="AU980" i="20" s="1"/>
  <c r="K177" i="20" s="1"/>
  <c r="AV392" i="20"/>
  <c r="AW273" i="20"/>
  <c r="AV263" i="20"/>
  <c r="AV856" i="20" s="1"/>
  <c r="AW143" i="20"/>
  <c r="AW151" i="20" s="1"/>
  <c r="AW224" i="20" s="1"/>
  <c r="AW195" i="20"/>
  <c r="AW203" i="20" s="1"/>
  <c r="AW228" i="20" s="1"/>
  <c r="AW156" i="20"/>
  <c r="AW164" i="20" s="1"/>
  <c r="AW225" i="20" s="1"/>
  <c r="AW182" i="20"/>
  <c r="AW190" i="20" s="1"/>
  <c r="AW227" i="20" s="1"/>
  <c r="AW169" i="20"/>
  <c r="AW177" i="20" s="1"/>
  <c r="AW226" i="20" s="1"/>
  <c r="AW208" i="20"/>
  <c r="AW216" i="20" s="1"/>
  <c r="AW229" i="20" s="1"/>
  <c r="AW99" i="20"/>
  <c r="AW107" i="20" s="1"/>
  <c r="AW223" i="20" s="1"/>
  <c r="AW79" i="20"/>
  <c r="AW87" i="20" s="1"/>
  <c r="AW222" i="20" s="1"/>
  <c r="AW61" i="20"/>
  <c r="AW69" i="20" s="1"/>
  <c r="AW221" i="20" s="1"/>
  <c r="AW43" i="20"/>
  <c r="AW51" i="20" s="1"/>
  <c r="AW220" i="20" s="1"/>
  <c r="AX5" i="20"/>
  <c r="BI4" i="20"/>
  <c r="AI43" i="11"/>
  <c r="AI44" i="11"/>
  <c r="AI40" i="11"/>
  <c r="AI41" i="11"/>
  <c r="AI42" i="11"/>
  <c r="AH45" i="11"/>
  <c r="AJ585" i="11"/>
  <c r="AK5" i="11"/>
  <c r="AJ34" i="11"/>
  <c r="AJ36" i="11"/>
  <c r="AJ35" i="11"/>
  <c r="AS51" i="11"/>
  <c r="AR55" i="11"/>
  <c r="AB48" i="18"/>
  <c r="AB82" i="18" s="1"/>
  <c r="Y48" i="18"/>
  <c r="Y82" i="18" s="1"/>
  <c r="V48" i="18"/>
  <c r="V82" i="18" s="1"/>
  <c r="W48" i="18"/>
  <c r="W82" i="18" s="1"/>
  <c r="AE48" i="18"/>
  <c r="AE82" i="18" s="1"/>
  <c r="AF48" i="18"/>
  <c r="AF82" i="18" s="1"/>
  <c r="AC48" i="18"/>
  <c r="AC82" i="18" s="1"/>
  <c r="Z48" i="18"/>
  <c r="Z82" i="18" s="1"/>
  <c r="AI48" i="18"/>
  <c r="AI82" i="18" s="1"/>
  <c r="Q48" i="18"/>
  <c r="Q82" i="18" s="1"/>
  <c r="T48" i="18"/>
  <c r="T82" i="18" s="1"/>
  <c r="AJ48" i="18"/>
  <c r="AJ82" i="18" s="1"/>
  <c r="AG48" i="18"/>
  <c r="AG82" i="18" s="1"/>
  <c r="AD48" i="18"/>
  <c r="AD82" i="18" s="1"/>
  <c r="AA48" i="18"/>
  <c r="AA82" i="18" s="1"/>
  <c r="X48" i="18"/>
  <c r="X82" i="18" s="1"/>
  <c r="U48" i="18"/>
  <c r="U82" i="18" s="1"/>
  <c r="R48" i="18"/>
  <c r="R82" i="18" s="1"/>
  <c r="AH48" i="18"/>
  <c r="AH82" i="18" s="1"/>
  <c r="S48" i="18"/>
  <c r="S82" i="18" s="1"/>
  <c r="N49" i="18"/>
  <c r="BA201" i="11"/>
  <c r="AW201" i="11"/>
  <c r="AS201" i="11"/>
  <c r="AZ201" i="11"/>
  <c r="AV201" i="11"/>
  <c r="AR201" i="11"/>
  <c r="AX201" i="11"/>
  <c r="AY201" i="11"/>
  <c r="AU201" i="11"/>
  <c r="AT201" i="11"/>
  <c r="AG201" i="11"/>
  <c r="AC201" i="11"/>
  <c r="X201" i="11"/>
  <c r="AF201" i="11"/>
  <c r="AB201" i="11"/>
  <c r="Y201" i="11"/>
  <c r="AD201" i="11"/>
  <c r="AE201" i="11"/>
  <c r="AA201" i="11"/>
  <c r="Z201" i="11"/>
  <c r="AO201" i="11"/>
  <c r="AK201" i="11"/>
  <c r="AN201" i="11"/>
  <c r="AJ201" i="11"/>
  <c r="AL201" i="11"/>
  <c r="AP201" i="11"/>
  <c r="AQ201" i="11"/>
  <c r="AM201" i="11"/>
  <c r="AI201" i="11"/>
  <c r="AH201" i="11"/>
  <c r="AD10" i="18"/>
  <c r="AC16" i="18"/>
  <c r="AE15" i="18"/>
  <c r="AD13" i="18"/>
  <c r="AD14" i="18"/>
  <c r="AE11" i="18"/>
  <c r="AD12" i="18"/>
  <c r="C35" i="16"/>
  <c r="T185" i="16" s="1"/>
  <c r="C34" i="16"/>
  <c r="S185" i="16" s="1"/>
  <c r="C33" i="16"/>
  <c r="R185" i="16" s="1"/>
  <c r="C32" i="16"/>
  <c r="Q185" i="16" s="1"/>
  <c r="C31" i="16"/>
  <c r="P185" i="16" s="1"/>
  <c r="AJ303" i="11" l="1"/>
  <c r="AJ300" i="11"/>
  <c r="AJ320" i="11" s="1"/>
  <c r="AJ304" i="11"/>
  <c r="AJ301" i="11"/>
  <c r="AJ302" i="11"/>
  <c r="AM564" i="11"/>
  <c r="AM565" i="11"/>
  <c r="AM568" i="11"/>
  <c r="AM567" i="11"/>
  <c r="AM566" i="11"/>
  <c r="AH530" i="11"/>
  <c r="AJ464" i="11"/>
  <c r="AJ463" i="11"/>
  <c r="AJ462" i="11"/>
  <c r="AJ461" i="11"/>
  <c r="AJ460" i="11"/>
  <c r="AI497" i="11"/>
  <c r="AI536" i="11" s="1"/>
  <c r="AI539" i="11"/>
  <c r="AK508" i="11"/>
  <c r="AJ540" i="11"/>
  <c r="AK517" i="11"/>
  <c r="AJ543" i="11"/>
  <c r="AK492" i="11"/>
  <c r="AJ534" i="11"/>
  <c r="AJ546" i="11"/>
  <c r="AK526" i="11"/>
  <c r="AK489" i="11"/>
  <c r="AJ533" i="11"/>
  <c r="AK520" i="11"/>
  <c r="AJ544" i="11"/>
  <c r="AK495" i="11"/>
  <c r="AJ535" i="11"/>
  <c r="AK523" i="11"/>
  <c r="AJ545" i="11"/>
  <c r="AJ537" i="11"/>
  <c r="AK500" i="11"/>
  <c r="AJ529" i="11"/>
  <c r="AJ505" i="11" s="1"/>
  <c r="AJ539" i="11" s="1"/>
  <c r="AI547" i="11"/>
  <c r="AK514" i="11"/>
  <c r="AJ542" i="11"/>
  <c r="AJ442" i="11"/>
  <c r="AK429" i="11"/>
  <c r="AJ444" i="11"/>
  <c r="AK432" i="11"/>
  <c r="AK426" i="11"/>
  <c r="AK441" i="11" s="1"/>
  <c r="AJ437" i="11"/>
  <c r="AJ443" i="11" s="1"/>
  <c r="AM82" i="11"/>
  <c r="AM81" i="11"/>
  <c r="AM79" i="11"/>
  <c r="AM80" i="11"/>
  <c r="AM83" i="11"/>
  <c r="AN74" i="11"/>
  <c r="AN75" i="11"/>
  <c r="AN73" i="11"/>
  <c r="AL84" i="11"/>
  <c r="I48" i="11"/>
  <c r="AK115" i="11"/>
  <c r="AK117" i="11" s="1"/>
  <c r="AK127" i="11"/>
  <c r="AK129" i="11" s="1"/>
  <c r="AK105" i="11"/>
  <c r="AK108" i="11" s="1"/>
  <c r="AK95" i="11"/>
  <c r="AK98" i="11" s="1"/>
  <c r="AJ190" i="11"/>
  <c r="AA8" i="11"/>
  <c r="AA179" i="11" s="1"/>
  <c r="AJ191" i="11"/>
  <c r="E48" i="13"/>
  <c r="F47" i="13"/>
  <c r="G47" i="13"/>
  <c r="H47" i="13"/>
  <c r="I47" i="13"/>
  <c r="J47" i="13"/>
  <c r="K47" i="13"/>
  <c r="L47" i="13"/>
  <c r="M47" i="13"/>
  <c r="N47" i="13"/>
  <c r="O47" i="13"/>
  <c r="P47" i="13"/>
  <c r="Q47" i="13"/>
  <c r="R47" i="13"/>
  <c r="S47" i="13"/>
  <c r="T47" i="13"/>
  <c r="U47" i="13"/>
  <c r="V47" i="13"/>
  <c r="W47" i="13"/>
  <c r="X47" i="13"/>
  <c r="Y47" i="13"/>
  <c r="Z47" i="13"/>
  <c r="AA47" i="13"/>
  <c r="AB47" i="13"/>
  <c r="AC47" i="13"/>
  <c r="AD47" i="13"/>
  <c r="AE47" i="13"/>
  <c r="AF47" i="13"/>
  <c r="AG47" i="13"/>
  <c r="AH47" i="13"/>
  <c r="AI47" i="13"/>
  <c r="AJ47" i="13"/>
  <c r="AK47" i="13"/>
  <c r="J11" i="17"/>
  <c r="I187" i="20"/>
  <c r="J188" i="20"/>
  <c r="AX526" i="20"/>
  <c r="AT976" i="20"/>
  <c r="AU901" i="20"/>
  <c r="AU964" i="20"/>
  <c r="AU970" i="20"/>
  <c r="AV889" i="20"/>
  <c r="AV895" i="20"/>
  <c r="AU986" i="20"/>
  <c r="K183" i="20" s="1"/>
  <c r="AU981" i="20"/>
  <c r="K178" i="20" s="1"/>
  <c r="AU983" i="20"/>
  <c r="K180" i="20" s="1"/>
  <c r="AU982" i="20"/>
  <c r="K179" i="20" s="1"/>
  <c r="AU985" i="20"/>
  <c r="K182" i="20" s="1"/>
  <c r="AT876" i="20"/>
  <c r="AU864" i="20"/>
  <c r="AU870" i="20"/>
  <c r="AT991" i="20"/>
  <c r="AV990" i="20"/>
  <c r="AU989" i="20"/>
  <c r="K186" i="20" s="1"/>
  <c r="AU988" i="20"/>
  <c r="K185" i="20" s="1"/>
  <c r="AU987" i="20"/>
  <c r="K184" i="20" s="1"/>
  <c r="AU984" i="20"/>
  <c r="K181" i="20" s="1"/>
  <c r="AW930" i="20"/>
  <c r="AX285" i="20"/>
  <c r="AW293" i="20"/>
  <c r="AX275" i="20"/>
  <c r="AX283" i="20" s="1"/>
  <c r="AW283" i="20"/>
  <c r="AW855" i="20"/>
  <c r="AW230" i="20"/>
  <c r="AW990" i="20" s="1"/>
  <c r="AW880" i="20"/>
  <c r="AW905" i="20"/>
  <c r="AW765" i="20"/>
  <c r="AW890" i="20" s="1"/>
  <c r="AW754" i="20"/>
  <c r="AW776" i="20"/>
  <c r="AW891" i="20" s="1"/>
  <c r="AU857" i="20"/>
  <c r="AX799" i="20"/>
  <c r="AV773" i="20"/>
  <c r="AV868" i="20" s="1"/>
  <c r="AV762" i="20"/>
  <c r="AV867" i="20" s="1"/>
  <c r="AW788" i="20"/>
  <c r="AV796" i="20"/>
  <c r="AV784" i="20"/>
  <c r="AV869" i="20" s="1"/>
  <c r="AV818" i="20"/>
  <c r="AW721" i="20"/>
  <c r="AV729" i="20"/>
  <c r="AV807" i="20"/>
  <c r="AV751" i="20"/>
  <c r="AV866" i="20" s="1"/>
  <c r="AV840" i="20"/>
  <c r="AV965" i="20" s="1"/>
  <c r="AW732" i="20"/>
  <c r="AV740" i="20"/>
  <c r="AV865" i="20" s="1"/>
  <c r="AV829" i="20"/>
  <c r="AV851" i="20"/>
  <c r="AV966" i="20" s="1"/>
  <c r="AV645" i="20"/>
  <c r="AV656" i="20"/>
  <c r="AV958" i="20" s="1"/>
  <c r="AV623" i="20"/>
  <c r="AV634" i="20"/>
  <c r="AV678" i="20"/>
  <c r="AV667" i="20"/>
  <c r="AV959" i="20" s="1"/>
  <c r="AV534" i="20"/>
  <c r="AV859" i="20" s="1"/>
  <c r="AV944" i="20" s="1"/>
  <c r="AV951" i="20" s="1"/>
  <c r="AV567" i="20"/>
  <c r="AW559" i="20"/>
  <c r="AW884" i="20" s="1"/>
  <c r="AW969" i="20" s="1"/>
  <c r="AV578" i="20"/>
  <c r="AW570" i="20"/>
  <c r="AV556" i="20"/>
  <c r="AW548" i="20"/>
  <c r="AW883" i="20" s="1"/>
  <c r="AW537" i="20"/>
  <c r="AV545" i="20"/>
  <c r="AW523" i="20"/>
  <c r="AW858" i="20" s="1"/>
  <c r="AW444" i="20"/>
  <c r="AV452" i="20"/>
  <c r="AV432" i="20"/>
  <c r="AV907" i="20" s="1"/>
  <c r="AV926" i="20" s="1"/>
  <c r="AW424" i="20"/>
  <c r="AV472" i="20"/>
  <c r="AW464" i="20"/>
  <c r="AV442" i="20"/>
  <c r="AW434" i="20"/>
  <c r="AV462" i="20"/>
  <c r="AW454" i="20"/>
  <c r="AW414" i="20"/>
  <c r="AV422" i="20"/>
  <c r="AV335" i="20"/>
  <c r="AW327" i="20"/>
  <c r="AV325" i="20"/>
  <c r="AW317" i="20"/>
  <c r="AW347" i="20"/>
  <c r="AV355" i="20"/>
  <c r="AW307" i="20"/>
  <c r="AV315" i="20"/>
  <c r="AW297" i="20"/>
  <c r="AV305" i="20"/>
  <c r="AV345" i="20"/>
  <c r="AW337" i="20"/>
  <c r="AW404" i="20"/>
  <c r="AV412" i="20"/>
  <c r="AW394" i="20"/>
  <c r="AV402" i="20"/>
  <c r="AW392" i="20"/>
  <c r="AV382" i="20"/>
  <c r="AX273" i="20"/>
  <c r="AW263" i="20"/>
  <c r="AW856" i="20" s="1"/>
  <c r="AX143" i="20"/>
  <c r="AX151" i="20" s="1"/>
  <c r="AX224" i="20" s="1"/>
  <c r="AX156" i="20"/>
  <c r="AX164" i="20" s="1"/>
  <c r="AX225" i="20" s="1"/>
  <c r="AX195" i="20"/>
  <c r="AX203" i="20" s="1"/>
  <c r="AX228" i="20" s="1"/>
  <c r="AX182" i="20"/>
  <c r="AX190" i="20" s="1"/>
  <c r="AX227" i="20" s="1"/>
  <c r="AX169" i="20"/>
  <c r="AX177" i="20" s="1"/>
  <c r="AX226" i="20" s="1"/>
  <c r="AX208" i="20"/>
  <c r="AX216" i="20" s="1"/>
  <c r="AX229" i="20" s="1"/>
  <c r="AX99" i="20"/>
  <c r="AX107" i="20" s="1"/>
  <c r="AX223" i="20" s="1"/>
  <c r="AX79" i="20"/>
  <c r="AX87" i="20" s="1"/>
  <c r="AX222" i="20" s="1"/>
  <c r="AX61" i="20"/>
  <c r="AX69" i="20" s="1"/>
  <c r="AX221" i="20" s="1"/>
  <c r="AX43" i="20"/>
  <c r="AX51" i="20" s="1"/>
  <c r="AX220" i="20" s="1"/>
  <c r="AY5" i="20"/>
  <c r="BJ4" i="20"/>
  <c r="AK585" i="11"/>
  <c r="AK35" i="11"/>
  <c r="AK36" i="11"/>
  <c r="AL5" i="11"/>
  <c r="AK34" i="11"/>
  <c r="AI45" i="11"/>
  <c r="AJ42" i="11"/>
  <c r="AJ43" i="11"/>
  <c r="AJ40" i="11"/>
  <c r="AJ41" i="11"/>
  <c r="AJ44" i="11"/>
  <c r="AT51" i="11"/>
  <c r="AS55" i="11"/>
  <c r="U49" i="18"/>
  <c r="U83" i="18" s="1"/>
  <c r="R49" i="18"/>
  <c r="R83" i="18" s="1"/>
  <c r="AA49" i="18"/>
  <c r="AA83" i="18" s="1"/>
  <c r="AD49" i="18"/>
  <c r="AD83" i="18" s="1"/>
  <c r="Z49" i="18"/>
  <c r="Z83" i="18" s="1"/>
  <c r="Y49" i="18"/>
  <c r="Y83" i="18" s="1"/>
  <c r="V49" i="18"/>
  <c r="V83" i="18" s="1"/>
  <c r="AE49" i="18"/>
  <c r="AE83" i="18" s="1"/>
  <c r="AJ49" i="18"/>
  <c r="AJ83" i="18" s="1"/>
  <c r="AH49" i="18"/>
  <c r="AH83" i="18" s="1"/>
  <c r="AC49" i="18"/>
  <c r="AC83" i="18" s="1"/>
  <c r="S49" i="18"/>
  <c r="S83" i="18" s="1"/>
  <c r="AI49" i="18"/>
  <c r="AI83" i="18" s="1"/>
  <c r="X49" i="18"/>
  <c r="X83" i="18" s="1"/>
  <c r="AB49" i="18"/>
  <c r="AB83" i="18" s="1"/>
  <c r="AG49" i="18"/>
  <c r="AG83" i="18" s="1"/>
  <c r="W49" i="18"/>
  <c r="W83" i="18" s="1"/>
  <c r="T49" i="18"/>
  <c r="T83" i="18" s="1"/>
  <c r="AF49" i="18"/>
  <c r="AF83" i="18" s="1"/>
  <c r="Q49" i="18"/>
  <c r="Q83" i="18" s="1"/>
  <c r="N50" i="18"/>
  <c r="AF15" i="18"/>
  <c r="AF11" i="18"/>
  <c r="AE13" i="18"/>
  <c r="AE14" i="18"/>
  <c r="AE12" i="18"/>
  <c r="AE10" i="18"/>
  <c r="AD16" i="18"/>
  <c r="A185" i="16"/>
  <c r="K185" i="16"/>
  <c r="B25" i="16"/>
  <c r="J185" i="16" s="1"/>
  <c r="X28" i="16"/>
  <c r="Y28" i="16"/>
  <c r="Z28" i="16"/>
  <c r="AA28" i="16"/>
  <c r="AB28" i="16"/>
  <c r="AC28" i="16"/>
  <c r="AD28" i="16"/>
  <c r="AE28" i="16"/>
  <c r="AF28" i="16"/>
  <c r="W28" i="16"/>
  <c r="N28" i="16"/>
  <c r="O28" i="16"/>
  <c r="P28" i="16"/>
  <c r="Q28" i="16"/>
  <c r="R28" i="16"/>
  <c r="S28" i="16"/>
  <c r="T28" i="16"/>
  <c r="U28" i="16"/>
  <c r="V28" i="16"/>
  <c r="M28" i="16"/>
  <c r="D28" i="16"/>
  <c r="E28" i="16"/>
  <c r="F28" i="16"/>
  <c r="G28" i="16"/>
  <c r="H28" i="16"/>
  <c r="I28" i="16"/>
  <c r="J28" i="16"/>
  <c r="K28" i="16"/>
  <c r="L28" i="16"/>
  <c r="C28" i="16"/>
  <c r="C27" i="16"/>
  <c r="B11" i="16"/>
  <c r="F185" i="16" s="1"/>
  <c r="X13" i="16"/>
  <c r="Y13" i="16"/>
  <c r="Z13" i="16"/>
  <c r="AA13" i="16"/>
  <c r="AB13" i="16"/>
  <c r="AC13" i="16"/>
  <c r="AD13" i="16"/>
  <c r="AE13" i="16"/>
  <c r="AF13" i="16"/>
  <c r="W13" i="16"/>
  <c r="N13" i="16"/>
  <c r="O13" i="16"/>
  <c r="P13" i="16"/>
  <c r="Q13" i="16"/>
  <c r="R13" i="16"/>
  <c r="S13" i="16"/>
  <c r="T13" i="16"/>
  <c r="U13" i="16"/>
  <c r="V13" i="16"/>
  <c r="M13" i="16"/>
  <c r="D13" i="16"/>
  <c r="E13" i="16"/>
  <c r="F13" i="16"/>
  <c r="G13" i="16"/>
  <c r="H13" i="16"/>
  <c r="I13" i="16"/>
  <c r="J13" i="16"/>
  <c r="K13" i="16"/>
  <c r="L13" i="16"/>
  <c r="C13" i="16"/>
  <c r="C14" i="16" s="1"/>
  <c r="D12" i="16"/>
  <c r="D27" i="16" s="1"/>
  <c r="X8" i="16"/>
  <c r="Y8" i="16"/>
  <c r="Z8" i="16"/>
  <c r="AA8" i="16"/>
  <c r="AB8" i="16"/>
  <c r="AC8" i="16"/>
  <c r="AD8" i="16"/>
  <c r="AE8" i="16"/>
  <c r="AF8" i="16"/>
  <c r="W8" i="16"/>
  <c r="N8" i="16"/>
  <c r="O8" i="16"/>
  <c r="P8" i="16"/>
  <c r="Q8" i="16"/>
  <c r="R8" i="16"/>
  <c r="S8" i="16"/>
  <c r="T8" i="16"/>
  <c r="U8" i="16"/>
  <c r="V8" i="16"/>
  <c r="M8" i="16"/>
  <c r="F8" i="16"/>
  <c r="G8" i="16"/>
  <c r="H8" i="16"/>
  <c r="I8" i="16"/>
  <c r="J8" i="16"/>
  <c r="K8" i="16"/>
  <c r="L8" i="16"/>
  <c r="E8" i="16"/>
  <c r="D8" i="16"/>
  <c r="C8" i="16"/>
  <c r="D7" i="16"/>
  <c r="E7" i="16" s="1"/>
  <c r="F7" i="16" s="1"/>
  <c r="G7" i="16" s="1"/>
  <c r="H7" i="16" s="1"/>
  <c r="I7" i="16" s="1"/>
  <c r="J7" i="16" s="1"/>
  <c r="K7" i="16" s="1"/>
  <c r="L7" i="16" s="1"/>
  <c r="M7" i="16" s="1"/>
  <c r="N7" i="16" s="1"/>
  <c r="O7" i="16" s="1"/>
  <c r="P7" i="16" s="1"/>
  <c r="Q7" i="16" s="1"/>
  <c r="R7" i="16" s="1"/>
  <c r="S7" i="16" s="1"/>
  <c r="T7" i="16" s="1"/>
  <c r="U7" i="16" s="1"/>
  <c r="V7" i="16" s="1"/>
  <c r="W7" i="16" s="1"/>
  <c r="X7" i="16" s="1"/>
  <c r="Y7" i="16" s="1"/>
  <c r="Z7" i="16" s="1"/>
  <c r="AA7" i="16" s="1"/>
  <c r="AB7" i="16" s="1"/>
  <c r="AC7" i="16" s="1"/>
  <c r="AD7" i="16" s="1"/>
  <c r="AE7" i="16" s="1"/>
  <c r="AF7" i="16" s="1"/>
  <c r="D182" i="16"/>
  <c r="E182" i="16" s="1"/>
  <c r="F182" i="16" s="1"/>
  <c r="G182" i="16" s="1"/>
  <c r="H182" i="16" s="1"/>
  <c r="I182" i="16" s="1"/>
  <c r="J182" i="16" s="1"/>
  <c r="K182" i="16" s="1"/>
  <c r="L182" i="16" s="1"/>
  <c r="M182" i="16" s="1"/>
  <c r="N182" i="16" s="1"/>
  <c r="O182" i="16" s="1"/>
  <c r="P182" i="16" s="1"/>
  <c r="Q182" i="16" s="1"/>
  <c r="R182" i="16" s="1"/>
  <c r="S182" i="16" s="1"/>
  <c r="T182" i="16" s="1"/>
  <c r="U182" i="16" s="1"/>
  <c r="V182" i="16" s="1"/>
  <c r="W182" i="16" s="1"/>
  <c r="X182" i="16" s="1"/>
  <c r="Y182" i="16" s="1"/>
  <c r="Z182" i="16" s="1"/>
  <c r="AA182" i="16" s="1"/>
  <c r="AB182" i="16" s="1"/>
  <c r="AC182" i="16" s="1"/>
  <c r="AD182" i="16" s="1"/>
  <c r="AE182" i="16" s="1"/>
  <c r="AF182" i="16" s="1"/>
  <c r="AG182" i="16" s="1"/>
  <c r="AH182" i="16" s="1"/>
  <c r="AI182" i="16" s="1"/>
  <c r="AJ182" i="16" s="1"/>
  <c r="AK182" i="16" s="1"/>
  <c r="AL182" i="16" s="1"/>
  <c r="AM182" i="16" s="1"/>
  <c r="AN182" i="16" s="1"/>
  <c r="AO182" i="16" s="1"/>
  <c r="AP182" i="16" s="1"/>
  <c r="AQ182" i="16" s="1"/>
  <c r="AR182" i="16" s="1"/>
  <c r="AS182" i="16" s="1"/>
  <c r="AT182" i="16" s="1"/>
  <c r="AU182" i="16" s="1"/>
  <c r="AV182" i="16" s="1"/>
  <c r="AW182" i="16" s="1"/>
  <c r="AX182" i="16" s="1"/>
  <c r="AY182" i="16" s="1"/>
  <c r="AZ182" i="16" s="1"/>
  <c r="BA182" i="16" s="1"/>
  <c r="BB182" i="16" s="1"/>
  <c r="BC182" i="16" s="1"/>
  <c r="BD182" i="16" s="1"/>
  <c r="BE182" i="16" s="1"/>
  <c r="BF182" i="16" s="1"/>
  <c r="BG182" i="16" s="1"/>
  <c r="BH182" i="16" s="1"/>
  <c r="BI182" i="16" s="1"/>
  <c r="BJ182" i="16" s="1"/>
  <c r="BK182" i="16" s="1"/>
  <c r="BL182" i="16" s="1"/>
  <c r="BM182" i="16" s="1"/>
  <c r="BN182" i="16" s="1"/>
  <c r="BO182" i="16" s="1"/>
  <c r="BP182" i="16" s="1"/>
  <c r="BQ182" i="16" s="1"/>
  <c r="BR182" i="16" s="1"/>
  <c r="BS182" i="16" s="1"/>
  <c r="BT182" i="16" s="1"/>
  <c r="BU182" i="16" s="1"/>
  <c r="BV182" i="16" s="1"/>
  <c r="BW182" i="16" s="1"/>
  <c r="BX182" i="16" s="1"/>
  <c r="BY182" i="16" s="1"/>
  <c r="BZ182" i="16" s="1"/>
  <c r="CA182" i="16" s="1"/>
  <c r="CB182" i="16" s="1"/>
  <c r="CC182" i="16" s="1"/>
  <c r="CD182" i="16" s="1"/>
  <c r="CE182" i="16" s="1"/>
  <c r="CF182" i="16" s="1"/>
  <c r="CG182" i="16" s="1"/>
  <c r="CH182" i="16" s="1"/>
  <c r="CI182" i="16" s="1"/>
  <c r="CJ182" i="16" s="1"/>
  <c r="CK182" i="16" s="1"/>
  <c r="CL182" i="16" s="1"/>
  <c r="CM182" i="16" s="1"/>
  <c r="CN182" i="16" s="1"/>
  <c r="CO182" i="16" s="1"/>
  <c r="CP182" i="16" s="1"/>
  <c r="CQ182" i="16" s="1"/>
  <c r="CR182" i="16" s="1"/>
  <c r="CS182" i="16" s="1"/>
  <c r="CT182" i="16" s="1"/>
  <c r="CU182" i="16" s="1"/>
  <c r="CV182" i="16" s="1"/>
  <c r="CW182" i="16" s="1"/>
  <c r="CX182" i="16" s="1"/>
  <c r="CY182" i="16" s="1"/>
  <c r="CZ182" i="16" s="1"/>
  <c r="DA182" i="16" s="1"/>
  <c r="DB182" i="16" s="1"/>
  <c r="DC182" i="16" s="1"/>
  <c r="DD182" i="16" s="1"/>
  <c r="DE182" i="16" s="1"/>
  <c r="DF182" i="16" s="1"/>
  <c r="DG182" i="16" s="1"/>
  <c r="DH182" i="16" s="1"/>
  <c r="DI182" i="16" s="1"/>
  <c r="DJ182" i="16" s="1"/>
  <c r="DK182" i="16" s="1"/>
  <c r="DL182" i="16" s="1"/>
  <c r="DM182" i="16" s="1"/>
  <c r="DN182" i="16" s="1"/>
  <c r="DO182" i="16" s="1"/>
  <c r="DP182" i="16" s="1"/>
  <c r="DQ182" i="16" s="1"/>
  <c r="DR182" i="16" s="1"/>
  <c r="DS182" i="16" s="1"/>
  <c r="DT182" i="16" s="1"/>
  <c r="DU182" i="16" s="1"/>
  <c r="DV182" i="16" s="1"/>
  <c r="DW182" i="16" s="1"/>
  <c r="DX182" i="16" s="1"/>
  <c r="DY182" i="16" s="1"/>
  <c r="DZ182" i="16" s="1"/>
  <c r="EA182" i="16" s="1"/>
  <c r="EB182" i="16" s="1"/>
  <c r="EC182" i="16" s="1"/>
  <c r="ED182" i="16" s="1"/>
  <c r="EE182" i="16" s="1"/>
  <c r="EF182" i="16" s="1"/>
  <c r="EG182" i="16" s="1"/>
  <c r="EH182" i="16" s="1"/>
  <c r="EI182" i="16" s="1"/>
  <c r="EJ182" i="16" s="1"/>
  <c r="EK182" i="16" s="1"/>
  <c r="EL182" i="16" s="1"/>
  <c r="EM182" i="16" s="1"/>
  <c r="EN182" i="16" s="1"/>
  <c r="EO182" i="16" s="1"/>
  <c r="EP182" i="16" s="1"/>
  <c r="EQ182" i="16" s="1"/>
  <c r="ER182" i="16" s="1"/>
  <c r="ES182" i="16" s="1"/>
  <c r="ET182" i="16" s="1"/>
  <c r="EU182" i="16" s="1"/>
  <c r="EV182" i="16" s="1"/>
  <c r="EW182" i="16" s="1"/>
  <c r="EX182" i="16" s="1"/>
  <c r="EY182" i="16" s="1"/>
  <c r="EZ182" i="16" s="1"/>
  <c r="FA182" i="16" s="1"/>
  <c r="FB182" i="16" s="1"/>
  <c r="FC182" i="16" s="1"/>
  <c r="FD182" i="16" s="1"/>
  <c r="FE182" i="16" s="1"/>
  <c r="FF182" i="16" s="1"/>
  <c r="FG182" i="16" s="1"/>
  <c r="FH182" i="16" s="1"/>
  <c r="FI182" i="16" s="1"/>
  <c r="FJ182" i="16" s="1"/>
  <c r="FK182" i="16" s="1"/>
  <c r="FL182" i="16" s="1"/>
  <c r="FM182" i="16" s="1"/>
  <c r="FN182" i="16" s="1"/>
  <c r="FO182" i="16" s="1"/>
  <c r="FP182" i="16" s="1"/>
  <c r="FQ182" i="16" s="1"/>
  <c r="FR182" i="16" s="1"/>
  <c r="FS182" i="16" s="1"/>
  <c r="FT182" i="16" s="1"/>
  <c r="FU182" i="16" s="1"/>
  <c r="FV182" i="16" s="1"/>
  <c r="FW182" i="16" s="1"/>
  <c r="FX182" i="16" s="1"/>
  <c r="FY182" i="16" s="1"/>
  <c r="FZ182" i="16" s="1"/>
  <c r="GA182" i="16" s="1"/>
  <c r="GB182" i="16" s="1"/>
  <c r="GC182" i="16" s="1"/>
  <c r="GD182" i="16" s="1"/>
  <c r="GE182" i="16" s="1"/>
  <c r="GF182" i="16" s="1"/>
  <c r="GG182" i="16" s="1"/>
  <c r="GH182" i="16" s="1"/>
  <c r="GI182" i="16" s="1"/>
  <c r="GJ182" i="16" s="1"/>
  <c r="GK182" i="16" s="1"/>
  <c r="GL182" i="16" s="1"/>
  <c r="GM182" i="16" s="1"/>
  <c r="GN182" i="16" s="1"/>
  <c r="GO182" i="16" s="1"/>
  <c r="GP182" i="16" s="1"/>
  <c r="GQ182" i="16" s="1"/>
  <c r="GR182" i="16" s="1"/>
  <c r="GS182" i="16" s="1"/>
  <c r="GT182" i="16" s="1"/>
  <c r="GU182" i="16" s="1"/>
  <c r="GV182" i="16" s="1"/>
  <c r="GW182" i="16" s="1"/>
  <c r="GX182" i="16" s="1"/>
  <c r="GY182" i="16" s="1"/>
  <c r="GZ182" i="16" s="1"/>
  <c r="HA182" i="16" s="1"/>
  <c r="HB182" i="16" s="1"/>
  <c r="HC182" i="16" s="1"/>
  <c r="HD182" i="16" s="1"/>
  <c r="HE182" i="16" s="1"/>
  <c r="HF182" i="16" s="1"/>
  <c r="HG182" i="16" s="1"/>
  <c r="HH182" i="16" s="1"/>
  <c r="HI182" i="16" s="1"/>
  <c r="HJ182" i="16" s="1"/>
  <c r="HK182" i="16" s="1"/>
  <c r="HL182" i="16" s="1"/>
  <c r="HM182" i="16" s="1"/>
  <c r="HN182" i="16" s="1"/>
  <c r="HO182" i="16" s="1"/>
  <c r="HP182" i="16" s="1"/>
  <c r="HQ182" i="16" s="1"/>
  <c r="HR182" i="16" s="1"/>
  <c r="HS182" i="16" s="1"/>
  <c r="HT182" i="16" s="1"/>
  <c r="HU182" i="16" s="1"/>
  <c r="HV182" i="16" s="1"/>
  <c r="HW182" i="16" s="1"/>
  <c r="HX182" i="16" s="1"/>
  <c r="HY182" i="16" s="1"/>
  <c r="HZ182" i="16" s="1"/>
  <c r="IA182" i="16" s="1"/>
  <c r="IB182" i="16" s="1"/>
  <c r="IC182" i="16" s="1"/>
  <c r="ID182" i="16" s="1"/>
  <c r="IE182" i="16" s="1"/>
  <c r="IF182" i="16" s="1"/>
  <c r="IG182" i="16" s="1"/>
  <c r="IH182" i="16" s="1"/>
  <c r="II182" i="16" s="1"/>
  <c r="IJ182" i="16" s="1"/>
  <c r="IK182" i="16" s="1"/>
  <c r="IL182" i="16" s="1"/>
  <c r="IM182" i="16" s="1"/>
  <c r="IN182" i="16" s="1"/>
  <c r="IO182" i="16" s="1"/>
  <c r="IP182" i="16" s="1"/>
  <c r="IQ182" i="16" s="1"/>
  <c r="IR182" i="16" s="1"/>
  <c r="IS182" i="16" s="1"/>
  <c r="IT182" i="16" s="1"/>
  <c r="IU182" i="16" s="1"/>
  <c r="IV182" i="16" s="1"/>
  <c r="IW182" i="16" s="1"/>
  <c r="IX182" i="16" s="1"/>
  <c r="IY182" i="16" s="1"/>
  <c r="IZ182" i="16" s="1"/>
  <c r="JA182" i="16" s="1"/>
  <c r="JB182" i="16" s="1"/>
  <c r="JC182" i="16" s="1"/>
  <c r="JD182" i="16" s="1"/>
  <c r="JE182" i="16" s="1"/>
  <c r="JF182" i="16" s="1"/>
  <c r="JG182" i="16" s="1"/>
  <c r="JH182" i="16" s="1"/>
  <c r="JI182" i="16" s="1"/>
  <c r="JJ182" i="16" s="1"/>
  <c r="JK182" i="16" s="1"/>
  <c r="JL182" i="16" s="1"/>
  <c r="JM182" i="16" s="1"/>
  <c r="JN182" i="16" s="1"/>
  <c r="JO182" i="16" s="1"/>
  <c r="JP182" i="16" s="1"/>
  <c r="JQ182" i="16" s="1"/>
  <c r="JR182" i="16" s="1"/>
  <c r="JS182" i="16" s="1"/>
  <c r="JT182" i="16" s="1"/>
  <c r="JU182" i="16" s="1"/>
  <c r="JV182" i="16" s="1"/>
  <c r="JW182" i="16" s="1"/>
  <c r="JX182" i="16" s="1"/>
  <c r="JY182" i="16" s="1"/>
  <c r="JZ182" i="16" s="1"/>
  <c r="KA182" i="16" s="1"/>
  <c r="KB182" i="16" s="1"/>
  <c r="KC182" i="16" s="1"/>
  <c r="KD182" i="16" s="1"/>
  <c r="KE182" i="16" s="1"/>
  <c r="KF182" i="16" s="1"/>
  <c r="KG182" i="16" s="1"/>
  <c r="KH182" i="16" s="1"/>
  <c r="KI182" i="16" s="1"/>
  <c r="KJ182" i="16" s="1"/>
  <c r="KK182" i="16" s="1"/>
  <c r="KL182" i="16" s="1"/>
  <c r="KM182" i="16" s="1"/>
  <c r="KN182" i="16" s="1"/>
  <c r="KO182" i="16" s="1"/>
  <c r="KP182" i="16" s="1"/>
  <c r="KQ182" i="16" s="1"/>
  <c r="KR182" i="16" s="1"/>
  <c r="KS182" i="16" s="1"/>
  <c r="KT182" i="16" s="1"/>
  <c r="KU182" i="16" s="1"/>
  <c r="KV182" i="16" s="1"/>
  <c r="KW182" i="16" s="1"/>
  <c r="KX182" i="16" s="1"/>
  <c r="KY182" i="16" s="1"/>
  <c r="KZ182" i="16" s="1"/>
  <c r="LA182" i="16" s="1"/>
  <c r="LB182" i="16" s="1"/>
  <c r="LC182" i="16" s="1"/>
  <c r="LD182" i="16" s="1"/>
  <c r="LE182" i="16" s="1"/>
  <c r="LF182" i="16" s="1"/>
  <c r="LG182" i="16" s="1"/>
  <c r="LH182" i="16" s="1"/>
  <c r="LI182" i="16" s="1"/>
  <c r="LJ182" i="16" s="1"/>
  <c r="LK182" i="16" s="1"/>
  <c r="LL182" i="16" s="1"/>
  <c r="LM182" i="16" s="1"/>
  <c r="LN182" i="16" s="1"/>
  <c r="LO182" i="16" s="1"/>
  <c r="LP182" i="16" s="1"/>
  <c r="LQ182" i="16" s="1"/>
  <c r="LR182" i="16" s="1"/>
  <c r="LS182" i="16" s="1"/>
  <c r="LT182" i="16" s="1"/>
  <c r="LU182" i="16" s="1"/>
  <c r="LV182" i="16" s="1"/>
  <c r="LW182" i="16" s="1"/>
  <c r="LX182" i="16" s="1"/>
  <c r="LY182" i="16" s="1"/>
  <c r="LZ182" i="16" s="1"/>
  <c r="MA182" i="16" s="1"/>
  <c r="MB182" i="16" s="1"/>
  <c r="MC182" i="16" s="1"/>
  <c r="MD182" i="16" s="1"/>
  <c r="ME182" i="16" s="1"/>
  <c r="MF182" i="16" s="1"/>
  <c r="MG182" i="16" s="1"/>
  <c r="MH182" i="16" s="1"/>
  <c r="AK303" i="11" l="1"/>
  <c r="AK302" i="11"/>
  <c r="AK300" i="11"/>
  <c r="AK320" i="11" s="1"/>
  <c r="AK304" i="11"/>
  <c r="AK301" i="11"/>
  <c r="AN567" i="11"/>
  <c r="AN564" i="11"/>
  <c r="AN566" i="11"/>
  <c r="AN565" i="11"/>
  <c r="AN568" i="11"/>
  <c r="AK460" i="11"/>
  <c r="AK461" i="11"/>
  <c r="AK462" i="11"/>
  <c r="AK464" i="11"/>
  <c r="AK463" i="11"/>
  <c r="AI530" i="11"/>
  <c r="AJ497" i="11"/>
  <c r="AJ536" i="11" s="1"/>
  <c r="AL514" i="11"/>
  <c r="AK542" i="11"/>
  <c r="AL495" i="11"/>
  <c r="AK535" i="11"/>
  <c r="AL517" i="11"/>
  <c r="AK543" i="11"/>
  <c r="AL508" i="11"/>
  <c r="AK540" i="11"/>
  <c r="AK529" i="11"/>
  <c r="AK497" i="11" s="1"/>
  <c r="AJ547" i="11"/>
  <c r="AL523" i="11"/>
  <c r="AK545" i="11"/>
  <c r="AL520" i="11"/>
  <c r="AK544" i="11"/>
  <c r="AL489" i="11"/>
  <c r="AK533" i="11"/>
  <c r="AK505" i="11"/>
  <c r="AK539" i="11" s="1"/>
  <c r="AK534" i="11"/>
  <c r="AL492" i="11"/>
  <c r="AK537" i="11"/>
  <c r="AL500" i="11"/>
  <c r="AK546" i="11"/>
  <c r="AL526" i="11"/>
  <c r="AL432" i="11"/>
  <c r="AK444" i="11"/>
  <c r="AL429" i="11"/>
  <c r="AK442" i="11"/>
  <c r="AL426" i="11"/>
  <c r="AL441" i="11" s="1"/>
  <c r="AK437" i="11"/>
  <c r="AK443" i="11" s="1"/>
  <c r="AM84" i="11"/>
  <c r="AN79" i="11"/>
  <c r="AN82" i="11"/>
  <c r="AN80" i="11"/>
  <c r="AN81" i="11"/>
  <c r="AN83" i="11"/>
  <c r="AO75" i="11"/>
  <c r="AO74" i="11"/>
  <c r="AO73" i="11"/>
  <c r="I49" i="11"/>
  <c r="AL115" i="11"/>
  <c r="AL117" i="11" s="1"/>
  <c r="AL127" i="11"/>
  <c r="AL129" i="11" s="1"/>
  <c r="AL105" i="11"/>
  <c r="AL108" i="11" s="1"/>
  <c r="AL95" i="11"/>
  <c r="AL98" i="11" s="1"/>
  <c r="AK190" i="11"/>
  <c r="AB8" i="11"/>
  <c r="AB179" i="11" s="1"/>
  <c r="AK191" i="11"/>
  <c r="E49" i="13"/>
  <c r="F48" i="13"/>
  <c r="G48" i="13"/>
  <c r="H48" i="13"/>
  <c r="I48" i="13"/>
  <c r="J48" i="13"/>
  <c r="K48" i="13"/>
  <c r="L48" i="13"/>
  <c r="M48" i="13"/>
  <c r="N48" i="13"/>
  <c r="O48" i="13"/>
  <c r="P48" i="13"/>
  <c r="Q48" i="13"/>
  <c r="R48" i="13"/>
  <c r="S48" i="13"/>
  <c r="T48" i="13"/>
  <c r="U48" i="13"/>
  <c r="V48" i="13"/>
  <c r="W48" i="13"/>
  <c r="X48" i="13"/>
  <c r="Y48" i="13"/>
  <c r="Z48" i="13"/>
  <c r="AA48" i="13"/>
  <c r="AB48" i="13"/>
  <c r="AC48" i="13"/>
  <c r="AD48" i="13"/>
  <c r="AE48" i="13"/>
  <c r="AF48" i="13"/>
  <c r="AG48" i="13"/>
  <c r="AH48" i="13"/>
  <c r="AI48" i="13"/>
  <c r="AJ48" i="13"/>
  <c r="AK48" i="13"/>
  <c r="K11" i="17"/>
  <c r="J187" i="20"/>
  <c r="M188" i="20"/>
  <c r="L188" i="20"/>
  <c r="AY526" i="20"/>
  <c r="AZ526" i="20" s="1"/>
  <c r="BA526" i="20" s="1"/>
  <c r="BB526" i="20" s="1"/>
  <c r="BC526" i="20" s="1"/>
  <c r="BD526" i="20" s="1"/>
  <c r="BE526" i="20" s="1"/>
  <c r="BF526" i="20" s="1"/>
  <c r="BG526" i="20" s="1"/>
  <c r="BH526" i="20" s="1"/>
  <c r="BI526" i="20" s="1"/>
  <c r="BJ526" i="20" s="1"/>
  <c r="BK526" i="20" s="1"/>
  <c r="BL526" i="20" s="1"/>
  <c r="BM526" i="20" s="1"/>
  <c r="BN526" i="20" s="1"/>
  <c r="AU976" i="20"/>
  <c r="AV901" i="20"/>
  <c r="AV964" i="20"/>
  <c r="AV970" i="20"/>
  <c r="AW889" i="20"/>
  <c r="AW895" i="20"/>
  <c r="AV987" i="20"/>
  <c r="L184" i="20" s="1"/>
  <c r="AV981" i="20"/>
  <c r="L178" i="20" s="1"/>
  <c r="AV982" i="20"/>
  <c r="L179" i="20" s="1"/>
  <c r="AV985" i="20"/>
  <c r="L182" i="20" s="1"/>
  <c r="AV988" i="20"/>
  <c r="L185" i="20" s="1"/>
  <c r="AV986" i="20"/>
  <c r="L183" i="20" s="1"/>
  <c r="AV983" i="20"/>
  <c r="L180" i="20" s="1"/>
  <c r="AU876" i="20"/>
  <c r="AV864" i="20"/>
  <c r="AV870" i="20"/>
  <c r="AU991" i="20"/>
  <c r="AV980" i="20"/>
  <c r="L177" i="20" s="1"/>
  <c r="AV989" i="20"/>
  <c r="L186" i="20" s="1"/>
  <c r="AV984" i="20"/>
  <c r="L181" i="20" s="1"/>
  <c r="AX930" i="20"/>
  <c r="AY285" i="20"/>
  <c r="AX293" i="20"/>
  <c r="AX855" i="20"/>
  <c r="AX230" i="20"/>
  <c r="AX905" i="20"/>
  <c r="AX880" i="20"/>
  <c r="AX754" i="20"/>
  <c r="AX776" i="20"/>
  <c r="AX891" i="20" s="1"/>
  <c r="AX765" i="20"/>
  <c r="AX890" i="20" s="1"/>
  <c r="AV857" i="20"/>
  <c r="AY799" i="20"/>
  <c r="AW840" i="20"/>
  <c r="AW965" i="20" s="1"/>
  <c r="AW807" i="20"/>
  <c r="AW796" i="20"/>
  <c r="AX788" i="20"/>
  <c r="AW773" i="20"/>
  <c r="AW868" i="20" s="1"/>
  <c r="AW851" i="20"/>
  <c r="AW966" i="20" s="1"/>
  <c r="AW751" i="20"/>
  <c r="AW866" i="20" s="1"/>
  <c r="AW784" i="20"/>
  <c r="AW869" i="20" s="1"/>
  <c r="AW762" i="20"/>
  <c r="AW867" i="20" s="1"/>
  <c r="AX732" i="20"/>
  <c r="AW740" i="20"/>
  <c r="AW865" i="20" s="1"/>
  <c r="AX721" i="20"/>
  <c r="AW729" i="20"/>
  <c r="AW829" i="20"/>
  <c r="AW818" i="20"/>
  <c r="AW656" i="20"/>
  <c r="AW958" i="20" s="1"/>
  <c r="AW667" i="20"/>
  <c r="AW959" i="20" s="1"/>
  <c r="AW634" i="20"/>
  <c r="AW678" i="20"/>
  <c r="AW623" i="20"/>
  <c r="AW645" i="20"/>
  <c r="AW567" i="20"/>
  <c r="AX559" i="20"/>
  <c r="AX884" i="20" s="1"/>
  <c r="AX969" i="20" s="1"/>
  <c r="AW556" i="20"/>
  <c r="AX548" i="20"/>
  <c r="AX883" i="20" s="1"/>
  <c r="AW578" i="20"/>
  <c r="AX570" i="20"/>
  <c r="AX537" i="20"/>
  <c r="AW545" i="20"/>
  <c r="AW534" i="20"/>
  <c r="AW859" i="20" s="1"/>
  <c r="AW944" i="20" s="1"/>
  <c r="AW951" i="20" s="1"/>
  <c r="AX523" i="20"/>
  <c r="AX858" i="20" s="1"/>
  <c r="AW442" i="20"/>
  <c r="AX434" i="20"/>
  <c r="AW432" i="20"/>
  <c r="AW907" i="20" s="1"/>
  <c r="AW926" i="20" s="1"/>
  <c r="AX424" i="20"/>
  <c r="AX414" i="20"/>
  <c r="AW422" i="20"/>
  <c r="AW462" i="20"/>
  <c r="AX454" i="20"/>
  <c r="AW472" i="20"/>
  <c r="AX464" i="20"/>
  <c r="AX444" i="20"/>
  <c r="AW452" i="20"/>
  <c r="AW345" i="20"/>
  <c r="AX337" i="20"/>
  <c r="AW325" i="20"/>
  <c r="AX317" i="20"/>
  <c r="AX307" i="20"/>
  <c r="AW315" i="20"/>
  <c r="AX327" i="20"/>
  <c r="AW335" i="20"/>
  <c r="AX297" i="20"/>
  <c r="AW305" i="20"/>
  <c r="AX347" i="20"/>
  <c r="AW355" i="20"/>
  <c r="AX394" i="20"/>
  <c r="AW402" i="20"/>
  <c r="AX404" i="20"/>
  <c r="AW412" i="20"/>
  <c r="AY275" i="20"/>
  <c r="AX392" i="20"/>
  <c r="AW382" i="20"/>
  <c r="AW980" i="20" s="1"/>
  <c r="M177" i="20" s="1"/>
  <c r="AY273" i="20"/>
  <c r="AX263" i="20"/>
  <c r="AX856" i="20" s="1"/>
  <c r="AY143" i="20"/>
  <c r="AY151" i="20" s="1"/>
  <c r="AY224" i="20" s="1"/>
  <c r="AY156" i="20"/>
  <c r="AY164" i="20" s="1"/>
  <c r="AY225" i="20" s="1"/>
  <c r="AY195" i="20"/>
  <c r="AY203" i="20" s="1"/>
  <c r="AY228" i="20" s="1"/>
  <c r="AY182" i="20"/>
  <c r="AY190" i="20" s="1"/>
  <c r="AY227" i="20" s="1"/>
  <c r="AY169" i="20"/>
  <c r="AY177" i="20" s="1"/>
  <c r="AY226" i="20" s="1"/>
  <c r="AY208" i="20"/>
  <c r="AY216" i="20" s="1"/>
  <c r="AY229" i="20" s="1"/>
  <c r="AY99" i="20"/>
  <c r="AY107" i="20" s="1"/>
  <c r="AY223" i="20" s="1"/>
  <c r="AY79" i="20"/>
  <c r="AY87" i="20" s="1"/>
  <c r="AY222" i="20" s="1"/>
  <c r="AY61" i="20"/>
  <c r="AY69" i="20" s="1"/>
  <c r="AY221" i="20" s="1"/>
  <c r="AY43" i="20"/>
  <c r="AY51" i="20" s="1"/>
  <c r="AY220" i="20" s="1"/>
  <c r="AZ5" i="20"/>
  <c r="BK4" i="20"/>
  <c r="AL585" i="11"/>
  <c r="AL35" i="11"/>
  <c r="AM5" i="11"/>
  <c r="AL34" i="11"/>
  <c r="AL36" i="11"/>
  <c r="AJ45" i="11"/>
  <c r="AK44" i="11"/>
  <c r="AK41" i="11"/>
  <c r="AK42" i="11"/>
  <c r="AK40" i="11"/>
  <c r="AK43" i="11"/>
  <c r="AU51" i="11"/>
  <c r="AT55" i="11"/>
  <c r="Q50" i="18"/>
  <c r="R50" i="18"/>
  <c r="U50" i="18"/>
  <c r="AC84" i="18" s="1"/>
  <c r="T50" i="18"/>
  <c r="AB84" i="18" s="1"/>
  <c r="S50" i="18"/>
  <c r="AA84" i="18" s="1"/>
  <c r="N51" i="18"/>
  <c r="AF10" i="18"/>
  <c r="AE16" i="18"/>
  <c r="AF14" i="18"/>
  <c r="AG11" i="18"/>
  <c r="AF12" i="18"/>
  <c r="AF13" i="18"/>
  <c r="AG15" i="18"/>
  <c r="D9" i="16"/>
  <c r="E9" i="16" s="1"/>
  <c r="F9" i="16" s="1"/>
  <c r="G9" i="16" s="1"/>
  <c r="H9" i="16" s="1"/>
  <c r="I9" i="16" s="1"/>
  <c r="J9" i="16" s="1"/>
  <c r="K9" i="16" s="1"/>
  <c r="L9" i="16" s="1"/>
  <c r="M9" i="16" s="1"/>
  <c r="N9" i="16" s="1"/>
  <c r="O9" i="16" s="1"/>
  <c r="P9" i="16" s="1"/>
  <c r="Q9" i="16" s="1"/>
  <c r="R9" i="16" s="1"/>
  <c r="S9" i="16" s="1"/>
  <c r="T9" i="16" s="1"/>
  <c r="U9" i="16" s="1"/>
  <c r="V9" i="16" s="1"/>
  <c r="W9" i="16" s="1"/>
  <c r="X9" i="16" s="1"/>
  <c r="Y9" i="16" s="1"/>
  <c r="Z9" i="16" s="1"/>
  <c r="AA9" i="16" s="1"/>
  <c r="AB9" i="16" s="1"/>
  <c r="AC9" i="16" s="1"/>
  <c r="AD9" i="16" s="1"/>
  <c r="AE9" i="16" s="1"/>
  <c r="AF9" i="16" s="1"/>
  <c r="M185" i="16"/>
  <c r="O185" i="16"/>
  <c r="D14" i="16"/>
  <c r="N185" i="16"/>
  <c r="I185" i="16"/>
  <c r="H185" i="16"/>
  <c r="G185" i="16"/>
  <c r="E12" i="16"/>
  <c r="E27" i="16" s="1"/>
  <c r="C185" i="16"/>
  <c r="E185" i="16"/>
  <c r="D185" i="16"/>
  <c r="R34" i="18"/>
  <c r="V208" i="11"/>
  <c r="V216" i="11"/>
  <c r="V210" i="11"/>
  <c r="V218" i="11"/>
  <c r="V212" i="11"/>
  <c r="W208" i="11"/>
  <c r="W216" i="11"/>
  <c r="W210" i="11"/>
  <c r="W211" i="11"/>
  <c r="W212" i="11"/>
  <c r="Z215" i="11"/>
  <c r="Z17" i="11"/>
  <c r="Z210" i="11"/>
  <c r="Z211" i="11"/>
  <c r="Z219" i="11"/>
  <c r="AA215" i="11"/>
  <c r="AA209" i="11"/>
  <c r="AA217" i="11"/>
  <c r="AA211" i="11"/>
  <c r="AA219" i="11"/>
  <c r="AB208" i="11"/>
  <c r="AB216" i="11"/>
  <c r="AB217" i="11"/>
  <c r="AB19" i="11"/>
  <c r="AB108" i="11" s="1"/>
  <c r="AB212" i="11"/>
  <c r="AC208" i="11"/>
  <c r="AC216" i="11"/>
  <c r="AC210" i="11"/>
  <c r="AC218" i="11"/>
  <c r="AC212" i="11"/>
  <c r="V217" i="11"/>
  <c r="AB215" i="11"/>
  <c r="Z209" i="11"/>
  <c r="W209" i="11"/>
  <c r="AB20" i="11"/>
  <c r="AB16" i="11"/>
  <c r="AL301" i="11" l="1"/>
  <c r="AL302" i="11"/>
  <c r="AL304" i="11"/>
  <c r="AL303" i="11"/>
  <c r="AL300" i="11"/>
  <c r="AL320" i="11" s="1"/>
  <c r="F90" i="11"/>
  <c r="AO566" i="11"/>
  <c r="AO565" i="11"/>
  <c r="AO564" i="11"/>
  <c r="AO568" i="11"/>
  <c r="AO567" i="11"/>
  <c r="AL460" i="11"/>
  <c r="AL461" i="11"/>
  <c r="AL462" i="11"/>
  <c r="AL463" i="11"/>
  <c r="AL464" i="11"/>
  <c r="AJ530" i="11"/>
  <c r="AK530" i="11"/>
  <c r="AK536" i="11"/>
  <c r="AM492" i="11"/>
  <c r="AL534" i="11"/>
  <c r="AM489" i="11"/>
  <c r="AL533" i="11"/>
  <c r="AM523" i="11"/>
  <c r="AL545" i="11"/>
  <c r="AM508" i="11"/>
  <c r="AL540" i="11"/>
  <c r="AM495" i="11"/>
  <c r="AL535" i="11"/>
  <c r="AL546" i="11"/>
  <c r="AM526" i="11"/>
  <c r="AL537" i="11"/>
  <c r="AM500" i="11"/>
  <c r="AM520" i="11"/>
  <c r="AL544" i="11"/>
  <c r="AL529" i="11"/>
  <c r="AL497" i="11" s="1"/>
  <c r="AK547" i="11"/>
  <c r="AM517" i="11"/>
  <c r="AL543" i="11"/>
  <c r="AM514" i="11"/>
  <c r="AL542" i="11"/>
  <c r="AM429" i="11"/>
  <c r="AL442" i="11"/>
  <c r="AM432" i="11"/>
  <c r="AL444" i="11"/>
  <c r="AM426" i="11"/>
  <c r="AM441" i="11" s="1"/>
  <c r="AL437" i="11"/>
  <c r="AL443" i="11" s="1"/>
  <c r="AN84" i="11"/>
  <c r="AP75" i="11"/>
  <c r="AP73" i="11"/>
  <c r="AP74" i="11"/>
  <c r="AO83" i="11"/>
  <c r="AO82" i="11"/>
  <c r="AO81" i="11"/>
  <c r="AO80" i="11"/>
  <c r="AO79" i="11"/>
  <c r="I50" i="11"/>
  <c r="AM115" i="11"/>
  <c r="AM117" i="11" s="1"/>
  <c r="AM127" i="11"/>
  <c r="AM129" i="11" s="1"/>
  <c r="AM105" i="11"/>
  <c r="AM108" i="11" s="1"/>
  <c r="AM95" i="11"/>
  <c r="AM98" i="11" s="1"/>
  <c r="AL190" i="11"/>
  <c r="AC8" i="11"/>
  <c r="AC179" i="11" s="1"/>
  <c r="AB191" i="11"/>
  <c r="AB180" i="11"/>
  <c r="AL191" i="11"/>
  <c r="E50" i="13"/>
  <c r="F49"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L11" i="17"/>
  <c r="K187" i="20"/>
  <c r="AV976" i="20"/>
  <c r="AW901" i="20"/>
  <c r="R84" i="18"/>
  <c r="Z84" i="18"/>
  <c r="Q84" i="18"/>
  <c r="Y84" i="18"/>
  <c r="AX889" i="20"/>
  <c r="AX895" i="20"/>
  <c r="AW964" i="20"/>
  <c r="AW970" i="20"/>
  <c r="AW983" i="20"/>
  <c r="M180" i="20" s="1"/>
  <c r="AW989" i="20"/>
  <c r="M186" i="20" s="1"/>
  <c r="AW987" i="20"/>
  <c r="M184" i="20" s="1"/>
  <c r="AW981" i="20"/>
  <c r="M178" i="20" s="1"/>
  <c r="AV876" i="20"/>
  <c r="AW864" i="20"/>
  <c r="AW870" i="20"/>
  <c r="AW986" i="20"/>
  <c r="M183" i="20" s="1"/>
  <c r="AW982" i="20"/>
  <c r="M179" i="20" s="1"/>
  <c r="AX990" i="20"/>
  <c r="AV991" i="20"/>
  <c r="AW988" i="20"/>
  <c r="M185" i="20" s="1"/>
  <c r="AW985" i="20"/>
  <c r="M182" i="20" s="1"/>
  <c r="AW984" i="20"/>
  <c r="M181" i="20" s="1"/>
  <c r="AY930" i="20"/>
  <c r="AZ285" i="20"/>
  <c r="AY293" i="20"/>
  <c r="AY855" i="20"/>
  <c r="AY230" i="20"/>
  <c r="AY905" i="20"/>
  <c r="AY880" i="20"/>
  <c r="AY765" i="20"/>
  <c r="AY890" i="20" s="1"/>
  <c r="AY754" i="20"/>
  <c r="AY776" i="20"/>
  <c r="AY891" i="20" s="1"/>
  <c r="AW857" i="20"/>
  <c r="AZ275" i="20"/>
  <c r="AZ799" i="20"/>
  <c r="AX818" i="20"/>
  <c r="AX762" i="20"/>
  <c r="AX867" i="20" s="1"/>
  <c r="AX773" i="20"/>
  <c r="AX868" i="20" s="1"/>
  <c r="AX807" i="20"/>
  <c r="AY721" i="20"/>
  <c r="AX729" i="20"/>
  <c r="AX751" i="20"/>
  <c r="AX866" i="20" s="1"/>
  <c r="AX829" i="20"/>
  <c r="AX784" i="20"/>
  <c r="AX869" i="20" s="1"/>
  <c r="AX851" i="20"/>
  <c r="AX966" i="20" s="1"/>
  <c r="AX796" i="20"/>
  <c r="AY788" i="20"/>
  <c r="AY732" i="20"/>
  <c r="AX740" i="20"/>
  <c r="AX865" i="20" s="1"/>
  <c r="AX840" i="20"/>
  <c r="AX965" i="20" s="1"/>
  <c r="AX667" i="20"/>
  <c r="AX959" i="20" s="1"/>
  <c r="AX645" i="20"/>
  <c r="AX678" i="20"/>
  <c r="AX623" i="20"/>
  <c r="AX634" i="20"/>
  <c r="AX656" i="20"/>
  <c r="AX958" i="20" s="1"/>
  <c r="AX556" i="20"/>
  <c r="AY548" i="20"/>
  <c r="AY883" i="20" s="1"/>
  <c r="AY537" i="20"/>
  <c r="AX545" i="20"/>
  <c r="AY570" i="20"/>
  <c r="AX578" i="20"/>
  <c r="AY559" i="20"/>
  <c r="AY884" i="20" s="1"/>
  <c r="AY969" i="20" s="1"/>
  <c r="AX567" i="20"/>
  <c r="AX534" i="20"/>
  <c r="AX859" i="20" s="1"/>
  <c r="AX944" i="20" s="1"/>
  <c r="AX951" i="20" s="1"/>
  <c r="AY523" i="20"/>
  <c r="AY858" i="20" s="1"/>
  <c r="AX432" i="20"/>
  <c r="AX907" i="20" s="1"/>
  <c r="AX926" i="20" s="1"/>
  <c r="AY424" i="20"/>
  <c r="AY444" i="20"/>
  <c r="AX452" i="20"/>
  <c r="AX462" i="20"/>
  <c r="AY454" i="20"/>
  <c r="AX472" i="20"/>
  <c r="AY464" i="20"/>
  <c r="AX442" i="20"/>
  <c r="AY434" i="20"/>
  <c r="AY414" i="20"/>
  <c r="AX422" i="20"/>
  <c r="AY317" i="20"/>
  <c r="AX325" i="20"/>
  <c r="AY347" i="20"/>
  <c r="AX355" i="20"/>
  <c r="AY327" i="20"/>
  <c r="AX335" i="20"/>
  <c r="AY337" i="20"/>
  <c r="AX345" i="20"/>
  <c r="AY297" i="20"/>
  <c r="AX305" i="20"/>
  <c r="AY307" i="20"/>
  <c r="AX315" i="20"/>
  <c r="AY404" i="20"/>
  <c r="AX412" i="20"/>
  <c r="AY394" i="20"/>
  <c r="AZ394" i="20" s="1"/>
  <c r="BA394" i="20" s="1"/>
  <c r="BB394" i="20" s="1"/>
  <c r="BC394" i="20" s="1"/>
  <c r="BD394" i="20" s="1"/>
  <c r="BE394" i="20" s="1"/>
  <c r="BF394" i="20" s="1"/>
  <c r="BG394" i="20" s="1"/>
  <c r="BH394" i="20" s="1"/>
  <c r="BI394" i="20" s="1"/>
  <c r="BJ394" i="20" s="1"/>
  <c r="BK394" i="20" s="1"/>
  <c r="BL394" i="20" s="1"/>
  <c r="BM394" i="20" s="1"/>
  <c r="BN394" i="20" s="1"/>
  <c r="AX402" i="20"/>
  <c r="AY392" i="20"/>
  <c r="AY283" i="20"/>
  <c r="AX382" i="20"/>
  <c r="AX980" i="20" s="1"/>
  <c r="N177" i="20" s="1"/>
  <c r="AZ273" i="20"/>
  <c r="AY263" i="20"/>
  <c r="AY856" i="20" s="1"/>
  <c r="AZ143" i="20"/>
  <c r="AZ151" i="20" s="1"/>
  <c r="AZ224" i="20" s="1"/>
  <c r="AZ195" i="20"/>
  <c r="AZ203" i="20" s="1"/>
  <c r="AZ228" i="20" s="1"/>
  <c r="AZ156" i="20"/>
  <c r="AZ164" i="20" s="1"/>
  <c r="AZ225" i="20" s="1"/>
  <c r="AZ182" i="20"/>
  <c r="AZ190" i="20" s="1"/>
  <c r="AZ227" i="20" s="1"/>
  <c r="AZ169" i="20"/>
  <c r="AZ177" i="20" s="1"/>
  <c r="AZ226" i="20" s="1"/>
  <c r="AZ208" i="20"/>
  <c r="AZ216" i="20" s="1"/>
  <c r="AZ229" i="20" s="1"/>
  <c r="AZ99" i="20"/>
  <c r="AZ107" i="20" s="1"/>
  <c r="AZ223" i="20" s="1"/>
  <c r="AZ79" i="20"/>
  <c r="AZ87" i="20" s="1"/>
  <c r="AZ222" i="20" s="1"/>
  <c r="AZ61" i="20"/>
  <c r="AZ69" i="20" s="1"/>
  <c r="AZ221" i="20" s="1"/>
  <c r="AZ43" i="20"/>
  <c r="AZ51" i="20" s="1"/>
  <c r="AZ220" i="20" s="1"/>
  <c r="BA5" i="20"/>
  <c r="BL4" i="20"/>
  <c r="U84" i="18"/>
  <c r="X84" i="18"/>
  <c r="S84" i="18"/>
  <c r="V84" i="18"/>
  <c r="T84" i="18"/>
  <c r="W84" i="18"/>
  <c r="AL43" i="11"/>
  <c r="AL40" i="11"/>
  <c r="AL42" i="11"/>
  <c r="AL44" i="11"/>
  <c r="AL41" i="11"/>
  <c r="AK45" i="11"/>
  <c r="AM585" i="11"/>
  <c r="AM36" i="11"/>
  <c r="AN5" i="11"/>
  <c r="AM35" i="11"/>
  <c r="AM34" i="11"/>
  <c r="AV51" i="11"/>
  <c r="AU55" i="11"/>
  <c r="AT51" i="18"/>
  <c r="AT65" i="18" s="1"/>
  <c r="AQ51" i="18"/>
  <c r="R51" i="18"/>
  <c r="R85" i="18" s="1"/>
  <c r="T51" i="18"/>
  <c r="T85" i="18" s="1"/>
  <c r="AE51" i="18"/>
  <c r="AE85" i="18" s="1"/>
  <c r="AF51" i="18"/>
  <c r="AF85" i="18" s="1"/>
  <c r="S51" i="18"/>
  <c r="S85" i="18" s="1"/>
  <c r="AS51" i="18"/>
  <c r="AN51" i="18"/>
  <c r="V51" i="18"/>
  <c r="V85" i="18" s="1"/>
  <c r="X51" i="18"/>
  <c r="X85" i="18" s="1"/>
  <c r="AI51" i="18"/>
  <c r="AI85" i="18" s="1"/>
  <c r="AJ51" i="18"/>
  <c r="AJ85" i="18" s="1"/>
  <c r="AA51" i="18"/>
  <c r="AA85" i="18" s="1"/>
  <c r="AL51" i="18"/>
  <c r="AK51" i="18"/>
  <c r="AR51" i="18"/>
  <c r="Z51" i="18"/>
  <c r="Z85" i="18" s="1"/>
  <c r="AB51" i="18"/>
  <c r="AB85" i="18" s="1"/>
  <c r="AH51" i="18"/>
  <c r="AH85" i="18" s="1"/>
  <c r="Q51" i="18"/>
  <c r="Q85" i="18" s="1"/>
  <c r="AG51" i="18"/>
  <c r="AG85" i="18" s="1"/>
  <c r="AP51" i="18"/>
  <c r="AM51" i="18"/>
  <c r="AO51" i="18"/>
  <c r="AD51" i="18"/>
  <c r="AD85" i="18" s="1"/>
  <c r="W51" i="18"/>
  <c r="W85" i="18" s="1"/>
  <c r="Y51" i="18"/>
  <c r="Y85" i="18" s="1"/>
  <c r="AC51" i="18"/>
  <c r="AC85" i="18" s="1"/>
  <c r="U51" i="18"/>
  <c r="U85" i="18" s="1"/>
  <c r="S34" i="18"/>
  <c r="N52" i="18"/>
  <c r="AH11" i="18"/>
  <c r="AG12" i="18"/>
  <c r="AG14" i="18"/>
  <c r="AG13" i="18"/>
  <c r="AH15" i="18"/>
  <c r="AG10" i="18"/>
  <c r="AF16" i="18"/>
  <c r="Z216" i="11"/>
  <c r="AC19" i="11"/>
  <c r="AC108" i="11" s="1"/>
  <c r="AB209" i="11"/>
  <c r="V19" i="11"/>
  <c r="Z208" i="11"/>
  <c r="Z212" i="11"/>
  <c r="AB219" i="11"/>
  <c r="V211" i="11"/>
  <c r="AB17" i="11"/>
  <c r="Z18" i="11"/>
  <c r="AA212" i="11"/>
  <c r="AA216" i="11"/>
  <c r="V17" i="11"/>
  <c r="V209" i="11"/>
  <c r="AC209" i="11"/>
  <c r="V215" i="11"/>
  <c r="Z19" i="11"/>
  <c r="Z108" i="11" s="1"/>
  <c r="W17" i="11"/>
  <c r="AA17" i="11"/>
  <c r="AB211" i="11"/>
  <c r="Z218" i="11"/>
  <c r="W20" i="11"/>
  <c r="V219" i="11"/>
  <c r="AC211" i="11"/>
  <c r="W219" i="11"/>
  <c r="W19" i="11"/>
  <c r="AC16" i="11"/>
  <c r="AB210" i="11"/>
  <c r="AC215" i="11"/>
  <c r="W218" i="11"/>
  <c r="V20" i="11"/>
  <c r="W16" i="11"/>
  <c r="AB18" i="11"/>
  <c r="AC20" i="11"/>
  <c r="W215" i="11"/>
  <c r="AA218" i="11"/>
  <c r="AA208" i="11"/>
  <c r="Z217" i="11"/>
  <c r="V16" i="11"/>
  <c r="AA19" i="11"/>
  <c r="AA108" i="11" s="1"/>
  <c r="AC219" i="11"/>
  <c r="AA18" i="11"/>
  <c r="AA210" i="11"/>
  <c r="W217" i="11"/>
  <c r="AC217" i="11"/>
  <c r="V18" i="11"/>
  <c r="W18" i="11"/>
  <c r="Z16" i="11"/>
  <c r="Z20" i="11"/>
  <c r="AC17" i="11"/>
  <c r="AB218" i="11"/>
  <c r="AA16" i="11"/>
  <c r="AA20" i="11"/>
  <c r="AC18" i="11"/>
  <c r="C36" i="16"/>
  <c r="A36" i="16" s="1"/>
  <c r="E14" i="16"/>
  <c r="F12" i="16"/>
  <c r="F27" i="16" s="1"/>
  <c r="DJ46" i="10"/>
  <c r="DJ45" i="10"/>
  <c r="DJ41" i="10" s="1"/>
  <c r="DJ44" i="10"/>
  <c r="BC28" i="10"/>
  <c r="AM304" i="11" l="1"/>
  <c r="AM301" i="11"/>
  <c r="AM303" i="11"/>
  <c r="AM300" i="11"/>
  <c r="AM320" i="11" s="1"/>
  <c r="AM302" i="11"/>
  <c r="AP565" i="11"/>
  <c r="AP564" i="11"/>
  <c r="AP568" i="11"/>
  <c r="AP567" i="11"/>
  <c r="AP566" i="11"/>
  <c r="AM462" i="11"/>
  <c r="AM464" i="11"/>
  <c r="AM463" i="11"/>
  <c r="AM461" i="11"/>
  <c r="AM460" i="11"/>
  <c r="AL536" i="11"/>
  <c r="AM546" i="11"/>
  <c r="AN526" i="11"/>
  <c r="AN489" i="11"/>
  <c r="AM533" i="11"/>
  <c r="AN517" i="11"/>
  <c r="AM543" i="11"/>
  <c r="AN520" i="11"/>
  <c r="AM544" i="11"/>
  <c r="AN508" i="11"/>
  <c r="AM540" i="11"/>
  <c r="AL505" i="11"/>
  <c r="AL539" i="11" s="1"/>
  <c r="AN492" i="11"/>
  <c r="AM534" i="11"/>
  <c r="AM537" i="11"/>
  <c r="AN500" i="11"/>
  <c r="AN514" i="11"/>
  <c r="AM542" i="11"/>
  <c r="AM529" i="11"/>
  <c r="AM505" i="11" s="1"/>
  <c r="AM539" i="11" s="1"/>
  <c r="AL547" i="11"/>
  <c r="AN495" i="11"/>
  <c r="AM535" i="11"/>
  <c r="AN523" i="11"/>
  <c r="AM545" i="11"/>
  <c r="AN432" i="11"/>
  <c r="AM444" i="11"/>
  <c r="AN429" i="11"/>
  <c r="AM442" i="11"/>
  <c r="AN426" i="11"/>
  <c r="AN441" i="11" s="1"/>
  <c r="AM437" i="11"/>
  <c r="AM443" i="11" s="1"/>
  <c r="AO84" i="11"/>
  <c r="AQ73" i="11"/>
  <c r="AQ74" i="11"/>
  <c r="AQ75" i="11"/>
  <c r="AP80" i="11"/>
  <c r="AP79" i="11"/>
  <c r="AP81" i="11"/>
  <c r="AP82" i="11"/>
  <c r="AP83" i="11"/>
  <c r="I51" i="11"/>
  <c r="AN115" i="11"/>
  <c r="AN117" i="11" s="1"/>
  <c r="AN127" i="11"/>
  <c r="AN129" i="11" s="1"/>
  <c r="AM190" i="11"/>
  <c r="AN105" i="11"/>
  <c r="AN108" i="11" s="1"/>
  <c r="AN95" i="11"/>
  <c r="AN98" i="11" s="1"/>
  <c r="Z191" i="11"/>
  <c r="Z180" i="11"/>
  <c r="AD8" i="11"/>
  <c r="AD179" i="11" s="1"/>
  <c r="AA191" i="11"/>
  <c r="AA180" i="11"/>
  <c r="AC191" i="11"/>
  <c r="AC180" i="11"/>
  <c r="AM191" i="11"/>
  <c r="E51" i="13"/>
  <c r="F50" i="13"/>
  <c r="G50" i="13"/>
  <c r="H50" i="13"/>
  <c r="I50" i="13"/>
  <c r="J50" i="13"/>
  <c r="K50" i="13"/>
  <c r="L50" i="13"/>
  <c r="M50" i="13"/>
  <c r="N50" i="13"/>
  <c r="O50" i="13"/>
  <c r="P50" i="13"/>
  <c r="Q50" i="13"/>
  <c r="R50" i="13"/>
  <c r="S50" i="13"/>
  <c r="T50" i="13"/>
  <c r="U50" i="13"/>
  <c r="V50" i="13"/>
  <c r="W50" i="13"/>
  <c r="X50" i="13"/>
  <c r="Y50" i="13"/>
  <c r="Z50" i="13"/>
  <c r="AA50" i="13"/>
  <c r="AB50" i="13"/>
  <c r="AC50" i="13"/>
  <c r="AD50" i="13"/>
  <c r="AE50" i="13"/>
  <c r="AF50" i="13"/>
  <c r="AG50" i="13"/>
  <c r="AH50" i="13"/>
  <c r="AI50" i="13"/>
  <c r="AJ50" i="13"/>
  <c r="AK50" i="13"/>
  <c r="V21" i="11"/>
  <c r="M11" i="17"/>
  <c r="L187" i="20"/>
  <c r="N188" i="20"/>
  <c r="AW976" i="20"/>
  <c r="AX901" i="20"/>
  <c r="AX964" i="20"/>
  <c r="AX970" i="20"/>
  <c r="AY889" i="20"/>
  <c r="AY895" i="20"/>
  <c r="AX982" i="20"/>
  <c r="N179" i="20" s="1"/>
  <c r="AX989" i="20"/>
  <c r="N186" i="20" s="1"/>
  <c r="AW876" i="20"/>
  <c r="AX981" i="20"/>
  <c r="N178" i="20" s="1"/>
  <c r="AX864" i="20"/>
  <c r="AX870" i="20"/>
  <c r="AX983" i="20"/>
  <c r="N180" i="20" s="1"/>
  <c r="AX984" i="20"/>
  <c r="N181" i="20" s="1"/>
  <c r="AX987" i="20"/>
  <c r="N184" i="20" s="1"/>
  <c r="AX986" i="20"/>
  <c r="N183" i="20" s="1"/>
  <c r="AY990" i="20"/>
  <c r="AX988" i="20"/>
  <c r="N185" i="20" s="1"/>
  <c r="AW991" i="20"/>
  <c r="AX985" i="20"/>
  <c r="N182" i="20" s="1"/>
  <c r="AZ930" i="20"/>
  <c r="BA285" i="20"/>
  <c r="AZ293" i="20"/>
  <c r="AZ855" i="20"/>
  <c r="AZ230" i="20"/>
  <c r="AZ905" i="20"/>
  <c r="AZ880" i="20"/>
  <c r="AZ754" i="20"/>
  <c r="AZ776" i="20"/>
  <c r="AZ891" i="20" s="1"/>
  <c r="AZ765" i="20"/>
  <c r="AZ890" i="20" s="1"/>
  <c r="AX857" i="20"/>
  <c r="BA275" i="20"/>
  <c r="BA283" i="20" s="1"/>
  <c r="AZ283" i="20"/>
  <c r="BA799" i="20"/>
  <c r="AY840" i="20"/>
  <c r="AY965" i="20" s="1"/>
  <c r="AY796" i="20"/>
  <c r="AZ788" i="20"/>
  <c r="AY784" i="20"/>
  <c r="AY869" i="20" s="1"/>
  <c r="AY807" i="20"/>
  <c r="AY762" i="20"/>
  <c r="AY867" i="20" s="1"/>
  <c r="AY751" i="20"/>
  <c r="AY866" i="20" s="1"/>
  <c r="AY851" i="20"/>
  <c r="AY966" i="20" s="1"/>
  <c r="AY773" i="20"/>
  <c r="AY868" i="20" s="1"/>
  <c r="AY818" i="20"/>
  <c r="AZ732" i="20"/>
  <c r="AY740" i="20"/>
  <c r="AY865" i="20" s="1"/>
  <c r="AY829" i="20"/>
  <c r="AZ721" i="20"/>
  <c r="AY729" i="20"/>
  <c r="AY656" i="20"/>
  <c r="AY958" i="20" s="1"/>
  <c r="AY645" i="20"/>
  <c r="AY623" i="20"/>
  <c r="AY634" i="20"/>
  <c r="AY678" i="20"/>
  <c r="AY667" i="20"/>
  <c r="AY959" i="20" s="1"/>
  <c r="AZ537" i="20"/>
  <c r="AY545" i="20"/>
  <c r="AY556" i="20"/>
  <c r="AZ548" i="20"/>
  <c r="AZ883" i="20" s="1"/>
  <c r="AY567" i="20"/>
  <c r="AZ559" i="20"/>
  <c r="AZ884" i="20" s="1"/>
  <c r="AZ969" i="20" s="1"/>
  <c r="AY534" i="20"/>
  <c r="AY859" i="20" s="1"/>
  <c r="AY944" i="20" s="1"/>
  <c r="AY951" i="20" s="1"/>
  <c r="AY578" i="20"/>
  <c r="AZ570" i="20"/>
  <c r="AZ523" i="20"/>
  <c r="AZ858" i="20" s="1"/>
  <c r="AZ414" i="20"/>
  <c r="AY422" i="20"/>
  <c r="AZ444" i="20"/>
  <c r="AY452" i="20"/>
  <c r="AY442" i="20"/>
  <c r="AZ434" i="20"/>
  <c r="AY462" i="20"/>
  <c r="AZ454" i="20"/>
  <c r="AY432" i="20"/>
  <c r="AY907" i="20" s="1"/>
  <c r="AY926" i="20" s="1"/>
  <c r="AZ424" i="20"/>
  <c r="AY472" i="20"/>
  <c r="AZ464" i="20"/>
  <c r="AZ307" i="20"/>
  <c r="AY315" i="20"/>
  <c r="AY345" i="20"/>
  <c r="AZ337" i="20"/>
  <c r="AZ347" i="20"/>
  <c r="AY355" i="20"/>
  <c r="AZ297" i="20"/>
  <c r="AY305" i="20"/>
  <c r="AY335" i="20"/>
  <c r="AZ327" i="20"/>
  <c r="AZ317" i="20"/>
  <c r="AY325" i="20"/>
  <c r="AY402" i="20"/>
  <c r="AZ404" i="20"/>
  <c r="AY412" i="20"/>
  <c r="AZ402" i="20"/>
  <c r="AZ392" i="20"/>
  <c r="AY382" i="20"/>
  <c r="BA273" i="20"/>
  <c r="AZ263" i="20"/>
  <c r="AZ856" i="20" s="1"/>
  <c r="BA143" i="20"/>
  <c r="BA151" i="20" s="1"/>
  <c r="BA224" i="20" s="1"/>
  <c r="BA156" i="20"/>
  <c r="BA164" i="20" s="1"/>
  <c r="BA225" i="20" s="1"/>
  <c r="BA195" i="20"/>
  <c r="BA203" i="20" s="1"/>
  <c r="BA228" i="20" s="1"/>
  <c r="BA169" i="20"/>
  <c r="BA177" i="20" s="1"/>
  <c r="BA226" i="20" s="1"/>
  <c r="BA208" i="20"/>
  <c r="BA216" i="20" s="1"/>
  <c r="BA229" i="20" s="1"/>
  <c r="BA182" i="20"/>
  <c r="BA190" i="20" s="1"/>
  <c r="BA227" i="20" s="1"/>
  <c r="BA99" i="20"/>
  <c r="BA107" i="20" s="1"/>
  <c r="BA223" i="20" s="1"/>
  <c r="BA79" i="20"/>
  <c r="BA87" i="20" s="1"/>
  <c r="BA222" i="20" s="1"/>
  <c r="BA61" i="20"/>
  <c r="BA69" i="20" s="1"/>
  <c r="BA221" i="20" s="1"/>
  <c r="BA43" i="20"/>
  <c r="BA51" i="20" s="1"/>
  <c r="BA220" i="20" s="1"/>
  <c r="BB5" i="20"/>
  <c r="BM4" i="20"/>
  <c r="AL45" i="11"/>
  <c r="AN585" i="11"/>
  <c r="AN34" i="11"/>
  <c r="AN36" i="11"/>
  <c r="AO5" i="11"/>
  <c r="AN35" i="11"/>
  <c r="AM43" i="11"/>
  <c r="AM40" i="11"/>
  <c r="AM41" i="11"/>
  <c r="AM44" i="11"/>
  <c r="AM42" i="11"/>
  <c r="AW51" i="11"/>
  <c r="AV55" i="11"/>
  <c r="AM65" i="18"/>
  <c r="AM85" i="18"/>
  <c r="AK65" i="18"/>
  <c r="AK85" i="18"/>
  <c r="AS65" i="18"/>
  <c r="AS85" i="18"/>
  <c r="AP65" i="18"/>
  <c r="AP85" i="18"/>
  <c r="AL65" i="18"/>
  <c r="AL85" i="18"/>
  <c r="AQ65" i="18"/>
  <c r="AQ85" i="18"/>
  <c r="AO65" i="18"/>
  <c r="AO85" i="18"/>
  <c r="AR65" i="18"/>
  <c r="AR85" i="18"/>
  <c r="AN65" i="18"/>
  <c r="AN85" i="18"/>
  <c r="T52" i="18"/>
  <c r="AJ52" i="18"/>
  <c r="Y52" i="18"/>
  <c r="R52" i="18"/>
  <c r="R86" i="18" s="1"/>
  <c r="AH52" i="18"/>
  <c r="AA52" i="18"/>
  <c r="AG52" i="18"/>
  <c r="AD52" i="18"/>
  <c r="X52" i="18"/>
  <c r="AI52" i="18"/>
  <c r="W52" i="18"/>
  <c r="Q52" i="18"/>
  <c r="Q86" i="18" s="1"/>
  <c r="AB52" i="18"/>
  <c r="AB86" i="18" s="1"/>
  <c r="U52" i="18"/>
  <c r="U86" i="18" s="1"/>
  <c r="V52" i="18"/>
  <c r="S52" i="18"/>
  <c r="S86" i="18" s="1"/>
  <c r="AF52" i="18"/>
  <c r="AC52" i="18"/>
  <c r="Z52" i="18"/>
  <c r="Z86" i="18" s="1"/>
  <c r="AE52" i="18"/>
  <c r="N53" i="18"/>
  <c r="T34" i="18"/>
  <c r="AH10" i="18"/>
  <c r="AG16" i="18"/>
  <c r="AH13" i="18"/>
  <c r="AH12" i="18"/>
  <c r="AI15" i="18"/>
  <c r="AH14" i="18"/>
  <c r="AI11" i="18"/>
  <c r="F14" i="16"/>
  <c r="G12" i="16"/>
  <c r="G27" i="16" s="1"/>
  <c r="Y24" i="11"/>
  <c r="U209" i="11"/>
  <c r="U210" i="11"/>
  <c r="U211" i="11"/>
  <c r="U212" i="11"/>
  <c r="U208" i="11"/>
  <c r="AC213" i="11"/>
  <c r="Y234" i="11" s="1"/>
  <c r="AB213" i="11"/>
  <c r="Y233" i="11" s="1"/>
  <c r="AA213" i="11"/>
  <c r="Y232" i="11" s="1"/>
  <c r="Z213" i="11"/>
  <c r="Y231" i="11" s="1"/>
  <c r="Y213" i="11"/>
  <c r="Y230" i="11" s="1"/>
  <c r="X213" i="11"/>
  <c r="Y229" i="11" s="1"/>
  <c r="W213" i="11"/>
  <c r="Y228" i="11" s="1"/>
  <c r="V213" i="11"/>
  <c r="Y227" i="11" s="1"/>
  <c r="AN301" i="11" l="1"/>
  <c r="AN303" i="11"/>
  <c r="AN304" i="11"/>
  <c r="AN300" i="11"/>
  <c r="AN320" i="11" s="1"/>
  <c r="AN302" i="11"/>
  <c r="AQ564" i="11"/>
  <c r="AQ567" i="11"/>
  <c r="AQ568" i="11"/>
  <c r="AQ566" i="11"/>
  <c r="AQ565" i="11"/>
  <c r="AN464" i="11"/>
  <c r="AN463" i="11"/>
  <c r="AN462" i="11"/>
  <c r="AN461" i="11"/>
  <c r="AN460" i="11"/>
  <c r="AN537" i="11"/>
  <c r="AO500" i="11"/>
  <c r="AO520" i="11"/>
  <c r="AN544" i="11"/>
  <c r="AN546" i="11"/>
  <c r="AO526" i="11"/>
  <c r="AO523" i="11"/>
  <c r="AN545" i="11"/>
  <c r="AN529" i="11"/>
  <c r="AN497" i="11" s="1"/>
  <c r="AM547" i="11"/>
  <c r="AM497" i="11"/>
  <c r="AO508" i="11"/>
  <c r="AN540" i="11"/>
  <c r="AO517" i="11"/>
  <c r="AN543" i="11"/>
  <c r="AL530" i="11"/>
  <c r="AO495" i="11"/>
  <c r="AN535" i="11"/>
  <c r="AO514" i="11"/>
  <c r="AN542" i="11"/>
  <c r="AO492" i="11"/>
  <c r="AN534" i="11"/>
  <c r="AO489" i="11"/>
  <c r="AN533" i="11"/>
  <c r="AN505" i="11"/>
  <c r="AN539" i="11" s="1"/>
  <c r="AO429" i="11"/>
  <c r="AN442" i="11"/>
  <c r="AN444" i="11"/>
  <c r="AO432" i="11"/>
  <c r="AO426" i="11"/>
  <c r="AO441" i="11" s="1"/>
  <c r="AN437" i="11"/>
  <c r="AN443" i="11" s="1"/>
  <c r="AR73" i="11"/>
  <c r="AR74" i="11"/>
  <c r="AR75" i="11"/>
  <c r="AP84" i="11"/>
  <c r="AQ83" i="11"/>
  <c r="AQ82" i="11"/>
  <c r="AQ81" i="11"/>
  <c r="AQ80" i="11"/>
  <c r="AQ79" i="11"/>
  <c r="I52" i="11"/>
  <c r="AO115" i="11"/>
  <c r="AO117" i="11" s="1"/>
  <c r="AO127" i="11"/>
  <c r="AO129" i="11" s="1"/>
  <c r="AO105" i="11"/>
  <c r="AO108" i="11" s="1"/>
  <c r="AO95" i="11"/>
  <c r="AO98" i="11" s="1"/>
  <c r="AN190" i="11"/>
  <c r="AE8" i="11"/>
  <c r="AE179" i="11" s="1"/>
  <c r="AD180" i="11"/>
  <c r="F91" i="11"/>
  <c r="AN191" i="11"/>
  <c r="E52" i="13"/>
  <c r="F51" i="13"/>
  <c r="G51" i="13"/>
  <c r="H51" i="13"/>
  <c r="I51" i="13"/>
  <c r="J51" i="13"/>
  <c r="K51" i="13"/>
  <c r="L51" i="13"/>
  <c r="M51" i="13"/>
  <c r="N51" i="13"/>
  <c r="O51" i="13"/>
  <c r="P51" i="13"/>
  <c r="Q51" i="13"/>
  <c r="R51" i="13"/>
  <c r="S51" i="13"/>
  <c r="T51" i="13"/>
  <c r="U51" i="13"/>
  <c r="V51" i="13"/>
  <c r="W51" i="13"/>
  <c r="X51" i="13"/>
  <c r="Y51" i="13"/>
  <c r="Z51" i="13"/>
  <c r="AA51" i="13"/>
  <c r="AB51" i="13"/>
  <c r="AC51" i="13"/>
  <c r="AD51" i="13"/>
  <c r="AE51" i="13"/>
  <c r="AF51" i="13"/>
  <c r="AG51" i="13"/>
  <c r="AH51" i="13"/>
  <c r="AI51" i="13"/>
  <c r="AJ51" i="13"/>
  <c r="AK51" i="13"/>
  <c r="N11" i="17"/>
  <c r="M187" i="20"/>
  <c r="O188" i="20"/>
  <c r="AX976" i="20"/>
  <c r="AY901" i="20"/>
  <c r="AZ889" i="20"/>
  <c r="AZ895" i="20"/>
  <c r="AY964" i="20"/>
  <c r="AY970" i="20"/>
  <c r="AY983" i="20"/>
  <c r="O180" i="20" s="1"/>
  <c r="AY988" i="20"/>
  <c r="O185" i="20" s="1"/>
  <c r="AY981" i="20"/>
  <c r="O178" i="20" s="1"/>
  <c r="AX876" i="20"/>
  <c r="AY986" i="20"/>
  <c r="O183" i="20" s="1"/>
  <c r="AY985" i="20"/>
  <c r="O182" i="20" s="1"/>
  <c r="AY982" i="20"/>
  <c r="O179" i="20" s="1"/>
  <c r="AY864" i="20"/>
  <c r="AY870" i="20"/>
  <c r="AX991" i="20"/>
  <c r="AY980" i="20"/>
  <c r="O177" i="20" s="1"/>
  <c r="AZ990" i="20"/>
  <c r="AY989" i="20"/>
  <c r="O186" i="20" s="1"/>
  <c r="AY987" i="20"/>
  <c r="O184" i="20" s="1"/>
  <c r="AY984" i="20"/>
  <c r="O181" i="20" s="1"/>
  <c r="BA930" i="20"/>
  <c r="BB285" i="20"/>
  <c r="BA293" i="20"/>
  <c r="BA855" i="20"/>
  <c r="BA230" i="20"/>
  <c r="BA905" i="20"/>
  <c r="BA880" i="20"/>
  <c r="BA776" i="20"/>
  <c r="BA891" i="20" s="1"/>
  <c r="BA765" i="20"/>
  <c r="BA890" i="20" s="1"/>
  <c r="BA754" i="20"/>
  <c r="AY857" i="20"/>
  <c r="BB275" i="20"/>
  <c r="BB283" i="20" s="1"/>
  <c r="BB799" i="20"/>
  <c r="AZ751" i="20"/>
  <c r="AZ866" i="20" s="1"/>
  <c r="BA788" i="20"/>
  <c r="AZ796" i="20"/>
  <c r="BA721" i="20"/>
  <c r="AZ729" i="20"/>
  <c r="BA732" i="20"/>
  <c r="AZ740" i="20"/>
  <c r="AZ865" i="20" s="1"/>
  <c r="AZ773" i="20"/>
  <c r="AZ868" i="20" s="1"/>
  <c r="AZ807" i="20"/>
  <c r="AZ818" i="20"/>
  <c r="AZ762" i="20"/>
  <c r="AZ867" i="20" s="1"/>
  <c r="AZ784" i="20"/>
  <c r="AZ869" i="20" s="1"/>
  <c r="AZ840" i="20"/>
  <c r="AZ965" i="20" s="1"/>
  <c r="AZ829" i="20"/>
  <c r="AZ851" i="20"/>
  <c r="AZ966" i="20" s="1"/>
  <c r="AZ667" i="20"/>
  <c r="AZ959" i="20" s="1"/>
  <c r="AZ645" i="20"/>
  <c r="AZ634" i="20"/>
  <c r="AZ623" i="20"/>
  <c r="AZ678" i="20"/>
  <c r="AZ656" i="20"/>
  <c r="AZ958" i="20" s="1"/>
  <c r="AZ556" i="20"/>
  <c r="BA548" i="20"/>
  <c r="BA883" i="20" s="1"/>
  <c r="AZ534" i="20"/>
  <c r="AZ859" i="20" s="1"/>
  <c r="AZ944" i="20" s="1"/>
  <c r="AZ951" i="20" s="1"/>
  <c r="AZ578" i="20"/>
  <c r="BA570" i="20"/>
  <c r="AZ567" i="20"/>
  <c r="BA559" i="20"/>
  <c r="BA884" i="20" s="1"/>
  <c r="BA969" i="20" s="1"/>
  <c r="BA537" i="20"/>
  <c r="AZ545" i="20"/>
  <c r="BA523" i="20"/>
  <c r="BA858" i="20" s="1"/>
  <c r="BA444" i="20"/>
  <c r="AZ452" i="20"/>
  <c r="AZ472" i="20"/>
  <c r="BA464" i="20"/>
  <c r="AZ432" i="20"/>
  <c r="AZ907" i="20" s="1"/>
  <c r="AZ926" i="20" s="1"/>
  <c r="BA424" i="20"/>
  <c r="AZ442" i="20"/>
  <c r="BA434" i="20"/>
  <c r="AZ462" i="20"/>
  <c r="BA454" i="20"/>
  <c r="BA414" i="20"/>
  <c r="AZ422" i="20"/>
  <c r="AZ345" i="20"/>
  <c r="BA337" i="20"/>
  <c r="AZ325" i="20"/>
  <c r="BA317" i="20"/>
  <c r="BA297" i="20"/>
  <c r="AZ305" i="20"/>
  <c r="AZ335" i="20"/>
  <c r="BA327" i="20"/>
  <c r="BA347" i="20"/>
  <c r="AZ355" i="20"/>
  <c r="BA307" i="20"/>
  <c r="AZ315" i="20"/>
  <c r="BA404" i="20"/>
  <c r="AZ412" i="20"/>
  <c r="BA392" i="20"/>
  <c r="AZ382" i="20"/>
  <c r="BA402" i="20"/>
  <c r="BB273" i="20"/>
  <c r="BA263" i="20"/>
  <c r="BA856" i="20" s="1"/>
  <c r="BB143" i="20"/>
  <c r="BB151" i="20" s="1"/>
  <c r="BB224" i="20" s="1"/>
  <c r="BB156" i="20"/>
  <c r="BB164" i="20" s="1"/>
  <c r="BB225" i="20" s="1"/>
  <c r="BB195" i="20"/>
  <c r="BB203" i="20" s="1"/>
  <c r="BB228" i="20" s="1"/>
  <c r="BB208" i="20"/>
  <c r="BB216" i="20" s="1"/>
  <c r="BB229" i="20" s="1"/>
  <c r="BB182" i="20"/>
  <c r="BB190" i="20" s="1"/>
  <c r="BB227" i="20" s="1"/>
  <c r="BB169" i="20"/>
  <c r="BB177" i="20" s="1"/>
  <c r="BB226" i="20" s="1"/>
  <c r="BB99" i="20"/>
  <c r="BB107" i="20" s="1"/>
  <c r="BB223" i="20" s="1"/>
  <c r="BB79" i="20"/>
  <c r="BB87" i="20" s="1"/>
  <c r="BB222" i="20" s="1"/>
  <c r="BB61" i="20"/>
  <c r="BB69" i="20" s="1"/>
  <c r="BB221" i="20" s="1"/>
  <c r="BB43" i="20"/>
  <c r="BB51" i="20" s="1"/>
  <c r="BB220" i="20" s="1"/>
  <c r="BC5" i="20"/>
  <c r="BN4" i="20"/>
  <c r="AF86" i="18"/>
  <c r="X86" i="18"/>
  <c r="T86" i="18"/>
  <c r="AC86" i="18"/>
  <c r="AE86" i="18"/>
  <c r="AD86" i="18"/>
  <c r="AH86" i="18"/>
  <c r="AK86" i="18"/>
  <c r="V86" i="18"/>
  <c r="W86" i="18"/>
  <c r="AG86" i="18"/>
  <c r="Y86" i="18"/>
  <c r="AI86" i="18"/>
  <c r="AL86" i="18"/>
  <c r="AA86" i="18"/>
  <c r="AJ86" i="18"/>
  <c r="AM86" i="18"/>
  <c r="AM45" i="11"/>
  <c r="AN40" i="11"/>
  <c r="AN42" i="11"/>
  <c r="AN43" i="11"/>
  <c r="AN44" i="11"/>
  <c r="AN41" i="11"/>
  <c r="AO585" i="11"/>
  <c r="AP5" i="11"/>
  <c r="AO35" i="11"/>
  <c r="AO34" i="11"/>
  <c r="AO36" i="11"/>
  <c r="AX51" i="11"/>
  <c r="AW55" i="11"/>
  <c r="AC53" i="18"/>
  <c r="V53" i="18"/>
  <c r="T53" i="18"/>
  <c r="AA53" i="18"/>
  <c r="AF53" i="18"/>
  <c r="AF87" i="18" s="1"/>
  <c r="AG53" i="18"/>
  <c r="Z53" i="18"/>
  <c r="AB53" i="18"/>
  <c r="AE53" i="18"/>
  <c r="Q53" i="18"/>
  <c r="Q87" i="18" s="1"/>
  <c r="U53" i="18"/>
  <c r="AJ53" i="18"/>
  <c r="AD53" i="18"/>
  <c r="S53" i="18"/>
  <c r="S87" i="18" s="1"/>
  <c r="AI53" i="18"/>
  <c r="Y53" i="18"/>
  <c r="Y87" i="18" s="1"/>
  <c r="R53" i="18"/>
  <c r="R87" i="18" s="1"/>
  <c r="AH53" i="18"/>
  <c r="W53" i="18"/>
  <c r="W87" i="18" s="1"/>
  <c r="X53" i="18"/>
  <c r="X87" i="18" s="1"/>
  <c r="U34" i="18"/>
  <c r="N54" i="18"/>
  <c r="Z24" i="11"/>
  <c r="Y28" i="11"/>
  <c r="Y39" i="11" s="1"/>
  <c r="AI13" i="18"/>
  <c r="AJ11" i="18"/>
  <c r="AI14" i="18"/>
  <c r="AI12" i="18"/>
  <c r="AJ15" i="18"/>
  <c r="AI10" i="18"/>
  <c r="AH16" i="18"/>
  <c r="G14" i="16"/>
  <c r="H12" i="16"/>
  <c r="H27" i="16" s="1"/>
  <c r="AO302" i="11" l="1"/>
  <c r="AO303" i="11"/>
  <c r="AO300" i="11"/>
  <c r="AO320" i="11" s="1"/>
  <c r="AO301" i="11"/>
  <c r="AO304" i="11"/>
  <c r="AR567" i="11"/>
  <c r="AR566" i="11"/>
  <c r="AR565" i="11"/>
  <c r="AR568" i="11"/>
  <c r="AR564" i="11"/>
  <c r="AO460" i="11"/>
  <c r="AO461" i="11"/>
  <c r="AO462" i="11"/>
  <c r="AO464" i="11"/>
  <c r="AO463" i="11"/>
  <c r="AP492" i="11"/>
  <c r="AO534" i="11"/>
  <c r="AP495" i="11"/>
  <c r="AO535" i="11"/>
  <c r="AP508" i="11"/>
  <c r="AO540" i="11"/>
  <c r="AM536" i="11"/>
  <c r="AM530" i="11"/>
  <c r="AP523" i="11"/>
  <c r="AO545" i="11"/>
  <c r="AP520" i="11"/>
  <c r="AO544" i="11"/>
  <c r="AP489" i="11"/>
  <c r="AO533" i="11"/>
  <c r="AP514" i="11"/>
  <c r="AO542" i="11"/>
  <c r="AP517" i="11"/>
  <c r="AO543" i="11"/>
  <c r="AO546" i="11"/>
  <c r="AP526" i="11"/>
  <c r="AO537" i="11"/>
  <c r="AP500" i="11"/>
  <c r="AN530" i="11"/>
  <c r="AN536" i="11"/>
  <c r="AO529" i="11"/>
  <c r="AO497" i="11" s="1"/>
  <c r="AN547" i="11"/>
  <c r="AP432" i="11"/>
  <c r="AO444" i="11"/>
  <c r="AO442" i="11"/>
  <c r="AP429" i="11"/>
  <c r="AP426" i="11"/>
  <c r="AP441" i="11" s="1"/>
  <c r="AO437" i="11"/>
  <c r="AO443" i="11" s="1"/>
  <c r="AQ84" i="11"/>
  <c r="AR81" i="11"/>
  <c r="AR82" i="11"/>
  <c r="AR83" i="11"/>
  <c r="AR79" i="11"/>
  <c r="AR80" i="11"/>
  <c r="AS75" i="11"/>
  <c r="AS73" i="11"/>
  <c r="AS74" i="11"/>
  <c r="I53" i="11"/>
  <c r="AP115" i="11"/>
  <c r="AP117" i="11" s="1"/>
  <c r="AP127" i="11"/>
  <c r="AP129" i="11" s="1"/>
  <c r="AP105" i="11"/>
  <c r="AP108" i="11" s="1"/>
  <c r="AP95" i="11"/>
  <c r="AP98" i="11" s="1"/>
  <c r="AO190" i="11"/>
  <c r="AF8" i="11"/>
  <c r="AF179" i="11" s="1"/>
  <c r="AE180" i="11"/>
  <c r="AO191" i="11"/>
  <c r="AZ901" i="20"/>
  <c r="E53" i="13"/>
  <c r="F52" i="13"/>
  <c r="G52" i="13"/>
  <c r="H52" i="13"/>
  <c r="I52" i="13"/>
  <c r="J52" i="13"/>
  <c r="K52" i="13"/>
  <c r="L52" i="13"/>
  <c r="M52" i="13"/>
  <c r="N52" i="13"/>
  <c r="O52" i="13"/>
  <c r="P52" i="13"/>
  <c r="Q52" i="13"/>
  <c r="R52" i="13"/>
  <c r="S52" i="13"/>
  <c r="T52" i="13"/>
  <c r="U52" i="13"/>
  <c r="V52" i="13"/>
  <c r="W52" i="13"/>
  <c r="X52" i="13"/>
  <c r="Y52" i="13"/>
  <c r="Z52" i="13"/>
  <c r="AA52" i="13"/>
  <c r="AB52" i="13"/>
  <c r="AC52" i="13"/>
  <c r="AD52" i="13"/>
  <c r="AE52" i="13"/>
  <c r="AF52" i="13"/>
  <c r="AG52" i="13"/>
  <c r="AH52" i="13"/>
  <c r="AI52" i="13"/>
  <c r="AJ52" i="13"/>
  <c r="AK52" i="13"/>
  <c r="O11" i="17"/>
  <c r="N187" i="20"/>
  <c r="P188" i="20"/>
  <c r="AY976" i="20"/>
  <c r="AY876" i="20"/>
  <c r="AZ964" i="20"/>
  <c r="AZ970" i="20"/>
  <c r="BA889" i="20"/>
  <c r="BA895" i="20"/>
  <c r="AZ986" i="20"/>
  <c r="P183" i="20" s="1"/>
  <c r="AZ983" i="20"/>
  <c r="P180" i="20" s="1"/>
  <c r="AZ987" i="20"/>
  <c r="P184" i="20" s="1"/>
  <c r="AZ981" i="20"/>
  <c r="P178" i="20" s="1"/>
  <c r="AZ988" i="20"/>
  <c r="P185" i="20" s="1"/>
  <c r="AZ864" i="20"/>
  <c r="AZ870" i="20"/>
  <c r="AZ982" i="20"/>
  <c r="P179" i="20" s="1"/>
  <c r="AY991" i="20"/>
  <c r="AZ980" i="20"/>
  <c r="P177" i="20" s="1"/>
  <c r="BA990" i="20"/>
  <c r="AZ989" i="20"/>
  <c r="P186" i="20" s="1"/>
  <c r="AZ985" i="20"/>
  <c r="P182" i="20" s="1"/>
  <c r="AZ984" i="20"/>
  <c r="P181" i="20" s="1"/>
  <c r="BB930" i="20"/>
  <c r="BC285" i="20"/>
  <c r="BC293" i="20" s="1"/>
  <c r="BB293" i="20"/>
  <c r="BB855" i="20"/>
  <c r="BB230" i="20"/>
  <c r="BB905" i="20"/>
  <c r="BB880" i="20"/>
  <c r="BB765" i="20"/>
  <c r="BB890" i="20" s="1"/>
  <c r="BB754" i="20"/>
  <c r="BB776" i="20"/>
  <c r="BB891" i="20" s="1"/>
  <c r="AZ857" i="20"/>
  <c r="BC275" i="20"/>
  <c r="BC283" i="20" s="1"/>
  <c r="BC799" i="20"/>
  <c r="BA851" i="20"/>
  <c r="BA966" i="20" s="1"/>
  <c r="BA762" i="20"/>
  <c r="BA867" i="20" s="1"/>
  <c r="BB732" i="20"/>
  <c r="BA740" i="20"/>
  <c r="BA865" i="20" s="1"/>
  <c r="BB788" i="20"/>
  <c r="BA796" i="20"/>
  <c r="BA840" i="20"/>
  <c r="BA965" i="20" s="1"/>
  <c r="BA784" i="20"/>
  <c r="BA869" i="20" s="1"/>
  <c r="BA818" i="20"/>
  <c r="BA773" i="20"/>
  <c r="BA868" i="20" s="1"/>
  <c r="BA751" i="20"/>
  <c r="BA866" i="20" s="1"/>
  <c r="BA807" i="20"/>
  <c r="BA829" i="20"/>
  <c r="BB721" i="20"/>
  <c r="BA729" i="20"/>
  <c r="BA656" i="20"/>
  <c r="BA958" i="20" s="1"/>
  <c r="BA645" i="20"/>
  <c r="BA623" i="20"/>
  <c r="BA678" i="20"/>
  <c r="BA634" i="20"/>
  <c r="BA667" i="20"/>
  <c r="BA959" i="20" s="1"/>
  <c r="BA534" i="20"/>
  <c r="BA859" i="20" s="1"/>
  <c r="BA944" i="20" s="1"/>
  <c r="BA951" i="20" s="1"/>
  <c r="BB559" i="20"/>
  <c r="BB884" i="20" s="1"/>
  <c r="BB969" i="20" s="1"/>
  <c r="BA567" i="20"/>
  <c r="BA578" i="20"/>
  <c r="BB570" i="20"/>
  <c r="BA556" i="20"/>
  <c r="BB548" i="20"/>
  <c r="BB883" i="20" s="1"/>
  <c r="BB537" i="20"/>
  <c r="BA545" i="20"/>
  <c r="BB523" i="20"/>
  <c r="BB858" i="20" s="1"/>
  <c r="BA472" i="20"/>
  <c r="BB464" i="20"/>
  <c r="BB414" i="20"/>
  <c r="BA422" i="20"/>
  <c r="BA462" i="20"/>
  <c r="BB454" i="20"/>
  <c r="BA432" i="20"/>
  <c r="BA907" i="20" s="1"/>
  <c r="BA926" i="20" s="1"/>
  <c r="BB424" i="20"/>
  <c r="BA442" i="20"/>
  <c r="BB434" i="20"/>
  <c r="BB444" i="20"/>
  <c r="BA452" i="20"/>
  <c r="BB327" i="20"/>
  <c r="BA335" i="20"/>
  <c r="BB317" i="20"/>
  <c r="BA325" i="20"/>
  <c r="BB307" i="20"/>
  <c r="BA315" i="20"/>
  <c r="BB337" i="20"/>
  <c r="BA345" i="20"/>
  <c r="BB347" i="20"/>
  <c r="BA355" i="20"/>
  <c r="BB297" i="20"/>
  <c r="BA305" i="20"/>
  <c r="BB404" i="20"/>
  <c r="BA412" i="20"/>
  <c r="BA382" i="20"/>
  <c r="BA980" i="20" s="1"/>
  <c r="Q177" i="20" s="1"/>
  <c r="BB402" i="20"/>
  <c r="BB392" i="20"/>
  <c r="BC273" i="20"/>
  <c r="BB263" i="20"/>
  <c r="BB856" i="20" s="1"/>
  <c r="BC143" i="20"/>
  <c r="BC151" i="20" s="1"/>
  <c r="BC224" i="20" s="1"/>
  <c r="BC156" i="20"/>
  <c r="BC164" i="20" s="1"/>
  <c r="BC225" i="20" s="1"/>
  <c r="BC195" i="20"/>
  <c r="BC203" i="20" s="1"/>
  <c r="BC228" i="20" s="1"/>
  <c r="BC169" i="20"/>
  <c r="BC177" i="20" s="1"/>
  <c r="BC226" i="20" s="1"/>
  <c r="BC208" i="20"/>
  <c r="BC216" i="20" s="1"/>
  <c r="BC229" i="20" s="1"/>
  <c r="BC182" i="20"/>
  <c r="BC190" i="20" s="1"/>
  <c r="BC227" i="20" s="1"/>
  <c r="BC99" i="20"/>
  <c r="BC107" i="20" s="1"/>
  <c r="BC223" i="20" s="1"/>
  <c r="BC79" i="20"/>
  <c r="BC87" i="20" s="1"/>
  <c r="BC222" i="20" s="1"/>
  <c r="BC61" i="20"/>
  <c r="BC69" i="20" s="1"/>
  <c r="BC221" i="20" s="1"/>
  <c r="BC43" i="20"/>
  <c r="BC51" i="20" s="1"/>
  <c r="BC220" i="20" s="1"/>
  <c r="BD5" i="20"/>
  <c r="AD87" i="18"/>
  <c r="AE87" i="18"/>
  <c r="AI87" i="18"/>
  <c r="AL87" i="18"/>
  <c r="U87" i="18"/>
  <c r="Z87" i="18"/>
  <c r="T87" i="18"/>
  <c r="AH87" i="18"/>
  <c r="AK87" i="18"/>
  <c r="AG87" i="18"/>
  <c r="V87" i="18"/>
  <c r="AC87" i="18"/>
  <c r="AJ87" i="18"/>
  <c r="AM87" i="18"/>
  <c r="AB87" i="18"/>
  <c r="AA87" i="18"/>
  <c r="AO43" i="11"/>
  <c r="AO41" i="11"/>
  <c r="AO44" i="11"/>
  <c r="AO42" i="11"/>
  <c r="AO40" i="11"/>
  <c r="AN45" i="11"/>
  <c r="AP585" i="11"/>
  <c r="AP34" i="11"/>
  <c r="AP35" i="11"/>
  <c r="AQ5" i="11"/>
  <c r="AP36" i="11"/>
  <c r="AY51" i="11"/>
  <c r="AX55" i="11"/>
  <c r="R54" i="18"/>
  <c r="R88" i="18" s="1"/>
  <c r="AH54" i="18"/>
  <c r="W54" i="18"/>
  <c r="U54" i="18"/>
  <c r="U88" i="18" s="1"/>
  <c r="AF54" i="18"/>
  <c r="V54" i="18"/>
  <c r="Q54" i="18"/>
  <c r="Q88" i="18" s="1"/>
  <c r="AA54" i="18"/>
  <c r="T54" i="18"/>
  <c r="AJ54" i="18"/>
  <c r="Z54" i="18"/>
  <c r="Z88" i="18" s="1"/>
  <c r="AC54" i="18"/>
  <c r="AE54" i="18"/>
  <c r="X54" i="18"/>
  <c r="X88" i="18" s="1"/>
  <c r="Y54" i="18"/>
  <c r="Y88" i="18" s="1"/>
  <c r="AD54" i="18"/>
  <c r="AD88" i="18" s="1"/>
  <c r="S54" i="18"/>
  <c r="S88" i="18" s="1"/>
  <c r="AI54" i="18"/>
  <c r="AB54" i="18"/>
  <c r="AB88" i="18" s="1"/>
  <c r="AG54" i="18"/>
  <c r="AG88" i="18" s="1"/>
  <c r="N55" i="18"/>
  <c r="V34" i="18"/>
  <c r="AA24" i="11"/>
  <c r="Z28" i="11"/>
  <c r="Z39" i="11" s="1"/>
  <c r="AK11" i="18"/>
  <c r="AJ12" i="18"/>
  <c r="AK15" i="18"/>
  <c r="AJ10" i="18"/>
  <c r="AI16" i="18"/>
  <c r="AJ14" i="18"/>
  <c r="AJ13" i="18"/>
  <c r="C88" i="16"/>
  <c r="C86" i="16"/>
  <c r="H14" i="16"/>
  <c r="I12" i="16"/>
  <c r="I27" i="16" s="1"/>
  <c r="B161" i="11"/>
  <c r="AP300" i="11" l="1"/>
  <c r="AP320" i="11" s="1"/>
  <c r="AP303" i="11"/>
  <c r="AP301" i="11"/>
  <c r="AP304" i="11"/>
  <c r="AP302" i="11"/>
  <c r="AS566" i="11"/>
  <c r="AS567" i="11"/>
  <c r="AS568" i="11"/>
  <c r="AS565" i="11"/>
  <c r="AS564" i="11"/>
  <c r="AP460" i="11"/>
  <c r="AP461" i="11"/>
  <c r="AP462" i="11"/>
  <c r="AP463" i="11"/>
  <c r="AP464" i="11"/>
  <c r="AQ514" i="11"/>
  <c r="AP542" i="11"/>
  <c r="AQ489" i="11"/>
  <c r="AP533" i="11"/>
  <c r="AQ523" i="11"/>
  <c r="AP545" i="11"/>
  <c r="AP537" i="11"/>
  <c r="AQ500" i="11"/>
  <c r="AO536" i="11"/>
  <c r="AQ495" i="11"/>
  <c r="AP535" i="11"/>
  <c r="AP529" i="11"/>
  <c r="AP497" i="11" s="1"/>
  <c r="AP536" i="11" s="1"/>
  <c r="AO547" i="11"/>
  <c r="AQ517" i="11"/>
  <c r="AP543" i="11"/>
  <c r="AO505" i="11"/>
  <c r="AO539" i="11" s="1"/>
  <c r="AQ520" i="11"/>
  <c r="AP544" i="11"/>
  <c r="AP546" i="11"/>
  <c r="AQ526" i="11"/>
  <c r="AQ508" i="11"/>
  <c r="AP540" i="11"/>
  <c r="AQ492" i="11"/>
  <c r="AP534" i="11"/>
  <c r="AQ429" i="11"/>
  <c r="AP442" i="11"/>
  <c r="AP444" i="11"/>
  <c r="AQ432" i="11"/>
  <c r="AQ426" i="11"/>
  <c r="AQ441" i="11" s="1"/>
  <c r="AP437" i="11"/>
  <c r="AP443" i="11" s="1"/>
  <c r="AR84" i="11"/>
  <c r="AS81" i="11"/>
  <c r="AS79" i="11"/>
  <c r="AS80" i="11"/>
  <c r="AS82" i="11"/>
  <c r="AS83" i="11"/>
  <c r="AT73" i="11"/>
  <c r="AT75" i="11"/>
  <c r="AT74" i="11"/>
  <c r="I54" i="11"/>
  <c r="AQ115" i="11"/>
  <c r="AQ117" i="11" s="1"/>
  <c r="AQ127" i="11"/>
  <c r="AQ129" i="11" s="1"/>
  <c r="AQ105" i="11"/>
  <c r="AQ108" i="11" s="1"/>
  <c r="AQ95" i="11"/>
  <c r="AQ98" i="11" s="1"/>
  <c r="AP190" i="11"/>
  <c r="AG8" i="11"/>
  <c r="AG179" i="11" s="1"/>
  <c r="AF180" i="11"/>
  <c r="AP191" i="11"/>
  <c r="E54" i="13"/>
  <c r="F53" i="13"/>
  <c r="G53" i="13"/>
  <c r="H53" i="13"/>
  <c r="I53" i="13"/>
  <c r="J53" i="13"/>
  <c r="K53" i="13"/>
  <c r="L53" i="13"/>
  <c r="M53" i="13"/>
  <c r="N53" i="13"/>
  <c r="O53" i="13"/>
  <c r="P53" i="13"/>
  <c r="Q53" i="13"/>
  <c r="R53" i="13"/>
  <c r="S53" i="13"/>
  <c r="T53" i="13"/>
  <c r="U53" i="13"/>
  <c r="V53" i="13"/>
  <c r="W53" i="13"/>
  <c r="X53" i="13"/>
  <c r="Y53" i="13"/>
  <c r="Z53" i="13"/>
  <c r="AA53" i="13"/>
  <c r="AB53" i="13"/>
  <c r="AC53" i="13"/>
  <c r="AD53" i="13"/>
  <c r="AE53" i="13"/>
  <c r="AF53" i="13"/>
  <c r="AG53" i="13"/>
  <c r="AH53" i="13"/>
  <c r="AI53" i="13"/>
  <c r="AJ53" i="13"/>
  <c r="AK53" i="13"/>
  <c r="P11" i="17"/>
  <c r="O187" i="20"/>
  <c r="Q188" i="20"/>
  <c r="AZ976" i="20"/>
  <c r="BA901" i="20"/>
  <c r="BA964" i="20"/>
  <c r="BA970" i="20"/>
  <c r="BB889" i="20"/>
  <c r="BB895" i="20"/>
  <c r="BA982" i="20"/>
  <c r="Q179" i="20" s="1"/>
  <c r="BA985" i="20"/>
  <c r="Q182" i="20" s="1"/>
  <c r="AZ876" i="20"/>
  <c r="BA864" i="20"/>
  <c r="BA870" i="20"/>
  <c r="BA987" i="20"/>
  <c r="Q184" i="20" s="1"/>
  <c r="BA981" i="20"/>
  <c r="Q178" i="20" s="1"/>
  <c r="BA983" i="20"/>
  <c r="Q180" i="20" s="1"/>
  <c r="BA984" i="20"/>
  <c r="Q181" i="20" s="1"/>
  <c r="BA988" i="20"/>
  <c r="Q185" i="20" s="1"/>
  <c r="BA986" i="20"/>
  <c r="Q183" i="20" s="1"/>
  <c r="BB990" i="20"/>
  <c r="BA989" i="20"/>
  <c r="Q186" i="20" s="1"/>
  <c r="AZ991" i="20"/>
  <c r="BC930" i="20"/>
  <c r="BC855" i="20"/>
  <c r="BC230" i="20"/>
  <c r="BC905" i="20"/>
  <c r="BC880" i="20"/>
  <c r="BC754" i="20"/>
  <c r="BC776" i="20"/>
  <c r="BC891" i="20" s="1"/>
  <c r="BC765" i="20"/>
  <c r="BC890" i="20" s="1"/>
  <c r="BA857" i="20"/>
  <c r="BD275" i="20"/>
  <c r="BD283" i="20" s="1"/>
  <c r="BD799" i="20"/>
  <c r="BB773" i="20"/>
  <c r="BB868" i="20" s="1"/>
  <c r="BB762" i="20"/>
  <c r="BB867" i="20" s="1"/>
  <c r="BC721" i="20"/>
  <c r="BB729" i="20"/>
  <c r="BB796" i="20"/>
  <c r="BC788" i="20"/>
  <c r="BB807" i="20"/>
  <c r="BB784" i="20"/>
  <c r="BB869" i="20" s="1"/>
  <c r="BB829" i="20"/>
  <c r="BB751" i="20"/>
  <c r="BB866" i="20" s="1"/>
  <c r="BB851" i="20"/>
  <c r="BB966" i="20" s="1"/>
  <c r="BB818" i="20"/>
  <c r="BB840" i="20"/>
  <c r="BB965" i="20" s="1"/>
  <c r="BC732" i="20"/>
  <c r="BB740" i="20"/>
  <c r="BB865" i="20" s="1"/>
  <c r="BB645" i="20"/>
  <c r="BB667" i="20"/>
  <c r="BB959" i="20" s="1"/>
  <c r="BB678" i="20"/>
  <c r="BB623" i="20"/>
  <c r="BB656" i="20"/>
  <c r="BB958" i="20" s="1"/>
  <c r="BB634" i="20"/>
  <c r="BC559" i="20"/>
  <c r="BC884" i="20" s="1"/>
  <c r="BC969" i="20" s="1"/>
  <c r="BB567" i="20"/>
  <c r="BB556" i="20"/>
  <c r="BC548" i="20"/>
  <c r="BC883" i="20" s="1"/>
  <c r="BC570" i="20"/>
  <c r="BB578" i="20"/>
  <c r="BC537" i="20"/>
  <c r="BB545" i="20"/>
  <c r="BB534" i="20"/>
  <c r="BB859" i="20" s="1"/>
  <c r="BB944" i="20" s="1"/>
  <c r="BB951" i="20" s="1"/>
  <c r="BC523" i="20"/>
  <c r="BC858" i="20" s="1"/>
  <c r="BC444" i="20"/>
  <c r="BB452" i="20"/>
  <c r="BC414" i="20"/>
  <c r="BB422" i="20"/>
  <c r="BB442" i="20"/>
  <c r="BC434" i="20"/>
  <c r="BB462" i="20"/>
  <c r="BC454" i="20"/>
  <c r="BB472" i="20"/>
  <c r="BC464" i="20"/>
  <c r="BB432" i="20"/>
  <c r="BB907" i="20" s="1"/>
  <c r="BB926" i="20" s="1"/>
  <c r="BC424" i="20"/>
  <c r="BC297" i="20"/>
  <c r="BB305" i="20"/>
  <c r="BC337" i="20"/>
  <c r="BB345" i="20"/>
  <c r="BC317" i="20"/>
  <c r="BB325" i="20"/>
  <c r="BC347" i="20"/>
  <c r="BB355" i="20"/>
  <c r="BC307" i="20"/>
  <c r="BB315" i="20"/>
  <c r="BC327" i="20"/>
  <c r="BB335" i="20"/>
  <c r="BC404" i="20"/>
  <c r="BB412" i="20"/>
  <c r="BC402" i="20"/>
  <c r="BC392" i="20"/>
  <c r="BB382" i="20"/>
  <c r="BD285" i="20"/>
  <c r="BE285" i="20" s="1"/>
  <c r="BF285" i="20" s="1"/>
  <c r="BG285" i="20" s="1"/>
  <c r="BH285" i="20" s="1"/>
  <c r="BI285" i="20" s="1"/>
  <c r="BJ285" i="20" s="1"/>
  <c r="BK285" i="20" s="1"/>
  <c r="BL285" i="20" s="1"/>
  <c r="BM285" i="20" s="1"/>
  <c r="BN285" i="20" s="1"/>
  <c r="BD273" i="20"/>
  <c r="BC263" i="20"/>
  <c r="BC856" i="20" s="1"/>
  <c r="BD143" i="20"/>
  <c r="BD151" i="20" s="1"/>
  <c r="BD224" i="20" s="1"/>
  <c r="BD156" i="20"/>
  <c r="BD164" i="20" s="1"/>
  <c r="BD225" i="20" s="1"/>
  <c r="BD195" i="20"/>
  <c r="BD203" i="20" s="1"/>
  <c r="BD228" i="20" s="1"/>
  <c r="BD169" i="20"/>
  <c r="BD177" i="20" s="1"/>
  <c r="BD226" i="20" s="1"/>
  <c r="BD208" i="20"/>
  <c r="BD216" i="20" s="1"/>
  <c r="BD229" i="20" s="1"/>
  <c r="BD182" i="20"/>
  <c r="BD190" i="20" s="1"/>
  <c r="BD227" i="20" s="1"/>
  <c r="BD99" i="20"/>
  <c r="BD107" i="20" s="1"/>
  <c r="BD223" i="20" s="1"/>
  <c r="BD79" i="20"/>
  <c r="BD87" i="20" s="1"/>
  <c r="BD222" i="20" s="1"/>
  <c r="BD61" i="20"/>
  <c r="BD69" i="20" s="1"/>
  <c r="BD221" i="20" s="1"/>
  <c r="BD43" i="20"/>
  <c r="BD51" i="20" s="1"/>
  <c r="BD220" i="20" s="1"/>
  <c r="BE5" i="20"/>
  <c r="T88" i="18"/>
  <c r="AC88" i="18"/>
  <c r="AE88" i="18"/>
  <c r="AF88" i="18"/>
  <c r="AA88" i="18"/>
  <c r="W88" i="18"/>
  <c r="AI88" i="18"/>
  <c r="AL88" i="18"/>
  <c r="AJ88" i="18"/>
  <c r="AM88" i="18"/>
  <c r="V88" i="18"/>
  <c r="AH88" i="18"/>
  <c r="AK88" i="18"/>
  <c r="AP42" i="11"/>
  <c r="AP44" i="11"/>
  <c r="AP41" i="11"/>
  <c r="AP43" i="11"/>
  <c r="AP40" i="11"/>
  <c r="AO45" i="11"/>
  <c r="AQ585" i="11"/>
  <c r="AQ34" i="11"/>
  <c r="AR5" i="11"/>
  <c r="AQ35" i="11"/>
  <c r="AQ36" i="11"/>
  <c r="AZ51" i="11"/>
  <c r="AY55" i="11"/>
  <c r="Q55" i="18"/>
  <c r="Q89" i="18" s="1"/>
  <c r="T55" i="18"/>
  <c r="AJ55" i="18"/>
  <c r="AC55" i="18"/>
  <c r="AP89" i="18" s="1"/>
  <c r="Z55" i="18"/>
  <c r="W55" i="18"/>
  <c r="AB55" i="18"/>
  <c r="U55" i="18"/>
  <c r="R55" i="18"/>
  <c r="R89" i="18" s="1"/>
  <c r="AH55" i="18"/>
  <c r="AE55" i="18"/>
  <c r="Y55" i="18"/>
  <c r="AI55" i="18"/>
  <c r="X55" i="18"/>
  <c r="AG55" i="18"/>
  <c r="AA55" i="18"/>
  <c r="AF55" i="18"/>
  <c r="V55" i="18"/>
  <c r="S55" i="18"/>
  <c r="S89" i="18" s="1"/>
  <c r="AD55" i="18"/>
  <c r="W34" i="18"/>
  <c r="N56" i="18"/>
  <c r="AB24" i="11"/>
  <c r="AA28" i="11"/>
  <c r="AA39" i="11" s="1"/>
  <c r="AK10" i="18"/>
  <c r="AJ16" i="18"/>
  <c r="AK12" i="18"/>
  <c r="AK14" i="18"/>
  <c r="AL15" i="18"/>
  <c r="AK13" i="18"/>
  <c r="AL11" i="18"/>
  <c r="D86" i="16"/>
  <c r="E86" i="16" s="1"/>
  <c r="F86" i="16" s="1"/>
  <c r="G86" i="16" s="1"/>
  <c r="H86" i="16" s="1"/>
  <c r="I86" i="16" s="1"/>
  <c r="J86" i="16" s="1"/>
  <c r="K86" i="16" s="1"/>
  <c r="L86" i="16" s="1"/>
  <c r="C79" i="16"/>
  <c r="D88" i="16"/>
  <c r="E88" i="16" s="1"/>
  <c r="F88" i="16" s="1"/>
  <c r="G88" i="16" s="1"/>
  <c r="H88" i="16" s="1"/>
  <c r="I88" i="16" s="1"/>
  <c r="J88" i="16" s="1"/>
  <c r="K88" i="16" s="1"/>
  <c r="L88" i="16" s="1"/>
  <c r="C81" i="16"/>
  <c r="I14" i="16"/>
  <c r="J12" i="16"/>
  <c r="J27" i="16" s="1"/>
  <c r="AQ300" i="11" l="1"/>
  <c r="AQ320" i="11" s="1"/>
  <c r="AQ304" i="11"/>
  <c r="AQ301" i="11"/>
  <c r="AQ302" i="11"/>
  <c r="AQ303" i="11"/>
  <c r="AT565" i="11"/>
  <c r="AT568" i="11"/>
  <c r="AT567" i="11"/>
  <c r="AT564" i="11"/>
  <c r="AT566" i="11"/>
  <c r="AQ464" i="11"/>
  <c r="AQ463" i="11"/>
  <c r="AQ460" i="11"/>
  <c r="AQ461" i="11"/>
  <c r="AQ462" i="11"/>
  <c r="AO530" i="11"/>
  <c r="AR517" i="11"/>
  <c r="AQ543" i="11"/>
  <c r="AR495" i="11"/>
  <c r="AQ535" i="11"/>
  <c r="AQ537" i="11"/>
  <c r="AR500" i="11"/>
  <c r="AR523" i="11"/>
  <c r="AQ545" i="11"/>
  <c r="AR492" i="11"/>
  <c r="AQ534" i="11"/>
  <c r="AR520" i="11"/>
  <c r="AQ544" i="11"/>
  <c r="AR489" i="11"/>
  <c r="AQ533" i="11"/>
  <c r="AQ529" i="11"/>
  <c r="AQ505" i="11" s="1"/>
  <c r="AQ539" i="11" s="1"/>
  <c r="AP547" i="11"/>
  <c r="AP505" i="11"/>
  <c r="AP539" i="11" s="1"/>
  <c r="AR508" i="11"/>
  <c r="AQ540" i="11"/>
  <c r="AQ546" i="11"/>
  <c r="AR526" i="11"/>
  <c r="AR514" i="11"/>
  <c r="AQ542" i="11"/>
  <c r="AR432" i="11"/>
  <c r="AQ444" i="11"/>
  <c r="AR429" i="11"/>
  <c r="AQ442" i="11"/>
  <c r="AR426" i="11"/>
  <c r="AR441" i="11" s="1"/>
  <c r="AQ437" i="11"/>
  <c r="AQ443" i="11" s="1"/>
  <c r="AU74" i="11"/>
  <c r="AU75" i="11"/>
  <c r="AU73" i="11"/>
  <c r="AS84" i="11"/>
  <c r="AT83" i="11"/>
  <c r="AT80" i="11"/>
  <c r="AT79" i="11"/>
  <c r="AT81" i="11"/>
  <c r="AT82" i="11"/>
  <c r="I55" i="11"/>
  <c r="AR115" i="11"/>
  <c r="AR117" i="11" s="1"/>
  <c r="AR127" i="11"/>
  <c r="AR129" i="11" s="1"/>
  <c r="AR105" i="11"/>
  <c r="AR108" i="11" s="1"/>
  <c r="AR95" i="11"/>
  <c r="AR98" i="11" s="1"/>
  <c r="AQ190" i="11"/>
  <c r="AG180" i="11"/>
  <c r="AH8" i="11"/>
  <c r="AH179" i="11" s="1"/>
  <c r="AQ191" i="11"/>
  <c r="E55" i="13"/>
  <c r="F54" i="13"/>
  <c r="G54" i="13"/>
  <c r="H54" i="13"/>
  <c r="I54" i="13"/>
  <c r="J54" i="13"/>
  <c r="K54" i="13"/>
  <c r="L54" i="13"/>
  <c r="M54" i="13"/>
  <c r="N54" i="13"/>
  <c r="O54" i="13"/>
  <c r="P54" i="13"/>
  <c r="Q54" i="13"/>
  <c r="R54" i="13"/>
  <c r="S54" i="13"/>
  <c r="T54" i="13"/>
  <c r="U54" i="13"/>
  <c r="V54" i="13"/>
  <c r="W54" i="13"/>
  <c r="X54" i="13"/>
  <c r="Y54" i="13"/>
  <c r="Z54" i="13"/>
  <c r="AA54" i="13"/>
  <c r="AB54" i="13"/>
  <c r="AC54" i="13"/>
  <c r="AD54" i="13"/>
  <c r="AE54" i="13"/>
  <c r="AF54" i="13"/>
  <c r="AG54" i="13"/>
  <c r="AH54" i="13"/>
  <c r="AI54" i="13"/>
  <c r="AJ54" i="13"/>
  <c r="AK54" i="13"/>
  <c r="Q11" i="17"/>
  <c r="P187" i="20"/>
  <c r="R188" i="20"/>
  <c r="AO89" i="18"/>
  <c r="BA976" i="20"/>
  <c r="BB901" i="20"/>
  <c r="X89" i="18"/>
  <c r="BB980" i="20"/>
  <c r="R177" i="20" s="1"/>
  <c r="BC889" i="20"/>
  <c r="BC895" i="20"/>
  <c r="BB964" i="20"/>
  <c r="BB970" i="20"/>
  <c r="BB983" i="20"/>
  <c r="R180" i="20" s="1"/>
  <c r="BA876" i="20"/>
  <c r="BB986" i="20"/>
  <c r="R183" i="20" s="1"/>
  <c r="BB982" i="20"/>
  <c r="R179" i="20" s="1"/>
  <c r="BB864" i="20"/>
  <c r="BB870" i="20"/>
  <c r="BA991" i="20"/>
  <c r="BB981" i="20"/>
  <c r="R178" i="20" s="1"/>
  <c r="BC990" i="20"/>
  <c r="BB989" i="20"/>
  <c r="R186" i="20" s="1"/>
  <c r="BB988" i="20"/>
  <c r="R185" i="20" s="1"/>
  <c r="BB987" i="20"/>
  <c r="R184" i="20" s="1"/>
  <c r="BB985" i="20"/>
  <c r="R182" i="20" s="1"/>
  <c r="BB984" i="20"/>
  <c r="R181" i="20" s="1"/>
  <c r="BD930" i="20"/>
  <c r="BD855" i="20"/>
  <c r="BD230" i="20"/>
  <c r="BD990" i="20" s="1"/>
  <c r="BD880" i="20"/>
  <c r="BD905" i="20"/>
  <c r="BD776" i="20"/>
  <c r="BD891" i="20" s="1"/>
  <c r="BD765" i="20"/>
  <c r="BD890" i="20" s="1"/>
  <c r="BD754" i="20"/>
  <c r="BB857" i="20"/>
  <c r="BE275" i="20"/>
  <c r="BE283" i="20" s="1"/>
  <c r="Y89" i="18"/>
  <c r="BE799" i="20"/>
  <c r="BC751" i="20"/>
  <c r="BC866" i="20" s="1"/>
  <c r="BC796" i="20"/>
  <c r="BD788" i="20"/>
  <c r="BD732" i="20"/>
  <c r="BC740" i="20"/>
  <c r="BC865" i="20" s="1"/>
  <c r="BC784" i="20"/>
  <c r="BC869" i="20" s="1"/>
  <c r="BC840" i="20"/>
  <c r="BC965" i="20" s="1"/>
  <c r="BC851" i="20"/>
  <c r="BC966" i="20" s="1"/>
  <c r="BC807" i="20"/>
  <c r="BC773" i="20"/>
  <c r="BC868" i="20" s="1"/>
  <c r="BC818" i="20"/>
  <c r="BC762" i="20"/>
  <c r="BC867" i="20" s="1"/>
  <c r="BC829" i="20"/>
  <c r="BD721" i="20"/>
  <c r="BC729" i="20"/>
  <c r="BC634" i="20"/>
  <c r="BC623" i="20"/>
  <c r="BC667" i="20"/>
  <c r="BC959" i="20" s="1"/>
  <c r="BC656" i="20"/>
  <c r="BC958" i="20" s="1"/>
  <c r="BC645" i="20"/>
  <c r="BC678" i="20"/>
  <c r="BD537" i="20"/>
  <c r="BC545" i="20"/>
  <c r="BC556" i="20"/>
  <c r="BD548" i="20"/>
  <c r="BD883" i="20" s="1"/>
  <c r="BC534" i="20"/>
  <c r="BC859" i="20" s="1"/>
  <c r="BC944" i="20" s="1"/>
  <c r="BC951" i="20" s="1"/>
  <c r="BC578" i="20"/>
  <c r="BD570" i="20"/>
  <c r="BC567" i="20"/>
  <c r="BD559" i="20"/>
  <c r="BD884" i="20" s="1"/>
  <c r="BD969" i="20" s="1"/>
  <c r="BD523" i="20"/>
  <c r="BD858" i="20" s="1"/>
  <c r="BC432" i="20"/>
  <c r="BC907" i="20" s="1"/>
  <c r="BC926" i="20" s="1"/>
  <c r="BD424" i="20"/>
  <c r="BC462" i="20"/>
  <c r="BD454" i="20"/>
  <c r="BD414" i="20"/>
  <c r="BC422" i="20"/>
  <c r="BC472" i="20"/>
  <c r="BD464" i="20"/>
  <c r="BC442" i="20"/>
  <c r="BD434" i="20"/>
  <c r="BD444" i="20"/>
  <c r="BC452" i="20"/>
  <c r="BC335" i="20"/>
  <c r="BD327" i="20"/>
  <c r="BD347" i="20"/>
  <c r="BC355" i="20"/>
  <c r="BC345" i="20"/>
  <c r="BD337" i="20"/>
  <c r="BD307" i="20"/>
  <c r="BC315" i="20"/>
  <c r="BD317" i="20"/>
  <c r="BC325" i="20"/>
  <c r="BD297" i="20"/>
  <c r="BC305" i="20"/>
  <c r="BD293" i="20"/>
  <c r="BD404" i="20"/>
  <c r="BE404" i="20" s="1"/>
  <c r="BF404" i="20" s="1"/>
  <c r="BG404" i="20" s="1"/>
  <c r="BH404" i="20" s="1"/>
  <c r="BI404" i="20" s="1"/>
  <c r="BJ404" i="20" s="1"/>
  <c r="BK404" i="20" s="1"/>
  <c r="BL404" i="20" s="1"/>
  <c r="BM404" i="20" s="1"/>
  <c r="BN404" i="20" s="1"/>
  <c r="BC412" i="20"/>
  <c r="BD392" i="20"/>
  <c r="BC382" i="20"/>
  <c r="BD402" i="20"/>
  <c r="BE293" i="20"/>
  <c r="BE273" i="20"/>
  <c r="BD263" i="20"/>
  <c r="BD856" i="20" s="1"/>
  <c r="BE143" i="20"/>
  <c r="BE151" i="20" s="1"/>
  <c r="BE224" i="20" s="1"/>
  <c r="BE156" i="20"/>
  <c r="BE164" i="20" s="1"/>
  <c r="BE225" i="20" s="1"/>
  <c r="BE195" i="20"/>
  <c r="BE203" i="20" s="1"/>
  <c r="BE228" i="20" s="1"/>
  <c r="BE169" i="20"/>
  <c r="BE177" i="20" s="1"/>
  <c r="BE226" i="20" s="1"/>
  <c r="BE208" i="20"/>
  <c r="BE216" i="20" s="1"/>
  <c r="BE229" i="20" s="1"/>
  <c r="BE182" i="20"/>
  <c r="BE190" i="20" s="1"/>
  <c r="BE227" i="20" s="1"/>
  <c r="BE99" i="20"/>
  <c r="BE107" i="20" s="1"/>
  <c r="BE223" i="20" s="1"/>
  <c r="BE79" i="20"/>
  <c r="BE87" i="20" s="1"/>
  <c r="BE222" i="20" s="1"/>
  <c r="BE43" i="20"/>
  <c r="BE51" i="20" s="1"/>
  <c r="BE220" i="20" s="1"/>
  <c r="BE61" i="20"/>
  <c r="BE69" i="20" s="1"/>
  <c r="BE221" i="20" s="1"/>
  <c r="BF5" i="20"/>
  <c r="Z89" i="18"/>
  <c r="W89" i="18"/>
  <c r="AF89" i="18"/>
  <c r="AS89" i="18"/>
  <c r="AE89" i="18"/>
  <c r="AR89" i="18"/>
  <c r="AD89" i="18"/>
  <c r="AQ89" i="18"/>
  <c r="AA89" i="18"/>
  <c r="AN89" i="18"/>
  <c r="V89" i="18"/>
  <c r="AH89" i="18"/>
  <c r="AK89" i="18"/>
  <c r="T89" i="18"/>
  <c r="AI89" i="18"/>
  <c r="AL89" i="18"/>
  <c r="U89" i="18"/>
  <c r="AC89" i="18"/>
  <c r="AG89" i="18"/>
  <c r="AB89" i="18"/>
  <c r="AJ89" i="18"/>
  <c r="AM89" i="18"/>
  <c r="AR585" i="11"/>
  <c r="AR36" i="11"/>
  <c r="AR34" i="11"/>
  <c r="AS5" i="11"/>
  <c r="AR35" i="11"/>
  <c r="AP45" i="11"/>
  <c r="AQ44" i="11"/>
  <c r="AQ40" i="11"/>
  <c r="AQ41" i="11"/>
  <c r="AQ43" i="11"/>
  <c r="AQ42" i="11"/>
  <c r="BA51" i="11"/>
  <c r="BA55" i="11" s="1"/>
  <c r="AZ55" i="11"/>
  <c r="S56" i="18"/>
  <c r="S90" i="18" s="1"/>
  <c r="AI56" i="18"/>
  <c r="AF56" i="18"/>
  <c r="AC56" i="18"/>
  <c r="R56" i="18"/>
  <c r="R90" i="18" s="1"/>
  <c r="AA56" i="18"/>
  <c r="X56" i="18"/>
  <c r="AP90" i="18" s="1"/>
  <c r="U56" i="18"/>
  <c r="Q56" i="18"/>
  <c r="Q90" i="18" s="1"/>
  <c r="V56" i="18"/>
  <c r="AB56" i="18"/>
  <c r="AD56" i="18"/>
  <c r="W56" i="18"/>
  <c r="AO90" i="18" s="1"/>
  <c r="AJ56" i="18"/>
  <c r="AH56" i="18"/>
  <c r="AE56" i="18"/>
  <c r="Y56" i="18"/>
  <c r="Z56" i="18"/>
  <c r="T56" i="18"/>
  <c r="AG56" i="18"/>
  <c r="AG90" i="18" s="1"/>
  <c r="N57" i="18"/>
  <c r="X34" i="18"/>
  <c r="AC24" i="11"/>
  <c r="AB28" i="11"/>
  <c r="AB39" i="11" s="1"/>
  <c r="DH185" i="16"/>
  <c r="D79" i="16"/>
  <c r="E79" i="16" s="1"/>
  <c r="F79" i="16" s="1"/>
  <c r="G79" i="16" s="1"/>
  <c r="H79" i="16" s="1"/>
  <c r="I79" i="16" s="1"/>
  <c r="J79" i="16" s="1"/>
  <c r="K79" i="16" s="1"/>
  <c r="AM11" i="18"/>
  <c r="AL13" i="18"/>
  <c r="AL14" i="18"/>
  <c r="AL10" i="18"/>
  <c r="AK16" i="18"/>
  <c r="AM15" i="18"/>
  <c r="AL12" i="18"/>
  <c r="D81" i="16"/>
  <c r="E81" i="16" s="1"/>
  <c r="F81" i="16" s="1"/>
  <c r="G81" i="16" s="1"/>
  <c r="H81" i="16" s="1"/>
  <c r="I81" i="16" s="1"/>
  <c r="J81" i="16" s="1"/>
  <c r="K81" i="16" s="1"/>
  <c r="DP185" i="16"/>
  <c r="J14" i="16"/>
  <c r="K12" i="16"/>
  <c r="K27" i="16" s="1"/>
  <c r="T349" i="11"/>
  <c r="T350" i="11"/>
  <c r="T351" i="11"/>
  <c r="T352" i="11"/>
  <c r="T353" i="11"/>
  <c r="T348" i="11"/>
  <c r="S353" i="11"/>
  <c r="S376" i="11" s="1"/>
  <c r="S383" i="11" s="1"/>
  <c r="S352" i="11"/>
  <c r="S335" i="11"/>
  <c r="S342" i="11" s="1"/>
  <c r="S336" i="11"/>
  <c r="S343" i="11" s="1"/>
  <c r="S337" i="11"/>
  <c r="S344" i="11" s="1"/>
  <c r="S338" i="11"/>
  <c r="S345" i="11" s="1"/>
  <c r="S339" i="11"/>
  <c r="S346" i="11" s="1"/>
  <c r="S348" i="11"/>
  <c r="S349" i="11"/>
  <c r="S350" i="11"/>
  <c r="S351" i="11"/>
  <c r="S334" i="11"/>
  <c r="S341" i="11" s="1"/>
  <c r="AR304" i="11" l="1"/>
  <c r="AR301" i="11"/>
  <c r="AR302" i="11"/>
  <c r="AR300" i="11"/>
  <c r="AR320" i="11" s="1"/>
  <c r="AR303" i="11"/>
  <c r="AU567" i="11"/>
  <c r="AU566" i="11"/>
  <c r="AU565" i="11"/>
  <c r="AU564" i="11"/>
  <c r="AU568" i="11"/>
  <c r="AR464" i="11"/>
  <c r="AR463" i="11"/>
  <c r="AR462" i="11"/>
  <c r="AR461" i="11"/>
  <c r="AR460" i="11"/>
  <c r="AQ497" i="11"/>
  <c r="AQ536" i="11" s="1"/>
  <c r="AR546" i="11"/>
  <c r="AS526" i="11"/>
  <c r="AP530" i="11"/>
  <c r="AS492" i="11"/>
  <c r="AR534" i="11"/>
  <c r="AS523" i="11"/>
  <c r="AR545" i="11"/>
  <c r="AS495" i="11"/>
  <c r="AR535" i="11"/>
  <c r="AR529" i="11"/>
  <c r="AR505" i="11" s="1"/>
  <c r="AR539" i="11" s="1"/>
  <c r="AQ547" i="11"/>
  <c r="AS520" i="11"/>
  <c r="AR544" i="11"/>
  <c r="AR537" i="11"/>
  <c r="AS500" i="11"/>
  <c r="AS514" i="11"/>
  <c r="AR542" i="11"/>
  <c r="AS508" i="11"/>
  <c r="AR540" i="11"/>
  <c r="AS489" i="11"/>
  <c r="AR533" i="11"/>
  <c r="AS517" i="11"/>
  <c r="AR543" i="11"/>
  <c r="AR442" i="11"/>
  <c r="AS429" i="11"/>
  <c r="AR444" i="11"/>
  <c r="AS432" i="11"/>
  <c r="AS426" i="11"/>
  <c r="AS441" i="11" s="1"/>
  <c r="AR437" i="11"/>
  <c r="AR443" i="11" s="1"/>
  <c r="AV74" i="11"/>
  <c r="AV73" i="11"/>
  <c r="AV75" i="11"/>
  <c r="AT84" i="11"/>
  <c r="AU82" i="11"/>
  <c r="AU80" i="11"/>
  <c r="AU81" i="11"/>
  <c r="AU83" i="11"/>
  <c r="AU79" i="11"/>
  <c r="I56" i="11"/>
  <c r="AS115" i="11"/>
  <c r="AS117" i="11" s="1"/>
  <c r="AS127" i="11"/>
  <c r="AS129" i="11" s="1"/>
  <c r="AS105" i="11"/>
  <c r="AS108" i="11" s="1"/>
  <c r="AS95" i="11"/>
  <c r="AS98" i="11" s="1"/>
  <c r="AR190" i="11"/>
  <c r="AH180" i="11"/>
  <c r="AI8" i="11"/>
  <c r="AI179" i="11" s="1"/>
  <c r="AR191" i="11"/>
  <c r="E56" i="13"/>
  <c r="F55" i="13"/>
  <c r="G55" i="13"/>
  <c r="H55" i="13"/>
  <c r="I55" i="13"/>
  <c r="J55" i="13"/>
  <c r="K55" i="13"/>
  <c r="L55" i="13"/>
  <c r="M55" i="13"/>
  <c r="N55" i="13"/>
  <c r="O55" i="13"/>
  <c r="P55" i="13"/>
  <c r="Q55" i="13"/>
  <c r="R55" i="13"/>
  <c r="S55" i="13"/>
  <c r="T55" i="13"/>
  <c r="U55" i="13"/>
  <c r="V55" i="13"/>
  <c r="W55" i="13"/>
  <c r="X55" i="13"/>
  <c r="Y55" i="13"/>
  <c r="Z55" i="13"/>
  <c r="AA55" i="13"/>
  <c r="AB55" i="13"/>
  <c r="AC55" i="13"/>
  <c r="AD55" i="13"/>
  <c r="AE55" i="13"/>
  <c r="AF55" i="13"/>
  <c r="AG55" i="13"/>
  <c r="AH55" i="13"/>
  <c r="AI55" i="13"/>
  <c r="AJ55" i="13"/>
  <c r="AK55" i="13"/>
  <c r="T188" i="20"/>
  <c r="S188" i="20"/>
  <c r="R11" i="17"/>
  <c r="Q187" i="20"/>
  <c r="BC901" i="20"/>
  <c r="BB976" i="20"/>
  <c r="BD889" i="20"/>
  <c r="BD895" i="20"/>
  <c r="BC964" i="20"/>
  <c r="BC970" i="20"/>
  <c r="BC983" i="20"/>
  <c r="S180" i="20" s="1"/>
  <c r="BC981" i="20"/>
  <c r="S178" i="20" s="1"/>
  <c r="BC986" i="20"/>
  <c r="S183" i="20" s="1"/>
  <c r="BC988" i="20"/>
  <c r="S185" i="20" s="1"/>
  <c r="BC987" i="20"/>
  <c r="S184" i="20" s="1"/>
  <c r="BC985" i="20"/>
  <c r="S182" i="20" s="1"/>
  <c r="BC989" i="20"/>
  <c r="S186" i="20" s="1"/>
  <c r="BB876" i="20"/>
  <c r="BC864" i="20"/>
  <c r="BC870" i="20"/>
  <c r="BC982" i="20"/>
  <c r="S179" i="20" s="1"/>
  <c r="BC980" i="20"/>
  <c r="S177" i="20" s="1"/>
  <c r="BB991" i="20"/>
  <c r="BC984" i="20"/>
  <c r="S181" i="20" s="1"/>
  <c r="BE930" i="20"/>
  <c r="BE855" i="20"/>
  <c r="BE230" i="20"/>
  <c r="BE880" i="20"/>
  <c r="BE905" i="20"/>
  <c r="BE765" i="20"/>
  <c r="BE890" i="20" s="1"/>
  <c r="BE754" i="20"/>
  <c r="BE776" i="20"/>
  <c r="BE891" i="20" s="1"/>
  <c r="BC857" i="20"/>
  <c r="BF275" i="20"/>
  <c r="BF283" i="20" s="1"/>
  <c r="BF799" i="20"/>
  <c r="BE788" i="20"/>
  <c r="BD796" i="20"/>
  <c r="BE721" i="20"/>
  <c r="BD729" i="20"/>
  <c r="BD773" i="20"/>
  <c r="BD868" i="20" s="1"/>
  <c r="BD784" i="20"/>
  <c r="BD869" i="20" s="1"/>
  <c r="BD829" i="20"/>
  <c r="BD818" i="20"/>
  <c r="BD840" i="20"/>
  <c r="BD965" i="20" s="1"/>
  <c r="BD751" i="20"/>
  <c r="BD866" i="20" s="1"/>
  <c r="BD762" i="20"/>
  <c r="BD867" i="20" s="1"/>
  <c r="BD851" i="20"/>
  <c r="BD966" i="20" s="1"/>
  <c r="BD807" i="20"/>
  <c r="BE732" i="20"/>
  <c r="BD740" i="20"/>
  <c r="BD865" i="20" s="1"/>
  <c r="BD678" i="20"/>
  <c r="BD656" i="20"/>
  <c r="BD958" i="20" s="1"/>
  <c r="BD623" i="20"/>
  <c r="BD645" i="20"/>
  <c r="BD634" i="20"/>
  <c r="BD667" i="20"/>
  <c r="BD959" i="20" s="1"/>
  <c r="BD578" i="20"/>
  <c r="BE570" i="20"/>
  <c r="BD556" i="20"/>
  <c r="BE548" i="20"/>
  <c r="BE883" i="20" s="1"/>
  <c r="BD567" i="20"/>
  <c r="BE559" i="20"/>
  <c r="BE884" i="20" s="1"/>
  <c r="BE969" i="20" s="1"/>
  <c r="BD534" i="20"/>
  <c r="BD859" i="20" s="1"/>
  <c r="BD944" i="20" s="1"/>
  <c r="BD951" i="20" s="1"/>
  <c r="BE537" i="20"/>
  <c r="BD545" i="20"/>
  <c r="BE523" i="20"/>
  <c r="BE858" i="20" s="1"/>
  <c r="BD472" i="20"/>
  <c r="BE464" i="20"/>
  <c r="BD462" i="20"/>
  <c r="BE454" i="20"/>
  <c r="BE444" i="20"/>
  <c r="BD452" i="20"/>
  <c r="BD442" i="20"/>
  <c r="BE434" i="20"/>
  <c r="BD432" i="20"/>
  <c r="BD907" i="20" s="1"/>
  <c r="BD926" i="20" s="1"/>
  <c r="BE424" i="20"/>
  <c r="BE414" i="20"/>
  <c r="BD422" i="20"/>
  <c r="BE297" i="20"/>
  <c r="BD305" i="20"/>
  <c r="BE347" i="20"/>
  <c r="BD355" i="20"/>
  <c r="BE337" i="20"/>
  <c r="BD345" i="20"/>
  <c r="BD335" i="20"/>
  <c r="BE327" i="20"/>
  <c r="BE307" i="20"/>
  <c r="BD315" i="20"/>
  <c r="BD325" i="20"/>
  <c r="BE317" i="20"/>
  <c r="BD412" i="20"/>
  <c r="BD382" i="20"/>
  <c r="BE402" i="20"/>
  <c r="BE392" i="20"/>
  <c r="BE412" i="20"/>
  <c r="BF293" i="20"/>
  <c r="BF273" i="20"/>
  <c r="BE263" i="20"/>
  <c r="BE856" i="20" s="1"/>
  <c r="BF143" i="20"/>
  <c r="BF151" i="20" s="1"/>
  <c r="BF224" i="20" s="1"/>
  <c r="BF156" i="20"/>
  <c r="BF164" i="20" s="1"/>
  <c r="BF225" i="20" s="1"/>
  <c r="BF195" i="20"/>
  <c r="BF203" i="20" s="1"/>
  <c r="BF228" i="20" s="1"/>
  <c r="BF169" i="20"/>
  <c r="BF177" i="20" s="1"/>
  <c r="BF226" i="20" s="1"/>
  <c r="BF208" i="20"/>
  <c r="BF216" i="20" s="1"/>
  <c r="BF229" i="20" s="1"/>
  <c r="BF182" i="20"/>
  <c r="BF190" i="20" s="1"/>
  <c r="BF227" i="20" s="1"/>
  <c r="BF99" i="20"/>
  <c r="BF107" i="20" s="1"/>
  <c r="BF223" i="20" s="1"/>
  <c r="BF79" i="20"/>
  <c r="BF87" i="20" s="1"/>
  <c r="BF222" i="20" s="1"/>
  <c r="BF43" i="20"/>
  <c r="BF51" i="20" s="1"/>
  <c r="BF220" i="20" s="1"/>
  <c r="BF61" i="20"/>
  <c r="BF69" i="20" s="1"/>
  <c r="BF221" i="20" s="1"/>
  <c r="BG5" i="20"/>
  <c r="AE90" i="18"/>
  <c r="AD90" i="18"/>
  <c r="U90" i="18"/>
  <c r="T90" i="18"/>
  <c r="Y90" i="18"/>
  <c r="AQ90" i="18"/>
  <c r="Z90" i="18"/>
  <c r="AR90" i="18"/>
  <c r="V90" i="18"/>
  <c r="AN90" i="18"/>
  <c r="AA90" i="18"/>
  <c r="AS90" i="18"/>
  <c r="AS99" i="18" s="1"/>
  <c r="AH90" i="18"/>
  <c r="AK90" i="18"/>
  <c r="AB90" i="18"/>
  <c r="X90" i="18"/>
  <c r="AF90" i="18"/>
  <c r="AJ90" i="18"/>
  <c r="AM90" i="18"/>
  <c r="AI90" i="18"/>
  <c r="AL90" i="18"/>
  <c r="W90" i="18"/>
  <c r="AC90" i="18"/>
  <c r="AR42" i="11"/>
  <c r="AR41" i="11"/>
  <c r="AR43" i="11"/>
  <c r="AR40" i="11"/>
  <c r="AR44" i="11"/>
  <c r="AQ45" i="11"/>
  <c r="AS585" i="11"/>
  <c r="AS36" i="11"/>
  <c r="AT5" i="11"/>
  <c r="AS35" i="11"/>
  <c r="AS34" i="11"/>
  <c r="T57" i="18"/>
  <c r="AJ57" i="18"/>
  <c r="AR91" i="18" s="1"/>
  <c r="AG57" i="18"/>
  <c r="AO91" i="18" s="1"/>
  <c r="AD57" i="18"/>
  <c r="W57" i="18"/>
  <c r="W91" i="18" s="1"/>
  <c r="X57" i="18"/>
  <c r="U57" i="18"/>
  <c r="R57" i="18"/>
  <c r="R91" i="18" s="1"/>
  <c r="AH57" i="18"/>
  <c r="AP91" i="18" s="1"/>
  <c r="AE57" i="18"/>
  <c r="AB57" i="18"/>
  <c r="Y57" i="18"/>
  <c r="V57" i="18"/>
  <c r="AA57" i="18"/>
  <c r="S57" i="18"/>
  <c r="S91" i="18" s="1"/>
  <c r="AF57" i="18"/>
  <c r="AN91" i="18" s="1"/>
  <c r="AC57" i="18"/>
  <c r="Z57" i="18"/>
  <c r="Q57" i="18"/>
  <c r="Q91" i="18" s="1"/>
  <c r="AI57" i="18"/>
  <c r="AQ91" i="18" s="1"/>
  <c r="Y34" i="18"/>
  <c r="N58" i="18"/>
  <c r="S357" i="11"/>
  <c r="S371" i="11"/>
  <c r="S378" i="11" s="1"/>
  <c r="S375" i="11"/>
  <c r="S382" i="11" s="1"/>
  <c r="S369" i="11"/>
  <c r="S360" i="11"/>
  <c r="S372" i="11"/>
  <c r="S379" i="11" s="1"/>
  <c r="S366" i="11"/>
  <c r="S374" i="11"/>
  <c r="S381" i="11" s="1"/>
  <c r="S363" i="11"/>
  <c r="S373" i="11"/>
  <c r="S380" i="11" s="1"/>
  <c r="AD24" i="11"/>
  <c r="AC28" i="11"/>
  <c r="AC39" i="11" s="1"/>
  <c r="AM12" i="18"/>
  <c r="AM10" i="18"/>
  <c r="AL16" i="18"/>
  <c r="AM13" i="18"/>
  <c r="AN15" i="18"/>
  <c r="AM14" i="18"/>
  <c r="AN11" i="18"/>
  <c r="K14" i="16"/>
  <c r="L12" i="16"/>
  <c r="L27" i="16" s="1"/>
  <c r="AS303" i="11" l="1"/>
  <c r="AS302" i="11"/>
  <c r="AS301" i="11"/>
  <c r="AS300" i="11"/>
  <c r="AS320" i="11" s="1"/>
  <c r="AS304" i="11"/>
  <c r="AV567" i="11"/>
  <c r="AV568" i="11"/>
  <c r="AV564" i="11"/>
  <c r="AV566" i="11"/>
  <c r="AV565" i="11"/>
  <c r="AS461" i="11"/>
  <c r="AS462" i="11"/>
  <c r="AS460" i="11"/>
  <c r="AS464" i="11"/>
  <c r="AS463" i="11"/>
  <c r="AQ530" i="11"/>
  <c r="AR497" i="11"/>
  <c r="AR536" i="11" s="1"/>
  <c r="AT514" i="11"/>
  <c r="AS542" i="11"/>
  <c r="AT520" i="11"/>
  <c r="AS544" i="11"/>
  <c r="AT492" i="11"/>
  <c r="AS534" i="11"/>
  <c r="AS537" i="11"/>
  <c r="AT500" i="11"/>
  <c r="AS529" i="11"/>
  <c r="AS497" i="11" s="1"/>
  <c r="AR547" i="11"/>
  <c r="AT523" i="11"/>
  <c r="AS545" i="11"/>
  <c r="AT517" i="11"/>
  <c r="AS543" i="11"/>
  <c r="AT508" i="11"/>
  <c r="AS540" i="11"/>
  <c r="AS546" i="11"/>
  <c r="AT526" i="11"/>
  <c r="AT489" i="11"/>
  <c r="AS533" i="11"/>
  <c r="AT495" i="11"/>
  <c r="AS535" i="11"/>
  <c r="AT429" i="11"/>
  <c r="AS442" i="11"/>
  <c r="AT432" i="11"/>
  <c r="AS444" i="11"/>
  <c r="AT426" i="11"/>
  <c r="AT441" i="11" s="1"/>
  <c r="AS437" i="11"/>
  <c r="AS443" i="11" s="1"/>
  <c r="AW74" i="11"/>
  <c r="AW75" i="11"/>
  <c r="AW73" i="11"/>
  <c r="AU84" i="11"/>
  <c r="AV79" i="11"/>
  <c r="AV83" i="11"/>
  <c r="AV80" i="11"/>
  <c r="AV82" i="11"/>
  <c r="AV81" i="11"/>
  <c r="I57" i="11"/>
  <c r="AT115" i="11"/>
  <c r="AT117" i="11" s="1"/>
  <c r="AT127" i="11"/>
  <c r="AT129" i="11" s="1"/>
  <c r="AS190" i="11"/>
  <c r="AT105" i="11"/>
  <c r="AT108" i="11" s="1"/>
  <c r="AT95" i="11"/>
  <c r="AT98" i="11" s="1"/>
  <c r="AI180" i="11"/>
  <c r="AJ8" i="11"/>
  <c r="AJ179" i="11" s="1"/>
  <c r="AS191" i="11"/>
  <c r="E57" i="13"/>
  <c r="F56" i="13"/>
  <c r="G56" i="13"/>
  <c r="H56" i="13"/>
  <c r="I56" i="13"/>
  <c r="J56" i="13"/>
  <c r="K56" i="13"/>
  <c r="L56" i="13"/>
  <c r="M56" i="13"/>
  <c r="N56" i="13"/>
  <c r="O56" i="13"/>
  <c r="P56" i="13"/>
  <c r="Q56" i="13"/>
  <c r="R56" i="13"/>
  <c r="S56" i="13"/>
  <c r="T56" i="13"/>
  <c r="U56" i="13"/>
  <c r="V56" i="13"/>
  <c r="W56" i="13"/>
  <c r="X56" i="13"/>
  <c r="Y56" i="13"/>
  <c r="Z56" i="13"/>
  <c r="AA56" i="13"/>
  <c r="AB56" i="13"/>
  <c r="AC56" i="13"/>
  <c r="AD56" i="13"/>
  <c r="AE56" i="13"/>
  <c r="AF56" i="13"/>
  <c r="AG56" i="13"/>
  <c r="AH56" i="13"/>
  <c r="AI56" i="13"/>
  <c r="AJ56" i="13"/>
  <c r="AK56" i="13"/>
  <c r="S11" i="17"/>
  <c r="R187" i="20"/>
  <c r="AA91" i="18"/>
  <c r="BD901" i="20"/>
  <c r="BD980" i="20"/>
  <c r="T177" i="20" s="1"/>
  <c r="BC976" i="20"/>
  <c r="AS102" i="18"/>
  <c r="AE10" i="17" s="1"/>
  <c r="AS103" i="18"/>
  <c r="AE12" i="17" s="1"/>
  <c r="BE889" i="20"/>
  <c r="BE895" i="20"/>
  <c r="BD964" i="20"/>
  <c r="BD970" i="20"/>
  <c r="BD986" i="20"/>
  <c r="T183" i="20" s="1"/>
  <c r="BD982" i="20"/>
  <c r="T179" i="20" s="1"/>
  <c r="BD987" i="20"/>
  <c r="T184" i="20" s="1"/>
  <c r="BC876" i="20"/>
  <c r="BD985" i="20"/>
  <c r="T182" i="20" s="1"/>
  <c r="BD988" i="20"/>
  <c r="T185" i="20" s="1"/>
  <c r="BD983" i="20"/>
  <c r="T180" i="20" s="1"/>
  <c r="BD989" i="20"/>
  <c r="T186" i="20" s="1"/>
  <c r="BD864" i="20"/>
  <c r="BD870" i="20"/>
  <c r="BD981" i="20"/>
  <c r="T178" i="20" s="1"/>
  <c r="BC991" i="20"/>
  <c r="BE990" i="20"/>
  <c r="BD984" i="20"/>
  <c r="T181" i="20" s="1"/>
  <c r="BF930" i="20"/>
  <c r="BF855" i="20"/>
  <c r="BF230" i="20"/>
  <c r="BF905" i="20"/>
  <c r="BF880" i="20"/>
  <c r="BF754" i="20"/>
  <c r="BF776" i="20"/>
  <c r="BF891" i="20" s="1"/>
  <c r="BF765" i="20"/>
  <c r="BF890" i="20" s="1"/>
  <c r="BD857" i="20"/>
  <c r="BG275" i="20"/>
  <c r="BG283" i="20" s="1"/>
  <c r="BG799" i="20"/>
  <c r="BE807" i="20"/>
  <c r="BE762" i="20"/>
  <c r="BE867" i="20" s="1"/>
  <c r="BE840" i="20"/>
  <c r="BE965" i="20" s="1"/>
  <c r="BE773" i="20"/>
  <c r="BE868" i="20" s="1"/>
  <c r="BE851" i="20"/>
  <c r="BE966" i="20" s="1"/>
  <c r="BE751" i="20"/>
  <c r="BE866" i="20" s="1"/>
  <c r="BE818" i="20"/>
  <c r="BE784" i="20"/>
  <c r="BE869" i="20" s="1"/>
  <c r="BF732" i="20"/>
  <c r="BE740" i="20"/>
  <c r="BE865" i="20" s="1"/>
  <c r="BF721" i="20"/>
  <c r="BE729" i="20"/>
  <c r="BE829" i="20"/>
  <c r="BE796" i="20"/>
  <c r="BF788" i="20"/>
  <c r="BE667" i="20"/>
  <c r="BE959" i="20" s="1"/>
  <c r="BE645" i="20"/>
  <c r="BE656" i="20"/>
  <c r="BE958" i="20" s="1"/>
  <c r="BE623" i="20"/>
  <c r="BE634" i="20"/>
  <c r="BE678" i="20"/>
  <c r="BE534" i="20"/>
  <c r="BE859" i="20" s="1"/>
  <c r="BE944" i="20" s="1"/>
  <c r="BE951" i="20" s="1"/>
  <c r="BE556" i="20"/>
  <c r="BF548" i="20"/>
  <c r="BF883" i="20" s="1"/>
  <c r="BE567" i="20"/>
  <c r="BF559" i="20"/>
  <c r="BF884" i="20" s="1"/>
  <c r="BF969" i="20" s="1"/>
  <c r="BE578" i="20"/>
  <c r="BF570" i="20"/>
  <c r="BF537" i="20"/>
  <c r="BE545" i="20"/>
  <c r="BF523" i="20"/>
  <c r="BF858" i="20" s="1"/>
  <c r="BE442" i="20"/>
  <c r="BF434" i="20"/>
  <c r="BE462" i="20"/>
  <c r="BF454" i="20"/>
  <c r="BF414" i="20"/>
  <c r="BE422" i="20"/>
  <c r="BE432" i="20"/>
  <c r="BE907" i="20" s="1"/>
  <c r="BE926" i="20" s="1"/>
  <c r="BF424" i="20"/>
  <c r="BE472" i="20"/>
  <c r="BF464" i="20"/>
  <c r="BF444" i="20"/>
  <c r="BE452" i="20"/>
  <c r="BF317" i="20"/>
  <c r="BE325" i="20"/>
  <c r="BE335" i="20"/>
  <c r="BF327" i="20"/>
  <c r="BF347" i="20"/>
  <c r="BE355" i="20"/>
  <c r="BF307" i="20"/>
  <c r="BE315" i="20"/>
  <c r="BE345" i="20"/>
  <c r="BF337" i="20"/>
  <c r="BF297" i="20"/>
  <c r="BE305" i="20"/>
  <c r="BF412" i="20"/>
  <c r="BF402" i="20"/>
  <c r="BF392" i="20"/>
  <c r="BE382" i="20"/>
  <c r="BG273" i="20"/>
  <c r="BG293" i="20"/>
  <c r="BF263" i="20"/>
  <c r="BF856" i="20" s="1"/>
  <c r="BG143" i="20"/>
  <c r="BG151" i="20" s="1"/>
  <c r="BG224" i="20" s="1"/>
  <c r="BG156" i="20"/>
  <c r="BG164" i="20" s="1"/>
  <c r="BG225" i="20" s="1"/>
  <c r="BG195" i="20"/>
  <c r="BG203" i="20" s="1"/>
  <c r="BG228" i="20" s="1"/>
  <c r="BG169" i="20"/>
  <c r="BG177" i="20" s="1"/>
  <c r="BG226" i="20" s="1"/>
  <c r="BG208" i="20"/>
  <c r="BG216" i="20" s="1"/>
  <c r="BG229" i="20" s="1"/>
  <c r="BG182" i="20"/>
  <c r="BG190" i="20" s="1"/>
  <c r="BG227" i="20" s="1"/>
  <c r="Z91" i="18"/>
  <c r="BG99" i="20"/>
  <c r="BG107" i="20" s="1"/>
  <c r="BG223" i="20" s="1"/>
  <c r="BG79" i="20"/>
  <c r="BG87" i="20" s="1"/>
  <c r="BG222" i="20" s="1"/>
  <c r="BG43" i="20"/>
  <c r="BG51" i="20" s="1"/>
  <c r="BG220" i="20" s="1"/>
  <c r="BG61" i="20"/>
  <c r="BG69" i="20" s="1"/>
  <c r="BG221" i="20" s="1"/>
  <c r="AB91" i="18"/>
  <c r="U91" i="18"/>
  <c r="AG91" i="18"/>
  <c r="BH5" i="20"/>
  <c r="AE91" i="18"/>
  <c r="X91" i="18"/>
  <c r="V91" i="18"/>
  <c r="T91" i="18"/>
  <c r="AC91" i="18"/>
  <c r="AH91" i="18"/>
  <c r="AK91" i="18"/>
  <c r="AI91" i="18"/>
  <c r="AL91" i="18"/>
  <c r="AF91" i="18"/>
  <c r="Y91" i="18"/>
  <c r="AD91" i="18"/>
  <c r="AJ91" i="18"/>
  <c r="AM91" i="18"/>
  <c r="AR45" i="11"/>
  <c r="AS40" i="11"/>
  <c r="AS43" i="11"/>
  <c r="AS41" i="11"/>
  <c r="AS44" i="11"/>
  <c r="AS42" i="11"/>
  <c r="AT585" i="11"/>
  <c r="AT36" i="11"/>
  <c r="AT35" i="11"/>
  <c r="AU5" i="11"/>
  <c r="AT34" i="11"/>
  <c r="AC58" i="18"/>
  <c r="AC92" i="18" s="1"/>
  <c r="V58" i="18"/>
  <c r="V92" i="18" s="1"/>
  <c r="S58" i="18"/>
  <c r="S92" i="18" s="1"/>
  <c r="AI58" i="18"/>
  <c r="AI92" i="18" s="1"/>
  <c r="AF58" i="18"/>
  <c r="AF92" i="18" s="1"/>
  <c r="AG58" i="18"/>
  <c r="AG92" i="18" s="1"/>
  <c r="Z58" i="18"/>
  <c r="Z92" i="18" s="1"/>
  <c r="W58" i="18"/>
  <c r="W92" i="18" s="1"/>
  <c r="X58" i="18"/>
  <c r="X92" i="18" s="1"/>
  <c r="AJ58" i="18"/>
  <c r="AJ92" i="18" s="1"/>
  <c r="U58" i="18"/>
  <c r="U92" i="18" s="1"/>
  <c r="Q58" i="18"/>
  <c r="Q92" i="18" s="1"/>
  <c r="AD58" i="18"/>
  <c r="AD92" i="18" s="1"/>
  <c r="AA58" i="18"/>
  <c r="AA92" i="18" s="1"/>
  <c r="AB58" i="18"/>
  <c r="AB92" i="18" s="1"/>
  <c r="Y58" i="18"/>
  <c r="Y92" i="18" s="1"/>
  <c r="R58" i="18"/>
  <c r="R92" i="18" s="1"/>
  <c r="AH58" i="18"/>
  <c r="AH92" i="18" s="1"/>
  <c r="AE58" i="18"/>
  <c r="AE92" i="18" s="1"/>
  <c r="T58" i="18"/>
  <c r="T92" i="18" s="1"/>
  <c r="N59" i="18"/>
  <c r="Z34" i="18"/>
  <c r="AE24" i="11"/>
  <c r="AD28" i="11"/>
  <c r="AD39" i="11" s="1"/>
  <c r="AN10" i="18"/>
  <c r="AM16" i="18"/>
  <c r="AN14" i="18"/>
  <c r="AN13" i="18"/>
  <c r="AO11" i="18"/>
  <c r="AO15" i="18"/>
  <c r="AN12" i="18"/>
  <c r="L14" i="16"/>
  <c r="M12" i="16"/>
  <c r="M27" i="16" s="1"/>
  <c r="X264" i="11"/>
  <c r="X271" i="11" s="1"/>
  <c r="B178" i="11"/>
  <c r="G169" i="11"/>
  <c r="F169" i="11"/>
  <c r="G174" i="11"/>
  <c r="X331" i="11"/>
  <c r="B163" i="11"/>
  <c r="B152" i="11"/>
  <c r="U17" i="11"/>
  <c r="U18" i="11"/>
  <c r="U19" i="11"/>
  <c r="U20" i="11"/>
  <c r="U16" i="11"/>
  <c r="U216" i="11"/>
  <c r="U217" i="11"/>
  <c r="U218" i="11"/>
  <c r="U219" i="11"/>
  <c r="U215" i="11"/>
  <c r="W220" i="11"/>
  <c r="Y236" i="11" s="1"/>
  <c r="X220" i="11"/>
  <c r="Y237" i="11" s="1"/>
  <c r="Y220" i="11"/>
  <c r="Y238" i="11" s="1"/>
  <c r="Z220" i="11"/>
  <c r="Y239" i="11" s="1"/>
  <c r="AA220" i="11"/>
  <c r="Y240" i="11" s="1"/>
  <c r="AB220" i="11"/>
  <c r="Y241" i="11" s="1"/>
  <c r="AC220" i="11"/>
  <c r="Y242" i="11" s="1"/>
  <c r="V220" i="11"/>
  <c r="Y235" i="11" s="1"/>
  <c r="Z235" i="11" s="1"/>
  <c r="B131" i="11"/>
  <c r="B130" i="11"/>
  <c r="X204" i="11"/>
  <c r="A1" i="13"/>
  <c r="A2" i="13" s="1"/>
  <c r="A3" i="13" s="1"/>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G143" i="11"/>
  <c r="B144" i="11" s="1"/>
  <c r="AT300" i="11" l="1"/>
  <c r="AT320" i="11" s="1"/>
  <c r="AT301" i="11"/>
  <c r="AT302" i="11"/>
  <c r="AT304" i="11"/>
  <c r="AT303" i="11"/>
  <c r="AW566" i="11"/>
  <c r="AW564" i="11"/>
  <c r="AW568" i="11"/>
  <c r="AW565" i="11"/>
  <c r="AW567" i="11"/>
  <c r="AT460" i="11"/>
  <c r="AT461" i="11"/>
  <c r="AT462" i="11"/>
  <c r="AT463" i="11"/>
  <c r="AT464" i="11"/>
  <c r="AR530" i="11"/>
  <c r="AS505" i="11"/>
  <c r="AS539" i="11" s="1"/>
  <c r="AS536" i="11"/>
  <c r="AT537" i="11"/>
  <c r="AU500" i="11"/>
  <c r="AU495" i="11"/>
  <c r="AT535" i="11"/>
  <c r="AU489" i="11"/>
  <c r="AT533" i="11"/>
  <c r="AU523" i="11"/>
  <c r="AT545" i="11"/>
  <c r="AU520" i="11"/>
  <c r="AT544" i="11"/>
  <c r="AU508" i="11"/>
  <c r="AT540" i="11"/>
  <c r="AT546" i="11"/>
  <c r="AU526" i="11"/>
  <c r="AU517" i="11"/>
  <c r="AT543" i="11"/>
  <c r="AT529" i="11"/>
  <c r="AS547" i="11"/>
  <c r="AU492" i="11"/>
  <c r="AT534" i="11"/>
  <c r="AU514" i="11"/>
  <c r="AT542" i="11"/>
  <c r="AU432" i="11"/>
  <c r="AT444" i="11"/>
  <c r="AU429" i="11"/>
  <c r="AT442" i="11"/>
  <c r="AU426" i="11"/>
  <c r="AU441" i="11" s="1"/>
  <c r="AT437" i="11"/>
  <c r="AT443" i="11" s="1"/>
  <c r="AX73" i="11"/>
  <c r="AX75" i="11"/>
  <c r="AX74" i="11"/>
  <c r="AW80" i="11"/>
  <c r="AW81" i="11"/>
  <c r="AW82" i="11"/>
  <c r="AW79" i="11"/>
  <c r="AW83" i="11"/>
  <c r="AV84" i="11"/>
  <c r="I58" i="11"/>
  <c r="AU115" i="11"/>
  <c r="AU117" i="11" s="1"/>
  <c r="AU127" i="11"/>
  <c r="AU129" i="11" s="1"/>
  <c r="AT190" i="11"/>
  <c r="AU105" i="11"/>
  <c r="AU95" i="11"/>
  <c r="AU98" i="11" s="1"/>
  <c r="AJ180" i="11"/>
  <c r="AK8" i="11"/>
  <c r="AK179" i="11" s="1"/>
  <c r="AT191" i="11"/>
  <c r="E58" i="13"/>
  <c r="F57" i="13"/>
  <c r="G57" i="13"/>
  <c r="H57" i="13"/>
  <c r="I57" i="13"/>
  <c r="J57" i="13"/>
  <c r="K57" i="13"/>
  <c r="L57" i="13"/>
  <c r="M57" i="13"/>
  <c r="N57" i="13"/>
  <c r="O57" i="13"/>
  <c r="P57" i="13"/>
  <c r="Q57" i="13"/>
  <c r="R57" i="13"/>
  <c r="S57" i="13"/>
  <c r="T57" i="13"/>
  <c r="U57" i="13"/>
  <c r="V57" i="13"/>
  <c r="W57" i="13"/>
  <c r="X57" i="13"/>
  <c r="Y57" i="13"/>
  <c r="Z57" i="13"/>
  <c r="AA57" i="13"/>
  <c r="AB57" i="13"/>
  <c r="AC57" i="13"/>
  <c r="AD57" i="13"/>
  <c r="AE57" i="13"/>
  <c r="AF57" i="13"/>
  <c r="AG57" i="13"/>
  <c r="AH57" i="13"/>
  <c r="AI57" i="13"/>
  <c r="AJ57" i="13"/>
  <c r="AK57" i="13"/>
  <c r="T11" i="17"/>
  <c r="S187" i="20"/>
  <c r="U188" i="20"/>
  <c r="BE901" i="20"/>
  <c r="BD976" i="20"/>
  <c r="AS104" i="18"/>
  <c r="BF889" i="20"/>
  <c r="BF895" i="20"/>
  <c r="BE964" i="20"/>
  <c r="BE970" i="20"/>
  <c r="BE988" i="20"/>
  <c r="U185" i="20" s="1"/>
  <c r="BE981" i="20"/>
  <c r="U178" i="20" s="1"/>
  <c r="BD876" i="20"/>
  <c r="BE987" i="20"/>
  <c r="U184" i="20" s="1"/>
  <c r="BE984" i="20"/>
  <c r="U181" i="20" s="1"/>
  <c r="BE985" i="20"/>
  <c r="U182" i="20" s="1"/>
  <c r="BE982" i="20"/>
  <c r="U179" i="20" s="1"/>
  <c r="BD991" i="20"/>
  <c r="BE983" i="20"/>
  <c r="U180" i="20" s="1"/>
  <c r="BE864" i="20"/>
  <c r="BE870" i="20"/>
  <c r="BE980" i="20"/>
  <c r="U177" i="20" s="1"/>
  <c r="BF990" i="20"/>
  <c r="BE989" i="20"/>
  <c r="U186" i="20" s="1"/>
  <c r="BE986" i="20"/>
  <c r="U183" i="20" s="1"/>
  <c r="BG930" i="20"/>
  <c r="BG855" i="20"/>
  <c r="BG230" i="20"/>
  <c r="BG990" i="20" s="1"/>
  <c r="BG905" i="20"/>
  <c r="BG880" i="20"/>
  <c r="BG776" i="20"/>
  <c r="BG891" i="20" s="1"/>
  <c r="BG765" i="20"/>
  <c r="BG890" i="20" s="1"/>
  <c r="BG754" i="20"/>
  <c r="BE857" i="20"/>
  <c r="BH275" i="20"/>
  <c r="BH799" i="20"/>
  <c r="BF784" i="20"/>
  <c r="BF869" i="20" s="1"/>
  <c r="BF751" i="20"/>
  <c r="BF866" i="20" s="1"/>
  <c r="BF829" i="20"/>
  <c r="BF818" i="20"/>
  <c r="BF851" i="20"/>
  <c r="BF966" i="20" s="1"/>
  <c r="BF807" i="20"/>
  <c r="BF796" i="20"/>
  <c r="BG788" i="20"/>
  <c r="BF773" i="20"/>
  <c r="BF868" i="20" s="1"/>
  <c r="BG721" i="20"/>
  <c r="BF729" i="20"/>
  <c r="BF762" i="20"/>
  <c r="BF867" i="20" s="1"/>
  <c r="BG732" i="20"/>
  <c r="BF740" i="20"/>
  <c r="BF865" i="20" s="1"/>
  <c r="BF840" i="20"/>
  <c r="BF965" i="20" s="1"/>
  <c r="BF678" i="20"/>
  <c r="BF623" i="20"/>
  <c r="BF645" i="20"/>
  <c r="BF634" i="20"/>
  <c r="BF656" i="20"/>
  <c r="BF958" i="20" s="1"/>
  <c r="BF667" i="20"/>
  <c r="BF959" i="20" s="1"/>
  <c r="BG570" i="20"/>
  <c r="BF578" i="20"/>
  <c r="BF556" i="20"/>
  <c r="BG548" i="20"/>
  <c r="BG883" i="20" s="1"/>
  <c r="BG559" i="20"/>
  <c r="BG884" i="20" s="1"/>
  <c r="BG969" i="20" s="1"/>
  <c r="BF567" i="20"/>
  <c r="BG537" i="20"/>
  <c r="BF545" i="20"/>
  <c r="BF534" i="20"/>
  <c r="BF859" i="20" s="1"/>
  <c r="BF944" i="20" s="1"/>
  <c r="BF951" i="20" s="1"/>
  <c r="BG523" i="20"/>
  <c r="BG858" i="20" s="1"/>
  <c r="BF462" i="20"/>
  <c r="BG454" i="20"/>
  <c r="BG444" i="20"/>
  <c r="BF452" i="20"/>
  <c r="BF432" i="20"/>
  <c r="BF907" i="20" s="1"/>
  <c r="BF926" i="20" s="1"/>
  <c r="BG424" i="20"/>
  <c r="BF472" i="20"/>
  <c r="BG464" i="20"/>
  <c r="BF442" i="20"/>
  <c r="BG434" i="20"/>
  <c r="BG414" i="20"/>
  <c r="BF422" i="20"/>
  <c r="BG327" i="20"/>
  <c r="BF335" i="20"/>
  <c r="BG297" i="20"/>
  <c r="BF305" i="20"/>
  <c r="BG307" i="20"/>
  <c r="BF315" i="20"/>
  <c r="BG337" i="20"/>
  <c r="BF345" i="20"/>
  <c r="BG347" i="20"/>
  <c r="BF355" i="20"/>
  <c r="BG317" i="20"/>
  <c r="BF325" i="20"/>
  <c r="BF382" i="20"/>
  <c r="BG402" i="20"/>
  <c r="BG392" i="20"/>
  <c r="BG412" i="20"/>
  <c r="BH293" i="20"/>
  <c r="BH273" i="20"/>
  <c r="BG263" i="20"/>
  <c r="BG856" i="20" s="1"/>
  <c r="BH143" i="20"/>
  <c r="BH151" i="20" s="1"/>
  <c r="BH224" i="20" s="1"/>
  <c r="BH195" i="20"/>
  <c r="BH203" i="20" s="1"/>
  <c r="BH228" i="20" s="1"/>
  <c r="BH156" i="20"/>
  <c r="BH164" i="20" s="1"/>
  <c r="BH225" i="20" s="1"/>
  <c r="BH208" i="20"/>
  <c r="BH216" i="20" s="1"/>
  <c r="BH229" i="20" s="1"/>
  <c r="BH182" i="20"/>
  <c r="BH190" i="20" s="1"/>
  <c r="BH227" i="20" s="1"/>
  <c r="BH169" i="20"/>
  <c r="BH177" i="20" s="1"/>
  <c r="BH226" i="20" s="1"/>
  <c r="BH99" i="20"/>
  <c r="BH107" i="20" s="1"/>
  <c r="BH223" i="20" s="1"/>
  <c r="BH79" i="20"/>
  <c r="BH87" i="20" s="1"/>
  <c r="BH222" i="20" s="1"/>
  <c r="BH43" i="20"/>
  <c r="BH51" i="20" s="1"/>
  <c r="BH220" i="20" s="1"/>
  <c r="BH61" i="20"/>
  <c r="BH69" i="20" s="1"/>
  <c r="BH221" i="20" s="1"/>
  <c r="BI5" i="20"/>
  <c r="AU585" i="11"/>
  <c r="AU35" i="11"/>
  <c r="AV5" i="11"/>
  <c r="AU36" i="11"/>
  <c r="AU34" i="11"/>
  <c r="AU108" i="11"/>
  <c r="AS45" i="11"/>
  <c r="AT44" i="11"/>
  <c r="AT40" i="11"/>
  <c r="AT43" i="11"/>
  <c r="AT41" i="11"/>
  <c r="AT42" i="11"/>
  <c r="B14" i="18"/>
  <c r="B85" i="11"/>
  <c r="G4" i="11"/>
  <c r="V59" i="18"/>
  <c r="Q59" i="18"/>
  <c r="Q93" i="18" s="1"/>
  <c r="AE59" i="18"/>
  <c r="AE93" i="18" s="1"/>
  <c r="AB59" i="18"/>
  <c r="AG59" i="18"/>
  <c r="Z59" i="18"/>
  <c r="S59" i="18"/>
  <c r="S93" i="18" s="1"/>
  <c r="AI59" i="18"/>
  <c r="AF59" i="18"/>
  <c r="Y59" i="18"/>
  <c r="Y93" i="18" s="1"/>
  <c r="AD59" i="18"/>
  <c r="W59" i="18"/>
  <c r="T59" i="18"/>
  <c r="AJ59" i="18"/>
  <c r="AC59" i="18"/>
  <c r="R59" i="18"/>
  <c r="R93" i="18" s="1"/>
  <c r="AH59" i="18"/>
  <c r="AA59" i="18"/>
  <c r="X59" i="18"/>
  <c r="X93" i="18" s="1"/>
  <c r="U59" i="18"/>
  <c r="U93" i="18" s="1"/>
  <c r="AA34" i="18"/>
  <c r="N60" i="18"/>
  <c r="P6" i="18"/>
  <c r="X387" i="11"/>
  <c r="X389" i="11" s="1"/>
  <c r="X340" i="11"/>
  <c r="AF24" i="11"/>
  <c r="AE28" i="11"/>
  <c r="AE39" i="11" s="1"/>
  <c r="AP11" i="18"/>
  <c r="AO12" i="18"/>
  <c r="AO14" i="18"/>
  <c r="AO13" i="18"/>
  <c r="AP15" i="18"/>
  <c r="AO10" i="18"/>
  <c r="AN16" i="18"/>
  <c r="M14" i="16"/>
  <c r="N12" i="16"/>
  <c r="N27" i="16" s="1"/>
  <c r="X333" i="11"/>
  <c r="X347" i="11" s="1"/>
  <c r="X356" i="11"/>
  <c r="X370" i="11" s="1"/>
  <c r="X377" i="11" s="1"/>
  <c r="Z239" i="11"/>
  <c r="AA239" i="11" s="1"/>
  <c r="AA235" i="11"/>
  <c r="Z238" i="11"/>
  <c r="Z241" i="11"/>
  <c r="Z237" i="11"/>
  <c r="Z242" i="11"/>
  <c r="Z240" i="11"/>
  <c r="Z236" i="11"/>
  <c r="AU302" i="11" l="1"/>
  <c r="AU300" i="11"/>
  <c r="AU320" i="11" s="1"/>
  <c r="AU303" i="11"/>
  <c r="AU304" i="11"/>
  <c r="AU301" i="11"/>
  <c r="AX565" i="11"/>
  <c r="AX568" i="11"/>
  <c r="AX567" i="11"/>
  <c r="AX564" i="11"/>
  <c r="AX566" i="11"/>
  <c r="AU460" i="11"/>
  <c r="AU463" i="11"/>
  <c r="AU461" i="11"/>
  <c r="AU464" i="11"/>
  <c r="AU462" i="11"/>
  <c r="AS530" i="11"/>
  <c r="AU529" i="11"/>
  <c r="AU505" i="11" s="1"/>
  <c r="AU539" i="11" s="1"/>
  <c r="AT547" i="11"/>
  <c r="AV520" i="11"/>
  <c r="AU544" i="11"/>
  <c r="AT505" i="11"/>
  <c r="AT539" i="11" s="1"/>
  <c r="AT497" i="11"/>
  <c r="AV495" i="11"/>
  <c r="AU535" i="11"/>
  <c r="AV514" i="11"/>
  <c r="AU542" i="11"/>
  <c r="AV492" i="11"/>
  <c r="AU534" i="11"/>
  <c r="AV517" i="11"/>
  <c r="AU543" i="11"/>
  <c r="AV508" i="11"/>
  <c r="AU540" i="11"/>
  <c r="AV523" i="11"/>
  <c r="AU545" i="11"/>
  <c r="AU537" i="11"/>
  <c r="AV500" i="11"/>
  <c r="AU546" i="11"/>
  <c r="AV526" i="11"/>
  <c r="AV489" i="11"/>
  <c r="AU533" i="11"/>
  <c r="AU497" i="11"/>
  <c r="AU536" i="11" s="1"/>
  <c r="AV429" i="11"/>
  <c r="AU442" i="11"/>
  <c r="AV432" i="11"/>
  <c r="AU444" i="11"/>
  <c r="AV426" i="11"/>
  <c r="AV441" i="11" s="1"/>
  <c r="AU437" i="11"/>
  <c r="AU443" i="11" s="1"/>
  <c r="AX83" i="11"/>
  <c r="AX81" i="11"/>
  <c r="AX80" i="11"/>
  <c r="AX82" i="11"/>
  <c r="AX79" i="11"/>
  <c r="AY73" i="11"/>
  <c r="AY75" i="11"/>
  <c r="AY74" i="11"/>
  <c r="AW84" i="11"/>
  <c r="I59" i="11"/>
  <c r="AV115" i="11"/>
  <c r="AV117" i="11" s="1"/>
  <c r="AV127" i="11"/>
  <c r="AV129" i="11" s="1"/>
  <c r="AU190" i="11"/>
  <c r="AV105" i="11"/>
  <c r="AV108" i="11" s="1"/>
  <c r="AV95" i="11"/>
  <c r="AV98" i="11" s="1"/>
  <c r="AK180" i="11"/>
  <c r="AL8" i="11"/>
  <c r="AL179" i="11" s="1"/>
  <c r="AU191" i="11"/>
  <c r="E59" i="13"/>
  <c r="F58" i="13"/>
  <c r="G58" i="13"/>
  <c r="H58" i="13"/>
  <c r="I58" i="13"/>
  <c r="J58" i="13"/>
  <c r="K58" i="13"/>
  <c r="L58" i="13"/>
  <c r="M58" i="13"/>
  <c r="N58" i="13"/>
  <c r="O58" i="13"/>
  <c r="P58" i="13"/>
  <c r="Q58" i="13"/>
  <c r="R58" i="13"/>
  <c r="S58" i="13"/>
  <c r="T58" i="13"/>
  <c r="U58" i="13"/>
  <c r="V58" i="13"/>
  <c r="W58" i="13"/>
  <c r="X58" i="13"/>
  <c r="Y58" i="13"/>
  <c r="Z58" i="13"/>
  <c r="AA58" i="13"/>
  <c r="AB58" i="13"/>
  <c r="AC58" i="13"/>
  <c r="AD58" i="13"/>
  <c r="AE58" i="13"/>
  <c r="AF58" i="13"/>
  <c r="AG58" i="13"/>
  <c r="AH58" i="13"/>
  <c r="AI58" i="13"/>
  <c r="AJ58" i="13"/>
  <c r="AK58" i="13"/>
  <c r="V188" i="20"/>
  <c r="U11" i="17"/>
  <c r="T187" i="20"/>
  <c r="W188" i="20"/>
  <c r="BE976" i="20"/>
  <c r="BF988" i="20"/>
  <c r="V185" i="20" s="1"/>
  <c r="BF901" i="20"/>
  <c r="BF980" i="20"/>
  <c r="V177" i="20" s="1"/>
  <c r="BF984" i="20"/>
  <c r="V181" i="20" s="1"/>
  <c r="BF964" i="20"/>
  <c r="BF970" i="20"/>
  <c r="BG889" i="20"/>
  <c r="BG895" i="20"/>
  <c r="BF983" i="20"/>
  <c r="V180" i="20" s="1"/>
  <c r="BF985" i="20"/>
  <c r="V182" i="20" s="1"/>
  <c r="BE876" i="20"/>
  <c r="BF864" i="20"/>
  <c r="BF870" i="20"/>
  <c r="BF981" i="20"/>
  <c r="V178" i="20" s="1"/>
  <c r="BF982" i="20"/>
  <c r="V179" i="20" s="1"/>
  <c r="BF989" i="20"/>
  <c r="V186" i="20" s="1"/>
  <c r="BE991" i="20"/>
  <c r="BF987" i="20"/>
  <c r="V184" i="20" s="1"/>
  <c r="BF986" i="20"/>
  <c r="V183" i="20" s="1"/>
  <c r="BH930" i="20"/>
  <c r="BH855" i="20"/>
  <c r="BH230" i="20"/>
  <c r="BH990" i="20" s="1"/>
  <c r="BH905" i="20"/>
  <c r="BH880" i="20"/>
  <c r="BH765" i="20"/>
  <c r="BH890" i="20" s="1"/>
  <c r="BH754" i="20"/>
  <c r="BH776" i="20"/>
  <c r="BH891" i="20" s="1"/>
  <c r="BF857" i="20"/>
  <c r="BI275" i="20"/>
  <c r="BH283" i="20"/>
  <c r="BI799" i="20"/>
  <c r="BG840" i="20"/>
  <c r="BG965" i="20" s="1"/>
  <c r="BG773" i="20"/>
  <c r="BG868" i="20" s="1"/>
  <c r="BG807" i="20"/>
  <c r="BG796" i="20"/>
  <c r="BH788" i="20"/>
  <c r="BG851" i="20"/>
  <c r="BG966" i="20" s="1"/>
  <c r="BG784" i="20"/>
  <c r="BG869" i="20" s="1"/>
  <c r="BG762" i="20"/>
  <c r="BG867" i="20" s="1"/>
  <c r="BG818" i="20"/>
  <c r="BG751" i="20"/>
  <c r="BG866" i="20" s="1"/>
  <c r="BH732" i="20"/>
  <c r="BG740" i="20"/>
  <c r="BG865" i="20" s="1"/>
  <c r="BH721" i="20"/>
  <c r="BG729" i="20"/>
  <c r="BG829" i="20"/>
  <c r="BG667" i="20"/>
  <c r="BG959" i="20" s="1"/>
  <c r="BG623" i="20"/>
  <c r="BG656" i="20"/>
  <c r="BG958" i="20" s="1"/>
  <c r="BG634" i="20"/>
  <c r="BG645" i="20"/>
  <c r="BG678" i="20"/>
  <c r="BH548" i="20"/>
  <c r="BH883" i="20" s="1"/>
  <c r="BG556" i="20"/>
  <c r="BH537" i="20"/>
  <c r="BG545" i="20"/>
  <c r="BG534" i="20"/>
  <c r="BG859" i="20" s="1"/>
  <c r="BG944" i="20" s="1"/>
  <c r="BG951" i="20" s="1"/>
  <c r="BG567" i="20"/>
  <c r="BH559" i="20"/>
  <c r="BH884" i="20" s="1"/>
  <c r="BH969" i="20" s="1"/>
  <c r="BG578" i="20"/>
  <c r="BH570" i="20"/>
  <c r="BH523" i="20"/>
  <c r="BH858" i="20" s="1"/>
  <c r="BH414" i="20"/>
  <c r="BG422" i="20"/>
  <c r="BH444" i="20"/>
  <c r="BG452" i="20"/>
  <c r="BG442" i="20"/>
  <c r="BH434" i="20"/>
  <c r="BG432" i="20"/>
  <c r="BG907" i="20" s="1"/>
  <c r="BG926" i="20" s="1"/>
  <c r="BH424" i="20"/>
  <c r="BG462" i="20"/>
  <c r="BH454" i="20"/>
  <c r="BG472" i="20"/>
  <c r="BH464" i="20"/>
  <c r="BH317" i="20"/>
  <c r="BG325" i="20"/>
  <c r="BG345" i="20"/>
  <c r="BH337" i="20"/>
  <c r="BH297" i="20"/>
  <c r="BG305" i="20"/>
  <c r="BH347" i="20"/>
  <c r="BG355" i="20"/>
  <c r="BH307" i="20"/>
  <c r="BG315" i="20"/>
  <c r="BH327" i="20"/>
  <c r="BG335" i="20"/>
  <c r="BH402" i="20"/>
  <c r="BH392" i="20"/>
  <c r="BG382" i="20"/>
  <c r="BG980" i="20" s="1"/>
  <c r="W177" i="20" s="1"/>
  <c r="BH412" i="20"/>
  <c r="BI293" i="20"/>
  <c r="BI273" i="20"/>
  <c r="BH263" i="20"/>
  <c r="BH856" i="20" s="1"/>
  <c r="BI143" i="20"/>
  <c r="BI151" i="20" s="1"/>
  <c r="BI224" i="20" s="1"/>
  <c r="BI195" i="20"/>
  <c r="BI203" i="20" s="1"/>
  <c r="BI228" i="20" s="1"/>
  <c r="BI156" i="20"/>
  <c r="BI164" i="20" s="1"/>
  <c r="BI225" i="20" s="1"/>
  <c r="BI208" i="20"/>
  <c r="BI216" i="20" s="1"/>
  <c r="BI229" i="20" s="1"/>
  <c r="BI182" i="20"/>
  <c r="BI190" i="20" s="1"/>
  <c r="BI227" i="20" s="1"/>
  <c r="BI169" i="20"/>
  <c r="BI177" i="20" s="1"/>
  <c r="BI226" i="20" s="1"/>
  <c r="BI99" i="20"/>
  <c r="BI107" i="20" s="1"/>
  <c r="BI223" i="20" s="1"/>
  <c r="BI79" i="20"/>
  <c r="BI87" i="20" s="1"/>
  <c r="BI222" i="20" s="1"/>
  <c r="BI61" i="20"/>
  <c r="BI69" i="20" s="1"/>
  <c r="BI221" i="20" s="1"/>
  <c r="BI43" i="20"/>
  <c r="BI51" i="20" s="1"/>
  <c r="BI220" i="20" s="1"/>
  <c r="BJ5" i="20"/>
  <c r="T93" i="18"/>
  <c r="AC93" i="18"/>
  <c r="AA93" i="18"/>
  <c r="AJ93" i="18"/>
  <c r="AM93" i="18"/>
  <c r="Z93" i="18"/>
  <c r="AH93" i="18"/>
  <c r="AK93" i="18"/>
  <c r="AF93" i="18"/>
  <c r="AG93" i="18"/>
  <c r="V93" i="18"/>
  <c r="W93" i="18"/>
  <c r="AI93" i="18"/>
  <c r="AL93" i="18"/>
  <c r="AB93" i="18"/>
  <c r="AD93" i="18"/>
  <c r="AT45" i="11"/>
  <c r="AV585" i="11"/>
  <c r="AW5" i="11"/>
  <c r="AV36" i="11"/>
  <c r="AV34" i="11"/>
  <c r="AV35" i="11"/>
  <c r="AU41" i="11"/>
  <c r="AU43" i="11"/>
  <c r="AU40" i="11"/>
  <c r="AU44" i="11"/>
  <c r="AU42" i="11"/>
  <c r="AC60" i="18"/>
  <c r="Z60" i="18"/>
  <c r="AA60" i="18"/>
  <c r="AJ60" i="18"/>
  <c r="AF60" i="18"/>
  <c r="AG60" i="18"/>
  <c r="AO94" i="18" s="1"/>
  <c r="AD60" i="18"/>
  <c r="AE60" i="18"/>
  <c r="X60" i="18"/>
  <c r="U60" i="18"/>
  <c r="R60" i="18"/>
  <c r="R94" i="18" s="1"/>
  <c r="AH60" i="18"/>
  <c r="AP94" i="18" s="1"/>
  <c r="AI60" i="18"/>
  <c r="AQ94" i="18" s="1"/>
  <c r="S60" i="18"/>
  <c r="S94" i="18" s="1"/>
  <c r="Y60" i="18"/>
  <c r="V60" i="18"/>
  <c r="W60" i="18"/>
  <c r="T60" i="18"/>
  <c r="AB60" i="18"/>
  <c r="Q60" i="18"/>
  <c r="Q94" i="18" s="1"/>
  <c r="N61" i="18"/>
  <c r="AB34" i="18"/>
  <c r="AG24" i="11"/>
  <c r="AF28" i="11"/>
  <c r="AF39" i="11" s="1"/>
  <c r="AP13" i="18"/>
  <c r="AP12" i="18"/>
  <c r="AQ15" i="18"/>
  <c r="AP10" i="18"/>
  <c r="AO16" i="18"/>
  <c r="AP14" i="18"/>
  <c r="AQ11" i="18"/>
  <c r="N14" i="16"/>
  <c r="O12" i="16"/>
  <c r="O27" i="16" s="1"/>
  <c r="AA240" i="11"/>
  <c r="AA237" i="11"/>
  <c r="AB239" i="11"/>
  <c r="AA238" i="11"/>
  <c r="AA236" i="11"/>
  <c r="AA242" i="11"/>
  <c r="AA241" i="11"/>
  <c r="AB235" i="11"/>
  <c r="C1" i="10"/>
  <c r="D1" i="10" s="1"/>
  <c r="E1" i="10" s="1"/>
  <c r="F1" i="10" s="1"/>
  <c r="G1" i="10" s="1"/>
  <c r="H1" i="10" s="1"/>
  <c r="Y200" i="11"/>
  <c r="AV300" i="11" l="1"/>
  <c r="AV320" i="11" s="1"/>
  <c r="AV302" i="11"/>
  <c r="AV304" i="11"/>
  <c r="AV301" i="11"/>
  <c r="AV303" i="11"/>
  <c r="AY568" i="11"/>
  <c r="AY564" i="11"/>
  <c r="AY567" i="11"/>
  <c r="AY566" i="11"/>
  <c r="AY565" i="11"/>
  <c r="AV461" i="11"/>
  <c r="AV462" i="11"/>
  <c r="AV464" i="11"/>
  <c r="AV463" i="11"/>
  <c r="AV460" i="11"/>
  <c r="AV537" i="11"/>
  <c r="AW500" i="11"/>
  <c r="AW508" i="11"/>
  <c r="AV540" i="11"/>
  <c r="AW520" i="11"/>
  <c r="AV544" i="11"/>
  <c r="AU530" i="11"/>
  <c r="AW489" i="11"/>
  <c r="AV533" i="11"/>
  <c r="AT536" i="11"/>
  <c r="AT530" i="11"/>
  <c r="AW492" i="11"/>
  <c r="AV534" i="11"/>
  <c r="AW495" i="11"/>
  <c r="AV535" i="11"/>
  <c r="AV546" i="11"/>
  <c r="AW526" i="11"/>
  <c r="AW523" i="11"/>
  <c r="AV545" i="11"/>
  <c r="AW517" i="11"/>
  <c r="AV543" i="11"/>
  <c r="AW514" i="11"/>
  <c r="AV542" i="11"/>
  <c r="AV529" i="11"/>
  <c r="AV505" i="11" s="1"/>
  <c r="AV539" i="11" s="1"/>
  <c r="AU547" i="11"/>
  <c r="AW432" i="11"/>
  <c r="AV444" i="11"/>
  <c r="AW429" i="11"/>
  <c r="AV442" i="11"/>
  <c r="AW426" i="11"/>
  <c r="AW441" i="11" s="1"/>
  <c r="AV437" i="11"/>
  <c r="AV443" i="11" s="1"/>
  <c r="AY83" i="11"/>
  <c r="AY80" i="11"/>
  <c r="AY82" i="11"/>
  <c r="AY81" i="11"/>
  <c r="AY79" i="11"/>
  <c r="AZ74" i="11"/>
  <c r="AZ75" i="11"/>
  <c r="AZ73" i="11"/>
  <c r="AX84" i="11"/>
  <c r="I60" i="11"/>
  <c r="AW115" i="11"/>
  <c r="AW117" i="11" s="1"/>
  <c r="AW127" i="11"/>
  <c r="AW129" i="11" s="1"/>
  <c r="AW105" i="11"/>
  <c r="AW108" i="11" s="1"/>
  <c r="AW95" i="11"/>
  <c r="AW98" i="11" s="1"/>
  <c r="AV190" i="11"/>
  <c r="AM8" i="11"/>
  <c r="AM179" i="11" s="1"/>
  <c r="AL180" i="11"/>
  <c r="AV191" i="11"/>
  <c r="E60" i="13"/>
  <c r="F59" i="13"/>
  <c r="G59" i="13"/>
  <c r="H59" i="13"/>
  <c r="I59" i="13"/>
  <c r="J59" i="13"/>
  <c r="K59" i="13"/>
  <c r="L59" i="13"/>
  <c r="M59" i="13"/>
  <c r="N59" i="13"/>
  <c r="O59" i="13"/>
  <c r="P59" i="13"/>
  <c r="Q59" i="13"/>
  <c r="R59" i="13"/>
  <c r="S59" i="13"/>
  <c r="T59" i="13"/>
  <c r="U59" i="13"/>
  <c r="V59" i="13"/>
  <c r="W59" i="13"/>
  <c r="X59" i="13"/>
  <c r="Y59" i="13"/>
  <c r="Z59" i="13"/>
  <c r="AA59" i="13"/>
  <c r="AB59" i="13"/>
  <c r="AC59" i="13"/>
  <c r="AD59" i="13"/>
  <c r="AE59" i="13"/>
  <c r="AF59" i="13"/>
  <c r="AG59" i="13"/>
  <c r="AH59" i="13"/>
  <c r="AI59" i="13"/>
  <c r="AJ59" i="13"/>
  <c r="AK59" i="13"/>
  <c r="V11" i="17"/>
  <c r="U187" i="20"/>
  <c r="X188" i="20"/>
  <c r="BF976" i="20"/>
  <c r="BG901" i="20"/>
  <c r="AO99" i="18"/>
  <c r="AO102" i="18"/>
  <c r="AA10" i="17" s="1"/>
  <c r="AO103" i="18"/>
  <c r="AA12" i="17" s="1"/>
  <c r="AQ99" i="18"/>
  <c r="AQ103" i="18"/>
  <c r="AC12" i="17" s="1"/>
  <c r="AQ102" i="18"/>
  <c r="AP99" i="18"/>
  <c r="AP103" i="18"/>
  <c r="AB12" i="17" s="1"/>
  <c r="AP102" i="18"/>
  <c r="AB10" i="17" s="1"/>
  <c r="BG964" i="20"/>
  <c r="BG970" i="20"/>
  <c r="BH889" i="20"/>
  <c r="BH895" i="20"/>
  <c r="BG982" i="20"/>
  <c r="W179" i="20" s="1"/>
  <c r="BG987" i="20"/>
  <c r="W184" i="20" s="1"/>
  <c r="BG989" i="20"/>
  <c r="W186" i="20" s="1"/>
  <c r="BG988" i="20"/>
  <c r="W185" i="20" s="1"/>
  <c r="BG981" i="20"/>
  <c r="W178" i="20" s="1"/>
  <c r="BG986" i="20"/>
  <c r="W183" i="20" s="1"/>
  <c r="BF876" i="20"/>
  <c r="BG864" i="20"/>
  <c r="BG870" i="20"/>
  <c r="BG983" i="20"/>
  <c r="W180" i="20" s="1"/>
  <c r="BF991" i="20"/>
  <c r="BG985" i="20"/>
  <c r="W182" i="20" s="1"/>
  <c r="BG984" i="20"/>
  <c r="W181" i="20" s="1"/>
  <c r="BI930" i="20"/>
  <c r="BI855" i="20"/>
  <c r="BI230" i="20"/>
  <c r="BI990" i="20" s="1"/>
  <c r="I1" i="10"/>
  <c r="J1" i="10" s="1"/>
  <c r="K1" i="10" s="1"/>
  <c r="L1" i="10" s="1"/>
  <c r="M1" i="10" s="1"/>
  <c r="N1" i="10" s="1"/>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N94" i="18"/>
  <c r="AR94" i="18"/>
  <c r="U94" i="18"/>
  <c r="AG94" i="18"/>
  <c r="BI880" i="20"/>
  <c r="BI905" i="20"/>
  <c r="BI754" i="20"/>
  <c r="BI776" i="20"/>
  <c r="BI891" i="20" s="1"/>
  <c r="BI765" i="20"/>
  <c r="BI890" i="20" s="1"/>
  <c r="BG857" i="20"/>
  <c r="BJ275" i="20"/>
  <c r="BJ283" i="20" s="1"/>
  <c r="BI283" i="20"/>
  <c r="AF94" i="18"/>
  <c r="AB94" i="18"/>
  <c r="AD94" i="18"/>
  <c r="Z94" i="18"/>
  <c r="Y94" i="18"/>
  <c r="AI94" i="18"/>
  <c r="AL94" i="18"/>
  <c r="X94" i="18"/>
  <c r="AC94" i="18"/>
  <c r="W94" i="18"/>
  <c r="V94" i="18"/>
  <c r="AH94" i="18"/>
  <c r="AK94" i="18"/>
  <c r="AE94" i="18"/>
  <c r="AJ94" i="18"/>
  <c r="AM94" i="18"/>
  <c r="AA94" i="18"/>
  <c r="T94" i="18"/>
  <c r="BJ799" i="20"/>
  <c r="BH829" i="20"/>
  <c r="BH784" i="20"/>
  <c r="BH869" i="20" s="1"/>
  <c r="BI732" i="20"/>
  <c r="BH740" i="20"/>
  <c r="BH865" i="20" s="1"/>
  <c r="BH773" i="20"/>
  <c r="BH868" i="20" s="1"/>
  <c r="BI788" i="20"/>
  <c r="BH796" i="20"/>
  <c r="BH751" i="20"/>
  <c r="BH866" i="20" s="1"/>
  <c r="BH840" i="20"/>
  <c r="BH965" i="20" s="1"/>
  <c r="BH818" i="20"/>
  <c r="BI721" i="20"/>
  <c r="BH729" i="20"/>
  <c r="BH762" i="20"/>
  <c r="BH867" i="20" s="1"/>
  <c r="BH851" i="20"/>
  <c r="BH966" i="20" s="1"/>
  <c r="BH807" i="20"/>
  <c r="BH623" i="20"/>
  <c r="BH678" i="20"/>
  <c r="BH645" i="20"/>
  <c r="BH656" i="20"/>
  <c r="BH958" i="20" s="1"/>
  <c r="BH667" i="20"/>
  <c r="BH959" i="20" s="1"/>
  <c r="BH634" i="20"/>
  <c r="BH567" i="20"/>
  <c r="BI559" i="20"/>
  <c r="BI884" i="20" s="1"/>
  <c r="BI969" i="20" s="1"/>
  <c r="BI537" i="20"/>
  <c r="BH545" i="20"/>
  <c r="BH578" i="20"/>
  <c r="BI570" i="20"/>
  <c r="BH534" i="20"/>
  <c r="BH859" i="20" s="1"/>
  <c r="BH944" i="20" s="1"/>
  <c r="BH951" i="20" s="1"/>
  <c r="BH556" i="20"/>
  <c r="BI548" i="20"/>
  <c r="BI883" i="20" s="1"/>
  <c r="BI523" i="20"/>
  <c r="BI858" i="20" s="1"/>
  <c r="BI444" i="20"/>
  <c r="BH452" i="20"/>
  <c r="BH472" i="20"/>
  <c r="BI464" i="20"/>
  <c r="BH462" i="20"/>
  <c r="BI454" i="20"/>
  <c r="BH442" i="20"/>
  <c r="BI434" i="20"/>
  <c r="BH432" i="20"/>
  <c r="BH907" i="20" s="1"/>
  <c r="BH926" i="20" s="1"/>
  <c r="BI424" i="20"/>
  <c r="BI414" i="20"/>
  <c r="BH422" i="20"/>
  <c r="BH335" i="20"/>
  <c r="BI327" i="20"/>
  <c r="BI347" i="20"/>
  <c r="BH355" i="20"/>
  <c r="BH345" i="20"/>
  <c r="BI337" i="20"/>
  <c r="BI307" i="20"/>
  <c r="BH315" i="20"/>
  <c r="BI297" i="20"/>
  <c r="BH305" i="20"/>
  <c r="BH325" i="20"/>
  <c r="BI317" i="20"/>
  <c r="BI412" i="20"/>
  <c r="BI392" i="20"/>
  <c r="BH382" i="20"/>
  <c r="BI402" i="20"/>
  <c r="BJ273" i="20"/>
  <c r="BJ293" i="20"/>
  <c r="BI263" i="20"/>
  <c r="BI856" i="20" s="1"/>
  <c r="BJ143" i="20"/>
  <c r="BJ151" i="20" s="1"/>
  <c r="BJ224" i="20" s="1"/>
  <c r="BJ156" i="20"/>
  <c r="BJ164" i="20" s="1"/>
  <c r="BJ225" i="20" s="1"/>
  <c r="BJ195" i="20"/>
  <c r="BJ203" i="20" s="1"/>
  <c r="BJ228" i="20" s="1"/>
  <c r="BJ169" i="20"/>
  <c r="BJ177" i="20" s="1"/>
  <c r="BJ226" i="20" s="1"/>
  <c r="BJ182" i="20"/>
  <c r="BJ190" i="20" s="1"/>
  <c r="BJ227" i="20" s="1"/>
  <c r="BJ208" i="20"/>
  <c r="BJ216" i="20" s="1"/>
  <c r="BJ229" i="20" s="1"/>
  <c r="BJ99" i="20"/>
  <c r="BJ107" i="20" s="1"/>
  <c r="BJ223" i="20" s="1"/>
  <c r="BJ79" i="20"/>
  <c r="BJ87" i="20" s="1"/>
  <c r="BJ222" i="20" s="1"/>
  <c r="BJ43" i="20"/>
  <c r="BJ51" i="20" s="1"/>
  <c r="BJ220" i="20" s="1"/>
  <c r="BJ61" i="20"/>
  <c r="BJ69" i="20" s="1"/>
  <c r="BJ221" i="20" s="1"/>
  <c r="BK5" i="20"/>
  <c r="AV41" i="11"/>
  <c r="AV43" i="11"/>
  <c r="AV42" i="11"/>
  <c r="AV44" i="11"/>
  <c r="AV40" i="11"/>
  <c r="AW585" i="11"/>
  <c r="AW35" i="11"/>
  <c r="AW36" i="11"/>
  <c r="AX5" i="11"/>
  <c r="AW34" i="11"/>
  <c r="AU45" i="11"/>
  <c r="AA61" i="18"/>
  <c r="AA95" i="18" s="1"/>
  <c r="X61" i="18"/>
  <c r="X95" i="18" s="1"/>
  <c r="U61" i="18"/>
  <c r="U95" i="18" s="1"/>
  <c r="R61" i="18"/>
  <c r="R95" i="18" s="1"/>
  <c r="AD61" i="18"/>
  <c r="AD95" i="18" s="1"/>
  <c r="AE61" i="18"/>
  <c r="AE95" i="18" s="1"/>
  <c r="AB61" i="18"/>
  <c r="AB95" i="18" s="1"/>
  <c r="Y61" i="18"/>
  <c r="Y95" i="18" s="1"/>
  <c r="AH61" i="18"/>
  <c r="AH95" i="18" s="1"/>
  <c r="Z61" i="18"/>
  <c r="Z95" i="18" s="1"/>
  <c r="S61" i="18"/>
  <c r="S95" i="18" s="1"/>
  <c r="AI61" i="18"/>
  <c r="AI95" i="18" s="1"/>
  <c r="AF61" i="18"/>
  <c r="AF95" i="18" s="1"/>
  <c r="AC61" i="18"/>
  <c r="AC95" i="18" s="1"/>
  <c r="Q61" i="18"/>
  <c r="Q95" i="18" s="1"/>
  <c r="W61" i="18"/>
  <c r="W95" i="18" s="1"/>
  <c r="T61" i="18"/>
  <c r="T95" i="18" s="1"/>
  <c r="AJ61" i="18"/>
  <c r="AJ95" i="18" s="1"/>
  <c r="AG61" i="18"/>
  <c r="AG95" i="18" s="1"/>
  <c r="V61" i="18"/>
  <c r="V95" i="18" s="1"/>
  <c r="AC34" i="18"/>
  <c r="N62" i="18"/>
  <c r="AH24" i="11"/>
  <c r="AG28" i="11"/>
  <c r="AG39" i="11" s="1"/>
  <c r="AQ14" i="18"/>
  <c r="AQ10" i="18"/>
  <c r="AP16" i="18"/>
  <c r="AQ12" i="18"/>
  <c r="AR11" i="18"/>
  <c r="AR15" i="18"/>
  <c r="AQ13" i="18"/>
  <c r="O14" i="16"/>
  <c r="P12" i="16"/>
  <c r="P27" i="16" s="1"/>
  <c r="Y331" i="11"/>
  <c r="Y226" i="11"/>
  <c r="Y202" i="11"/>
  <c r="Y203" i="11"/>
  <c r="AC235" i="11"/>
  <c r="AB241" i="11"/>
  <c r="AB240" i="11"/>
  <c r="AB242" i="11"/>
  <c r="AB238" i="11"/>
  <c r="AB237" i="11"/>
  <c r="AB236" i="11"/>
  <c r="AC239" i="11"/>
  <c r="Z200" i="11"/>
  <c r="X25" i="11"/>
  <c r="X48" i="11" s="1"/>
  <c r="W21" i="11"/>
  <c r="Z21" i="11"/>
  <c r="X112" i="11" s="1"/>
  <c r="Y21" i="11"/>
  <c r="AB21" i="11"/>
  <c r="X136" i="11" s="1"/>
  <c r="X21" i="11"/>
  <c r="AC21" i="11"/>
  <c r="X167" i="11" s="1"/>
  <c r="AA21" i="11"/>
  <c r="X124" i="11" s="1"/>
  <c r="X132" i="11" s="1"/>
  <c r="AW303" i="11" l="1"/>
  <c r="AW302" i="11"/>
  <c r="AW304" i="11"/>
  <c r="AW300" i="11"/>
  <c r="AW320" i="11" s="1"/>
  <c r="AW301" i="11"/>
  <c r="AZ567" i="11"/>
  <c r="AZ568" i="11"/>
  <c r="AZ565" i="11"/>
  <c r="AZ564" i="11"/>
  <c r="AZ566" i="11"/>
  <c r="AW460" i="11"/>
  <c r="AW461" i="11"/>
  <c r="AW462" i="11"/>
  <c r="AW464" i="11"/>
  <c r="AW463" i="11"/>
  <c r="Y332" i="11"/>
  <c r="AV497" i="11"/>
  <c r="AV536" i="11" s="1"/>
  <c r="AX489" i="11"/>
  <c r="AW533" i="11"/>
  <c r="AX514" i="11"/>
  <c r="AW542" i="11"/>
  <c r="AX523" i="11"/>
  <c r="AW545" i="11"/>
  <c r="AX495" i="11"/>
  <c r="AW535" i="11"/>
  <c r="AX508" i="11"/>
  <c r="AW540" i="11"/>
  <c r="AW546" i="11"/>
  <c r="AX526" i="11"/>
  <c r="AW537" i="11"/>
  <c r="AX500" i="11"/>
  <c r="AW529" i="11"/>
  <c r="AW497" i="11" s="1"/>
  <c r="AV547" i="11"/>
  <c r="AX517" i="11"/>
  <c r="AW543" i="11"/>
  <c r="AX492" i="11"/>
  <c r="AW534" i="11"/>
  <c r="AX520" i="11"/>
  <c r="AW544" i="11"/>
  <c r="AX429" i="11"/>
  <c r="AW442" i="11"/>
  <c r="AX432" i="11"/>
  <c r="AW444" i="11"/>
  <c r="AX426" i="11"/>
  <c r="AX441" i="11" s="1"/>
  <c r="AW437" i="11"/>
  <c r="AW443" i="11" s="1"/>
  <c r="AZ79" i="11"/>
  <c r="AZ82" i="11"/>
  <c r="AZ83" i="11"/>
  <c r="AZ80" i="11"/>
  <c r="AZ81" i="11"/>
  <c r="BA75" i="11"/>
  <c r="BA73" i="11"/>
  <c r="BA74" i="11"/>
  <c r="AY84" i="11"/>
  <c r="I61" i="11"/>
  <c r="Y136" i="11"/>
  <c r="Y163" i="11" s="1"/>
  <c r="Y183" i="11" s="1"/>
  <c r="X163" i="11"/>
  <c r="AX115" i="11"/>
  <c r="AX117" i="11" s="1"/>
  <c r="AX127" i="11"/>
  <c r="AX129" i="11" s="1"/>
  <c r="Y124" i="11"/>
  <c r="Y132" i="11" s="1"/>
  <c r="Y182" i="11" s="1"/>
  <c r="Y112" i="11"/>
  <c r="X120" i="11"/>
  <c r="Y264" i="11"/>
  <c r="Y271" i="11" s="1"/>
  <c r="Y252" i="11"/>
  <c r="AW190" i="11"/>
  <c r="AX105" i="11"/>
  <c r="AX108" i="11" s="1"/>
  <c r="AX95" i="11"/>
  <c r="AX98" i="11" s="1"/>
  <c r="AN8" i="11"/>
  <c r="AN179" i="11" s="1"/>
  <c r="AM180" i="11"/>
  <c r="AW191" i="11"/>
  <c r="E61" i="13"/>
  <c r="F60" i="13"/>
  <c r="G60" i="13"/>
  <c r="H60" i="13"/>
  <c r="I60" i="13"/>
  <c r="J60" i="13"/>
  <c r="K60" i="13"/>
  <c r="L60" i="13"/>
  <c r="M60" i="13"/>
  <c r="N60" i="13"/>
  <c r="O60" i="13"/>
  <c r="P60" i="13"/>
  <c r="Q60" i="13"/>
  <c r="R60" i="13"/>
  <c r="S60" i="13"/>
  <c r="T60" i="13"/>
  <c r="U60" i="13"/>
  <c r="V60" i="13"/>
  <c r="W60" i="13"/>
  <c r="X60" i="13"/>
  <c r="Y60" i="13"/>
  <c r="Z60" i="13"/>
  <c r="AA60" i="13"/>
  <c r="AB60" i="13"/>
  <c r="AC60" i="13"/>
  <c r="AD60" i="13"/>
  <c r="AE60" i="13"/>
  <c r="AF60" i="13"/>
  <c r="AG60" i="13"/>
  <c r="AH60" i="13"/>
  <c r="AI60" i="13"/>
  <c r="AJ60" i="13"/>
  <c r="AK60" i="13"/>
  <c r="AL1" i="10"/>
  <c r="AM1" i="10" s="1"/>
  <c r="AN1" i="10" s="1"/>
  <c r="AO1" i="10" s="1"/>
  <c r="AP1" i="10" s="1"/>
  <c r="AQ1" i="10" s="1"/>
  <c r="AR1" i="10" s="1"/>
  <c r="AS1" i="10" s="1"/>
  <c r="Y167" i="11"/>
  <c r="X173" i="11"/>
  <c r="Y188" i="20"/>
  <c r="W11" i="17"/>
  <c r="V187" i="20"/>
  <c r="BH901" i="20"/>
  <c r="BG976" i="20"/>
  <c r="AQ104" i="18"/>
  <c r="AC10" i="17"/>
  <c r="AO104" i="18"/>
  <c r="AP104" i="18"/>
  <c r="AN99" i="18"/>
  <c r="AN103" i="18"/>
  <c r="Z12" i="17" s="1"/>
  <c r="AN102" i="18"/>
  <c r="Z10" i="17" s="1"/>
  <c r="AR99" i="18"/>
  <c r="AR102" i="18"/>
  <c r="AD10" i="17" s="1"/>
  <c r="AR103" i="18"/>
  <c r="AD12" i="17" s="1"/>
  <c r="BH964" i="20"/>
  <c r="BH970" i="20"/>
  <c r="BI889" i="20"/>
  <c r="BI895" i="20"/>
  <c r="BH988" i="20"/>
  <c r="X185" i="20" s="1"/>
  <c r="BH985" i="20"/>
  <c r="X182" i="20" s="1"/>
  <c r="BH989" i="20"/>
  <c r="X186" i="20" s="1"/>
  <c r="BH986" i="20"/>
  <c r="X183" i="20" s="1"/>
  <c r="BH983" i="20"/>
  <c r="X180" i="20" s="1"/>
  <c r="BG876" i="20"/>
  <c r="BH864" i="20"/>
  <c r="BH870" i="20"/>
  <c r="BH981" i="20"/>
  <c r="X178" i="20" s="1"/>
  <c r="BH982" i="20"/>
  <c r="X179" i="20" s="1"/>
  <c r="BG991" i="20"/>
  <c r="BH980" i="20"/>
  <c r="X177" i="20" s="1"/>
  <c r="BH987" i="20"/>
  <c r="X184" i="20" s="1"/>
  <c r="BH984" i="20"/>
  <c r="X181" i="20" s="1"/>
  <c r="BJ930" i="20"/>
  <c r="BJ855" i="20"/>
  <c r="BJ230" i="20"/>
  <c r="BJ990" i="20" s="1"/>
  <c r="BJ880" i="20"/>
  <c r="BJ905" i="20"/>
  <c r="BJ765" i="20"/>
  <c r="BJ890" i="20" s="1"/>
  <c r="BJ776" i="20"/>
  <c r="BJ891" i="20" s="1"/>
  <c r="BJ754" i="20"/>
  <c r="BH857" i="20"/>
  <c r="BK275" i="20"/>
  <c r="BK283" i="20" s="1"/>
  <c r="BK799" i="20"/>
  <c r="BI751" i="20"/>
  <c r="BI866" i="20" s="1"/>
  <c r="BI818" i="20"/>
  <c r="BI773" i="20"/>
  <c r="BI868" i="20" s="1"/>
  <c r="BI807" i="20"/>
  <c r="BI851" i="20"/>
  <c r="BI966" i="20" s="1"/>
  <c r="BI840" i="20"/>
  <c r="BI965" i="20" s="1"/>
  <c r="BI829" i="20"/>
  <c r="BI762" i="20"/>
  <c r="BI867" i="20" s="1"/>
  <c r="BI784" i="20"/>
  <c r="BI869" i="20" s="1"/>
  <c r="BJ721" i="20"/>
  <c r="BI729" i="20"/>
  <c r="BJ788" i="20"/>
  <c r="BI796" i="20"/>
  <c r="BJ732" i="20"/>
  <c r="BI740" i="20"/>
  <c r="BI865" i="20" s="1"/>
  <c r="BI656" i="20"/>
  <c r="BI958" i="20" s="1"/>
  <c r="BI678" i="20"/>
  <c r="BI634" i="20"/>
  <c r="BI667" i="20"/>
  <c r="BI959" i="20" s="1"/>
  <c r="BI623" i="20"/>
  <c r="BI645" i="20"/>
  <c r="BI534" i="20"/>
  <c r="BI859" i="20" s="1"/>
  <c r="BI944" i="20" s="1"/>
  <c r="BI951" i="20" s="1"/>
  <c r="BJ537" i="20"/>
  <c r="BI545" i="20"/>
  <c r="BI556" i="20"/>
  <c r="BJ548" i="20"/>
  <c r="BJ883" i="20" s="1"/>
  <c r="BJ570" i="20"/>
  <c r="BI578" i="20"/>
  <c r="BI567" i="20"/>
  <c r="BJ559" i="20"/>
  <c r="BJ884" i="20" s="1"/>
  <c r="BJ969" i="20" s="1"/>
  <c r="BJ523" i="20"/>
  <c r="BJ858" i="20" s="1"/>
  <c r="BI442" i="20"/>
  <c r="BJ434" i="20"/>
  <c r="BJ414" i="20"/>
  <c r="BI422" i="20"/>
  <c r="BI472" i="20"/>
  <c r="BJ464" i="20"/>
  <c r="BI432" i="20"/>
  <c r="BI907" i="20" s="1"/>
  <c r="BI926" i="20" s="1"/>
  <c r="BJ424" i="20"/>
  <c r="BI462" i="20"/>
  <c r="BJ454" i="20"/>
  <c r="BJ444" i="20"/>
  <c r="BI452" i="20"/>
  <c r="BI325" i="20"/>
  <c r="BJ317" i="20"/>
  <c r="BI345" i="20"/>
  <c r="BJ337" i="20"/>
  <c r="BJ327" i="20"/>
  <c r="BI335" i="20"/>
  <c r="BJ307" i="20"/>
  <c r="BI315" i="20"/>
  <c r="BJ347" i="20"/>
  <c r="BI355" i="20"/>
  <c r="BJ297" i="20"/>
  <c r="BI305" i="20"/>
  <c r="BJ402" i="20"/>
  <c r="BJ392" i="20"/>
  <c r="BI382" i="20"/>
  <c r="BI980" i="20" s="1"/>
  <c r="Y177" i="20" s="1"/>
  <c r="BJ412" i="20"/>
  <c r="BK293" i="20"/>
  <c r="BK273" i="20"/>
  <c r="BJ263" i="20"/>
  <c r="BJ856" i="20" s="1"/>
  <c r="BK143" i="20"/>
  <c r="BK151" i="20" s="1"/>
  <c r="BK224" i="20" s="1"/>
  <c r="BK195" i="20"/>
  <c r="BK203" i="20" s="1"/>
  <c r="BK228" i="20" s="1"/>
  <c r="BK156" i="20"/>
  <c r="BK164" i="20" s="1"/>
  <c r="BK225" i="20" s="1"/>
  <c r="BK169" i="20"/>
  <c r="BK177" i="20" s="1"/>
  <c r="BK226" i="20" s="1"/>
  <c r="BK208" i="20"/>
  <c r="BK216" i="20" s="1"/>
  <c r="BK229" i="20" s="1"/>
  <c r="BK182" i="20"/>
  <c r="BK190" i="20" s="1"/>
  <c r="BK227" i="20" s="1"/>
  <c r="BK99" i="20"/>
  <c r="BK107" i="20" s="1"/>
  <c r="BK223" i="20" s="1"/>
  <c r="BK79" i="20"/>
  <c r="BK87" i="20" s="1"/>
  <c r="BK222" i="20" s="1"/>
  <c r="BK43" i="20"/>
  <c r="BK51" i="20" s="1"/>
  <c r="BK220" i="20" s="1"/>
  <c r="BK61" i="20"/>
  <c r="BK69" i="20" s="1"/>
  <c r="BK221" i="20" s="1"/>
  <c r="BL5" i="20"/>
  <c r="AW44" i="11"/>
  <c r="AW40" i="11"/>
  <c r="AW41" i="11"/>
  <c r="AW43" i="11"/>
  <c r="AW42" i="11"/>
  <c r="AX585" i="11"/>
  <c r="AX34" i="11"/>
  <c r="AY5" i="11"/>
  <c r="AX35" i="11"/>
  <c r="AX36" i="11"/>
  <c r="AV45" i="11"/>
  <c r="X52" i="11"/>
  <c r="X87" i="11" s="1"/>
  <c r="Y25" i="11"/>
  <c r="T62" i="18"/>
  <c r="T96" i="18" s="1"/>
  <c r="AJ62" i="18"/>
  <c r="AJ96" i="18" s="1"/>
  <c r="AC62" i="18"/>
  <c r="AC96" i="18" s="1"/>
  <c r="Z62" i="18"/>
  <c r="Z96" i="18" s="1"/>
  <c r="S62" i="18"/>
  <c r="S96" i="18" s="1"/>
  <c r="X62" i="18"/>
  <c r="X96" i="18" s="1"/>
  <c r="Q62" i="18"/>
  <c r="Q96" i="18" s="1"/>
  <c r="AG62" i="18"/>
  <c r="AG96" i="18" s="1"/>
  <c r="AD62" i="18"/>
  <c r="AD96" i="18" s="1"/>
  <c r="AI62" i="18"/>
  <c r="AI96" i="18" s="1"/>
  <c r="AB62" i="18"/>
  <c r="AB96" i="18" s="1"/>
  <c r="U62" i="18"/>
  <c r="U96" i="18" s="1"/>
  <c r="R62" i="18"/>
  <c r="R96" i="18" s="1"/>
  <c r="AH62" i="18"/>
  <c r="AH96" i="18" s="1"/>
  <c r="W62" i="18"/>
  <c r="W96" i="18" s="1"/>
  <c r="AF62" i="18"/>
  <c r="AF96" i="18" s="1"/>
  <c r="Y62" i="18"/>
  <c r="Y96" i="18" s="1"/>
  <c r="V62" i="18"/>
  <c r="V96" i="18" s="1"/>
  <c r="AE62" i="18"/>
  <c r="AE96" i="18" s="1"/>
  <c r="AA62" i="18"/>
  <c r="AA96" i="18" s="1"/>
  <c r="N63" i="18"/>
  <c r="AD34" i="18"/>
  <c r="Y387" i="11"/>
  <c r="Y340" i="11"/>
  <c r="AI24" i="11"/>
  <c r="AH28" i="11"/>
  <c r="AH39" i="11" s="1"/>
  <c r="AR13" i="18"/>
  <c r="AS11" i="18"/>
  <c r="AR14" i="18"/>
  <c r="AR10" i="18"/>
  <c r="AQ16" i="18"/>
  <c r="AS15" i="18"/>
  <c r="AR12" i="18"/>
  <c r="P14" i="16"/>
  <c r="Q12" i="16"/>
  <c r="Q27" i="16" s="1"/>
  <c r="Y333" i="11"/>
  <c r="Y347" i="11" s="1"/>
  <c r="Y356" i="11"/>
  <c r="Z226" i="11"/>
  <c r="Z331" i="11"/>
  <c r="Z203" i="11"/>
  <c r="Z202" i="11"/>
  <c r="Y204" i="11"/>
  <c r="AC242" i="11"/>
  <c r="AD239" i="11"/>
  <c r="AC237" i="11"/>
  <c r="AC241" i="11"/>
  <c r="AC236" i="11"/>
  <c r="AC238" i="11"/>
  <c r="AC240" i="11"/>
  <c r="AD235" i="11"/>
  <c r="Z232" i="11"/>
  <c r="AA232" i="11" s="1"/>
  <c r="AB232" i="11" s="1"/>
  <c r="AC232" i="11" s="1"/>
  <c r="AD232" i="11" s="1"/>
  <c r="AE232" i="11" s="1"/>
  <c r="AF232" i="11" s="1"/>
  <c r="AG232" i="11" s="1"/>
  <c r="AH232" i="11" s="1"/>
  <c r="AI232" i="11" s="1"/>
  <c r="AJ232" i="11" s="1"/>
  <c r="AK232" i="11" s="1"/>
  <c r="AL232" i="11" s="1"/>
  <c r="AM232" i="11" s="1"/>
  <c r="AN232" i="11" s="1"/>
  <c r="AO232" i="11" s="1"/>
  <c r="AP232" i="11" s="1"/>
  <c r="AQ232" i="11" s="1"/>
  <c r="AR232" i="11" s="1"/>
  <c r="AS232" i="11" s="1"/>
  <c r="AT232" i="11" s="1"/>
  <c r="AU232" i="11" s="1"/>
  <c r="AV232" i="11" s="1"/>
  <c r="AW232" i="11" s="1"/>
  <c r="AX232" i="11" s="1"/>
  <c r="AY232" i="11" s="1"/>
  <c r="AZ232" i="11" s="1"/>
  <c r="BA232" i="11" s="1"/>
  <c r="Z230" i="11"/>
  <c r="AA230" i="11" s="1"/>
  <c r="AB230" i="11" s="1"/>
  <c r="AC230" i="11" s="1"/>
  <c r="AD230" i="11" s="1"/>
  <c r="AE230" i="11" s="1"/>
  <c r="AF230" i="11" s="1"/>
  <c r="AG230" i="11" s="1"/>
  <c r="AH230" i="11" s="1"/>
  <c r="AI230" i="11" s="1"/>
  <c r="AJ230" i="11" s="1"/>
  <c r="AK230" i="11" s="1"/>
  <c r="AL230" i="11" s="1"/>
  <c r="AM230" i="11" s="1"/>
  <c r="AN230" i="11" s="1"/>
  <c r="AO230" i="11" s="1"/>
  <c r="AP230" i="11" s="1"/>
  <c r="AQ230" i="11" s="1"/>
  <c r="AR230" i="11" s="1"/>
  <c r="AS230" i="11" s="1"/>
  <c r="AT230" i="11" s="1"/>
  <c r="AU230" i="11" s="1"/>
  <c r="AV230" i="11" s="1"/>
  <c r="AW230" i="11" s="1"/>
  <c r="AX230" i="11" s="1"/>
  <c r="AY230" i="11" s="1"/>
  <c r="AZ230" i="11" s="1"/>
  <c r="BA230" i="11" s="1"/>
  <c r="Z234" i="11"/>
  <c r="AA234" i="11" s="1"/>
  <c r="AB234" i="11" s="1"/>
  <c r="AC234" i="11" s="1"/>
  <c r="AD234" i="11" s="1"/>
  <c r="AE234" i="11" s="1"/>
  <c r="AF234" i="11" s="1"/>
  <c r="AG234" i="11" s="1"/>
  <c r="AH234" i="11" s="1"/>
  <c r="AI234" i="11" s="1"/>
  <c r="AJ234" i="11" s="1"/>
  <c r="AK234" i="11" s="1"/>
  <c r="AL234" i="11" s="1"/>
  <c r="AM234" i="11" s="1"/>
  <c r="AN234" i="11" s="1"/>
  <c r="AO234" i="11" s="1"/>
  <c r="AP234" i="11" s="1"/>
  <c r="AQ234" i="11" s="1"/>
  <c r="AR234" i="11" s="1"/>
  <c r="AS234" i="11" s="1"/>
  <c r="AT234" i="11" s="1"/>
  <c r="AU234" i="11" s="1"/>
  <c r="AV234" i="11" s="1"/>
  <c r="AW234" i="11" s="1"/>
  <c r="AX234" i="11" s="1"/>
  <c r="AY234" i="11" s="1"/>
  <c r="AZ234" i="11" s="1"/>
  <c r="BA234" i="11" s="1"/>
  <c r="Z231" i="11"/>
  <c r="AA231" i="11" s="1"/>
  <c r="AB231" i="11" s="1"/>
  <c r="AC231" i="11" s="1"/>
  <c r="AD231" i="11" s="1"/>
  <c r="AE231" i="11" s="1"/>
  <c r="AF231" i="11" s="1"/>
  <c r="AG231" i="11" s="1"/>
  <c r="AH231" i="11" s="1"/>
  <c r="AI231" i="11" s="1"/>
  <c r="AJ231" i="11" s="1"/>
  <c r="AK231" i="11" s="1"/>
  <c r="AL231" i="11" s="1"/>
  <c r="AM231" i="11" s="1"/>
  <c r="AN231" i="11" s="1"/>
  <c r="AO231" i="11" s="1"/>
  <c r="AP231" i="11" s="1"/>
  <c r="AQ231" i="11" s="1"/>
  <c r="AR231" i="11" s="1"/>
  <c r="AS231" i="11" s="1"/>
  <c r="AT231" i="11" s="1"/>
  <c r="AU231" i="11" s="1"/>
  <c r="AV231" i="11" s="1"/>
  <c r="AW231" i="11" s="1"/>
  <c r="AX231" i="11" s="1"/>
  <c r="AY231" i="11" s="1"/>
  <c r="AZ231" i="11" s="1"/>
  <c r="BA231" i="11" s="1"/>
  <c r="Z229" i="11"/>
  <c r="AA229" i="11" s="1"/>
  <c r="AB229" i="11" s="1"/>
  <c r="AC229" i="11" s="1"/>
  <c r="AD229" i="11" s="1"/>
  <c r="AE229" i="11" s="1"/>
  <c r="AF229" i="11" s="1"/>
  <c r="AG229" i="11" s="1"/>
  <c r="AH229" i="11" s="1"/>
  <c r="AI229" i="11" s="1"/>
  <c r="AJ229" i="11" s="1"/>
  <c r="AK229" i="11" s="1"/>
  <c r="AL229" i="11" s="1"/>
  <c r="AM229" i="11" s="1"/>
  <c r="AN229" i="11" s="1"/>
  <c r="AO229" i="11" s="1"/>
  <c r="AP229" i="11" s="1"/>
  <c r="AQ229" i="11" s="1"/>
  <c r="AR229" i="11" s="1"/>
  <c r="AS229" i="11" s="1"/>
  <c r="AT229" i="11" s="1"/>
  <c r="AU229" i="11" s="1"/>
  <c r="AV229" i="11" s="1"/>
  <c r="AW229" i="11" s="1"/>
  <c r="AX229" i="11" s="1"/>
  <c r="AY229" i="11" s="1"/>
  <c r="AZ229" i="11" s="1"/>
  <c r="BA229" i="11" s="1"/>
  <c r="Z228" i="11"/>
  <c r="AA228" i="11" s="1"/>
  <c r="AB228" i="11" s="1"/>
  <c r="AC228" i="11" s="1"/>
  <c r="AD228" i="11" s="1"/>
  <c r="AE228" i="11" s="1"/>
  <c r="AF228" i="11" s="1"/>
  <c r="AG228" i="11" s="1"/>
  <c r="AH228" i="11" s="1"/>
  <c r="AI228" i="11" s="1"/>
  <c r="AJ228" i="11" s="1"/>
  <c r="AK228" i="11" s="1"/>
  <c r="AL228" i="11" s="1"/>
  <c r="AM228" i="11" s="1"/>
  <c r="AN228" i="11" s="1"/>
  <c r="AO228" i="11" s="1"/>
  <c r="AP228" i="11" s="1"/>
  <c r="AQ228" i="11" s="1"/>
  <c r="AR228" i="11" s="1"/>
  <c r="AS228" i="11" s="1"/>
  <c r="AT228" i="11" s="1"/>
  <c r="AU228" i="11" s="1"/>
  <c r="AV228" i="11" s="1"/>
  <c r="AW228" i="11" s="1"/>
  <c r="AX228" i="11" s="1"/>
  <c r="AY228" i="11" s="1"/>
  <c r="AZ228" i="11" s="1"/>
  <c r="BA228" i="11" s="1"/>
  <c r="Z233" i="11"/>
  <c r="AA233" i="11" s="1"/>
  <c r="AB233" i="11" s="1"/>
  <c r="AC233" i="11" s="1"/>
  <c r="AD233" i="11" s="1"/>
  <c r="AE233" i="11" s="1"/>
  <c r="AF233" i="11" s="1"/>
  <c r="AG233" i="11" s="1"/>
  <c r="AH233" i="11" s="1"/>
  <c r="AI233" i="11" s="1"/>
  <c r="AJ233" i="11" s="1"/>
  <c r="AK233" i="11" s="1"/>
  <c r="AL233" i="11" s="1"/>
  <c r="AM233" i="11" s="1"/>
  <c r="AN233" i="11" s="1"/>
  <c r="AO233" i="11" s="1"/>
  <c r="AP233" i="11" s="1"/>
  <c r="AQ233" i="11" s="1"/>
  <c r="AR233" i="11" s="1"/>
  <c r="AS233" i="11" s="1"/>
  <c r="AT233" i="11" s="1"/>
  <c r="AU233" i="11" s="1"/>
  <c r="AV233" i="11" s="1"/>
  <c r="AW233" i="11" s="1"/>
  <c r="AX233" i="11" s="1"/>
  <c r="AY233" i="11" s="1"/>
  <c r="AZ233" i="11" s="1"/>
  <c r="BA233" i="11" s="1"/>
  <c r="Z227" i="11"/>
  <c r="AA227" i="11" s="1"/>
  <c r="AB227" i="11" s="1"/>
  <c r="AC227" i="11" s="1"/>
  <c r="AD227" i="11" s="1"/>
  <c r="AE227" i="11" s="1"/>
  <c r="AF227" i="11" s="1"/>
  <c r="AG227" i="11" s="1"/>
  <c r="AH227" i="11" s="1"/>
  <c r="AI227" i="11" s="1"/>
  <c r="AJ227" i="11" s="1"/>
  <c r="AK227" i="11" s="1"/>
  <c r="AL227" i="11" s="1"/>
  <c r="AM227" i="11" s="1"/>
  <c r="AN227" i="11" s="1"/>
  <c r="AO227" i="11" s="1"/>
  <c r="AP227" i="11" s="1"/>
  <c r="AQ227" i="11" s="1"/>
  <c r="AR227" i="11" s="1"/>
  <c r="AS227" i="11" s="1"/>
  <c r="AT227" i="11" s="1"/>
  <c r="AU227" i="11" s="1"/>
  <c r="AV227" i="11" s="1"/>
  <c r="AW227" i="11" s="1"/>
  <c r="AX227" i="11" s="1"/>
  <c r="AY227" i="11" s="1"/>
  <c r="AZ227" i="11" s="1"/>
  <c r="BA227" i="11" s="1"/>
  <c r="AA200" i="11"/>
  <c r="AX304" i="11" l="1"/>
  <c r="AX302" i="11"/>
  <c r="AX301" i="11"/>
  <c r="AX303" i="11"/>
  <c r="AX300" i="11"/>
  <c r="AX320" i="11" s="1"/>
  <c r="Y48" i="11"/>
  <c r="BA566" i="11"/>
  <c r="BA568" i="11"/>
  <c r="BA565" i="11"/>
  <c r="BA564" i="11"/>
  <c r="BA567" i="11"/>
  <c r="AV530" i="11"/>
  <c r="AX460" i="11"/>
  <c r="AX461" i="11"/>
  <c r="AX462" i="11"/>
  <c r="AX463" i="11"/>
  <c r="AX464" i="11"/>
  <c r="AY517" i="11"/>
  <c r="AX543" i="11"/>
  <c r="AY514" i="11"/>
  <c r="AX542" i="11"/>
  <c r="AY520" i="11"/>
  <c r="AX544" i="11"/>
  <c r="AX546" i="11"/>
  <c r="AY526" i="11"/>
  <c r="AW536" i="11"/>
  <c r="AY489" i="11"/>
  <c r="AX533" i="11"/>
  <c r="AY492" i="11"/>
  <c r="AX534" i="11"/>
  <c r="AX529" i="11"/>
  <c r="AX497" i="11" s="1"/>
  <c r="AX536" i="11" s="1"/>
  <c r="AW547" i="11"/>
  <c r="AY523" i="11"/>
  <c r="AX545" i="11"/>
  <c r="AW505" i="11"/>
  <c r="AW539" i="11" s="1"/>
  <c r="AY508" i="11"/>
  <c r="AX540" i="11"/>
  <c r="AY495" i="11"/>
  <c r="AX535" i="11"/>
  <c r="AX537" i="11"/>
  <c r="AY500" i="11"/>
  <c r="AY432" i="11"/>
  <c r="AX444" i="11"/>
  <c r="AY429" i="11"/>
  <c r="AX442" i="11"/>
  <c r="Y367" i="11"/>
  <c r="Y364" i="11"/>
  <c r="Y358" i="11"/>
  <c r="Y361" i="11"/>
  <c r="Z297" i="11"/>
  <c r="Z298" i="11"/>
  <c r="Z299" i="11"/>
  <c r="Z295" i="11"/>
  <c r="Z296" i="11"/>
  <c r="AY426" i="11"/>
  <c r="AY441" i="11" s="1"/>
  <c r="AX437" i="11"/>
  <c r="AX443" i="11" s="1"/>
  <c r="C19" i="17"/>
  <c r="Y245" i="11"/>
  <c r="Y249" i="11"/>
  <c r="Y260" i="11" s="1"/>
  <c r="Y246" i="11"/>
  <c r="Y250" i="11"/>
  <c r="Y261" i="11" s="1"/>
  <c r="Y283" i="11" s="1"/>
  <c r="Y247" i="11"/>
  <c r="Y243" i="11"/>
  <c r="Y244" i="11"/>
  <c r="Y255" i="11" s="1"/>
  <c r="Y248" i="11"/>
  <c r="Y259" i="11" s="1"/>
  <c r="BA81" i="11"/>
  <c r="BA80" i="11"/>
  <c r="BA82" i="11"/>
  <c r="BA79" i="11"/>
  <c r="BA83" i="11"/>
  <c r="AZ84" i="11"/>
  <c r="AT1" i="10"/>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I62" i="11"/>
  <c r="Z136" i="11"/>
  <c r="AA136" i="11" s="1"/>
  <c r="AY115" i="11"/>
  <c r="AY117" i="11" s="1"/>
  <c r="AY127" i="11"/>
  <c r="AY129" i="11" s="1"/>
  <c r="Z124" i="11"/>
  <c r="Z132" i="11" s="1"/>
  <c r="Z182" i="11" s="1"/>
  <c r="Y120" i="11"/>
  <c r="Y181" i="11" s="1"/>
  <c r="Z112" i="11"/>
  <c r="Z264" i="11"/>
  <c r="Z271" i="11" s="1"/>
  <c r="Z252" i="11"/>
  <c r="AY105" i="11"/>
  <c r="AY108" i="11" s="1"/>
  <c r="AY95" i="11"/>
  <c r="AY98" i="11" s="1"/>
  <c r="AX190" i="11"/>
  <c r="Y177" i="11"/>
  <c r="Y188" i="11"/>
  <c r="AN180" i="11"/>
  <c r="AO8" i="11"/>
  <c r="AO179" i="11" s="1"/>
  <c r="AX191" i="11"/>
  <c r="E62" i="13"/>
  <c r="F61" i="13"/>
  <c r="G61" i="13"/>
  <c r="H61" i="13"/>
  <c r="I61" i="13"/>
  <c r="J61" i="13"/>
  <c r="K61" i="13"/>
  <c r="L61" i="13"/>
  <c r="M61" i="13"/>
  <c r="N61" i="13"/>
  <c r="O61" i="13"/>
  <c r="P61" i="13"/>
  <c r="Q61" i="13"/>
  <c r="R61" i="13"/>
  <c r="S61" i="13"/>
  <c r="T61" i="13"/>
  <c r="U61" i="13"/>
  <c r="V61" i="13"/>
  <c r="W61" i="13"/>
  <c r="X61" i="13"/>
  <c r="Y61" i="13"/>
  <c r="Z61" i="13"/>
  <c r="AA61" i="13"/>
  <c r="AB61" i="13"/>
  <c r="AC61" i="13"/>
  <c r="AD61" i="13"/>
  <c r="AE61" i="13"/>
  <c r="AF61" i="13"/>
  <c r="AG61" i="13"/>
  <c r="AH61" i="13"/>
  <c r="AI61" i="13"/>
  <c r="AJ61" i="13"/>
  <c r="AK61" i="13"/>
  <c r="Z167" i="11"/>
  <c r="Y173" i="11"/>
  <c r="X11" i="17"/>
  <c r="W187" i="20"/>
  <c r="Z188" i="20"/>
  <c r="BH976" i="20"/>
  <c r="BI901" i="20"/>
  <c r="AR104" i="18"/>
  <c r="AN104" i="18"/>
  <c r="BJ889" i="20"/>
  <c r="BJ895" i="20"/>
  <c r="BI964" i="20"/>
  <c r="BI970" i="20"/>
  <c r="BI985" i="20"/>
  <c r="Y182" i="20" s="1"/>
  <c r="BI988" i="20"/>
  <c r="Y185" i="20" s="1"/>
  <c r="BH876" i="20"/>
  <c r="BI989" i="20"/>
  <c r="Y186" i="20" s="1"/>
  <c r="BI983" i="20"/>
  <c r="Y180" i="20" s="1"/>
  <c r="BI986" i="20"/>
  <c r="Y183" i="20" s="1"/>
  <c r="BH991" i="20"/>
  <c r="BI864" i="20"/>
  <c r="BI870" i="20"/>
  <c r="BI981" i="20"/>
  <c r="Y178" i="20" s="1"/>
  <c r="BI982" i="20"/>
  <c r="Y179" i="20" s="1"/>
  <c r="BI987" i="20"/>
  <c r="Y184" i="20" s="1"/>
  <c r="BI984" i="20"/>
  <c r="Y181" i="20" s="1"/>
  <c r="BK930" i="20"/>
  <c r="BK855" i="20"/>
  <c r="BK230" i="20"/>
  <c r="BK990" i="20" s="1"/>
  <c r="BK880" i="20"/>
  <c r="BK905" i="20"/>
  <c r="BK776" i="20"/>
  <c r="BK891" i="20" s="1"/>
  <c r="BK754" i="20"/>
  <c r="BK765" i="20"/>
  <c r="BK890" i="20" s="1"/>
  <c r="BI857" i="20"/>
  <c r="BL275" i="20"/>
  <c r="BL283" i="20" s="1"/>
  <c r="BL799" i="20"/>
  <c r="BK732" i="20"/>
  <c r="BJ740" i="20"/>
  <c r="BJ865" i="20" s="1"/>
  <c r="BK721" i="20"/>
  <c r="BJ729" i="20"/>
  <c r="BJ762" i="20"/>
  <c r="BJ867" i="20" s="1"/>
  <c r="BJ840" i="20"/>
  <c r="BJ965" i="20" s="1"/>
  <c r="BJ818" i="20"/>
  <c r="BJ784" i="20"/>
  <c r="BJ869" i="20" s="1"/>
  <c r="BJ829" i="20"/>
  <c r="BJ851" i="20"/>
  <c r="BJ966" i="20" s="1"/>
  <c r="BJ773" i="20"/>
  <c r="BJ868" i="20" s="1"/>
  <c r="BJ751" i="20"/>
  <c r="BJ866" i="20" s="1"/>
  <c r="BJ807" i="20"/>
  <c r="BJ796" i="20"/>
  <c r="BK788" i="20"/>
  <c r="BJ678" i="20"/>
  <c r="BJ645" i="20"/>
  <c r="BJ667" i="20"/>
  <c r="BJ959" i="20" s="1"/>
  <c r="BJ623" i="20"/>
  <c r="BJ634" i="20"/>
  <c r="BJ656" i="20"/>
  <c r="BJ958" i="20" s="1"/>
  <c r="BK570" i="20"/>
  <c r="BJ578" i="20"/>
  <c r="BK537" i="20"/>
  <c r="BJ545" i="20"/>
  <c r="BK559" i="20"/>
  <c r="BK884" i="20" s="1"/>
  <c r="BK969" i="20" s="1"/>
  <c r="BJ567" i="20"/>
  <c r="BK548" i="20"/>
  <c r="BK883" i="20" s="1"/>
  <c r="BJ556" i="20"/>
  <c r="BJ534" i="20"/>
  <c r="BJ859" i="20" s="1"/>
  <c r="BJ944" i="20" s="1"/>
  <c r="BJ951" i="20" s="1"/>
  <c r="BK523" i="20"/>
  <c r="BK858" i="20" s="1"/>
  <c r="BK444" i="20"/>
  <c r="BJ452" i="20"/>
  <c r="BK414" i="20"/>
  <c r="BJ422" i="20"/>
  <c r="BJ432" i="20"/>
  <c r="BJ907" i="20" s="1"/>
  <c r="BJ926" i="20" s="1"/>
  <c r="BK424" i="20"/>
  <c r="BJ462" i="20"/>
  <c r="BK454" i="20"/>
  <c r="BJ472" i="20"/>
  <c r="BK464" i="20"/>
  <c r="BJ442" i="20"/>
  <c r="BK434" i="20"/>
  <c r="BK297" i="20"/>
  <c r="BJ305" i="20"/>
  <c r="BK307" i="20"/>
  <c r="BJ315" i="20"/>
  <c r="BK317" i="20"/>
  <c r="BJ325" i="20"/>
  <c r="BK337" i="20"/>
  <c r="BJ345" i="20"/>
  <c r="BK347" i="20"/>
  <c r="BJ355" i="20"/>
  <c r="BK327" i="20"/>
  <c r="BJ335" i="20"/>
  <c r="BK392" i="20"/>
  <c r="BJ382" i="20"/>
  <c r="BK402" i="20"/>
  <c r="BK412" i="20"/>
  <c r="BL273" i="20"/>
  <c r="BL293" i="20"/>
  <c r="BK263" i="20"/>
  <c r="BK856" i="20" s="1"/>
  <c r="BL143" i="20"/>
  <c r="BL151" i="20" s="1"/>
  <c r="BL224" i="20" s="1"/>
  <c r="BL195" i="20"/>
  <c r="BL203" i="20" s="1"/>
  <c r="BL228" i="20" s="1"/>
  <c r="BL156" i="20"/>
  <c r="BL164" i="20" s="1"/>
  <c r="BL225" i="20" s="1"/>
  <c r="BL169" i="20"/>
  <c r="BL177" i="20" s="1"/>
  <c r="BL226" i="20" s="1"/>
  <c r="BL208" i="20"/>
  <c r="BL216" i="20" s="1"/>
  <c r="BL229" i="20" s="1"/>
  <c r="BL182" i="20"/>
  <c r="BL190" i="20" s="1"/>
  <c r="BL227" i="20" s="1"/>
  <c r="BL99" i="20"/>
  <c r="BL107" i="20" s="1"/>
  <c r="BL223" i="20" s="1"/>
  <c r="BL79" i="20"/>
  <c r="BL87" i="20" s="1"/>
  <c r="BL222" i="20" s="1"/>
  <c r="BL43" i="20"/>
  <c r="BL51" i="20" s="1"/>
  <c r="BL220" i="20" s="1"/>
  <c r="BL61" i="20"/>
  <c r="BL69" i="20" s="1"/>
  <c r="BL221" i="20" s="1"/>
  <c r="BM5" i="20"/>
  <c r="AX43" i="11"/>
  <c r="AX41" i="11"/>
  <c r="AX42" i="11"/>
  <c r="AX40" i="11"/>
  <c r="AX44" i="11"/>
  <c r="AY585" i="11"/>
  <c r="AY36" i="11"/>
  <c r="AY34" i="11"/>
  <c r="AZ5" i="11"/>
  <c r="AY35" i="11"/>
  <c r="AW45" i="11"/>
  <c r="Z25" i="11"/>
  <c r="Y52" i="11"/>
  <c r="Y87" i="11" s="1"/>
  <c r="AC63" i="18"/>
  <c r="Z63" i="18"/>
  <c r="S63" i="18"/>
  <c r="AI63" i="18"/>
  <c r="T63" i="18"/>
  <c r="AG63" i="18"/>
  <c r="AD63" i="18"/>
  <c r="W63" i="18"/>
  <c r="AB63" i="18"/>
  <c r="AB97" i="18" s="1"/>
  <c r="AJ63" i="18"/>
  <c r="U63" i="18"/>
  <c r="U97" i="18" s="1"/>
  <c r="R63" i="18"/>
  <c r="R97" i="18" s="1"/>
  <c r="AH63" i="18"/>
  <c r="AA63" i="18"/>
  <c r="AF63" i="18"/>
  <c r="AF97" i="18" s="1"/>
  <c r="Y63" i="18"/>
  <c r="Y97" i="18" s="1"/>
  <c r="V63" i="18"/>
  <c r="V97" i="18" s="1"/>
  <c r="Q63" i="18"/>
  <c r="Q97" i="18" s="1"/>
  <c r="AE63" i="18"/>
  <c r="X63" i="18"/>
  <c r="AE34" i="18"/>
  <c r="N64" i="18"/>
  <c r="Y370" i="11"/>
  <c r="Y377" i="11" s="1"/>
  <c r="AJ24" i="11"/>
  <c r="AI28" i="11"/>
  <c r="AI39" i="11" s="1"/>
  <c r="Z387" i="11"/>
  <c r="Z389" i="11" s="1"/>
  <c r="Z340" i="11"/>
  <c r="Y388" i="11"/>
  <c r="Y389" i="11"/>
  <c r="AS12" i="18"/>
  <c r="AS13" i="18"/>
  <c r="AS10" i="18"/>
  <c r="AR16" i="18"/>
  <c r="AS14" i="18"/>
  <c r="Q6" i="18"/>
  <c r="Q14" i="16"/>
  <c r="R12" i="16"/>
  <c r="R27" i="16" s="1"/>
  <c r="Z333" i="11"/>
  <c r="Z347" i="11" s="1"/>
  <c r="Z356" i="11"/>
  <c r="Z204" i="11"/>
  <c r="Z332" i="11"/>
  <c r="AA203" i="11"/>
  <c r="AA226" i="11"/>
  <c r="AA331" i="11"/>
  <c r="AA202" i="11"/>
  <c r="AE235" i="11"/>
  <c r="AD241" i="11"/>
  <c r="AD238" i="11"/>
  <c r="AE239" i="11"/>
  <c r="AD240" i="11"/>
  <c r="AD236" i="11"/>
  <c r="AD237" i="11"/>
  <c r="AD242" i="11"/>
  <c r="AB200" i="11"/>
  <c r="G13" i="11"/>
  <c r="B13" i="11" s="1"/>
  <c r="AY26" i="10"/>
  <c r="AY303" i="11" l="1"/>
  <c r="AY304" i="11"/>
  <c r="AY302" i="11"/>
  <c r="AY301" i="11"/>
  <c r="AY300" i="11"/>
  <c r="AY320" i="11" s="1"/>
  <c r="Z48" i="11"/>
  <c r="Z305" i="11"/>
  <c r="C21" i="17"/>
  <c r="C25" i="17"/>
  <c r="C20" i="17"/>
  <c r="C23" i="17"/>
  <c r="C22" i="17"/>
  <c r="Z569" i="11"/>
  <c r="Z577" i="11"/>
  <c r="Z465" i="11"/>
  <c r="Z473" i="11"/>
  <c r="AY461" i="11"/>
  <c r="AY462" i="11"/>
  <c r="AY464" i="11"/>
  <c r="AY463" i="11"/>
  <c r="AY460" i="11"/>
  <c r="Z561" i="11"/>
  <c r="AW530" i="11"/>
  <c r="AY529" i="11"/>
  <c r="AY505" i="11" s="1"/>
  <c r="AX547" i="11"/>
  <c r="AZ489" i="11"/>
  <c r="AY533" i="11"/>
  <c r="AY497" i="11"/>
  <c r="AY536" i="11" s="1"/>
  <c r="AZ514" i="11"/>
  <c r="AY542" i="11"/>
  <c r="AZ508" i="11"/>
  <c r="AY540" i="11"/>
  <c r="AY546" i="11"/>
  <c r="AZ526" i="11"/>
  <c r="AZ495" i="11"/>
  <c r="AY535" i="11"/>
  <c r="AX505" i="11"/>
  <c r="AX539" i="11" s="1"/>
  <c r="AY537" i="11"/>
  <c r="AZ500" i="11"/>
  <c r="AZ523" i="11"/>
  <c r="AY545" i="11"/>
  <c r="AZ492" i="11"/>
  <c r="AY534" i="11"/>
  <c r="AZ520" i="11"/>
  <c r="AY544" i="11"/>
  <c r="AZ517" i="11"/>
  <c r="AY543" i="11"/>
  <c r="AZ429" i="11"/>
  <c r="AY442" i="11"/>
  <c r="Z457" i="11"/>
  <c r="AZ432" i="11"/>
  <c r="AY444" i="11"/>
  <c r="Z370" i="11"/>
  <c r="Z377" i="11" s="1"/>
  <c r="Z361" i="11"/>
  <c r="Z364" i="11"/>
  <c r="Z367" i="11"/>
  <c r="Z358" i="11"/>
  <c r="AA296" i="11"/>
  <c r="AA297" i="11"/>
  <c r="AA298" i="11"/>
  <c r="AA299" i="11"/>
  <c r="AA295" i="11"/>
  <c r="AZ426" i="11"/>
  <c r="AZ441" i="11" s="1"/>
  <c r="AY437" i="11"/>
  <c r="AY443" i="11" s="1"/>
  <c r="Y392" i="11"/>
  <c r="Y612" i="11"/>
  <c r="Y281" i="11"/>
  <c r="Y613" i="11"/>
  <c r="Y282" i="11"/>
  <c r="Y391" i="11" s="1"/>
  <c r="Y269" i="11"/>
  <c r="Y338" i="11" s="1"/>
  <c r="Y345" i="11" s="1"/>
  <c r="D19" i="17"/>
  <c r="Z244" i="11"/>
  <c r="Z255" i="11" s="1"/>
  <c r="Z246" i="11"/>
  <c r="Z248" i="11"/>
  <c r="Z259" i="11" s="1"/>
  <c r="Z245" i="11"/>
  <c r="Z249" i="11"/>
  <c r="Z260" i="11" s="1"/>
  <c r="Z250" i="11"/>
  <c r="Z261" i="11" s="1"/>
  <c r="Z283" i="11" s="1"/>
  <c r="Z243" i="11"/>
  <c r="Z247" i="11"/>
  <c r="BA84" i="11"/>
  <c r="Y601" i="11"/>
  <c r="Y600" i="11"/>
  <c r="DH1" i="10"/>
  <c r="DI1" i="10" s="1"/>
  <c r="DJ1" i="10" s="1"/>
  <c r="DK1" i="10" s="1"/>
  <c r="DL1" i="10" s="1"/>
  <c r="DM1" i="10" s="1"/>
  <c r="DC1" i="10"/>
  <c r="DD1" i="10" s="1"/>
  <c r="DE1" i="10" s="1"/>
  <c r="DF1" i="10" s="1"/>
  <c r="DG1" i="10" s="1"/>
  <c r="Z163" i="11"/>
  <c r="Z183" i="11" s="1"/>
  <c r="I63" i="11"/>
  <c r="AB136" i="11"/>
  <c r="AA163" i="11"/>
  <c r="AA183" i="11" s="1"/>
  <c r="AZ115" i="11"/>
  <c r="AZ117" i="11" s="1"/>
  <c r="AZ127" i="11"/>
  <c r="AZ129" i="11" s="1"/>
  <c r="AA124" i="11"/>
  <c r="AA132" i="11" s="1"/>
  <c r="AA182" i="11" s="1"/>
  <c r="AA112" i="11"/>
  <c r="Z120" i="11"/>
  <c r="Z181" i="11" s="1"/>
  <c r="AA264" i="11"/>
  <c r="AA271" i="11" s="1"/>
  <c r="AA252" i="11"/>
  <c r="Y258" i="11"/>
  <c r="Y256" i="11"/>
  <c r="Y254" i="11"/>
  <c r="Y307" i="11" s="1"/>
  <c r="Y314" i="11" s="1"/>
  <c r="Y257" i="11"/>
  <c r="AZ105" i="11"/>
  <c r="AZ108" i="11" s="1"/>
  <c r="AZ95" i="11"/>
  <c r="AZ98" i="11" s="1"/>
  <c r="AY190" i="11"/>
  <c r="Z177" i="11"/>
  <c r="Z188" i="11"/>
  <c r="Y184" i="11"/>
  <c r="Y602" i="11" s="1"/>
  <c r="Y195" i="11"/>
  <c r="Y614" i="11" s="1"/>
  <c r="Y178" i="11"/>
  <c r="Y189" i="11"/>
  <c r="AO180" i="11"/>
  <c r="AP8" i="11"/>
  <c r="AP179" i="11" s="1"/>
  <c r="BJ901" i="20"/>
  <c r="AY191" i="11"/>
  <c r="E63" i="13"/>
  <c r="F62" i="13"/>
  <c r="G62" i="13"/>
  <c r="H62" i="13"/>
  <c r="I62" i="13"/>
  <c r="J62" i="13"/>
  <c r="K62" i="13"/>
  <c r="L62" i="13"/>
  <c r="M62" i="13"/>
  <c r="N62" i="13"/>
  <c r="O62" i="13"/>
  <c r="P62" i="13"/>
  <c r="Q62" i="13"/>
  <c r="R62" i="13"/>
  <c r="S62" i="13"/>
  <c r="T62" i="13"/>
  <c r="U62" i="13"/>
  <c r="V62" i="13"/>
  <c r="W62" i="13"/>
  <c r="X62" i="13"/>
  <c r="Y62" i="13"/>
  <c r="Z62" i="13"/>
  <c r="AA62" i="13"/>
  <c r="AB62" i="13"/>
  <c r="AC62" i="13"/>
  <c r="AD62" i="13"/>
  <c r="AE62" i="13"/>
  <c r="AF62" i="13"/>
  <c r="AG62" i="13"/>
  <c r="AH62" i="13"/>
  <c r="AI62" i="13"/>
  <c r="AJ62" i="13"/>
  <c r="AK62" i="13"/>
  <c r="DN1" i="10"/>
  <c r="DO1" i="10" s="1"/>
  <c r="DP1" i="10" s="1"/>
  <c r="DQ1" i="10" s="1"/>
  <c r="DR1" i="10" s="1"/>
  <c r="DS1" i="10" s="1"/>
  <c r="DT1" i="10" s="1"/>
  <c r="DU1" i="10" s="1"/>
  <c r="DV1" i="10" s="1"/>
  <c r="DW1" i="10" s="1"/>
  <c r="DX1" i="10" s="1"/>
  <c r="DY1" i="10" s="1"/>
  <c r="DZ1" i="10" s="1"/>
  <c r="EA1" i="10" s="1"/>
  <c r="EB1" i="10" s="1"/>
  <c r="EC1" i="10" s="1"/>
  <c r="ED1" i="10" s="1"/>
  <c r="EE1" i="10" s="1"/>
  <c r="EF1" i="10" s="1"/>
  <c r="EG1" i="10" s="1"/>
  <c r="AA167" i="11"/>
  <c r="Z173" i="11"/>
  <c r="AA188" i="20"/>
  <c r="Y11" i="17"/>
  <c r="X187" i="20"/>
  <c r="BI976" i="20"/>
  <c r="BJ980" i="20"/>
  <c r="Z177" i="20" s="1"/>
  <c r="BJ964" i="20"/>
  <c r="BJ970" i="20"/>
  <c r="BK889" i="20"/>
  <c r="BK895" i="20"/>
  <c r="BJ987" i="20"/>
  <c r="Z184" i="20" s="1"/>
  <c r="BJ985" i="20"/>
  <c r="Z182" i="20" s="1"/>
  <c r="BJ981" i="20"/>
  <c r="Z178" i="20" s="1"/>
  <c r="BJ989" i="20"/>
  <c r="Z186" i="20" s="1"/>
  <c r="BJ986" i="20"/>
  <c r="Z183" i="20" s="1"/>
  <c r="BI876" i="20"/>
  <c r="BJ983" i="20"/>
  <c r="Z180" i="20" s="1"/>
  <c r="BJ864" i="20"/>
  <c r="BJ870" i="20"/>
  <c r="BJ982" i="20"/>
  <c r="Z179" i="20" s="1"/>
  <c r="BJ988" i="20"/>
  <c r="Z185" i="20" s="1"/>
  <c r="BI991" i="20"/>
  <c r="BJ984" i="20"/>
  <c r="Z181" i="20" s="1"/>
  <c r="BL930" i="20"/>
  <c r="BL855" i="20"/>
  <c r="BL230" i="20"/>
  <c r="BL990" i="20" s="1"/>
  <c r="Q25" i="18"/>
  <c r="Q20" i="18"/>
  <c r="Q22" i="18"/>
  <c r="Q21" i="18"/>
  <c r="Q23" i="18"/>
  <c r="Q24" i="18"/>
  <c r="BL880" i="20"/>
  <c r="BL905" i="20"/>
  <c r="BL765" i="20"/>
  <c r="BL890" i="20" s="1"/>
  <c r="BL754" i="20"/>
  <c r="BL776" i="20"/>
  <c r="BL891" i="20" s="1"/>
  <c r="BJ857" i="20"/>
  <c r="BM275" i="20"/>
  <c r="BM283" i="20" s="1"/>
  <c r="BM799" i="20"/>
  <c r="BK796" i="20"/>
  <c r="BL788" i="20"/>
  <c r="BK851" i="20"/>
  <c r="BK966" i="20" s="1"/>
  <c r="BK840" i="20"/>
  <c r="BK965" i="20" s="1"/>
  <c r="BL721" i="20"/>
  <c r="BK729" i="20"/>
  <c r="BK751" i="20"/>
  <c r="BK866" i="20" s="1"/>
  <c r="BK784" i="20"/>
  <c r="BK869" i="20" s="1"/>
  <c r="BK807" i="20"/>
  <c r="BK818" i="20"/>
  <c r="BK762" i="20"/>
  <c r="BK867" i="20" s="1"/>
  <c r="BK773" i="20"/>
  <c r="BK868" i="20" s="1"/>
  <c r="BK829" i="20"/>
  <c r="BL732" i="20"/>
  <c r="BK740" i="20"/>
  <c r="BK865" i="20" s="1"/>
  <c r="BK645" i="20"/>
  <c r="BK656" i="20"/>
  <c r="BK958" i="20" s="1"/>
  <c r="BK634" i="20"/>
  <c r="BK667" i="20"/>
  <c r="BK959" i="20" s="1"/>
  <c r="BK623" i="20"/>
  <c r="BK678" i="20"/>
  <c r="BK556" i="20"/>
  <c r="BL548" i="20"/>
  <c r="BL883" i="20" s="1"/>
  <c r="BL537" i="20"/>
  <c r="BK545" i="20"/>
  <c r="BK534" i="20"/>
  <c r="BK859" i="20" s="1"/>
  <c r="BK944" i="20" s="1"/>
  <c r="BK951" i="20" s="1"/>
  <c r="BK567" i="20"/>
  <c r="BL559" i="20"/>
  <c r="BL884" i="20" s="1"/>
  <c r="BL969" i="20" s="1"/>
  <c r="BK578" i="20"/>
  <c r="BL570" i="20"/>
  <c r="BL523" i="20"/>
  <c r="BL858" i="20" s="1"/>
  <c r="BK442" i="20"/>
  <c r="BL434" i="20"/>
  <c r="BL414" i="20"/>
  <c r="BK422" i="20"/>
  <c r="BK472" i="20"/>
  <c r="BL464" i="20"/>
  <c r="BK432" i="20"/>
  <c r="BK907" i="20" s="1"/>
  <c r="BK926" i="20" s="1"/>
  <c r="BL424" i="20"/>
  <c r="BK462" i="20"/>
  <c r="BL454" i="20"/>
  <c r="BL444" i="20"/>
  <c r="BK452" i="20"/>
  <c r="BK335" i="20"/>
  <c r="BL327" i="20"/>
  <c r="BK345" i="20"/>
  <c r="BL337" i="20"/>
  <c r="BL307" i="20"/>
  <c r="BK315" i="20"/>
  <c r="BL347" i="20"/>
  <c r="BK355" i="20"/>
  <c r="BL317" i="20"/>
  <c r="BK325" i="20"/>
  <c r="BL297" i="20"/>
  <c r="BK305" i="20"/>
  <c r="BK382" i="20"/>
  <c r="BL402" i="20"/>
  <c r="BL392" i="20"/>
  <c r="BL412" i="20"/>
  <c r="BM273" i="20"/>
  <c r="BN273" i="20"/>
  <c r="BN293" i="20"/>
  <c r="BM293" i="20"/>
  <c r="BL263" i="20"/>
  <c r="BL856" i="20" s="1"/>
  <c r="BM143" i="20"/>
  <c r="BM151" i="20" s="1"/>
  <c r="BM224" i="20" s="1"/>
  <c r="BM195" i="20"/>
  <c r="BM203" i="20" s="1"/>
  <c r="BM228" i="20" s="1"/>
  <c r="BM156" i="20"/>
  <c r="BM164" i="20" s="1"/>
  <c r="BM225" i="20" s="1"/>
  <c r="BM169" i="20"/>
  <c r="BM177" i="20" s="1"/>
  <c r="BM226" i="20" s="1"/>
  <c r="BM182" i="20"/>
  <c r="BM190" i="20" s="1"/>
  <c r="BM227" i="20" s="1"/>
  <c r="BM208" i="20"/>
  <c r="BM216" i="20" s="1"/>
  <c r="BM229" i="20" s="1"/>
  <c r="BM99" i="20"/>
  <c r="BM107" i="20" s="1"/>
  <c r="BM223" i="20" s="1"/>
  <c r="BM79" i="20"/>
  <c r="BM87" i="20" s="1"/>
  <c r="BM222" i="20" s="1"/>
  <c r="BM61" i="20"/>
  <c r="BM69" i="20" s="1"/>
  <c r="BM221" i="20" s="1"/>
  <c r="BM43" i="20"/>
  <c r="BM51" i="20" s="1"/>
  <c r="BM220" i="20" s="1"/>
  <c r="BN5" i="20"/>
  <c r="AA25" i="11"/>
  <c r="AE97" i="18"/>
  <c r="X97" i="18"/>
  <c r="AH97" i="18"/>
  <c r="T97" i="18"/>
  <c r="AC97" i="18"/>
  <c r="W97" i="18"/>
  <c r="AI97" i="18"/>
  <c r="AK97" i="18"/>
  <c r="AD97" i="18"/>
  <c r="S97" i="18"/>
  <c r="AA97" i="18"/>
  <c r="AJ97" i="18"/>
  <c r="AL97" i="18"/>
  <c r="AG97" i="18"/>
  <c r="Z97" i="18"/>
  <c r="AX45" i="11"/>
  <c r="AY42" i="11"/>
  <c r="AY40" i="11"/>
  <c r="AY43" i="11"/>
  <c r="AY41" i="11"/>
  <c r="AY44" i="11"/>
  <c r="AZ585" i="11"/>
  <c r="AZ36" i="11"/>
  <c r="BA5" i="11"/>
  <c r="F228" i="11" s="1"/>
  <c r="AZ35" i="11"/>
  <c r="AZ34" i="11"/>
  <c r="Z388" i="11"/>
  <c r="Z52" i="11"/>
  <c r="Z87" i="11" s="1"/>
  <c r="Z64" i="18"/>
  <c r="AE64" i="18"/>
  <c r="T64" i="18"/>
  <c r="AJ64" i="18"/>
  <c r="AM98" i="18" s="1"/>
  <c r="AG64" i="18"/>
  <c r="AD64" i="18"/>
  <c r="S64" i="18"/>
  <c r="X64" i="18"/>
  <c r="Q64" i="18"/>
  <c r="U64" i="18"/>
  <c r="R64" i="18"/>
  <c r="AH64" i="18"/>
  <c r="AK98" i="18" s="1"/>
  <c r="AA64" i="18"/>
  <c r="AB64" i="18"/>
  <c r="Y64" i="18"/>
  <c r="V64" i="18"/>
  <c r="W64" i="18"/>
  <c r="AI64" i="18"/>
  <c r="AL98" i="18" s="1"/>
  <c r="AF64" i="18"/>
  <c r="AC64" i="18"/>
  <c r="AF34" i="18"/>
  <c r="AK24" i="11"/>
  <c r="AJ28" i="11"/>
  <c r="AJ39" i="11" s="1"/>
  <c r="AA356" i="11"/>
  <c r="AA387" i="11"/>
  <c r="AA389" i="11" s="1"/>
  <c r="AA340" i="11"/>
  <c r="AS16" i="18"/>
  <c r="R6" i="18"/>
  <c r="R14" i="16"/>
  <c r="S12" i="16"/>
  <c r="S27" i="16" s="1"/>
  <c r="AA204" i="11"/>
  <c r="AA332" i="11"/>
  <c r="AA333" i="11"/>
  <c r="AA347" i="11" s="1"/>
  <c r="AB331" i="11"/>
  <c r="AB226" i="11"/>
  <c r="AB202" i="11"/>
  <c r="AB203" i="11"/>
  <c r="AE242" i="11"/>
  <c r="AE236" i="11"/>
  <c r="AF239" i="11"/>
  <c r="AE241" i="11"/>
  <c r="AE237" i="11"/>
  <c r="AE240" i="11"/>
  <c r="AE238" i="11"/>
  <c r="AF235" i="11"/>
  <c r="AC200" i="11"/>
  <c r="Y266" i="11" l="1"/>
  <c r="Y335" i="11" s="1"/>
  <c r="Y342" i="11" s="1"/>
  <c r="Y316" i="11"/>
  <c r="AZ303" i="11"/>
  <c r="AZ300" i="11"/>
  <c r="AZ320" i="11" s="1"/>
  <c r="AZ304" i="11"/>
  <c r="AZ301" i="11"/>
  <c r="AZ302" i="11"/>
  <c r="AA48" i="11"/>
  <c r="Y267" i="11"/>
  <c r="Y336" i="11" s="1"/>
  <c r="Y343" i="11" s="1"/>
  <c r="Y317" i="11"/>
  <c r="Y322" i="11"/>
  <c r="AA305" i="11"/>
  <c r="D22" i="17"/>
  <c r="AA569" i="11"/>
  <c r="AA577" i="11"/>
  <c r="AA465" i="11"/>
  <c r="AA473" i="11"/>
  <c r="AZ464" i="11"/>
  <c r="AZ463" i="11"/>
  <c r="AZ462" i="11"/>
  <c r="AZ461" i="11"/>
  <c r="AZ460" i="11"/>
  <c r="AA561" i="11"/>
  <c r="AY539" i="11"/>
  <c r="AY530" i="11"/>
  <c r="AX530" i="11"/>
  <c r="AZ537" i="11"/>
  <c r="BA500" i="11"/>
  <c r="BA537" i="11" s="1"/>
  <c r="BA495" i="11"/>
  <c r="BA535" i="11" s="1"/>
  <c r="AZ535" i="11"/>
  <c r="BA508" i="11"/>
  <c r="BA540" i="11" s="1"/>
  <c r="AZ540" i="11"/>
  <c r="BA520" i="11"/>
  <c r="BA544" i="11" s="1"/>
  <c r="AZ544" i="11"/>
  <c r="BA489" i="11"/>
  <c r="AZ533" i="11"/>
  <c r="BA517" i="11"/>
  <c r="BA543" i="11" s="1"/>
  <c r="AZ543" i="11"/>
  <c r="BA492" i="11"/>
  <c r="BA534" i="11" s="1"/>
  <c r="AZ534" i="11"/>
  <c r="AZ546" i="11"/>
  <c r="BA526" i="11"/>
  <c r="BA546" i="11" s="1"/>
  <c r="BA523" i="11"/>
  <c r="BA545" i="11" s="1"/>
  <c r="AZ545" i="11"/>
  <c r="BA514" i="11"/>
  <c r="BA542" i="11" s="1"/>
  <c r="AZ542" i="11"/>
  <c r="AZ529" i="11"/>
  <c r="AZ497" i="11" s="1"/>
  <c r="AZ536" i="11" s="1"/>
  <c r="AY547" i="11"/>
  <c r="AA457" i="11"/>
  <c r="BA432" i="11"/>
  <c r="BA444" i="11" s="1"/>
  <c r="AZ444" i="11"/>
  <c r="BA429" i="11"/>
  <c r="BA442" i="11" s="1"/>
  <c r="AZ442" i="11"/>
  <c r="AA370" i="11"/>
  <c r="AA377" i="11" s="1"/>
  <c r="AA358" i="11"/>
  <c r="AA361" i="11"/>
  <c r="AA367" i="11"/>
  <c r="AA364" i="11"/>
  <c r="AB296" i="11"/>
  <c r="AB297" i="11"/>
  <c r="AB298" i="11"/>
  <c r="AB299" i="11"/>
  <c r="AB295" i="11"/>
  <c r="AB305" i="11" s="1"/>
  <c r="BA426" i="11"/>
  <c r="AZ437" i="11"/>
  <c r="AZ443" i="11" s="1"/>
  <c r="Z392" i="11"/>
  <c r="Z613" i="11"/>
  <c r="Z282" i="11"/>
  <c r="Z391" i="11" s="1"/>
  <c r="Y390" i="11"/>
  <c r="Y393" i="11" s="1"/>
  <c r="Y284" i="11"/>
  <c r="Z612" i="11"/>
  <c r="Z281" i="11"/>
  <c r="Z269" i="11"/>
  <c r="Y265" i="11"/>
  <c r="Y334" i="11" s="1"/>
  <c r="Y341" i="11" s="1"/>
  <c r="Y611" i="11"/>
  <c r="Y268" i="11"/>
  <c r="Y337" i="11" s="1"/>
  <c r="Y344" i="11" s="1"/>
  <c r="E19" i="17"/>
  <c r="AA243" i="11"/>
  <c r="AA244" i="11"/>
  <c r="AA255" i="11" s="1"/>
  <c r="AA245" i="11"/>
  <c r="AA246" i="11"/>
  <c r="AA247" i="11"/>
  <c r="AA248" i="11"/>
  <c r="AA259" i="11" s="1"/>
  <c r="AA249" i="11"/>
  <c r="AA260" i="11" s="1"/>
  <c r="AA250" i="11"/>
  <c r="AA261" i="11" s="1"/>
  <c r="AA283" i="11" s="1"/>
  <c r="Z600" i="11"/>
  <c r="Z601" i="11"/>
  <c r="Y599" i="11"/>
  <c r="Y610" i="11"/>
  <c r="Y598" i="11"/>
  <c r="Y609" i="11"/>
  <c r="Y597" i="11"/>
  <c r="Y607" i="11"/>
  <c r="I64" i="11"/>
  <c r="BA115" i="11"/>
  <c r="BA117" i="11" s="1"/>
  <c r="BA127" i="11"/>
  <c r="BA129" i="11" s="1"/>
  <c r="AC136" i="11"/>
  <c r="AB163" i="11"/>
  <c r="AB183" i="11" s="1"/>
  <c r="F94" i="11" s="1"/>
  <c r="AB124" i="11"/>
  <c r="AB132" i="11" s="1"/>
  <c r="AB182" i="11" s="1"/>
  <c r="F93" i="11" s="1"/>
  <c r="AB112" i="11"/>
  <c r="AA120" i="11"/>
  <c r="AA181" i="11" s="1"/>
  <c r="AB264" i="11"/>
  <c r="AB271" i="11" s="1"/>
  <c r="AB252" i="11"/>
  <c r="Z257" i="11"/>
  <c r="Z256" i="11"/>
  <c r="Z254" i="11"/>
  <c r="Z307" i="11" s="1"/>
  <c r="Z314" i="11" s="1"/>
  <c r="Z258" i="11"/>
  <c r="AZ190" i="11"/>
  <c r="Y196" i="11"/>
  <c r="Y615" i="11" s="1"/>
  <c r="C14" i="17" s="1"/>
  <c r="Y185" i="11"/>
  <c r="Y603" i="11" s="1"/>
  <c r="BA105" i="11"/>
  <c r="BA108" i="11" s="1"/>
  <c r="BA95" i="11"/>
  <c r="BA98" i="11" s="1"/>
  <c r="Z184" i="11"/>
  <c r="Z602" i="11" s="1"/>
  <c r="Z195" i="11"/>
  <c r="Z614" i="11" s="1"/>
  <c r="AA177" i="11"/>
  <c r="AA188" i="11"/>
  <c r="Z178" i="11"/>
  <c r="Z189" i="11"/>
  <c r="AQ8" i="11"/>
  <c r="AQ179" i="11" s="1"/>
  <c r="AP180" i="11"/>
  <c r="AZ191" i="11"/>
  <c r="E64" i="13"/>
  <c r="F63" i="13"/>
  <c r="G63" i="13"/>
  <c r="H63" i="13"/>
  <c r="I63" i="13"/>
  <c r="J63" i="13"/>
  <c r="K63" i="13"/>
  <c r="L63" i="13"/>
  <c r="M63" i="13"/>
  <c r="N63" i="13"/>
  <c r="O63" i="13"/>
  <c r="P63" i="13"/>
  <c r="Q63" i="13"/>
  <c r="R63" i="13"/>
  <c r="S63" i="13"/>
  <c r="T63" i="13"/>
  <c r="U63" i="13"/>
  <c r="V63" i="13"/>
  <c r="W63" i="13"/>
  <c r="X63" i="13"/>
  <c r="Y63" i="13"/>
  <c r="Z63" i="13"/>
  <c r="AA63" i="13"/>
  <c r="AB63" i="13"/>
  <c r="AC63" i="13"/>
  <c r="AD63" i="13"/>
  <c r="AE63" i="13"/>
  <c r="AF63" i="13"/>
  <c r="AG63" i="13"/>
  <c r="AH63" i="13"/>
  <c r="AI63" i="13"/>
  <c r="AJ63" i="13"/>
  <c r="AK63" i="13"/>
  <c r="EH1" i="10"/>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IV1" i="10" s="1"/>
  <c r="IW1" i="10" s="1"/>
  <c r="IX1" i="10" s="1"/>
  <c r="IY1" i="10" s="1"/>
  <c r="IZ1" i="10" s="1"/>
  <c r="JA1" i="10" s="1"/>
  <c r="JB1" i="10" s="1"/>
  <c r="JC1" i="10" s="1"/>
  <c r="JD1" i="10" s="1"/>
  <c r="JE1" i="10" s="1"/>
  <c r="JF1" i="10" s="1"/>
  <c r="JG1" i="10" s="1"/>
  <c r="JH1" i="10" s="1"/>
  <c r="JI1" i="10" s="1"/>
  <c r="JJ1" i="10" s="1"/>
  <c r="JK1" i="10" s="1"/>
  <c r="JL1" i="10" s="1"/>
  <c r="JM1" i="10" s="1"/>
  <c r="JN1" i="10" s="1"/>
  <c r="JO1" i="10" s="1"/>
  <c r="JP1" i="10" s="1"/>
  <c r="JQ1" i="10" s="1"/>
  <c r="JR1" i="10" s="1"/>
  <c r="JU1" i="10" s="1"/>
  <c r="JV1" i="10" s="1"/>
  <c r="JW1" i="10" s="1"/>
  <c r="JX1" i="10" s="1"/>
  <c r="JY1" i="10" s="1"/>
  <c r="JZ1" i="10" s="1"/>
  <c r="KA1" i="10" s="1"/>
  <c r="KB1" i="10" s="1"/>
  <c r="KC1" i="10" s="1"/>
  <c r="LL1" i="10" s="1"/>
  <c r="LM1" i="10" s="1"/>
  <c r="LN1" i="10" s="1"/>
  <c r="LO1" i="10" s="1"/>
  <c r="LP1" i="10" s="1"/>
  <c r="LQ1" i="10" s="1"/>
  <c r="LR1" i="10" s="1"/>
  <c r="LS1" i="10" s="1"/>
  <c r="LT1" i="10" s="1"/>
  <c r="LV1" i="10" s="1"/>
  <c r="LW1" i="10" s="1"/>
  <c r="LX1" i="10" s="1"/>
  <c r="AB167" i="11"/>
  <c r="AA173" i="11"/>
  <c r="Z11" i="17"/>
  <c r="Y187" i="20"/>
  <c r="AB188" i="20"/>
  <c r="BJ976" i="20"/>
  <c r="BK980" i="20"/>
  <c r="AA177" i="20" s="1"/>
  <c r="BK901" i="20"/>
  <c r="AL102" i="18"/>
  <c r="X10" i="17" s="1"/>
  <c r="AL103" i="18"/>
  <c r="X12" i="17" s="1"/>
  <c r="AK103" i="18"/>
  <c r="W12" i="17" s="1"/>
  <c r="AK102" i="18"/>
  <c r="W10" i="17" s="1"/>
  <c r="AM99" i="18"/>
  <c r="AM103" i="18"/>
  <c r="Y12" i="17" s="1"/>
  <c r="AM102" i="18"/>
  <c r="Y10" i="17" s="1"/>
  <c r="BK964" i="20"/>
  <c r="BK970" i="20"/>
  <c r="BL889" i="20"/>
  <c r="BL895" i="20"/>
  <c r="BK981" i="20"/>
  <c r="AA178" i="20" s="1"/>
  <c r="BK986" i="20"/>
  <c r="AA183" i="20" s="1"/>
  <c r="BK985" i="20"/>
  <c r="AA182" i="20" s="1"/>
  <c r="BJ876" i="20"/>
  <c r="BK989" i="20"/>
  <c r="AA186" i="20" s="1"/>
  <c r="BK982" i="20"/>
  <c r="AA179" i="20" s="1"/>
  <c r="BK987" i="20"/>
  <c r="AA184" i="20" s="1"/>
  <c r="BK864" i="20"/>
  <c r="BK870" i="20"/>
  <c r="BK983" i="20"/>
  <c r="AA180" i="20" s="1"/>
  <c r="BK988" i="20"/>
  <c r="AA185" i="20" s="1"/>
  <c r="BJ991" i="20"/>
  <c r="BK984" i="20"/>
  <c r="AA181" i="20" s="1"/>
  <c r="BM930" i="20"/>
  <c r="BM855" i="20"/>
  <c r="BM230" i="20"/>
  <c r="BM990" i="20" s="1"/>
  <c r="AB25" i="11"/>
  <c r="R22" i="18"/>
  <c r="R23" i="18"/>
  <c r="R24" i="18"/>
  <c r="R25" i="18"/>
  <c r="R21" i="18"/>
  <c r="R20" i="18"/>
  <c r="Q26" i="18"/>
  <c r="BM905" i="20"/>
  <c r="BM880" i="20"/>
  <c r="BM754" i="20"/>
  <c r="BM776" i="20"/>
  <c r="BM891" i="20" s="1"/>
  <c r="BM765" i="20"/>
  <c r="BM890" i="20" s="1"/>
  <c r="BK857" i="20"/>
  <c r="BN275" i="20"/>
  <c r="BN799" i="20"/>
  <c r="BL784" i="20"/>
  <c r="BL869" i="20" s="1"/>
  <c r="BM732" i="20"/>
  <c r="BL740" i="20"/>
  <c r="BL865" i="20" s="1"/>
  <c r="BL773" i="20"/>
  <c r="BL868" i="20" s="1"/>
  <c r="BM721" i="20"/>
  <c r="BL729" i="20"/>
  <c r="BL851" i="20"/>
  <c r="BL966" i="20" s="1"/>
  <c r="BL818" i="20"/>
  <c r="BL807" i="20"/>
  <c r="BL751" i="20"/>
  <c r="BL866" i="20" s="1"/>
  <c r="BL840" i="20"/>
  <c r="BL965" i="20" s="1"/>
  <c r="BM788" i="20"/>
  <c r="BL796" i="20"/>
  <c r="BL829" i="20"/>
  <c r="BL762" i="20"/>
  <c r="BL867" i="20" s="1"/>
  <c r="BL678" i="20"/>
  <c r="BL667" i="20"/>
  <c r="BL959" i="20" s="1"/>
  <c r="BL656" i="20"/>
  <c r="BL958" i="20" s="1"/>
  <c r="BL623" i="20"/>
  <c r="BL645" i="20"/>
  <c r="BL634" i="20"/>
  <c r="BM537" i="20"/>
  <c r="BL545" i="20"/>
  <c r="BL578" i="20"/>
  <c r="BM570" i="20"/>
  <c r="BM548" i="20"/>
  <c r="BM883" i="20" s="1"/>
  <c r="BL556" i="20"/>
  <c r="BL567" i="20"/>
  <c r="BM559" i="20"/>
  <c r="BM884" i="20" s="1"/>
  <c r="BM969" i="20" s="1"/>
  <c r="BL534" i="20"/>
  <c r="BL859" i="20" s="1"/>
  <c r="BL944" i="20" s="1"/>
  <c r="BL951" i="20" s="1"/>
  <c r="BM523" i="20"/>
  <c r="BM858" i="20" s="1"/>
  <c r="BN523" i="20"/>
  <c r="BN858" i="20" s="1"/>
  <c r="BM444" i="20"/>
  <c r="BL452" i="20"/>
  <c r="BM414" i="20"/>
  <c r="BL422" i="20"/>
  <c r="BL432" i="20"/>
  <c r="BL907" i="20" s="1"/>
  <c r="BL926" i="20" s="1"/>
  <c r="BM424" i="20"/>
  <c r="BL462" i="20"/>
  <c r="BM454" i="20"/>
  <c r="BL472" i="20"/>
  <c r="BM464" i="20"/>
  <c r="BL442" i="20"/>
  <c r="BM434" i="20"/>
  <c r="BM337" i="20"/>
  <c r="BL345" i="20"/>
  <c r="BM297" i="20"/>
  <c r="BL305" i="20"/>
  <c r="BM347" i="20"/>
  <c r="BL355" i="20"/>
  <c r="BL335" i="20"/>
  <c r="BM327" i="20"/>
  <c r="BL325" i="20"/>
  <c r="BM317" i="20"/>
  <c r="BM307" i="20"/>
  <c r="BL315" i="20"/>
  <c r="BM402" i="20"/>
  <c r="BN402" i="20"/>
  <c r="BM392" i="20"/>
  <c r="BN392" i="20"/>
  <c r="BL382" i="20"/>
  <c r="BM412" i="20"/>
  <c r="BN412" i="20"/>
  <c r="BM263" i="20"/>
  <c r="BM856" i="20" s="1"/>
  <c r="BN263" i="20"/>
  <c r="BN856" i="20" s="1"/>
  <c r="BN143" i="20"/>
  <c r="BN151" i="20" s="1"/>
  <c r="BN224" i="20" s="1"/>
  <c r="BN156" i="20"/>
  <c r="BN164" i="20" s="1"/>
  <c r="BN225" i="20" s="1"/>
  <c r="BN195" i="20"/>
  <c r="BN203" i="20" s="1"/>
  <c r="BN228" i="20" s="1"/>
  <c r="BN182" i="20"/>
  <c r="BN190" i="20" s="1"/>
  <c r="BN227" i="20" s="1"/>
  <c r="BN169" i="20"/>
  <c r="BN177" i="20" s="1"/>
  <c r="BN226" i="20" s="1"/>
  <c r="BN208" i="20"/>
  <c r="BN216" i="20" s="1"/>
  <c r="BN229" i="20" s="1"/>
  <c r="BN99" i="20"/>
  <c r="BN107" i="20" s="1"/>
  <c r="BN223" i="20" s="1"/>
  <c r="BN79" i="20"/>
  <c r="BN87" i="20" s="1"/>
  <c r="BN222" i="20" s="1"/>
  <c r="BN43" i="20"/>
  <c r="BN51" i="20" s="1"/>
  <c r="BN220" i="20" s="1"/>
  <c r="BN61" i="20"/>
  <c r="BN69" i="20" s="1"/>
  <c r="BN221" i="20" s="1"/>
  <c r="AL99" i="18"/>
  <c r="AK99" i="18"/>
  <c r="AZ42" i="11"/>
  <c r="AZ43" i="11"/>
  <c r="AZ41" i="11"/>
  <c r="AZ44" i="11"/>
  <c r="AZ40" i="11"/>
  <c r="AY45" i="11"/>
  <c r="BA585" i="11"/>
  <c r="BA36" i="11"/>
  <c r="BA34" i="11"/>
  <c r="BA35" i="11"/>
  <c r="AA52" i="11"/>
  <c r="AA87" i="11" s="1"/>
  <c r="AH65" i="18"/>
  <c r="AH98" i="18"/>
  <c r="AH99" i="18" s="1"/>
  <c r="AF65" i="18"/>
  <c r="AF98" i="18"/>
  <c r="Y65" i="18"/>
  <c r="Y98" i="18"/>
  <c r="R65" i="18"/>
  <c r="R98" i="18"/>
  <c r="S65" i="18"/>
  <c r="S98" i="18"/>
  <c r="S99" i="18" s="1"/>
  <c r="T65" i="18"/>
  <c r="T98" i="18"/>
  <c r="T99" i="18" s="1"/>
  <c r="AC65" i="18"/>
  <c r="AC98" i="18"/>
  <c r="AC99" i="18" s="1"/>
  <c r="AJ98" i="18"/>
  <c r="AJ99" i="18" s="1"/>
  <c r="AJ65" i="18"/>
  <c r="AI65" i="18"/>
  <c r="AI98" i="18"/>
  <c r="AI99" i="18" s="1"/>
  <c r="AB65" i="18"/>
  <c r="AB98" i="18"/>
  <c r="U65" i="18"/>
  <c r="U98" i="18"/>
  <c r="AD65" i="18"/>
  <c r="AD98" i="18"/>
  <c r="AD99" i="18" s="1"/>
  <c r="AE65" i="18"/>
  <c r="AE98" i="18"/>
  <c r="AE99" i="18" s="1"/>
  <c r="V65" i="18"/>
  <c r="V98" i="18"/>
  <c r="X65" i="18"/>
  <c r="X98" i="18"/>
  <c r="X99" i="18" s="1"/>
  <c r="W65" i="18"/>
  <c r="W98" i="18"/>
  <c r="W99" i="18" s="1"/>
  <c r="AA65" i="18"/>
  <c r="AA98" i="18"/>
  <c r="AA99" i="18" s="1"/>
  <c r="Q65" i="18"/>
  <c r="Q98" i="18"/>
  <c r="Q103" i="18" s="1"/>
  <c r="C12" i="17" s="1"/>
  <c r="AG65" i="18"/>
  <c r="AG98" i="18"/>
  <c r="AG99" i="18" s="1"/>
  <c r="Z65" i="18"/>
  <c r="Z98" i="18"/>
  <c r="Z99" i="18" s="1"/>
  <c r="AG34" i="18"/>
  <c r="AL24" i="11"/>
  <c r="AK28" i="11"/>
  <c r="AK39" i="11" s="1"/>
  <c r="AA388" i="11"/>
  <c r="AB356" i="11"/>
  <c r="AB370" i="11" s="1"/>
  <c r="AB377" i="11" s="1"/>
  <c r="AB387" i="11"/>
  <c r="AB389" i="11" s="1"/>
  <c r="AB340" i="11"/>
  <c r="S6" i="18"/>
  <c r="Q16" i="18"/>
  <c r="S14" i="16"/>
  <c r="T12" i="16"/>
  <c r="T27" i="16" s="1"/>
  <c r="AB332" i="11"/>
  <c r="AB333" i="11"/>
  <c r="AB347" i="11" s="1"/>
  <c r="AB204" i="11"/>
  <c r="AC331" i="11"/>
  <c r="AC226" i="11"/>
  <c r="AC202" i="11"/>
  <c r="AC203" i="11"/>
  <c r="AF236" i="11"/>
  <c r="AF240" i="11"/>
  <c r="AG235" i="11"/>
  <c r="AF241" i="11"/>
  <c r="AF238" i="11"/>
  <c r="AF237" i="11"/>
  <c r="AG239" i="11"/>
  <c r="AF242" i="11"/>
  <c r="AD200" i="11"/>
  <c r="Z267" i="11" l="1"/>
  <c r="Z336" i="11" s="1"/>
  <c r="Z343" i="11" s="1"/>
  <c r="Z318" i="11"/>
  <c r="Z317" i="11"/>
  <c r="AB48" i="11"/>
  <c r="BA302" i="11"/>
  <c r="BA303" i="11"/>
  <c r="BA301" i="11"/>
  <c r="BA304" i="11"/>
  <c r="BA300" i="11"/>
  <c r="BA320" i="11" s="1"/>
  <c r="Z266" i="11"/>
  <c r="Z335" i="11" s="1"/>
  <c r="Z342" i="11" s="1"/>
  <c r="Z316" i="11"/>
  <c r="Z322" i="11" s="1"/>
  <c r="Z338" i="11"/>
  <c r="Z345" i="11" s="1"/>
  <c r="Z319" i="11"/>
  <c r="E22" i="17"/>
  <c r="AI586" i="11"/>
  <c r="AY586" i="11"/>
  <c r="AR586" i="11"/>
  <c r="AX586" i="11"/>
  <c r="AW586" i="11"/>
  <c r="AS586" i="11"/>
  <c r="AM586" i="11"/>
  <c r="AL586" i="11"/>
  <c r="AV586" i="11"/>
  <c r="AK586" i="11"/>
  <c r="BA586" i="11"/>
  <c r="AQ586" i="11"/>
  <c r="AJ586" i="11"/>
  <c r="AZ586" i="11"/>
  <c r="AO586" i="11"/>
  <c r="AH586" i="11"/>
  <c r="AU586" i="11"/>
  <c r="AN586" i="11"/>
  <c r="AP586" i="11"/>
  <c r="AT586" i="11"/>
  <c r="AE586" i="11"/>
  <c r="AG586" i="11"/>
  <c r="AF586" i="11"/>
  <c r="AB586" i="11"/>
  <c r="AB587" i="11" s="1"/>
  <c r="AC586" i="11"/>
  <c r="AD586" i="11"/>
  <c r="AB569" i="11"/>
  <c r="AB465" i="11"/>
  <c r="BA461" i="11"/>
  <c r="BA462" i="11"/>
  <c r="BA460" i="11"/>
  <c r="BA464" i="11"/>
  <c r="BA463" i="11"/>
  <c r="BA533" i="11"/>
  <c r="BA529" i="11"/>
  <c r="BA547" i="11" s="1"/>
  <c r="AZ547" i="11"/>
  <c r="AZ505" i="11"/>
  <c r="AZ539" i="11" s="1"/>
  <c r="AA392" i="11"/>
  <c r="AC298" i="11"/>
  <c r="AC297" i="11"/>
  <c r="AC296" i="11"/>
  <c r="AC299" i="11"/>
  <c r="AC295" i="11"/>
  <c r="BA437" i="11"/>
  <c r="BA443" i="11" s="1"/>
  <c r="BA441" i="11"/>
  <c r="Y288" i="11"/>
  <c r="Y287" i="11"/>
  <c r="Y286" i="11"/>
  <c r="Y396" i="11"/>
  <c r="Y397" i="11"/>
  <c r="Y406" i="11" s="1"/>
  <c r="Y408" i="11" s="1"/>
  <c r="Z408" i="11" s="1"/>
  <c r="Y395" i="11"/>
  <c r="AA612" i="11"/>
  <c r="AA281" i="11"/>
  <c r="Z390" i="11"/>
  <c r="Z393" i="11" s="1"/>
  <c r="Z284" i="11"/>
  <c r="AA613" i="11"/>
  <c r="AA282" i="11"/>
  <c r="AA391" i="11" s="1"/>
  <c r="AA269" i="11"/>
  <c r="Y270" i="11"/>
  <c r="Y276" i="11" s="1"/>
  <c r="Y346" i="11"/>
  <c r="Y339" i="11"/>
  <c r="Z611" i="11"/>
  <c r="Z268" i="11"/>
  <c r="Z337" i="11" s="1"/>
  <c r="Z344" i="11" s="1"/>
  <c r="Z607" i="11"/>
  <c r="Z265" i="11"/>
  <c r="F19" i="17"/>
  <c r="AB243" i="11"/>
  <c r="AB244" i="11"/>
  <c r="AB255" i="11" s="1"/>
  <c r="AB245" i="11"/>
  <c r="AB246" i="11"/>
  <c r="AB247" i="11"/>
  <c r="AB248" i="11"/>
  <c r="AB259" i="11" s="1"/>
  <c r="AB249" i="11"/>
  <c r="AB260" i="11" s="1"/>
  <c r="AB250" i="11"/>
  <c r="Z598" i="11"/>
  <c r="Z610" i="11"/>
  <c r="Z599" i="11"/>
  <c r="Z196" i="11"/>
  <c r="Z615" i="11" s="1"/>
  <c r="D14" i="17" s="1"/>
  <c r="D25" i="17" s="1"/>
  <c r="AA601" i="11"/>
  <c r="AA600" i="11"/>
  <c r="Z609" i="11"/>
  <c r="Z597" i="11"/>
  <c r="I65" i="11"/>
  <c r="AD136" i="11"/>
  <c r="AC163" i="11"/>
  <c r="AC183" i="11" s="1"/>
  <c r="AC124" i="11"/>
  <c r="AC132" i="11" s="1"/>
  <c r="AC182" i="11" s="1"/>
  <c r="AC112" i="11"/>
  <c r="AB120" i="11"/>
  <c r="AB181" i="11" s="1"/>
  <c r="F92" i="11" s="1"/>
  <c r="AC264" i="11"/>
  <c r="AC271" i="11" s="1"/>
  <c r="AC252" i="11"/>
  <c r="Z185" i="11"/>
  <c r="Z603" i="11" s="1"/>
  <c r="AA257" i="11"/>
  <c r="AA258" i="11"/>
  <c r="AA256" i="11"/>
  <c r="AA254" i="11"/>
  <c r="AA307" i="11" s="1"/>
  <c r="AA314" i="11" s="1"/>
  <c r="BA190" i="11"/>
  <c r="AA178" i="11"/>
  <c r="AA189" i="11"/>
  <c r="AB177" i="11"/>
  <c r="AB188" i="11"/>
  <c r="AA184" i="11"/>
  <c r="AA602" i="11" s="1"/>
  <c r="AA195" i="11"/>
  <c r="AA614" i="11" s="1"/>
  <c r="AQ180" i="11"/>
  <c r="AR8" i="11"/>
  <c r="AR179" i="11" s="1"/>
  <c r="BA191" i="11"/>
  <c r="E65" i="13"/>
  <c r="F64" i="13"/>
  <c r="G64" i="13"/>
  <c r="H64" i="13"/>
  <c r="I64" i="13"/>
  <c r="J64" i="13"/>
  <c r="K64" i="13"/>
  <c r="L64" i="13"/>
  <c r="M64" i="13"/>
  <c r="N64" i="13"/>
  <c r="O64" i="13"/>
  <c r="P64" i="13"/>
  <c r="Q64" i="13"/>
  <c r="R64" i="13"/>
  <c r="S64" i="13"/>
  <c r="T64" i="13"/>
  <c r="U64" i="13"/>
  <c r="V64" i="13"/>
  <c r="W64" i="13"/>
  <c r="X64" i="13"/>
  <c r="Y64" i="13"/>
  <c r="Z64" i="13"/>
  <c r="AA64" i="13"/>
  <c r="AB64" i="13"/>
  <c r="AC64" i="13"/>
  <c r="AD64" i="13"/>
  <c r="AE64" i="13"/>
  <c r="AF64" i="13"/>
  <c r="AG64" i="13"/>
  <c r="AH64" i="13"/>
  <c r="AI64" i="13"/>
  <c r="AJ64" i="13"/>
  <c r="AK64" i="13"/>
  <c r="AC167" i="11"/>
  <c r="AB173" i="11"/>
  <c r="LY1" i="10"/>
  <c r="LZ1" i="10" s="1"/>
  <c r="MA1" i="10" s="1"/>
  <c r="MB1" i="10" s="1"/>
  <c r="MC1" i="10" s="1"/>
  <c r="MD1" i="10" s="1"/>
  <c r="ME1" i="10" s="1"/>
  <c r="MF1" i="10" s="1"/>
  <c r="MG1" i="10" s="1"/>
  <c r="MH1" i="10" s="1"/>
  <c r="MI1" i="10" s="1"/>
  <c r="MJ1" i="10" s="1"/>
  <c r="MK1" i="10" s="1"/>
  <c r="ML1" i="10" s="1"/>
  <c r="MM1" i="10" s="1"/>
  <c r="MN1" i="10" s="1"/>
  <c r="MO1" i="10" s="1"/>
  <c r="MP1" i="10" s="1"/>
  <c r="MQ1" i="10" s="1"/>
  <c r="MR1" i="10" s="1"/>
  <c r="MS1" i="10" s="1"/>
  <c r="MT1" i="10" s="1"/>
  <c r="MU1" i="10" s="1"/>
  <c r="MV1" i="10" s="1"/>
  <c r="MW1" i="10" s="1"/>
  <c r="MX1" i="10" s="1"/>
  <c r="MY1" i="10" s="1"/>
  <c r="MZ1" i="10" s="1"/>
  <c r="NA1" i="10" s="1"/>
  <c r="NB1" i="10" s="1"/>
  <c r="NC1" i="10" s="1"/>
  <c r="ND1" i="10" s="1"/>
  <c r="NE1" i="10" s="1"/>
  <c r="NF1" i="10" s="1"/>
  <c r="NG1" i="10" s="1"/>
  <c r="NH1" i="10" s="1"/>
  <c r="NI1" i="10" s="1"/>
  <c r="NJ1" i="10" s="1"/>
  <c r="NK1" i="10" s="1"/>
  <c r="NL1" i="10" s="1"/>
  <c r="NM1" i="10" s="1"/>
  <c r="NN1" i="10" s="1"/>
  <c r="NO1" i="10" s="1"/>
  <c r="NP1" i="10" s="1"/>
  <c r="NQ1" i="10" s="1"/>
  <c r="NR1" i="10" s="1"/>
  <c r="NS1" i="10" s="1"/>
  <c r="NT1" i="10" s="1"/>
  <c r="NU1" i="10" s="1"/>
  <c r="NV1" i="10" s="1"/>
  <c r="NW1" i="10" s="1"/>
  <c r="NX1" i="10" s="1"/>
  <c r="NY1" i="10" s="1"/>
  <c r="NZ1" i="10" s="1"/>
  <c r="OA1" i="10" s="1"/>
  <c r="OB1" i="10" s="1"/>
  <c r="OC1" i="10" s="1"/>
  <c r="OD1" i="10" s="1"/>
  <c r="OE1" i="10" s="1"/>
  <c r="OF1" i="10" s="1"/>
  <c r="OG1" i="10" s="1"/>
  <c r="OH1" i="10" s="1"/>
  <c r="OI1" i="10" s="1"/>
  <c r="OJ1" i="10" s="1"/>
  <c r="OK1" i="10" s="1"/>
  <c r="OL1" i="10" s="1"/>
  <c r="OM1" i="10" s="1"/>
  <c r="ON1" i="10" s="1"/>
  <c r="OO1" i="10" s="1"/>
  <c r="OP1" i="10" s="1"/>
  <c r="OQ1" i="10" s="1"/>
  <c r="OR1" i="10" s="1"/>
  <c r="OS1" i="10" s="1"/>
  <c r="OT1" i="10" s="1"/>
  <c r="OU1" i="10" s="1"/>
  <c r="OV1" i="10" s="1"/>
  <c r="OW1" i="10" s="1"/>
  <c r="OX1" i="10" s="1"/>
  <c r="OY1" i="10" s="1"/>
  <c r="OZ1" i="10" s="1"/>
  <c r="PA1" i="10" s="1"/>
  <c r="PB1" i="10" s="1"/>
  <c r="PC1" i="10" s="1"/>
  <c r="PD1" i="10" s="1"/>
  <c r="PE1" i="10" s="1"/>
  <c r="PF1" i="10" s="1"/>
  <c r="PG1" i="10" s="1"/>
  <c r="PH1" i="10" s="1"/>
  <c r="PI1" i="10" s="1"/>
  <c r="PJ1" i="10" s="1"/>
  <c r="PK1" i="10" s="1"/>
  <c r="PL1" i="10" s="1"/>
  <c r="PM1" i="10" s="1"/>
  <c r="PN1" i="10" s="1"/>
  <c r="PO1" i="10" s="1"/>
  <c r="PP1" i="10" s="1"/>
  <c r="PQ1" i="10" s="1"/>
  <c r="PR1" i="10" s="1"/>
  <c r="PS1" i="10" s="1"/>
  <c r="PT1" i="10" s="1"/>
  <c r="PU1" i="10" s="1"/>
  <c r="PV1" i="10" s="1"/>
  <c r="PW1" i="10" s="1"/>
  <c r="PX1" i="10" s="1"/>
  <c r="PY1" i="10" s="1"/>
  <c r="PZ1" i="10" s="1"/>
  <c r="QA1" i="10" s="1"/>
  <c r="QB1" i="10" s="1"/>
  <c r="QC1" i="10" s="1"/>
  <c r="QD1" i="10" s="1"/>
  <c r="QE1" i="10" s="1"/>
  <c r="QF1" i="10" s="1"/>
  <c r="QG1" i="10" s="1"/>
  <c r="QH1" i="10" s="1"/>
  <c r="QI1" i="10" s="1"/>
  <c r="QJ1" i="10" s="1"/>
  <c r="QK1" i="10" s="1"/>
  <c r="QL1" i="10" s="1"/>
  <c r="QM1" i="10" s="1"/>
  <c r="QN1" i="10" s="1"/>
  <c r="QO1" i="10" s="1"/>
  <c r="QP1" i="10" s="1"/>
  <c r="QQ1" i="10" s="1"/>
  <c r="QR1" i="10" s="1"/>
  <c r="QS1" i="10" s="1"/>
  <c r="QT1" i="10" s="1"/>
  <c r="QU1" i="10" s="1"/>
  <c r="QV1" i="10" s="1"/>
  <c r="QW1" i="10" s="1"/>
  <c r="QX1" i="10" s="1"/>
  <c r="QY1" i="10" s="1"/>
  <c r="QZ1" i="10" s="1"/>
  <c r="RA1" i="10" s="1"/>
  <c r="RB1" i="10" s="1"/>
  <c r="RC1" i="10" s="1"/>
  <c r="RD1" i="10" s="1"/>
  <c r="RE1" i="10" s="1"/>
  <c r="RF1" i="10" s="1"/>
  <c r="RG1" i="10" s="1"/>
  <c r="RH1" i="10" s="1"/>
  <c r="RI1" i="10" s="1"/>
  <c r="RJ1" i="10" s="1"/>
  <c r="RK1" i="10" s="1"/>
  <c r="RL1" i="10" s="1"/>
  <c r="RM1" i="10" s="1"/>
  <c r="RN1" i="10" s="1"/>
  <c r="RO1" i="10" s="1"/>
  <c r="RP1" i="10" s="1"/>
  <c r="RQ1" i="10" s="1"/>
  <c r="RR1" i="10" s="1"/>
  <c r="RS1" i="10" s="1"/>
  <c r="RT1" i="10" s="1"/>
  <c r="RU1" i="10" s="1"/>
  <c r="RV1" i="10" s="1"/>
  <c r="RW1" i="10" s="1"/>
  <c r="RX1" i="10" s="1"/>
  <c r="RY1" i="10" s="1"/>
  <c r="RZ1" i="10" s="1"/>
  <c r="SA1" i="10" s="1"/>
  <c r="SB1" i="10" s="1"/>
  <c r="SC1" i="10" s="1"/>
  <c r="SD1" i="10" s="1"/>
  <c r="SE1" i="10" s="1"/>
  <c r="SF1" i="10" s="1"/>
  <c r="SG1" i="10" s="1"/>
  <c r="SH1" i="10" s="1"/>
  <c r="SI1" i="10" s="1"/>
  <c r="SJ1" i="10" s="1"/>
  <c r="SK1" i="10" s="1"/>
  <c r="SL1" i="10" s="1"/>
  <c r="SM1" i="10" s="1"/>
  <c r="SN1" i="10" s="1"/>
  <c r="SO1" i="10" s="1"/>
  <c r="SP1" i="10" s="1"/>
  <c r="SQ1" i="10" s="1"/>
  <c r="SR1" i="10" s="1"/>
  <c r="SS1" i="10" s="1"/>
  <c r="ST1" i="10" s="1"/>
  <c r="SU1" i="10" s="1"/>
  <c r="SV1" i="10" s="1"/>
  <c r="SW1" i="10" s="1"/>
  <c r="SX1" i="10" s="1"/>
  <c r="SY1" i="10" s="1"/>
  <c r="SZ1" i="10" s="1"/>
  <c r="TA1" i="10" s="1"/>
  <c r="TB1" i="10" s="1"/>
  <c r="TC1" i="10" s="1"/>
  <c r="TD1" i="10" s="1"/>
  <c r="TE1" i="10" s="1"/>
  <c r="TF1" i="10" s="1"/>
  <c r="TG1" i="10" s="1"/>
  <c r="TH1" i="10" s="1"/>
  <c r="TI1" i="10" s="1"/>
  <c r="TJ1" i="10" s="1"/>
  <c r="TK1" i="10" s="1"/>
  <c r="TL1" i="10" s="1"/>
  <c r="TM1" i="10" s="1"/>
  <c r="TN1" i="10" s="1"/>
  <c r="TO1" i="10" s="1"/>
  <c r="TP1" i="10" s="1"/>
  <c r="TQ1" i="10" s="1"/>
  <c r="TR1" i="10" s="1"/>
  <c r="TS1" i="10" s="1"/>
  <c r="TT1" i="10" s="1"/>
  <c r="TU1" i="10" s="1"/>
  <c r="TV1" i="10" s="1"/>
  <c r="TW1" i="10" s="1"/>
  <c r="TX1" i="10" s="1"/>
  <c r="TY1" i="10" s="1"/>
  <c r="TZ1" i="10" s="1"/>
  <c r="UA1" i="10" s="1"/>
  <c r="UB1" i="10" s="1"/>
  <c r="UC1" i="10" s="1"/>
  <c r="UD1" i="10" s="1"/>
  <c r="UE1" i="10" s="1"/>
  <c r="UF1" i="10" s="1"/>
  <c r="UG1" i="10" s="1"/>
  <c r="UH1" i="10" s="1"/>
  <c r="UI1" i="10" s="1"/>
  <c r="UJ1" i="10" s="1"/>
  <c r="UK1" i="10" s="1"/>
  <c r="UL1" i="10" s="1"/>
  <c r="UM1" i="10" s="1"/>
  <c r="UN1" i="10" s="1"/>
  <c r="UO1" i="10" s="1"/>
  <c r="UP1" i="10" s="1"/>
  <c r="UQ1" i="10" s="1"/>
  <c r="UR1" i="10" s="1"/>
  <c r="US1" i="10" s="1"/>
  <c r="UT1" i="10" s="1"/>
  <c r="UU1" i="10" s="1"/>
  <c r="UV1" i="10" s="1"/>
  <c r="UW1" i="10" s="1"/>
  <c r="UX1" i="10" s="1"/>
  <c r="UY1" i="10" s="1"/>
  <c r="UZ1" i="10" s="1"/>
  <c r="VA1" i="10" s="1"/>
  <c r="VB1" i="10" s="1"/>
  <c r="VC1" i="10" s="1"/>
  <c r="VD1" i="10" s="1"/>
  <c r="VE1" i="10" s="1"/>
  <c r="VF1" i="10" s="1"/>
  <c r="VG1" i="10" s="1"/>
  <c r="VH1" i="10" s="1"/>
  <c r="VI1" i="10" s="1"/>
  <c r="VJ1" i="10" s="1"/>
  <c r="AC188" i="20"/>
  <c r="AA11" i="17"/>
  <c r="Z187" i="20"/>
  <c r="BL901" i="20"/>
  <c r="BK976" i="20"/>
  <c r="AC102" i="18"/>
  <c r="O10" i="17" s="1"/>
  <c r="X102" i="18"/>
  <c r="J10" i="17" s="1"/>
  <c r="S102" i="18"/>
  <c r="E10" i="17" s="1"/>
  <c r="E21" i="17" s="1"/>
  <c r="AH102" i="18"/>
  <c r="T10" i="17" s="1"/>
  <c r="AA103" i="18"/>
  <c r="M12" i="17" s="1"/>
  <c r="AK104" i="18"/>
  <c r="AL104" i="18"/>
  <c r="W102" i="18"/>
  <c r="I10" i="17" s="1"/>
  <c r="AG103" i="18"/>
  <c r="S12" i="17" s="1"/>
  <c r="AI102" i="18"/>
  <c r="U10" i="17" s="1"/>
  <c r="Z103" i="18"/>
  <c r="L12" i="17" s="1"/>
  <c r="AD102" i="18"/>
  <c r="P10" i="17" s="1"/>
  <c r="AC103" i="18"/>
  <c r="AB99" i="18"/>
  <c r="AB103" i="18"/>
  <c r="N12" i="17" s="1"/>
  <c r="AB102" i="18"/>
  <c r="N10" i="17" s="1"/>
  <c r="R99" i="18"/>
  <c r="R103" i="18"/>
  <c r="D12" i="17" s="1"/>
  <c r="D23" i="17" s="1"/>
  <c r="R102" i="18"/>
  <c r="Y99" i="18"/>
  <c r="Y102" i="18"/>
  <c r="K10" i="17" s="1"/>
  <c r="Y103" i="18"/>
  <c r="K12" i="17" s="1"/>
  <c r="W103" i="18"/>
  <c r="I12" i="17" s="1"/>
  <c r="AG102" i="18"/>
  <c r="S10" i="17" s="1"/>
  <c r="AI103" i="18"/>
  <c r="U12" i="17" s="1"/>
  <c r="Z102" i="18"/>
  <c r="L10" i="17" s="1"/>
  <c r="AE102" i="18"/>
  <c r="Q10" i="17" s="1"/>
  <c r="T102" i="18"/>
  <c r="F10" i="17" s="1"/>
  <c r="F21" i="17" s="1"/>
  <c r="AJ102" i="18"/>
  <c r="V10" i="17" s="1"/>
  <c r="V99" i="18"/>
  <c r="V103" i="18"/>
  <c r="H12" i="17" s="1"/>
  <c r="V102" i="18"/>
  <c r="H10" i="17" s="1"/>
  <c r="AF99" i="18"/>
  <c r="AF102" i="18"/>
  <c r="R10" i="17" s="1"/>
  <c r="AF103" i="18"/>
  <c r="R12" i="17" s="1"/>
  <c r="AD103" i="18"/>
  <c r="P12" i="17" s="1"/>
  <c r="U99" i="18"/>
  <c r="U103" i="18"/>
  <c r="G12" i="17" s="1"/>
  <c r="U102" i="18"/>
  <c r="G10" i="17" s="1"/>
  <c r="X103" i="18"/>
  <c r="S103" i="18"/>
  <c r="AH103" i="18"/>
  <c r="AA102" i="18"/>
  <c r="AM104" i="18"/>
  <c r="AE103" i="18"/>
  <c r="Q12" i="17" s="1"/>
  <c r="T103" i="18"/>
  <c r="F12" i="17" s="1"/>
  <c r="AJ103" i="18"/>
  <c r="V12" i="17" s="1"/>
  <c r="Q99" i="18"/>
  <c r="Q102" i="18"/>
  <c r="BM889" i="20"/>
  <c r="BM895" i="20"/>
  <c r="BL964" i="20"/>
  <c r="BL970" i="20"/>
  <c r="BL986" i="20"/>
  <c r="AB183" i="20" s="1"/>
  <c r="BL981" i="20"/>
  <c r="AB178" i="20" s="1"/>
  <c r="BL983" i="20"/>
  <c r="AB180" i="20" s="1"/>
  <c r="BL989" i="20"/>
  <c r="AB186" i="20" s="1"/>
  <c r="BL988" i="20"/>
  <c r="AB185" i="20" s="1"/>
  <c r="BK991" i="20"/>
  <c r="BL864" i="20"/>
  <c r="BL870" i="20"/>
  <c r="BK876" i="20"/>
  <c r="BL982" i="20"/>
  <c r="AB179" i="20" s="1"/>
  <c r="BL980" i="20"/>
  <c r="AB177" i="20" s="1"/>
  <c r="BL987" i="20"/>
  <c r="AB184" i="20" s="1"/>
  <c r="BL985" i="20"/>
  <c r="AB182" i="20" s="1"/>
  <c r="BL984" i="20"/>
  <c r="AB181" i="20" s="1"/>
  <c r="BN930" i="20"/>
  <c r="BN855" i="20"/>
  <c r="BN230" i="20"/>
  <c r="BN990" i="20" s="1"/>
  <c r="AC25" i="11"/>
  <c r="S20" i="18"/>
  <c r="S22" i="18"/>
  <c r="S23" i="18"/>
  <c r="S24" i="18"/>
  <c r="S25" i="18"/>
  <c r="S21" i="18"/>
  <c r="BN905" i="20"/>
  <c r="BN880" i="20"/>
  <c r="BN776" i="20"/>
  <c r="BN891" i="20" s="1"/>
  <c r="BN765" i="20"/>
  <c r="BN890" i="20" s="1"/>
  <c r="BN754" i="20"/>
  <c r="BL857" i="20"/>
  <c r="BN283" i="20"/>
  <c r="BN751" i="20"/>
  <c r="BN866" i="20" s="1"/>
  <c r="BM751" i="20"/>
  <c r="BM866" i="20" s="1"/>
  <c r="BM796" i="20"/>
  <c r="BN788" i="20"/>
  <c r="BN796" i="20" s="1"/>
  <c r="BN818" i="20"/>
  <c r="BM818" i="20"/>
  <c r="BN721" i="20"/>
  <c r="BN729" i="20" s="1"/>
  <c r="BM729" i="20"/>
  <c r="BN732" i="20"/>
  <c r="BN740" i="20" s="1"/>
  <c r="BN865" i="20" s="1"/>
  <c r="BM740" i="20"/>
  <c r="BM865" i="20" s="1"/>
  <c r="BM762" i="20"/>
  <c r="BM867" i="20" s="1"/>
  <c r="BM829" i="20"/>
  <c r="BN829" i="20"/>
  <c r="BM840" i="20"/>
  <c r="BM965" i="20" s="1"/>
  <c r="BN840" i="20"/>
  <c r="BN965" i="20" s="1"/>
  <c r="BM807" i="20"/>
  <c r="BN807" i="20"/>
  <c r="BM851" i="20"/>
  <c r="BM966" i="20" s="1"/>
  <c r="BN851" i="20"/>
  <c r="BN966" i="20" s="1"/>
  <c r="BM773" i="20"/>
  <c r="BM868" i="20" s="1"/>
  <c r="BM784" i="20"/>
  <c r="BM869" i="20" s="1"/>
  <c r="BM667" i="20"/>
  <c r="BM959" i="20" s="1"/>
  <c r="BN667" i="20"/>
  <c r="BN959" i="20" s="1"/>
  <c r="BN634" i="20"/>
  <c r="BM634" i="20"/>
  <c r="BM645" i="20"/>
  <c r="BN645" i="20"/>
  <c r="BM623" i="20"/>
  <c r="BN623" i="20"/>
  <c r="BM656" i="20"/>
  <c r="BM958" i="20" s="1"/>
  <c r="BN656" i="20"/>
  <c r="BN958" i="20" s="1"/>
  <c r="BN678" i="20"/>
  <c r="BM678" i="20"/>
  <c r="BM578" i="20"/>
  <c r="BN570" i="20"/>
  <c r="BN578" i="20" s="1"/>
  <c r="BM567" i="20"/>
  <c r="BN559" i="20"/>
  <c r="BN884" i="20" s="1"/>
  <c r="BN969" i="20" s="1"/>
  <c r="BN534" i="20"/>
  <c r="BN859" i="20" s="1"/>
  <c r="BN944" i="20" s="1"/>
  <c r="BM534" i="20"/>
  <c r="BM859" i="20" s="1"/>
  <c r="BM944" i="20" s="1"/>
  <c r="BM951" i="20" s="1"/>
  <c r="BM556" i="20"/>
  <c r="BN548" i="20"/>
  <c r="BN883" i="20" s="1"/>
  <c r="BN537" i="20"/>
  <c r="BN545" i="20" s="1"/>
  <c r="BM545" i="20"/>
  <c r="BM442" i="20"/>
  <c r="BN434" i="20"/>
  <c r="BN442" i="20" s="1"/>
  <c r="BN414" i="20"/>
  <c r="BN422" i="20" s="1"/>
  <c r="BM422" i="20"/>
  <c r="BM462" i="20"/>
  <c r="BN454" i="20"/>
  <c r="BN462" i="20" s="1"/>
  <c r="BM472" i="20"/>
  <c r="BN464" i="20"/>
  <c r="BN472" i="20" s="1"/>
  <c r="BM432" i="20"/>
  <c r="BM907" i="20" s="1"/>
  <c r="BM926" i="20" s="1"/>
  <c r="BN424" i="20"/>
  <c r="BN432" i="20" s="1"/>
  <c r="BN907" i="20" s="1"/>
  <c r="BN444" i="20"/>
  <c r="BN452" i="20" s="1"/>
  <c r="BM452" i="20"/>
  <c r="BN327" i="20"/>
  <c r="BN335" i="20" s="1"/>
  <c r="BM335" i="20"/>
  <c r="BN307" i="20"/>
  <c r="BN315" i="20" s="1"/>
  <c r="BM315" i="20"/>
  <c r="BM325" i="20"/>
  <c r="BN317" i="20"/>
  <c r="BN325" i="20" s="1"/>
  <c r="BN297" i="20"/>
  <c r="BN305" i="20" s="1"/>
  <c r="BM305" i="20"/>
  <c r="BN347" i="20"/>
  <c r="BN355" i="20" s="1"/>
  <c r="BM355" i="20"/>
  <c r="BN337" i="20"/>
  <c r="BN345" i="20" s="1"/>
  <c r="BM345" i="20"/>
  <c r="BM382" i="20"/>
  <c r="BN382" i="20"/>
  <c r="BA42" i="11"/>
  <c r="BA40" i="11"/>
  <c r="BA44" i="11"/>
  <c r="BA43" i="11"/>
  <c r="BA41" i="11"/>
  <c r="AZ45" i="11"/>
  <c r="AB388" i="11"/>
  <c r="AB52" i="11"/>
  <c r="AB87" i="11" s="1"/>
  <c r="AC332" i="11"/>
  <c r="AH34" i="18"/>
  <c r="AC387" i="11"/>
  <c r="AC389" i="11" s="1"/>
  <c r="AC340" i="11"/>
  <c r="AM24" i="11"/>
  <c r="AL28" i="11"/>
  <c r="AL39" i="11" s="1"/>
  <c r="R26" i="18"/>
  <c r="T6" i="18"/>
  <c r="R16" i="18"/>
  <c r="T14" i="16"/>
  <c r="U12" i="16"/>
  <c r="U27" i="16" s="1"/>
  <c r="AC333" i="11"/>
  <c r="AC347" i="11" s="1"/>
  <c r="AC356" i="11"/>
  <c r="AC370" i="11" s="1"/>
  <c r="AC377" i="11" s="1"/>
  <c r="AD203" i="11"/>
  <c r="AB261" i="11"/>
  <c r="AB283" i="11" s="1"/>
  <c r="AB392" i="11" s="1"/>
  <c r="AC204" i="11"/>
  <c r="AD226" i="11"/>
  <c r="AD331" i="11"/>
  <c r="AD202" i="11"/>
  <c r="AG242" i="11"/>
  <c r="AG241" i="11"/>
  <c r="AG237" i="11"/>
  <c r="AG240" i="11"/>
  <c r="AH239" i="11"/>
  <c r="AG238" i="11"/>
  <c r="AH235" i="11"/>
  <c r="AG236" i="11"/>
  <c r="AE200" i="11"/>
  <c r="AA267" i="11" l="1"/>
  <c r="AA336" i="11" s="1"/>
  <c r="AA343" i="11" s="1"/>
  <c r="AA318" i="11"/>
  <c r="AA317" i="11"/>
  <c r="AC48" i="11"/>
  <c r="AC305" i="11"/>
  <c r="AA266" i="11"/>
  <c r="AA335" i="11" s="1"/>
  <c r="AA342" i="11" s="1"/>
  <c r="AA316" i="11"/>
  <c r="AA322" i="11" s="1"/>
  <c r="AA338" i="11"/>
  <c r="AA345" i="11" s="1"/>
  <c r="AA319" i="11"/>
  <c r="F23" i="17"/>
  <c r="F22" i="17"/>
  <c r="AC587" i="11"/>
  <c r="AB588" i="11"/>
  <c r="AC569" i="11"/>
  <c r="AC465" i="11"/>
  <c r="BA505" i="11"/>
  <c r="BA539" i="11" s="1"/>
  <c r="BA497" i="11"/>
  <c r="BA536" i="11" s="1"/>
  <c r="AZ530" i="11"/>
  <c r="Y349" i="11"/>
  <c r="Y360" i="11" s="1"/>
  <c r="Y362" i="11" s="1"/>
  <c r="Y372" i="11" s="1"/>
  <c r="Y348" i="11"/>
  <c r="Y357" i="11" s="1"/>
  <c r="Y359" i="11" s="1"/>
  <c r="Y371" i="11" s="1"/>
  <c r="Y350" i="11"/>
  <c r="Y363" i="11" s="1"/>
  <c r="Y365" i="11" s="1"/>
  <c r="Y373" i="11" s="1"/>
  <c r="Y352" i="11"/>
  <c r="Y351" i="11"/>
  <c r="Y366" i="11" s="1"/>
  <c r="Y368" i="11" s="1"/>
  <c r="Y374" i="11" s="1"/>
  <c r="AD297" i="11"/>
  <c r="AD298" i="11"/>
  <c r="AD299" i="11"/>
  <c r="AD295" i="11"/>
  <c r="AD305" i="11" s="1"/>
  <c r="AD296" i="11"/>
  <c r="Y274" i="11"/>
  <c r="Y272" i="11"/>
  <c r="Y273" i="11"/>
  <c r="AB613" i="11"/>
  <c r="AB282" i="11"/>
  <c r="AB391" i="11" s="1"/>
  <c r="AA390" i="11"/>
  <c r="AA393" i="11" s="1"/>
  <c r="AA284" i="11"/>
  <c r="AB612" i="11"/>
  <c r="AB281" i="11"/>
  <c r="Y289" i="11"/>
  <c r="Z287" i="11"/>
  <c r="Z286" i="11"/>
  <c r="Z288" i="11"/>
  <c r="Y398" i="11"/>
  <c r="Y402" i="11"/>
  <c r="Y404" i="11" s="1"/>
  <c r="Z404" i="11" s="1"/>
  <c r="Z395" i="11"/>
  <c r="Z402" i="11" s="1"/>
  <c r="Z396" i="11"/>
  <c r="Z397" i="11"/>
  <c r="Y413" i="11"/>
  <c r="Y418" i="11" s="1"/>
  <c r="Y275" i="11"/>
  <c r="AB269" i="11"/>
  <c r="Z270" i="11"/>
  <c r="Z334" i="11"/>
  <c r="AA265" i="11"/>
  <c r="AA611" i="11"/>
  <c r="AA268" i="11"/>
  <c r="AA337" i="11" s="1"/>
  <c r="AA344" i="11" s="1"/>
  <c r="G19" i="17"/>
  <c r="AC243" i="11"/>
  <c r="AC244" i="11"/>
  <c r="AC255" i="11" s="1"/>
  <c r="AC245" i="11"/>
  <c r="AC246" i="11"/>
  <c r="AC247" i="11"/>
  <c r="AC248" i="11"/>
  <c r="AC259" i="11" s="1"/>
  <c r="AC249" i="11"/>
  <c r="AC260" i="11" s="1"/>
  <c r="AC250" i="11"/>
  <c r="AC261" i="11" s="1"/>
  <c r="AC283" i="11" s="1"/>
  <c r="AA599" i="11"/>
  <c r="AA607" i="11"/>
  <c r="AA609" i="11"/>
  <c r="AA597" i="11"/>
  <c r="AA598" i="11"/>
  <c r="AA610" i="11"/>
  <c r="AB601" i="11"/>
  <c r="AB600" i="11"/>
  <c r="I66" i="11"/>
  <c r="AE136" i="11"/>
  <c r="AD163" i="11"/>
  <c r="AD183" i="11" s="1"/>
  <c r="AD124" i="11"/>
  <c r="AD132" i="11" s="1"/>
  <c r="AD182" i="11" s="1"/>
  <c r="AD112" i="11"/>
  <c r="AC120" i="11"/>
  <c r="AC181" i="11" s="1"/>
  <c r="AA196" i="11"/>
  <c r="AA615" i="11" s="1"/>
  <c r="E14" i="17" s="1"/>
  <c r="E25" i="17" s="1"/>
  <c r="AD264" i="11"/>
  <c r="AD271" i="11" s="1"/>
  <c r="AD252" i="11"/>
  <c r="AA185" i="11"/>
  <c r="AA603" i="11" s="1"/>
  <c r="AB256" i="11"/>
  <c r="AB254" i="11"/>
  <c r="AB307" i="11" s="1"/>
  <c r="AB314" i="11" s="1"/>
  <c r="AB258" i="11"/>
  <c r="AB257" i="11"/>
  <c r="AB184" i="11"/>
  <c r="AB602" i="11" s="1"/>
  <c r="AB195" i="11"/>
  <c r="AB614" i="11" s="1"/>
  <c r="AB178" i="11"/>
  <c r="AB189" i="11"/>
  <c r="AC177" i="11"/>
  <c r="AC188" i="11"/>
  <c r="AS8" i="11"/>
  <c r="AS179" i="11" s="1"/>
  <c r="AR180" i="11"/>
  <c r="E66" i="13"/>
  <c r="F65" i="13"/>
  <c r="G65" i="13"/>
  <c r="H65" i="13"/>
  <c r="I65" i="13"/>
  <c r="J65" i="13"/>
  <c r="K65" i="13"/>
  <c r="L65" i="13"/>
  <c r="M65" i="13"/>
  <c r="N65" i="13"/>
  <c r="O65" i="13"/>
  <c r="P65" i="13"/>
  <c r="Q65" i="13"/>
  <c r="R65" i="13"/>
  <c r="S65" i="13"/>
  <c r="T65" i="13"/>
  <c r="U65" i="13"/>
  <c r="V65" i="13"/>
  <c r="W65" i="13"/>
  <c r="X65" i="13"/>
  <c r="Y65" i="13"/>
  <c r="Z65" i="13"/>
  <c r="AA65" i="13"/>
  <c r="AB65" i="13"/>
  <c r="AC65" i="13"/>
  <c r="AD65" i="13"/>
  <c r="AE65" i="13"/>
  <c r="AF65" i="13"/>
  <c r="AG65" i="13"/>
  <c r="AH65" i="13"/>
  <c r="AI65" i="13"/>
  <c r="AJ65" i="13"/>
  <c r="AK65" i="13"/>
  <c r="AD167" i="11"/>
  <c r="AC173" i="11"/>
  <c r="AD25" i="11"/>
  <c r="AB11" i="17"/>
  <c r="AA187" i="20"/>
  <c r="AD188" i="20"/>
  <c r="BM901" i="20"/>
  <c r="BN951" i="20"/>
  <c r="BL976" i="20"/>
  <c r="AH104" i="18"/>
  <c r="T12" i="17"/>
  <c r="X104" i="18"/>
  <c r="J12" i="17"/>
  <c r="AA104" i="18"/>
  <c r="M10" i="17"/>
  <c r="R104" i="18"/>
  <c r="D10" i="17"/>
  <c r="D21" i="17" s="1"/>
  <c r="Q104" i="18"/>
  <c r="C10" i="17"/>
  <c r="S104" i="18"/>
  <c r="E12" i="17"/>
  <c r="E23" i="17" s="1"/>
  <c r="AC104" i="18"/>
  <c r="O12" i="17"/>
  <c r="AF104" i="18"/>
  <c r="U104" i="18"/>
  <c r="V104" i="18"/>
  <c r="T104" i="18"/>
  <c r="AG104" i="18"/>
  <c r="AE104" i="18"/>
  <c r="AI104" i="18"/>
  <c r="Z104" i="18"/>
  <c r="AJ104" i="18"/>
  <c r="Y104" i="18"/>
  <c r="AB104" i="18"/>
  <c r="AD104" i="18"/>
  <c r="W104" i="18"/>
  <c r="BN964" i="20"/>
  <c r="BN970" i="20"/>
  <c r="BM964" i="20"/>
  <c r="BM970" i="20"/>
  <c r="BN889" i="20"/>
  <c r="BN895" i="20"/>
  <c r="BM988" i="20"/>
  <c r="AC185" i="20" s="1"/>
  <c r="BM985" i="20"/>
  <c r="AC182" i="20" s="1"/>
  <c r="BM983" i="20"/>
  <c r="AC180" i="20" s="1"/>
  <c r="BL876" i="20"/>
  <c r="BM986" i="20"/>
  <c r="AC183" i="20" s="1"/>
  <c r="BM864" i="20"/>
  <c r="BM870" i="20"/>
  <c r="BN864" i="20"/>
  <c r="BN870" i="20"/>
  <c r="BM981" i="20"/>
  <c r="AC178" i="20" s="1"/>
  <c r="BM982" i="20"/>
  <c r="AC179" i="20" s="1"/>
  <c r="BL991" i="20"/>
  <c r="BN980" i="20"/>
  <c r="AD177" i="20" s="1"/>
  <c r="BM980" i="20"/>
  <c r="AC177" i="20" s="1"/>
  <c r="BM989" i="20"/>
  <c r="AC186" i="20" s="1"/>
  <c r="BM987" i="20"/>
  <c r="AC184" i="20" s="1"/>
  <c r="BM984" i="20"/>
  <c r="AC181" i="20" s="1"/>
  <c r="VK1" i="10"/>
  <c r="BN762" i="20"/>
  <c r="BN867" i="20" s="1"/>
  <c r="T23" i="18"/>
  <c r="T24" i="18"/>
  <c r="T21" i="18"/>
  <c r="T20" i="18"/>
  <c r="T22" i="18"/>
  <c r="T25" i="18"/>
  <c r="BN784" i="20"/>
  <c r="BN869" i="20" s="1"/>
  <c r="BN926" i="20"/>
  <c r="BN567" i="20"/>
  <c r="BN556" i="20"/>
  <c r="BN773" i="20"/>
  <c r="BN868" i="20" s="1"/>
  <c r="BN857" i="20"/>
  <c r="BM857" i="20"/>
  <c r="BA45" i="11"/>
  <c r="AC52" i="11"/>
  <c r="AC87" i="11" s="1"/>
  <c r="AI34" i="18"/>
  <c r="AC388" i="11"/>
  <c r="AD356" i="11"/>
  <c r="AD370" i="11" s="1"/>
  <c r="AD377" i="11" s="1"/>
  <c r="AD387" i="11"/>
  <c r="AD389" i="11" s="1"/>
  <c r="AD340" i="11"/>
  <c r="AN24" i="11"/>
  <c r="AM28" i="11"/>
  <c r="AM39" i="11" s="1"/>
  <c r="S26" i="18"/>
  <c r="U6" i="18"/>
  <c r="U14" i="16"/>
  <c r="V12" i="16"/>
  <c r="V27" i="16" s="1"/>
  <c r="AD204" i="11"/>
  <c r="AD332" i="11"/>
  <c r="AD333" i="11"/>
  <c r="AD347" i="11" s="1"/>
  <c r="AE226" i="11"/>
  <c r="AE331" i="11"/>
  <c r="AE202" i="11"/>
  <c r="AE203" i="11"/>
  <c r="AH240" i="11"/>
  <c r="AI235" i="11"/>
  <c r="AI239" i="11"/>
  <c r="AH238" i="11"/>
  <c r="AH236" i="11"/>
  <c r="AH241" i="11"/>
  <c r="AH237" i="11"/>
  <c r="AH242" i="11"/>
  <c r="AF200" i="11"/>
  <c r="AB266" i="11" l="1"/>
  <c r="AB335" i="11" s="1"/>
  <c r="AB342" i="11" s="1"/>
  <c r="AB316" i="11"/>
  <c r="AD48" i="11"/>
  <c r="AB267" i="11"/>
  <c r="AB336" i="11" s="1"/>
  <c r="AB343" i="11" s="1"/>
  <c r="AB318" i="11"/>
  <c r="AB317" i="11"/>
  <c r="AB322" i="11" s="1"/>
  <c r="AB338" i="11"/>
  <c r="AB345" i="11" s="1"/>
  <c r="AB319" i="11"/>
  <c r="G22" i="17"/>
  <c r="G21" i="17"/>
  <c r="G23" i="17"/>
  <c r="AB446" i="11"/>
  <c r="AB550" i="11"/>
  <c r="AB447" i="11"/>
  <c r="AB551" i="11"/>
  <c r="AB448" i="11"/>
  <c r="AB552" i="11"/>
  <c r="AD587" i="11"/>
  <c r="AC588" i="11"/>
  <c r="AD569" i="11"/>
  <c r="AD465" i="11"/>
  <c r="BA530" i="11"/>
  <c r="Z359" i="11"/>
  <c r="Y378" i="11"/>
  <c r="AE296" i="11"/>
  <c r="AE297" i="11"/>
  <c r="AE298" i="11"/>
  <c r="AE299" i="11"/>
  <c r="AE295" i="11"/>
  <c r="AE305" i="11" s="1"/>
  <c r="Y379" i="11"/>
  <c r="Z362" i="11"/>
  <c r="Y380" i="11"/>
  <c r="Z365" i="11"/>
  <c r="Y381" i="11"/>
  <c r="Z368" i="11"/>
  <c r="AC392" i="11"/>
  <c r="Y277" i="11"/>
  <c r="Y353" i="11"/>
  <c r="AC613" i="11"/>
  <c r="AC282" i="11"/>
  <c r="AC391" i="11" s="1"/>
  <c r="AA395" i="11"/>
  <c r="AA402" i="11" s="1"/>
  <c r="AA396" i="11"/>
  <c r="AA397" i="11"/>
  <c r="AA406" i="11" s="1"/>
  <c r="Z398" i="11"/>
  <c r="Z406" i="11"/>
  <c r="Y369" i="11"/>
  <c r="AC612" i="11"/>
  <c r="AC281" i="11"/>
  <c r="Z289" i="11"/>
  <c r="AB390" i="11"/>
  <c r="AB393" i="11" s="1"/>
  <c r="AB284" i="11"/>
  <c r="AA286" i="11"/>
  <c r="AA287" i="11"/>
  <c r="AA288" i="11"/>
  <c r="Y411" i="11"/>
  <c r="Y416" i="11" s="1"/>
  <c r="Y405" i="11"/>
  <c r="AC269" i="11"/>
  <c r="Z341" i="11"/>
  <c r="Z339" i="11"/>
  <c r="AB611" i="11"/>
  <c r="AB268" i="11"/>
  <c r="AB337" i="11" s="1"/>
  <c r="AB344" i="11" s="1"/>
  <c r="AA270" i="11"/>
  <c r="AA334" i="11"/>
  <c r="Z272" i="11"/>
  <c r="Z273" i="11"/>
  <c r="Z274" i="11"/>
  <c r="Z275" i="11"/>
  <c r="Z276" i="11"/>
  <c r="AB607" i="11"/>
  <c r="AB265" i="11"/>
  <c r="H19" i="17"/>
  <c r="AD243" i="11"/>
  <c r="AD245" i="11"/>
  <c r="AD250" i="11"/>
  <c r="AD261" i="11" s="1"/>
  <c r="AD283" i="11" s="1"/>
  <c r="AD246" i="11"/>
  <c r="AD247" i="11"/>
  <c r="AD248" i="11"/>
  <c r="AD259" i="11" s="1"/>
  <c r="AD244" i="11"/>
  <c r="AD255" i="11" s="1"/>
  <c r="AD249" i="11"/>
  <c r="AD260" i="11" s="1"/>
  <c r="AB610" i="11"/>
  <c r="AB598" i="11"/>
  <c r="AC601" i="11"/>
  <c r="AB609" i="11"/>
  <c r="AB597" i="11"/>
  <c r="AC600" i="11"/>
  <c r="AB599" i="11"/>
  <c r="I67" i="11"/>
  <c r="AF136" i="11"/>
  <c r="AE163" i="11"/>
  <c r="AE183" i="11" s="1"/>
  <c r="AE124" i="11"/>
  <c r="AE132" i="11" s="1"/>
  <c r="AE182" i="11" s="1"/>
  <c r="AE112" i="11"/>
  <c r="AD120" i="11"/>
  <c r="AD181" i="11" s="1"/>
  <c r="AE264" i="11"/>
  <c r="AE271" i="11" s="1"/>
  <c r="AE252" i="11"/>
  <c r="AB196" i="11"/>
  <c r="AB615" i="11" s="1"/>
  <c r="F14" i="17" s="1"/>
  <c r="F25" i="17" s="1"/>
  <c r="AC256" i="11"/>
  <c r="AC254" i="11"/>
  <c r="AC307" i="11" s="1"/>
  <c r="AC314" i="11" s="1"/>
  <c r="AC257" i="11"/>
  <c r="AC258" i="11"/>
  <c r="AB185" i="11"/>
  <c r="AB603" i="11" s="1"/>
  <c r="AC178" i="11"/>
  <c r="AC189" i="11"/>
  <c r="AC184" i="11"/>
  <c r="AC602" i="11" s="1"/>
  <c r="AC195" i="11"/>
  <c r="AC614" i="11" s="1"/>
  <c r="AS180" i="11"/>
  <c r="AT8" i="11"/>
  <c r="AT179" i="11" s="1"/>
  <c r="AD188" i="11"/>
  <c r="AD177" i="11"/>
  <c r="E67" i="13"/>
  <c r="F66" i="13"/>
  <c r="G66" i="13"/>
  <c r="H66" i="13"/>
  <c r="I66" i="13"/>
  <c r="J66" i="13"/>
  <c r="K66" i="13"/>
  <c r="L66" i="13"/>
  <c r="M66" i="13"/>
  <c r="N66" i="13"/>
  <c r="O66" i="13"/>
  <c r="P66" i="13"/>
  <c r="Q66" i="13"/>
  <c r="R66" i="13"/>
  <c r="S66" i="13"/>
  <c r="T66" i="13"/>
  <c r="U66" i="13"/>
  <c r="V66" i="13"/>
  <c r="W66" i="13"/>
  <c r="X66" i="13"/>
  <c r="Y66" i="13"/>
  <c r="Z66" i="13"/>
  <c r="AA66" i="13"/>
  <c r="AB66" i="13"/>
  <c r="AC66" i="13"/>
  <c r="AD66" i="13"/>
  <c r="AE66" i="13"/>
  <c r="AF66" i="13"/>
  <c r="AG66" i="13"/>
  <c r="AH66" i="13"/>
  <c r="AI66" i="13"/>
  <c r="AJ66" i="13"/>
  <c r="AK66" i="13"/>
  <c r="AE25" i="11"/>
  <c r="AE167" i="11"/>
  <c r="AD173" i="11"/>
  <c r="AC11" i="17"/>
  <c r="AB187" i="20"/>
  <c r="BN901" i="20"/>
  <c r="BN976" i="20"/>
  <c r="BN981" i="20"/>
  <c r="AD178" i="20" s="1"/>
  <c r="BM976" i="20"/>
  <c r="BN988" i="20"/>
  <c r="AD185" i="20" s="1"/>
  <c r="BN987" i="20"/>
  <c r="AD184" i="20" s="1"/>
  <c r="BN982" i="20"/>
  <c r="AD179" i="20" s="1"/>
  <c r="BN989" i="20"/>
  <c r="AD186" i="20" s="1"/>
  <c r="BN986" i="20"/>
  <c r="AD183" i="20" s="1"/>
  <c r="BN985" i="20"/>
  <c r="AD182" i="20" s="1"/>
  <c r="BN983" i="20"/>
  <c r="AD180" i="20" s="1"/>
  <c r="BN984" i="20"/>
  <c r="AD181" i="20" s="1"/>
  <c r="BM876" i="20"/>
  <c r="BM991" i="20"/>
  <c r="VL1" i="10"/>
  <c r="BN876" i="20"/>
  <c r="U22" i="18"/>
  <c r="U23" i="18"/>
  <c r="U21" i="18"/>
  <c r="U20" i="18"/>
  <c r="U24" i="18"/>
  <c r="U25" i="18"/>
  <c r="AD52" i="11"/>
  <c r="AD87" i="11" s="1"/>
  <c r="AJ34" i="18"/>
  <c r="AE387" i="11"/>
  <c r="AE389" i="11" s="1"/>
  <c r="AE340" i="11"/>
  <c r="AO24" i="11"/>
  <c r="AN28" i="11"/>
  <c r="AN39" i="11" s="1"/>
  <c r="AD388" i="11"/>
  <c r="AE388" i="11" s="1"/>
  <c r="T26" i="18"/>
  <c r="V6" i="18"/>
  <c r="V14" i="16"/>
  <c r="W12" i="16"/>
  <c r="W27" i="16" s="1"/>
  <c r="AE333" i="11"/>
  <c r="AE347" i="11" s="1"/>
  <c r="AE356" i="11"/>
  <c r="AE370" i="11" s="1"/>
  <c r="AE377" i="11" s="1"/>
  <c r="AE332" i="11"/>
  <c r="AF331" i="11"/>
  <c r="AF226" i="11"/>
  <c r="AF202" i="11"/>
  <c r="AF203" i="11"/>
  <c r="AE204" i="11"/>
  <c r="AI241" i="11"/>
  <c r="AJ235" i="11"/>
  <c r="AI242" i="11"/>
  <c r="AI238" i="11"/>
  <c r="AI237" i="11"/>
  <c r="AI236" i="11"/>
  <c r="AJ239" i="11"/>
  <c r="AI240" i="11"/>
  <c r="AG200" i="11"/>
  <c r="AE48" i="11" l="1"/>
  <c r="AC267" i="11"/>
  <c r="AC336" i="11" s="1"/>
  <c r="AC343" i="11" s="1"/>
  <c r="AC318" i="11"/>
  <c r="AC317" i="11"/>
  <c r="AC338" i="11"/>
  <c r="AC345" i="11" s="1"/>
  <c r="AC319" i="11"/>
  <c r="AC266" i="11"/>
  <c r="AC335" i="11" s="1"/>
  <c r="AC342" i="11" s="1"/>
  <c r="AC316" i="11"/>
  <c r="AC322" i="11" s="1"/>
  <c r="H22" i="17"/>
  <c r="H21" i="17"/>
  <c r="H23" i="17"/>
  <c r="AD588" i="11"/>
  <c r="AE587" i="11"/>
  <c r="AB560" i="11"/>
  <c r="AB576" i="11" s="1"/>
  <c r="AB452" i="11"/>
  <c r="AB558" i="11"/>
  <c r="AB574" i="11" s="1"/>
  <c r="AB456" i="11"/>
  <c r="AB472" i="11" s="1"/>
  <c r="AB454" i="11"/>
  <c r="AB470" i="11" s="1"/>
  <c r="AB455" i="11"/>
  <c r="AB471" i="11" s="1"/>
  <c r="AB559" i="11"/>
  <c r="AB575" i="11" s="1"/>
  <c r="AB556" i="11"/>
  <c r="AB557" i="11"/>
  <c r="AB573" i="11" s="1"/>
  <c r="AB453" i="11"/>
  <c r="AB469" i="11" s="1"/>
  <c r="AC447" i="11"/>
  <c r="AC552" i="11"/>
  <c r="AC446" i="11"/>
  <c r="AC550" i="11"/>
  <c r="AC448" i="11"/>
  <c r="AC551" i="11"/>
  <c r="AF25" i="11"/>
  <c r="AE569" i="11"/>
  <c r="AE465" i="11"/>
  <c r="Y476" i="11"/>
  <c r="Y595" i="11" s="1"/>
  <c r="AA408" i="11"/>
  <c r="Y375" i="11"/>
  <c r="Y382" i="11" s="1"/>
  <c r="Y580" i="11" s="1"/>
  <c r="AB403" i="11"/>
  <c r="AC403" i="11"/>
  <c r="AD403" i="11"/>
  <c r="AB407" i="11"/>
  <c r="AC407" i="11"/>
  <c r="AD407" i="11"/>
  <c r="AA404" i="11"/>
  <c r="AF296" i="11"/>
  <c r="AF297" i="11"/>
  <c r="AF298" i="11"/>
  <c r="AF299" i="11"/>
  <c r="AF295" i="11"/>
  <c r="AD392" i="11"/>
  <c r="AA398" i="11"/>
  <c r="AD612" i="11"/>
  <c r="AD281" i="11"/>
  <c r="Y409" i="11"/>
  <c r="Y412" i="11"/>
  <c r="Z413" i="11"/>
  <c r="Z418" i="11" s="1"/>
  <c r="AD613" i="11"/>
  <c r="AD282" i="11"/>
  <c r="AD391" i="11" s="1"/>
  <c r="AB397" i="11"/>
  <c r="AB406" i="11" s="1"/>
  <c r="AB395" i="11"/>
  <c r="AB396" i="11"/>
  <c r="AA289" i="11"/>
  <c r="AC284" i="11"/>
  <c r="AC390" i="11"/>
  <c r="AC393" i="11" s="1"/>
  <c r="Z411" i="11"/>
  <c r="Z416" i="11" s="1"/>
  <c r="Z405" i="11"/>
  <c r="Z412" i="11" s="1"/>
  <c r="Z417" i="11" s="1"/>
  <c r="AB286" i="11"/>
  <c r="AB287" i="11"/>
  <c r="AB288" i="11"/>
  <c r="Z277" i="11"/>
  <c r="AD269" i="11"/>
  <c r="AC611" i="11"/>
  <c r="AC268" i="11"/>
  <c r="AC337" i="11" s="1"/>
  <c r="AC344" i="11" s="1"/>
  <c r="AC265" i="11"/>
  <c r="AB270" i="11"/>
  <c r="AB334" i="11"/>
  <c r="AA341" i="11"/>
  <c r="AA339" i="11"/>
  <c r="AA272" i="11"/>
  <c r="AA273" i="11"/>
  <c r="AA274" i="11"/>
  <c r="AA275" i="11"/>
  <c r="AA276" i="11"/>
  <c r="Z346" i="11"/>
  <c r="Z374" i="11" s="1"/>
  <c r="I19" i="17"/>
  <c r="AE243" i="11"/>
  <c r="AE244" i="11"/>
  <c r="AE255" i="11" s="1"/>
  <c r="AE245" i="11"/>
  <c r="AE246" i="11"/>
  <c r="AE247" i="11"/>
  <c r="AE248" i="11"/>
  <c r="AE259" i="11" s="1"/>
  <c r="AE249" i="11"/>
  <c r="AE260" i="11" s="1"/>
  <c r="AE250" i="11"/>
  <c r="AE261" i="11" s="1"/>
  <c r="AE283" i="11" s="1"/>
  <c r="AE392" i="11" s="1"/>
  <c r="AD600" i="11"/>
  <c r="AC607" i="11"/>
  <c r="AC598" i="11"/>
  <c r="AC610" i="11"/>
  <c r="AC609" i="11"/>
  <c r="AC597" i="11"/>
  <c r="AD601" i="11"/>
  <c r="AC599" i="11"/>
  <c r="I68" i="11"/>
  <c r="AG136" i="11"/>
  <c r="AF163" i="11"/>
  <c r="AF183" i="11" s="1"/>
  <c r="AF124" i="11"/>
  <c r="AF132" i="11" s="1"/>
  <c r="AF182" i="11" s="1"/>
  <c r="AF112" i="11"/>
  <c r="AE120" i="11"/>
  <c r="AE181" i="11" s="1"/>
  <c r="AF264" i="11"/>
  <c r="AF271" i="11" s="1"/>
  <c r="AF252" i="11"/>
  <c r="AC185" i="11"/>
  <c r="AC603" i="11" s="1"/>
  <c r="AC196" i="11"/>
  <c r="AC615" i="11" s="1"/>
  <c r="G14" i="17" s="1"/>
  <c r="G25" i="17" s="1"/>
  <c r="AD257" i="11"/>
  <c r="AD254" i="11"/>
  <c r="AD307" i="11" s="1"/>
  <c r="AD314" i="11" s="1"/>
  <c r="AD258" i="11"/>
  <c r="AD256" i="11"/>
  <c r="AT180" i="11"/>
  <c r="AU8" i="11"/>
  <c r="AU179" i="11" s="1"/>
  <c r="AD178" i="11"/>
  <c r="AD189" i="11"/>
  <c r="AD184" i="11"/>
  <c r="AD195" i="11"/>
  <c r="AD614" i="11" s="1"/>
  <c r="F88" i="11"/>
  <c r="AE188" i="11"/>
  <c r="AE177" i="11"/>
  <c r="E68" i="13"/>
  <c r="F67" i="13"/>
  <c r="G67" i="13"/>
  <c r="H67" i="13"/>
  <c r="I67" i="13"/>
  <c r="J67" i="13"/>
  <c r="K67" i="13"/>
  <c r="L67" i="13"/>
  <c r="M67" i="13"/>
  <c r="N67" i="13"/>
  <c r="O67" i="13"/>
  <c r="P67" i="13"/>
  <c r="Q67" i="13"/>
  <c r="R67" i="13"/>
  <c r="S67" i="13"/>
  <c r="T67" i="13"/>
  <c r="U67" i="13"/>
  <c r="V67" i="13"/>
  <c r="W67" i="13"/>
  <c r="X67" i="13"/>
  <c r="Y67" i="13"/>
  <c r="Z67" i="13"/>
  <c r="AA67" i="13"/>
  <c r="AB67" i="13"/>
  <c r="AC67" i="13"/>
  <c r="AD67" i="13"/>
  <c r="AE67" i="13"/>
  <c r="AF67" i="13"/>
  <c r="AG67" i="13"/>
  <c r="AH67" i="13"/>
  <c r="AI67" i="13"/>
  <c r="AJ67" i="13"/>
  <c r="AK67" i="13"/>
  <c r="AF167" i="11"/>
  <c r="AE173" i="11"/>
  <c r="AD11" i="17"/>
  <c r="AC187" i="20"/>
  <c r="BN991" i="20"/>
  <c r="VM1" i="10"/>
  <c r="V22" i="18"/>
  <c r="V23" i="18"/>
  <c r="V24" i="18"/>
  <c r="V25" i="18"/>
  <c r="V21" i="18"/>
  <c r="V20" i="18"/>
  <c r="AE52" i="11"/>
  <c r="AE87" i="11" s="1"/>
  <c r="W6" i="18"/>
  <c r="AK34" i="18"/>
  <c r="AP24" i="11"/>
  <c r="AO28" i="11"/>
  <c r="AO39" i="11" s="1"/>
  <c r="AF387" i="11"/>
  <c r="AF389" i="11" s="1"/>
  <c r="AF340" i="11"/>
  <c r="U26" i="18"/>
  <c r="W14" i="16"/>
  <c r="X12" i="16"/>
  <c r="X27" i="16" s="1"/>
  <c r="AF333" i="11"/>
  <c r="AF347" i="11" s="1"/>
  <c r="AF356" i="11"/>
  <c r="AF370" i="11" s="1"/>
  <c r="AF377" i="11" s="1"/>
  <c r="AG203" i="11"/>
  <c r="AG331" i="11"/>
  <c r="AG226" i="11"/>
  <c r="AG202" i="11"/>
  <c r="AF204" i="11"/>
  <c r="AF332" i="11"/>
  <c r="AJ240" i="11"/>
  <c r="AJ238" i="11"/>
  <c r="AJ236" i="11"/>
  <c r="AK235" i="11"/>
  <c r="AK239" i="11"/>
  <c r="AJ237" i="11"/>
  <c r="AJ242" i="11"/>
  <c r="AJ241" i="11"/>
  <c r="AH200" i="11"/>
  <c r="AF305" i="11" l="1"/>
  <c r="AD267" i="11"/>
  <c r="AD336" i="11" s="1"/>
  <c r="AD343" i="11" s="1"/>
  <c r="AD318" i="11"/>
  <c r="AD317" i="11"/>
  <c r="AF48" i="11"/>
  <c r="AF177" i="11" s="1"/>
  <c r="AD266" i="11"/>
  <c r="AD335" i="11" s="1"/>
  <c r="AD342" i="11" s="1"/>
  <c r="AD316" i="11"/>
  <c r="AD322" i="11" s="1"/>
  <c r="AD338" i="11"/>
  <c r="AD345" i="11" s="1"/>
  <c r="AD319" i="11"/>
  <c r="I22" i="17"/>
  <c r="I23" i="17"/>
  <c r="I21" i="17"/>
  <c r="AB468" i="11"/>
  <c r="AB473" i="11" s="1"/>
  <c r="AB457" i="11"/>
  <c r="AB572" i="11"/>
  <c r="AB577" i="11" s="1"/>
  <c r="AB561" i="11"/>
  <c r="AE588" i="11"/>
  <c r="AF587" i="11"/>
  <c r="AG25" i="11"/>
  <c r="AC454" i="11"/>
  <c r="AC470" i="11" s="1"/>
  <c r="AC456" i="11"/>
  <c r="AC472" i="11" s="1"/>
  <c r="AC559" i="11"/>
  <c r="AC575" i="11" s="1"/>
  <c r="AC556" i="11"/>
  <c r="AC558" i="11"/>
  <c r="AC574" i="11" s="1"/>
  <c r="AC560" i="11"/>
  <c r="AC576" i="11" s="1"/>
  <c r="AC455" i="11"/>
  <c r="AC471" i="11" s="1"/>
  <c r="AC557" i="11"/>
  <c r="AC573" i="11" s="1"/>
  <c r="AC452" i="11"/>
  <c r="AC453" i="11"/>
  <c r="AC469" i="11" s="1"/>
  <c r="AD550" i="11"/>
  <c r="AD446" i="11"/>
  <c r="AD551" i="11"/>
  <c r="AD448" i="11"/>
  <c r="AD552" i="11"/>
  <c r="AD447" i="11"/>
  <c r="AF569" i="11"/>
  <c r="AF465" i="11"/>
  <c r="Y376" i="11"/>
  <c r="AB408" i="11"/>
  <c r="AC408" i="11" s="1"/>
  <c r="AD408" i="11" s="1"/>
  <c r="Y383" i="11"/>
  <c r="Y596" i="11"/>
  <c r="AB404" i="11"/>
  <c r="AC404" i="11" s="1"/>
  <c r="AD404" i="11" s="1"/>
  <c r="Z371" i="11"/>
  <c r="Z378" i="11" s="1"/>
  <c r="Z373" i="11"/>
  <c r="Z372" i="11"/>
  <c r="Z348" i="11"/>
  <c r="Z357" i="11" s="1"/>
  <c r="Z349" i="11"/>
  <c r="Z360" i="11" s="1"/>
  <c r="Z350" i="11"/>
  <c r="Z363" i="11" s="1"/>
  <c r="Z351" i="11"/>
  <c r="Z366" i="11" s="1"/>
  <c r="Z352" i="11"/>
  <c r="AG298" i="11"/>
  <c r="AG299" i="11"/>
  <c r="AG295" i="11"/>
  <c r="AG296" i="11"/>
  <c r="AG297" i="11"/>
  <c r="Z419" i="11"/>
  <c r="Y414" i="11"/>
  <c r="Y417" i="11"/>
  <c r="Y419" i="11" s="1"/>
  <c r="AB289" i="11"/>
  <c r="Z414" i="11"/>
  <c r="Z409" i="11"/>
  <c r="AC396" i="11"/>
  <c r="AC397" i="11"/>
  <c r="AC406" i="11" s="1"/>
  <c r="AC395" i="11"/>
  <c r="AC288" i="11"/>
  <c r="AC287" i="11"/>
  <c r="AC286" i="11"/>
  <c r="AB398" i="11"/>
  <c r="AB402" i="11"/>
  <c r="AA413" i="11"/>
  <c r="AA418" i="11" s="1"/>
  <c r="AD390" i="11"/>
  <c r="AD393" i="11" s="1"/>
  <c r="AD284" i="11"/>
  <c r="AE612" i="11"/>
  <c r="AE281" i="11"/>
  <c r="AE613" i="11"/>
  <c r="AE282" i="11"/>
  <c r="AE391" i="11" s="1"/>
  <c r="AA411" i="11"/>
  <c r="AA416" i="11" s="1"/>
  <c r="AA405" i="11"/>
  <c r="AA412" i="11" s="1"/>
  <c r="AA417" i="11" s="1"/>
  <c r="AA277" i="11"/>
  <c r="AE269" i="11"/>
  <c r="AD611" i="11"/>
  <c r="AD268" i="11"/>
  <c r="AD337" i="11" s="1"/>
  <c r="AD344" i="11" s="1"/>
  <c r="AC270" i="11"/>
  <c r="AC334" i="11"/>
  <c r="AA346" i="11"/>
  <c r="AD607" i="11"/>
  <c r="AD265" i="11"/>
  <c r="AB341" i="11"/>
  <c r="AB339" i="11"/>
  <c r="AB273" i="11"/>
  <c r="AB272" i="11"/>
  <c r="AB276" i="11"/>
  <c r="AB274" i="11"/>
  <c r="AB275" i="11"/>
  <c r="J19" i="17"/>
  <c r="AF243" i="11"/>
  <c r="AF244" i="11"/>
  <c r="AF255" i="11" s="1"/>
  <c r="AF245" i="11"/>
  <c r="AF246" i="11"/>
  <c r="AF247" i="11"/>
  <c r="AF248" i="11"/>
  <c r="AF259" i="11" s="1"/>
  <c r="AF249" i="11"/>
  <c r="AF260" i="11" s="1"/>
  <c r="AF250" i="11"/>
  <c r="AF261" i="11" s="1"/>
  <c r="AF283" i="11" s="1"/>
  <c r="AD599" i="11"/>
  <c r="F95" i="11"/>
  <c r="AD602" i="11"/>
  <c r="AD610" i="11"/>
  <c r="AD598" i="11"/>
  <c r="AE600" i="11"/>
  <c r="F89" i="11"/>
  <c r="AD609" i="11"/>
  <c r="AD597" i="11"/>
  <c r="AE601" i="11"/>
  <c r="I69" i="11"/>
  <c r="AH136" i="11"/>
  <c r="AG163" i="11"/>
  <c r="AG183" i="11" s="1"/>
  <c r="AG124" i="11"/>
  <c r="AG132" i="11" s="1"/>
  <c r="AG182" i="11" s="1"/>
  <c r="AG112" i="11"/>
  <c r="AF120" i="11"/>
  <c r="AF181" i="11" s="1"/>
  <c r="AG264" i="11"/>
  <c r="AG271" i="11" s="1"/>
  <c r="AG252" i="11"/>
  <c r="AE258" i="11"/>
  <c r="AE254" i="11"/>
  <c r="AE307" i="11" s="1"/>
  <c r="AE314" i="11" s="1"/>
  <c r="AE256" i="11"/>
  <c r="AE257" i="11"/>
  <c r="AV8" i="11"/>
  <c r="AV179" i="11" s="1"/>
  <c r="AU180" i="11"/>
  <c r="AD196" i="11"/>
  <c r="AD615" i="11" s="1"/>
  <c r="H14" i="17" s="1"/>
  <c r="H25" i="17" s="1"/>
  <c r="AE178" i="11"/>
  <c r="AE189" i="11"/>
  <c r="AD185" i="11"/>
  <c r="AD603" i="11" s="1"/>
  <c r="AE195" i="11"/>
  <c r="AE614" i="11" s="1"/>
  <c r="AE184" i="11"/>
  <c r="AE602" i="11" s="1"/>
  <c r="E69" i="13"/>
  <c r="F68" i="13"/>
  <c r="G68" i="13"/>
  <c r="H68" i="13"/>
  <c r="I68" i="13"/>
  <c r="J68" i="13"/>
  <c r="K68" i="13"/>
  <c r="L68" i="13"/>
  <c r="M68" i="13"/>
  <c r="N68" i="13"/>
  <c r="O68" i="13"/>
  <c r="P68" i="13"/>
  <c r="Q68" i="13"/>
  <c r="R68" i="13"/>
  <c r="S68" i="13"/>
  <c r="T68" i="13"/>
  <c r="U68" i="13"/>
  <c r="V68" i="13"/>
  <c r="W68" i="13"/>
  <c r="X68" i="13"/>
  <c r="Y68" i="13"/>
  <c r="Z68" i="13"/>
  <c r="AA68" i="13"/>
  <c r="AB68" i="13"/>
  <c r="AC68" i="13"/>
  <c r="AD68" i="13"/>
  <c r="AE68" i="13"/>
  <c r="AF68" i="13"/>
  <c r="AG68" i="13"/>
  <c r="AH68" i="13"/>
  <c r="AI68" i="13"/>
  <c r="AJ68" i="13"/>
  <c r="AK68" i="13"/>
  <c r="AG167" i="11"/>
  <c r="AF173" i="11"/>
  <c r="AE11" i="17"/>
  <c r="AD187" i="20"/>
  <c r="VN1" i="10"/>
  <c r="VO1" i="10" s="1"/>
  <c r="VP1" i="10" s="1"/>
  <c r="VQ1" i="10" s="1"/>
  <c r="VR1" i="10" s="1"/>
  <c r="VS1" i="10" s="1"/>
  <c r="VT1" i="10" s="1"/>
  <c r="VU1" i="10" s="1"/>
  <c r="VV1" i="10" s="1"/>
  <c r="VW1" i="10" s="1"/>
  <c r="VX1" i="10" s="1"/>
  <c r="VY1" i="10" s="1"/>
  <c r="VZ1" i="10" s="1"/>
  <c r="WA1" i="10" s="1"/>
  <c r="WB1" i="10" s="1"/>
  <c r="WC1" i="10" s="1"/>
  <c r="WD1" i="10" s="1"/>
  <c r="WE1" i="10" s="1"/>
  <c r="WF1" i="10" s="1"/>
  <c r="WG1" i="10" s="1"/>
  <c r="WH1" i="10" s="1"/>
  <c r="WI1" i="10" s="1"/>
  <c r="WJ1" i="10" s="1"/>
  <c r="WK1" i="10" s="1"/>
  <c r="WL1" i="10" s="1"/>
  <c r="WM1" i="10" s="1"/>
  <c r="WN1" i="10" s="1"/>
  <c r="WO1" i="10" s="1"/>
  <c r="WP1" i="10" s="1"/>
  <c r="WQ1" i="10" s="1"/>
  <c r="WR1" i="10" s="1"/>
  <c r="WS1" i="10" s="1"/>
  <c r="WT1" i="10" s="1"/>
  <c r="WU1" i="10" s="1"/>
  <c r="WV1" i="10" s="1"/>
  <c r="WW1" i="10" s="1"/>
  <c r="WX1" i="10" s="1"/>
  <c r="WY1" i="10" s="1"/>
  <c r="WZ1" i="10" s="1"/>
  <c r="XA1" i="10" s="1"/>
  <c r="XB1" i="10" s="1"/>
  <c r="XC1" i="10" s="1"/>
  <c r="XD1" i="10" s="1"/>
  <c r="XE1" i="10" s="1"/>
  <c r="XF1" i="10" s="1"/>
  <c r="XG1" i="10" s="1"/>
  <c r="XH1" i="10" s="1"/>
  <c r="XI1" i="10" s="1"/>
  <c r="XJ1" i="10" s="1"/>
  <c r="XK1" i="10" s="1"/>
  <c r="XL1" i="10" s="1"/>
  <c r="XM1" i="10" s="1"/>
  <c r="XN1" i="10" s="1"/>
  <c r="XO1" i="10" s="1"/>
  <c r="XP1" i="10" s="1"/>
  <c r="XQ1" i="10" s="1"/>
  <c r="XR1" i="10" s="1"/>
  <c r="XS1" i="10" s="1"/>
  <c r="XT1" i="10" s="1"/>
  <c r="XU1" i="10" s="1"/>
  <c r="XV1" i="10" s="1"/>
  <c r="XW1" i="10" s="1"/>
  <c r="XX1" i="10" s="1"/>
  <c r="XY1" i="10" s="1"/>
  <c r="XZ1" i="10" s="1"/>
  <c r="YA1" i="10" s="1"/>
  <c r="YB1" i="10" s="1"/>
  <c r="YC1" i="10" s="1"/>
  <c r="YD1" i="10" s="1"/>
  <c r="YE1" i="10" s="1"/>
  <c r="YF1" i="10" s="1"/>
  <c r="YG1" i="10" s="1"/>
  <c r="YH1" i="10" s="1"/>
  <c r="YI1" i="10" s="1"/>
  <c r="YJ1" i="10" s="1"/>
  <c r="YK1" i="10" s="1"/>
  <c r="YL1" i="10" s="1"/>
  <c r="YM1" i="10" s="1"/>
  <c r="YN1" i="10" s="1"/>
  <c r="YO1" i="10" s="1"/>
  <c r="YP1" i="10" s="1"/>
  <c r="YQ1" i="10" s="1"/>
  <c r="YR1" i="10" s="1"/>
  <c r="YS1" i="10" s="1"/>
  <c r="YT1" i="10" s="1"/>
  <c r="YU1" i="10" s="1"/>
  <c r="YV1" i="10" s="1"/>
  <c r="YW1" i="10" s="1"/>
  <c r="YX1" i="10" s="1"/>
  <c r="YY1" i="10" s="1"/>
  <c r="YZ1" i="10" s="1"/>
  <c r="ZA1" i="10" s="1"/>
  <c r="ZB1" i="10" s="1"/>
  <c r="ZC1" i="10" s="1"/>
  <c r="ZD1" i="10" s="1"/>
  <c r="ZE1" i="10" s="1"/>
  <c r="ZF1" i="10" s="1"/>
  <c r="ZG1" i="10" s="1"/>
  <c r="ZH1" i="10" s="1"/>
  <c r="ZI1" i="10" s="1"/>
  <c r="ZJ1" i="10" s="1"/>
  <c r="ZK1" i="10" s="1"/>
  <c r="ZL1" i="10" s="1"/>
  <c r="ZM1" i="10" s="1"/>
  <c r="ZN1" i="10" s="1"/>
  <c r="ZO1" i="10" s="1"/>
  <c r="ZP1" i="10" s="1"/>
  <c r="ZQ1" i="10" s="1"/>
  <c r="ZR1" i="10" s="1"/>
  <c r="ZS1" i="10" s="1"/>
  <c r="ZT1" i="10" s="1"/>
  <c r="ZU1" i="10" s="1"/>
  <c r="ZV1" i="10" s="1"/>
  <c r="ZW1" i="10" s="1"/>
  <c r="ZX1" i="10" s="1"/>
  <c r="ZY1" i="10" s="1"/>
  <c r="ZZ1" i="10" s="1"/>
  <c r="AAA1" i="10" s="1"/>
  <c r="AAB1" i="10" s="1"/>
  <c r="AAC1" i="10" s="1"/>
  <c r="AAD1" i="10" s="1"/>
  <c r="AAE1" i="10" s="1"/>
  <c r="AAF1" i="10" s="1"/>
  <c r="AAG1" i="10" s="1"/>
  <c r="AAH1" i="10" s="1"/>
  <c r="AAI1" i="10" s="1"/>
  <c r="AAJ1" i="10" s="1"/>
  <c r="AAK1" i="10" s="1"/>
  <c r="AAL1" i="10" s="1"/>
  <c r="AAM1" i="10" s="1"/>
  <c r="AAN1" i="10" s="1"/>
  <c r="AAO1" i="10" s="1"/>
  <c r="AAP1" i="10" s="1"/>
  <c r="AAQ1" i="10" s="1"/>
  <c r="AAR1" i="10" s="1"/>
  <c r="AAS1" i="10" s="1"/>
  <c r="AAT1" i="10" s="1"/>
  <c r="AAU1" i="10" s="1"/>
  <c r="AAV1" i="10" s="1"/>
  <c r="AAW1" i="10" s="1"/>
  <c r="AAX1" i="10" s="1"/>
  <c r="AAY1" i="10" s="1"/>
  <c r="AAZ1" i="10" s="1"/>
  <c r="ABA1" i="10" s="1"/>
  <c r="ABB1" i="10" s="1"/>
  <c r="ABC1" i="10" s="1"/>
  <c r="ABD1" i="10" s="1"/>
  <c r="ABE1" i="10" s="1"/>
  <c r="ABF1" i="10" s="1"/>
  <c r="ABG1" i="10" s="1"/>
  <c r="ABH1" i="10" s="1"/>
  <c r="ABI1" i="10" s="1"/>
  <c r="ABJ1" i="10" s="1"/>
  <c r="ABK1" i="10" s="1"/>
  <c r="ABL1" i="10" s="1"/>
  <c r="ABM1" i="10" s="1"/>
  <c r="ABN1" i="10" s="1"/>
  <c r="ABO1" i="10" s="1"/>
  <c r="ABP1" i="10" s="1"/>
  <c r="ABQ1" i="10" s="1"/>
  <c r="ABR1" i="10" s="1"/>
  <c r="ABS1" i="10" s="1"/>
  <c r="ABT1" i="10" s="1"/>
  <c r="ABU1" i="10" s="1"/>
  <c r="ABV1" i="10" s="1"/>
  <c r="ABW1" i="10" s="1"/>
  <c r="ABX1" i="10" s="1"/>
  <c r="ABY1" i="10" s="1"/>
  <c r="ABZ1" i="10" s="1"/>
  <c r="ACA1" i="10" s="1"/>
  <c r="ACB1" i="10" s="1"/>
  <c r="ACC1" i="10" s="1"/>
  <c r="ACD1" i="10" s="1"/>
  <c r="ACE1" i="10" s="1"/>
  <c r="ACF1" i="10" s="1"/>
  <c r="ACG1" i="10" s="1"/>
  <c r="ACH1" i="10" s="1"/>
  <c r="ACI1" i="10" s="1"/>
  <c r="ACJ1" i="10" s="1"/>
  <c r="ACK1" i="10" s="1"/>
  <c r="ACL1" i="10" s="1"/>
  <c r="ACM1" i="10" s="1"/>
  <c r="ACN1" i="10" s="1"/>
  <c r="ACO1" i="10" s="1"/>
  <c r="ACP1" i="10" s="1"/>
  <c r="ACQ1" i="10" s="1"/>
  <c r="ACR1" i="10" s="1"/>
  <c r="ACS1" i="10" s="1"/>
  <c r="ACT1" i="10" s="1"/>
  <c r="ACU1" i="10" s="1"/>
  <c r="ACV1" i="10" s="1"/>
  <c r="ACW1" i="10" s="1"/>
  <c r="ACX1" i="10" s="1"/>
  <c r="ACY1" i="10" s="1"/>
  <c r="ACZ1" i="10" s="1"/>
  <c r="ADA1" i="10" s="1"/>
  <c r="ADB1" i="10" s="1"/>
  <c r="ADC1" i="10" s="1"/>
  <c r="ADD1" i="10" s="1"/>
  <c r="ADE1" i="10" s="1"/>
  <c r="ADF1" i="10" s="1"/>
  <c r="ADG1" i="10" s="1"/>
  <c r="ADH1" i="10" s="1"/>
  <c r="ADI1" i="10" s="1"/>
  <c r="ADJ1" i="10" s="1"/>
  <c r="ADK1" i="10" s="1"/>
  <c r="ADL1" i="10" s="1"/>
  <c r="ADM1" i="10" s="1"/>
  <c r="ADN1" i="10" s="1"/>
  <c r="ADO1" i="10" s="1"/>
  <c r="ADP1" i="10" s="1"/>
  <c r="ADQ1" i="10" s="1"/>
  <c r="ADR1" i="10" s="1"/>
  <c r="ADS1" i="10" s="1"/>
  <c r="ADT1" i="10" s="1"/>
  <c r="ADU1" i="10" s="1"/>
  <c r="ADV1" i="10" s="1"/>
  <c r="ADW1" i="10" s="1"/>
  <c r="ADX1" i="10" s="1"/>
  <c r="ADY1" i="10" s="1"/>
  <c r="ADZ1" i="10" s="1"/>
  <c r="AEA1" i="10" s="1"/>
  <c r="AEB1" i="10" s="1"/>
  <c r="AEC1" i="10" s="1"/>
  <c r="AED1" i="10" s="1"/>
  <c r="AEE1" i="10" s="1"/>
  <c r="AEF1" i="10" s="1"/>
  <c r="AEG1" i="10" s="1"/>
  <c r="AEH1" i="10" s="1"/>
  <c r="AEI1" i="10" s="1"/>
  <c r="AEJ1" i="10" s="1"/>
  <c r="AEK1" i="10" s="1"/>
  <c r="AEL1" i="10" s="1"/>
  <c r="AEM1" i="10" s="1"/>
  <c r="AEN1" i="10" s="1"/>
  <c r="AEO1" i="10" s="1"/>
  <c r="AEP1" i="10" s="1"/>
  <c r="AEQ1" i="10" s="1"/>
  <c r="AER1" i="10" s="1"/>
  <c r="AES1" i="10" s="1"/>
  <c r="AET1" i="10" s="1"/>
  <c r="AEU1" i="10" s="1"/>
  <c r="AEV1" i="10" s="1"/>
  <c r="AEW1" i="10" s="1"/>
  <c r="AEX1" i="10" s="1"/>
  <c r="AEY1" i="10" s="1"/>
  <c r="AEZ1" i="10" s="1"/>
  <c r="AFA1" i="10" s="1"/>
  <c r="AFB1" i="10" s="1"/>
  <c r="AFC1" i="10" s="1"/>
  <c r="AFD1" i="10" s="1"/>
  <c r="AFE1" i="10" s="1"/>
  <c r="AFF1" i="10" s="1"/>
  <c r="AFG1" i="10" s="1"/>
  <c r="AFH1" i="10" s="1"/>
  <c r="AFI1" i="10" s="1"/>
  <c r="AFJ1" i="10" s="1"/>
  <c r="AFK1" i="10" s="1"/>
  <c r="AFL1" i="10" s="1"/>
  <c r="AFM1" i="10" s="1"/>
  <c r="AFN1" i="10" s="1"/>
  <c r="AFO1" i="10" s="1"/>
  <c r="AFP1" i="10" s="1"/>
  <c r="AFQ1" i="10" s="1"/>
  <c r="AFR1" i="10" s="1"/>
  <c r="AFS1" i="10" s="1"/>
  <c r="AFT1" i="10" s="1"/>
  <c r="AFU1" i="10" s="1"/>
  <c r="AFV1" i="10" s="1"/>
  <c r="AFW1" i="10" s="1"/>
  <c r="AFX1" i="10" s="1"/>
  <c r="AFY1" i="10" s="1"/>
  <c r="AFZ1" i="10" s="1"/>
  <c r="AGA1" i="10" s="1"/>
  <c r="AGB1" i="10" s="1"/>
  <c r="AGC1" i="10" s="1"/>
  <c r="AGD1" i="10" s="1"/>
  <c r="AGE1" i="10" s="1"/>
  <c r="AGF1" i="10" s="1"/>
  <c r="AGG1" i="10" s="1"/>
  <c r="AGH1" i="10" s="1"/>
  <c r="AGI1" i="10" s="1"/>
  <c r="AGJ1" i="10" s="1"/>
  <c r="AGK1" i="10" s="1"/>
  <c r="AGL1" i="10" s="1"/>
  <c r="AGM1" i="10" s="1"/>
  <c r="AGN1" i="10" s="1"/>
  <c r="AGO1" i="10" s="1"/>
  <c r="AGP1" i="10" s="1"/>
  <c r="AGQ1" i="10" s="1"/>
  <c r="AGR1" i="10" s="1"/>
  <c r="AGS1" i="10" s="1"/>
  <c r="AGT1" i="10" s="1"/>
  <c r="AGU1" i="10" s="1"/>
  <c r="AGV1" i="10" s="1"/>
  <c r="AGW1" i="10" s="1"/>
  <c r="AGX1" i="10" s="1"/>
  <c r="AGY1" i="10" s="1"/>
  <c r="AGZ1" i="10" s="1"/>
  <c r="AHA1" i="10" s="1"/>
  <c r="AHB1" i="10" s="1"/>
  <c r="AHC1" i="10" s="1"/>
  <c r="AHD1" i="10" s="1"/>
  <c r="AHE1" i="10" s="1"/>
  <c r="AHF1" i="10" s="1"/>
  <c r="AHG1" i="10" s="1"/>
  <c r="AHH1" i="10" s="1"/>
  <c r="AHI1" i="10" s="1"/>
  <c r="AHJ1" i="10" s="1"/>
  <c r="AHK1" i="10" s="1"/>
  <c r="AHL1" i="10" s="1"/>
  <c r="AHM1" i="10" s="1"/>
  <c r="AHN1" i="10" s="1"/>
  <c r="AHO1" i="10" s="1"/>
  <c r="AHP1" i="10" s="1"/>
  <c r="AHQ1" i="10" s="1"/>
  <c r="AHR1" i="10" s="1"/>
  <c r="AHS1" i="10" s="1"/>
  <c r="AHT1" i="10" s="1"/>
  <c r="AHU1" i="10" s="1"/>
  <c r="AHV1" i="10" s="1"/>
  <c r="AHW1" i="10" s="1"/>
  <c r="AHX1" i="10" s="1"/>
  <c r="AHY1" i="10" s="1"/>
  <c r="AHZ1" i="10" s="1"/>
  <c r="AIA1" i="10" s="1"/>
  <c r="AIB1" i="10" s="1"/>
  <c r="AIC1" i="10" s="1"/>
  <c r="AID1" i="10" s="1"/>
  <c r="AIE1" i="10" s="1"/>
  <c r="AIF1" i="10" s="1"/>
  <c r="AIG1" i="10" s="1"/>
  <c r="AIH1" i="10" s="1"/>
  <c r="AII1" i="10" s="1"/>
  <c r="AIJ1" i="10" s="1"/>
  <c r="AIK1" i="10" s="1"/>
  <c r="AIL1" i="10" s="1"/>
  <c r="AIM1" i="10" s="1"/>
  <c r="AIN1" i="10" s="1"/>
  <c r="AIO1" i="10" s="1"/>
  <c r="AIP1" i="10" s="1"/>
  <c r="AIQ1" i="10" s="1"/>
  <c r="AIR1" i="10" s="1"/>
  <c r="AIS1" i="10" s="1"/>
  <c r="AIT1" i="10" s="1"/>
  <c r="AIU1" i="10" s="1"/>
  <c r="W20" i="18"/>
  <c r="W22" i="18"/>
  <c r="W23" i="18"/>
  <c r="W24" i="18"/>
  <c r="W25" i="18"/>
  <c r="W21" i="18"/>
  <c r="AF388" i="11"/>
  <c r="AF52" i="11"/>
  <c r="AF87" i="11" s="1"/>
  <c r="X6" i="18"/>
  <c r="AL34" i="18"/>
  <c r="AG387" i="11"/>
  <c r="AG389" i="11" s="1"/>
  <c r="AG340" i="11"/>
  <c r="AQ24" i="11"/>
  <c r="AP28" i="11"/>
  <c r="AP39" i="11" s="1"/>
  <c r="V26" i="18"/>
  <c r="X14" i="16"/>
  <c r="Y12" i="16"/>
  <c r="Y27" i="16" s="1"/>
  <c r="AG333" i="11"/>
  <c r="AG347" i="11" s="1"/>
  <c r="AG356" i="11"/>
  <c r="AG370" i="11" s="1"/>
  <c r="AG377" i="11" s="1"/>
  <c r="AG332" i="11"/>
  <c r="AG204" i="11"/>
  <c r="AH331" i="11"/>
  <c r="AH226" i="11"/>
  <c r="AH202" i="11"/>
  <c r="AH203" i="11"/>
  <c r="AL235" i="11"/>
  <c r="AK241" i="11"/>
  <c r="AK237" i="11"/>
  <c r="AK238" i="11"/>
  <c r="AK242" i="11"/>
  <c r="AL239" i="11"/>
  <c r="AK236" i="11"/>
  <c r="AK240" i="11"/>
  <c r="AI200" i="11"/>
  <c r="AF188" i="11" l="1"/>
  <c r="AE267" i="11"/>
  <c r="AE336" i="11" s="1"/>
  <c r="AE343" i="11" s="1"/>
  <c r="AE318" i="11"/>
  <c r="AE317" i="11"/>
  <c r="AG305" i="11"/>
  <c r="AG48" i="11"/>
  <c r="AE266" i="11"/>
  <c r="AE335" i="11" s="1"/>
  <c r="AE342" i="11" s="1"/>
  <c r="AE316" i="11"/>
  <c r="AE322" i="11" s="1"/>
  <c r="AE338" i="11"/>
  <c r="AE345" i="11" s="1"/>
  <c r="AE319" i="11"/>
  <c r="AH25" i="11"/>
  <c r="AI25" i="11" s="1"/>
  <c r="J22" i="17"/>
  <c r="J21" i="17"/>
  <c r="J23" i="17"/>
  <c r="AC572" i="11"/>
  <c r="AC577" i="11" s="1"/>
  <c r="AC561" i="11"/>
  <c r="AE448" i="11"/>
  <c r="AE550" i="11"/>
  <c r="AE446" i="11"/>
  <c r="AE552" i="11"/>
  <c r="AE447" i="11"/>
  <c r="AE551" i="11"/>
  <c r="AD454" i="11"/>
  <c r="AD470" i="11" s="1"/>
  <c r="AD453" i="11"/>
  <c r="AD469" i="11" s="1"/>
  <c r="AD559" i="11"/>
  <c r="AD575" i="11" s="1"/>
  <c r="AD560" i="11"/>
  <c r="AD576" i="11" s="1"/>
  <c r="AD558" i="11"/>
  <c r="AD574" i="11" s="1"/>
  <c r="AD557" i="11"/>
  <c r="AD573" i="11" s="1"/>
  <c r="AD455" i="11"/>
  <c r="AD471" i="11" s="1"/>
  <c r="AD456" i="11"/>
  <c r="AD472" i="11" s="1"/>
  <c r="AD452" i="11"/>
  <c r="AD556" i="11"/>
  <c r="AG587" i="11"/>
  <c r="AF588" i="11"/>
  <c r="AC468" i="11"/>
  <c r="AC473" i="11" s="1"/>
  <c r="AC457" i="11"/>
  <c r="AG569" i="11"/>
  <c r="Y604" i="11"/>
  <c r="Y608" i="11"/>
  <c r="Y616" i="11" s="1"/>
  <c r="C9" i="17" s="1"/>
  <c r="Z476" i="11"/>
  <c r="Z595" i="11" s="1"/>
  <c r="AG465" i="11"/>
  <c r="AA419" i="11"/>
  <c r="AA348" i="11"/>
  <c r="AA357" i="11" s="1"/>
  <c r="AA349" i="11"/>
  <c r="AA360" i="11" s="1"/>
  <c r="AA362" i="11" s="1"/>
  <c r="AA372" i="11" s="1"/>
  <c r="AA350" i="11"/>
  <c r="AA363" i="11" s="1"/>
  <c r="AA365" i="11" s="1"/>
  <c r="AA373" i="11" s="1"/>
  <c r="AA351" i="11"/>
  <c r="AA366" i="11" s="1"/>
  <c r="AA352" i="11"/>
  <c r="AH297" i="11"/>
  <c r="AH298" i="11"/>
  <c r="AH299" i="11"/>
  <c r="AH295" i="11"/>
  <c r="AH296" i="11"/>
  <c r="Z381" i="11"/>
  <c r="AF392" i="11"/>
  <c r="AA414" i="11"/>
  <c r="AA409" i="11"/>
  <c r="AB411" i="11"/>
  <c r="AB416" i="11" s="1"/>
  <c r="AB405" i="11"/>
  <c r="AB412" i="11" s="1"/>
  <c r="AB417" i="11" s="1"/>
  <c r="AF612" i="11"/>
  <c r="AF281" i="11"/>
  <c r="AD287" i="11"/>
  <c r="AD286" i="11"/>
  <c r="AD288" i="11"/>
  <c r="AD395" i="11"/>
  <c r="AD402" i="11" s="1"/>
  <c r="AD396" i="11"/>
  <c r="AD397" i="11"/>
  <c r="AC398" i="11"/>
  <c r="AC402" i="11"/>
  <c r="AE390" i="11"/>
  <c r="AE393" i="11" s="1"/>
  <c r="AE284" i="11"/>
  <c r="AC289" i="11"/>
  <c r="AF613" i="11"/>
  <c r="AF282" i="11"/>
  <c r="AF391" i="11" s="1"/>
  <c r="AB413" i="11"/>
  <c r="AB418" i="11" s="1"/>
  <c r="AF269" i="11"/>
  <c r="AB277" i="11"/>
  <c r="AE265" i="11"/>
  <c r="F96" i="11"/>
  <c r="AB346" i="11"/>
  <c r="AC272" i="11"/>
  <c r="AC273" i="11"/>
  <c r="AC274" i="11"/>
  <c r="AC275" i="11"/>
  <c r="AC276" i="11"/>
  <c r="Z380" i="11"/>
  <c r="AD270" i="11"/>
  <c r="AD334" i="11"/>
  <c r="Z353" i="11"/>
  <c r="AE611" i="11"/>
  <c r="AE268" i="11"/>
  <c r="AE337" i="11" s="1"/>
  <c r="AE344" i="11" s="1"/>
  <c r="Z369" i="11"/>
  <c r="AC341" i="11"/>
  <c r="AC339" i="11"/>
  <c r="K19" i="17"/>
  <c r="AG243" i="11"/>
  <c r="AG244" i="11"/>
  <c r="AG255" i="11" s="1"/>
  <c r="AG245" i="11"/>
  <c r="AG246" i="11"/>
  <c r="AG247" i="11"/>
  <c r="AG248" i="11"/>
  <c r="AG259" i="11" s="1"/>
  <c r="AG249" i="11"/>
  <c r="AG260" i="11" s="1"/>
  <c r="AG250" i="11"/>
  <c r="AG261" i="11" s="1"/>
  <c r="AG283" i="11" s="1"/>
  <c r="AF601" i="11"/>
  <c r="AE609" i="11"/>
  <c r="AE597" i="11"/>
  <c r="AE599" i="11"/>
  <c r="AE607" i="11"/>
  <c r="AF600" i="11"/>
  <c r="AE610" i="11"/>
  <c r="AE598" i="11"/>
  <c r="I70" i="11"/>
  <c r="AI136" i="11"/>
  <c r="AH163" i="11"/>
  <c r="AH183" i="11" s="1"/>
  <c r="AH124" i="11"/>
  <c r="AH132" i="11" s="1"/>
  <c r="AH182" i="11" s="1"/>
  <c r="AG120" i="11"/>
  <c r="AG181" i="11" s="1"/>
  <c r="AH112" i="11"/>
  <c r="AH264" i="11"/>
  <c r="AH271" i="11" s="1"/>
  <c r="AH252" i="11"/>
  <c r="AF257" i="11"/>
  <c r="AF258" i="11"/>
  <c r="AF254" i="11"/>
  <c r="AF256" i="11"/>
  <c r="AE185" i="11"/>
  <c r="AE603" i="11" s="1"/>
  <c r="AV180" i="11"/>
  <c r="AW8" i="11"/>
  <c r="AW179" i="11" s="1"/>
  <c r="AE196" i="11"/>
  <c r="AE615" i="11" s="1"/>
  <c r="I14" i="17" s="1"/>
  <c r="I25" i="17" s="1"/>
  <c r="AF189" i="11"/>
  <c r="AF178" i="11"/>
  <c r="AF184" i="11"/>
  <c r="AF602" i="11" s="1"/>
  <c r="AF195" i="11"/>
  <c r="AF614" i="11" s="1"/>
  <c r="E70" i="13"/>
  <c r="F69" i="13"/>
  <c r="G69" i="13"/>
  <c r="H69" i="13"/>
  <c r="I69" i="13"/>
  <c r="J69" i="13"/>
  <c r="K69" i="13"/>
  <c r="L69" i="13"/>
  <c r="M69" i="13"/>
  <c r="N69" i="13"/>
  <c r="O69" i="13"/>
  <c r="P69" i="13"/>
  <c r="Q69" i="13"/>
  <c r="R69" i="13"/>
  <c r="S69" i="13"/>
  <c r="T69" i="13"/>
  <c r="U69" i="13"/>
  <c r="V69" i="13"/>
  <c r="W69" i="13"/>
  <c r="X69" i="13"/>
  <c r="Y69" i="13"/>
  <c r="Z69" i="13"/>
  <c r="AA69" i="13"/>
  <c r="AB69" i="13"/>
  <c r="AC69" i="13"/>
  <c r="AD69" i="13"/>
  <c r="AE69" i="13"/>
  <c r="AF69" i="13"/>
  <c r="AG69" i="13"/>
  <c r="AH69" i="13"/>
  <c r="AI69" i="13"/>
  <c r="AJ69" i="13"/>
  <c r="AK69" i="13"/>
  <c r="AH167" i="11"/>
  <c r="AG173" i="11"/>
  <c r="AIV1" i="10"/>
  <c r="X22" i="18"/>
  <c r="X25" i="18"/>
  <c r="X20" i="18"/>
  <c r="X23" i="18"/>
  <c r="X24" i="18"/>
  <c r="X21" i="18"/>
  <c r="AG52" i="11"/>
  <c r="AG87" i="11" s="1"/>
  <c r="W26" i="18"/>
  <c r="Y6" i="18"/>
  <c r="AM34" i="18"/>
  <c r="AG388" i="11"/>
  <c r="AH387" i="11"/>
  <c r="AH389" i="11" s="1"/>
  <c r="AH340" i="11"/>
  <c r="AR24" i="11"/>
  <c r="AQ28" i="11"/>
  <c r="AQ39" i="11" s="1"/>
  <c r="Y14" i="16"/>
  <c r="Z12" i="16"/>
  <c r="Z27" i="16" s="1"/>
  <c r="AH333" i="11"/>
  <c r="AH347" i="11" s="1"/>
  <c r="AH356" i="11"/>
  <c r="AH332" i="11"/>
  <c r="AI203" i="11"/>
  <c r="AI226" i="11"/>
  <c r="AI331" i="11"/>
  <c r="AI202" i="11"/>
  <c r="AH204" i="11"/>
  <c r="AL236" i="11"/>
  <c r="AL237" i="11"/>
  <c r="AL238" i="11"/>
  <c r="AL240" i="11"/>
  <c r="AM239" i="11"/>
  <c r="AL241" i="11"/>
  <c r="AM235" i="11"/>
  <c r="AL242" i="11"/>
  <c r="AJ200" i="11"/>
  <c r="AI48" i="11" l="1"/>
  <c r="AF267" i="11"/>
  <c r="AF336" i="11" s="1"/>
  <c r="AF343" i="11" s="1"/>
  <c r="AF318" i="11"/>
  <c r="AF317" i="11"/>
  <c r="AF338" i="11"/>
  <c r="AF345" i="11" s="1"/>
  <c r="AF319" i="11"/>
  <c r="AF266" i="11"/>
  <c r="AF335" i="11" s="1"/>
  <c r="AF342" i="11" s="1"/>
  <c r="AF316" i="11"/>
  <c r="AH305" i="11"/>
  <c r="AH48" i="11"/>
  <c r="AF265" i="11"/>
  <c r="AF334" i="11" s="1"/>
  <c r="AF341" i="11" s="1"/>
  <c r="AF307" i="11"/>
  <c r="AF314" i="11" s="1"/>
  <c r="AF322" i="11" s="1"/>
  <c r="AG188" i="11"/>
  <c r="AG177" i="11"/>
  <c r="K22" i="17"/>
  <c r="K21" i="17"/>
  <c r="K23" i="17"/>
  <c r="AD572" i="11"/>
  <c r="AD577" i="11" s="1"/>
  <c r="AD561" i="11"/>
  <c r="AF550" i="11"/>
  <c r="AF446" i="11"/>
  <c r="AF552" i="11"/>
  <c r="AF448" i="11"/>
  <c r="AF551" i="11"/>
  <c r="AF447" i="11"/>
  <c r="AG588" i="11"/>
  <c r="AH587" i="11"/>
  <c r="AE557" i="11"/>
  <c r="AE573" i="11" s="1"/>
  <c r="AE452" i="11"/>
  <c r="AE556" i="11"/>
  <c r="AE558" i="11"/>
  <c r="AE574" i="11" s="1"/>
  <c r="AE455" i="11"/>
  <c r="AE471" i="11" s="1"/>
  <c r="AE560" i="11"/>
  <c r="AE576" i="11" s="1"/>
  <c r="AE456" i="11"/>
  <c r="AE472" i="11" s="1"/>
  <c r="AE559" i="11"/>
  <c r="AE575" i="11" s="1"/>
  <c r="AE454" i="11"/>
  <c r="AE470" i="11" s="1"/>
  <c r="AE453" i="11"/>
  <c r="AE469" i="11" s="1"/>
  <c r="AD468" i="11"/>
  <c r="AD473" i="11" s="1"/>
  <c r="AD457" i="11"/>
  <c r="AH569" i="11"/>
  <c r="C24" i="17"/>
  <c r="C13" i="17"/>
  <c r="AH465" i="11"/>
  <c r="Z375" i="11"/>
  <c r="Z382" i="11" s="1"/>
  <c r="AH370" i="11"/>
  <c r="AH377" i="11" s="1"/>
  <c r="AH367" i="11"/>
  <c r="AH358" i="11"/>
  <c r="AH361" i="11"/>
  <c r="AH364" i="11"/>
  <c r="AB348" i="11"/>
  <c r="AB357" i="11" s="1"/>
  <c r="AB349" i="11"/>
  <c r="AB360" i="11" s="1"/>
  <c r="AB350" i="11"/>
  <c r="AB363" i="11" s="1"/>
  <c r="AB351" i="11"/>
  <c r="AB366" i="11" s="1"/>
  <c r="AB352" i="11"/>
  <c r="AI296" i="11"/>
  <c r="AI297" i="11"/>
  <c r="AI298" i="11"/>
  <c r="AI299" i="11"/>
  <c r="AI295" i="11"/>
  <c r="AI305" i="11" s="1"/>
  <c r="AE367" i="11"/>
  <c r="AD367" i="11"/>
  <c r="AB367" i="11"/>
  <c r="AF367" i="11"/>
  <c r="AC367" i="11"/>
  <c r="AG367" i="11"/>
  <c r="AB358" i="11"/>
  <c r="AF358" i="11"/>
  <c r="AE358" i="11"/>
  <c r="AC358" i="11"/>
  <c r="AG358" i="11"/>
  <c r="AD358" i="11"/>
  <c r="AD364" i="11"/>
  <c r="AC364" i="11"/>
  <c r="AE364" i="11"/>
  <c r="AB364" i="11"/>
  <c r="AB365" i="11" s="1"/>
  <c r="AB373" i="11" s="1"/>
  <c r="AF364" i="11"/>
  <c r="AG364" i="11"/>
  <c r="AA359" i="11"/>
  <c r="AA368" i="11"/>
  <c r="AA374" i="11" s="1"/>
  <c r="AC361" i="11"/>
  <c r="AG361" i="11"/>
  <c r="AD361" i="11"/>
  <c r="AB361" i="11"/>
  <c r="AB362" i="11" s="1"/>
  <c r="AB372" i="11" s="1"/>
  <c r="AE361" i="11"/>
  <c r="AF361" i="11"/>
  <c r="AB419" i="11"/>
  <c r="AG403" i="11"/>
  <c r="AF403" i="11"/>
  <c r="AE403" i="11"/>
  <c r="AE404" i="11" s="1"/>
  <c r="AG392" i="11"/>
  <c r="AB409" i="11"/>
  <c r="AC411" i="11"/>
  <c r="AC416" i="11" s="1"/>
  <c r="AC405" i="11"/>
  <c r="AC412" i="11" s="1"/>
  <c r="AC417" i="11" s="1"/>
  <c r="AG612" i="11"/>
  <c r="AG281" i="11"/>
  <c r="AG613" i="11"/>
  <c r="AG282" i="11"/>
  <c r="AG391" i="11" s="1"/>
  <c r="AE286" i="11"/>
  <c r="AE288" i="11"/>
  <c r="AE287" i="11"/>
  <c r="AD398" i="11"/>
  <c r="AD406" i="11"/>
  <c r="AE395" i="11"/>
  <c r="AE396" i="11"/>
  <c r="AE397" i="11"/>
  <c r="AD289" i="11"/>
  <c r="AF390" i="11"/>
  <c r="AF393" i="11" s="1"/>
  <c r="AF284" i="11"/>
  <c r="AC413" i="11"/>
  <c r="AC418" i="11" s="1"/>
  <c r="AB414" i="11"/>
  <c r="AG269" i="11"/>
  <c r="AC277" i="11"/>
  <c r="AA353" i="11"/>
  <c r="AF611" i="11"/>
  <c r="AF268" i="11"/>
  <c r="AF337" i="11" s="1"/>
  <c r="AF344" i="11" s="1"/>
  <c r="AF346" i="11" s="1"/>
  <c r="AC346" i="11"/>
  <c r="Z379" i="11"/>
  <c r="AD341" i="11"/>
  <c r="AD339" i="11"/>
  <c r="AD272" i="11"/>
  <c r="AD273" i="11"/>
  <c r="AD274" i="11"/>
  <c r="AD275" i="11"/>
  <c r="AD276" i="11"/>
  <c r="AE270" i="11"/>
  <c r="AE334" i="11"/>
  <c r="AA380" i="11"/>
  <c r="L19" i="17"/>
  <c r="AH247" i="11"/>
  <c r="AH249" i="11"/>
  <c r="AH260" i="11" s="1"/>
  <c r="AH243" i="11"/>
  <c r="AH244" i="11"/>
  <c r="AH255" i="11" s="1"/>
  <c r="AH245" i="11"/>
  <c r="AH246" i="11"/>
  <c r="AH248" i="11"/>
  <c r="AH259" i="11" s="1"/>
  <c r="AH250" i="11"/>
  <c r="AH261" i="11" s="1"/>
  <c r="AH283" i="11" s="1"/>
  <c r="AF609" i="11"/>
  <c r="AF597" i="11"/>
  <c r="AG601" i="11"/>
  <c r="AF599" i="11"/>
  <c r="AF607" i="11"/>
  <c r="AF610" i="11"/>
  <c r="AF598" i="11"/>
  <c r="AG600" i="11"/>
  <c r="I71" i="11"/>
  <c r="AJ136" i="11"/>
  <c r="AI163" i="11"/>
  <c r="AI183" i="11" s="1"/>
  <c r="AI124" i="11"/>
  <c r="AI132" i="11" s="1"/>
  <c r="AI182" i="11" s="1"/>
  <c r="AI112" i="11"/>
  <c r="AH120" i="11"/>
  <c r="AH181" i="11" s="1"/>
  <c r="AI264" i="11"/>
  <c r="AI271" i="11" s="1"/>
  <c r="AI252" i="11"/>
  <c r="AG258" i="11"/>
  <c r="AG257" i="11"/>
  <c r="AG256" i="11"/>
  <c r="AG254" i="11"/>
  <c r="AW180" i="11"/>
  <c r="AX8" i="11"/>
  <c r="AX179" i="11" s="1"/>
  <c r="AF185" i="11"/>
  <c r="AF603" i="11" s="1"/>
  <c r="AI188" i="11"/>
  <c r="AI177" i="11"/>
  <c r="AG184" i="11"/>
  <c r="AG602" i="11" s="1"/>
  <c r="AG195" i="11"/>
  <c r="AG614" i="11" s="1"/>
  <c r="AF196" i="11"/>
  <c r="AF615" i="11" s="1"/>
  <c r="J14" i="17" s="1"/>
  <c r="J25" i="17" s="1"/>
  <c r="AG189" i="11"/>
  <c r="AG178" i="11"/>
  <c r="E71" i="13"/>
  <c r="F70" i="13"/>
  <c r="G70" i="13"/>
  <c r="H70" i="13"/>
  <c r="I70" i="13"/>
  <c r="J70" i="13"/>
  <c r="K70" i="13"/>
  <c r="L70" i="13"/>
  <c r="M70" i="13"/>
  <c r="N70" i="13"/>
  <c r="O70" i="13"/>
  <c r="P70" i="13"/>
  <c r="Q70" i="13"/>
  <c r="R70" i="13"/>
  <c r="S70" i="13"/>
  <c r="T70" i="13"/>
  <c r="U70" i="13"/>
  <c r="V70" i="13"/>
  <c r="W70" i="13"/>
  <c r="X70" i="13"/>
  <c r="Y70" i="13"/>
  <c r="Z70" i="13"/>
  <c r="AA70" i="13"/>
  <c r="AB70" i="13"/>
  <c r="AC70" i="13"/>
  <c r="AD70" i="13"/>
  <c r="AE70" i="13"/>
  <c r="AF70" i="13"/>
  <c r="AG70" i="13"/>
  <c r="AH70" i="13"/>
  <c r="AI70" i="13"/>
  <c r="AJ70" i="13"/>
  <c r="AK70" i="13"/>
  <c r="AI167" i="11"/>
  <c r="AH173" i="11"/>
  <c r="AIW1" i="10"/>
  <c r="C20" i="18"/>
  <c r="Y24" i="18"/>
  <c r="Y25" i="18"/>
  <c r="Y20" i="18"/>
  <c r="Y22" i="18"/>
  <c r="Y23" i="18"/>
  <c r="Y21" i="18"/>
  <c r="AH52" i="11"/>
  <c r="AH87" i="11" s="1"/>
  <c r="AH388" i="11"/>
  <c r="C19" i="18"/>
  <c r="X26" i="18"/>
  <c r="C18" i="18"/>
  <c r="C17" i="18"/>
  <c r="C21" i="18"/>
  <c r="C22" i="18"/>
  <c r="Z6" i="18"/>
  <c r="AJ25" i="11"/>
  <c r="AN34" i="18"/>
  <c r="AI356" i="11"/>
  <c r="AI387" i="11"/>
  <c r="AI389" i="11" s="1"/>
  <c r="AI340" i="11"/>
  <c r="AS24" i="11"/>
  <c r="AR28" i="11"/>
  <c r="AR39" i="11" s="1"/>
  <c r="AJ203" i="11"/>
  <c r="Z14" i="16"/>
  <c r="AA12" i="16"/>
  <c r="AA27" i="16" s="1"/>
  <c r="AI204" i="11"/>
  <c r="AI332" i="11"/>
  <c r="AI333" i="11"/>
  <c r="AI347" i="11" s="1"/>
  <c r="AJ331" i="11"/>
  <c r="AJ226" i="11"/>
  <c r="AJ202" i="11"/>
  <c r="AM240" i="11"/>
  <c r="AM242" i="11"/>
  <c r="AM241" i="11"/>
  <c r="AM237" i="11"/>
  <c r="AN235" i="11"/>
  <c r="AN239" i="11"/>
  <c r="AM238" i="11"/>
  <c r="AM236" i="11"/>
  <c r="AK200" i="11"/>
  <c r="AH188" i="11" l="1"/>
  <c r="AH177" i="11"/>
  <c r="AG267" i="11"/>
  <c r="AG336" i="11" s="1"/>
  <c r="AG343" i="11" s="1"/>
  <c r="AG318" i="11"/>
  <c r="AG317" i="11"/>
  <c r="AJ48" i="11"/>
  <c r="AJ188" i="11" s="1"/>
  <c r="AG266" i="11"/>
  <c r="AG335" i="11" s="1"/>
  <c r="AG342" i="11" s="1"/>
  <c r="AG316" i="11"/>
  <c r="AG338" i="11"/>
  <c r="AG345" i="11" s="1"/>
  <c r="AG319" i="11"/>
  <c r="AG265" i="11"/>
  <c r="AG334" i="11" s="1"/>
  <c r="AG341" i="11" s="1"/>
  <c r="AG307" i="11"/>
  <c r="AG314" i="11" s="1"/>
  <c r="L22" i="17"/>
  <c r="L21" i="17"/>
  <c r="L23" i="17"/>
  <c r="AE468" i="11"/>
  <c r="AE473" i="11" s="1"/>
  <c r="AE457" i="11"/>
  <c r="AF455" i="11"/>
  <c r="AF471" i="11" s="1"/>
  <c r="AF454" i="11"/>
  <c r="AF470" i="11" s="1"/>
  <c r="AF559" i="11"/>
  <c r="AF575" i="11" s="1"/>
  <c r="AF452" i="11"/>
  <c r="AF560" i="11"/>
  <c r="AF576" i="11" s="1"/>
  <c r="AF453" i="11"/>
  <c r="AF469" i="11" s="1"/>
  <c r="AF558" i="11"/>
  <c r="AF574" i="11" s="1"/>
  <c r="AF557" i="11"/>
  <c r="AF573" i="11" s="1"/>
  <c r="AF556" i="11"/>
  <c r="AF456" i="11"/>
  <c r="AF472" i="11" s="1"/>
  <c r="AI587" i="11"/>
  <c r="AH588" i="11"/>
  <c r="AE572" i="11"/>
  <c r="AE577" i="11" s="1"/>
  <c r="AE561" i="11"/>
  <c r="AG446" i="11"/>
  <c r="AG551" i="11"/>
  <c r="AG552" i="11"/>
  <c r="AG448" i="11"/>
  <c r="AG550" i="11"/>
  <c r="AG447" i="11"/>
  <c r="AI569" i="11"/>
  <c r="Z580" i="11"/>
  <c r="Z596" i="11" s="1"/>
  <c r="Z608" i="11" s="1"/>
  <c r="Z616" i="11" s="1"/>
  <c r="D9" i="17" s="1"/>
  <c r="D20" i="17" s="1"/>
  <c r="AI465" i="11"/>
  <c r="Z376" i="11"/>
  <c r="AF404" i="11"/>
  <c r="AG404" i="11" s="1"/>
  <c r="Z383" i="11"/>
  <c r="AA371" i="11"/>
  <c r="AA378" i="11" s="1"/>
  <c r="AC352" i="11"/>
  <c r="AC348" i="11"/>
  <c r="AC357" i="11" s="1"/>
  <c r="AC350" i="11"/>
  <c r="AC363" i="11" s="1"/>
  <c r="AC349" i="11"/>
  <c r="AC360" i="11" s="1"/>
  <c r="AC351" i="11"/>
  <c r="AC366" i="11" s="1"/>
  <c r="AI370" i="11"/>
  <c r="AI377" i="11" s="1"/>
  <c r="AI364" i="11"/>
  <c r="AI367" i="11"/>
  <c r="AI358" i="11"/>
  <c r="AI361" i="11"/>
  <c r="AF348" i="11"/>
  <c r="AF357" i="11" s="1"/>
  <c r="AF349" i="11"/>
  <c r="AF360" i="11" s="1"/>
  <c r="AF350" i="11"/>
  <c r="AF363" i="11" s="1"/>
  <c r="AF351" i="11"/>
  <c r="AF366" i="11" s="1"/>
  <c r="AF352" i="11"/>
  <c r="AJ296" i="11"/>
  <c r="AJ297" i="11"/>
  <c r="AJ298" i="11"/>
  <c r="AJ299" i="11"/>
  <c r="AJ295" i="11"/>
  <c r="AB359" i="11"/>
  <c r="AA369" i="11"/>
  <c r="AC362" i="11"/>
  <c r="AB368" i="11"/>
  <c r="AC365" i="11"/>
  <c r="AA381" i="11"/>
  <c r="AB380" i="11"/>
  <c r="AC419" i="11"/>
  <c r="AE407" i="11"/>
  <c r="AE408" i="11" s="1"/>
  <c r="AF407" i="11"/>
  <c r="AG407" i="11"/>
  <c r="AH392" i="11"/>
  <c r="AC409" i="11"/>
  <c r="AH613" i="11"/>
  <c r="AH282" i="11"/>
  <c r="AH391" i="11" s="1"/>
  <c r="AH612" i="11"/>
  <c r="AH281" i="11"/>
  <c r="AF287" i="11"/>
  <c r="AF288" i="11"/>
  <c r="AF286" i="11"/>
  <c r="AE398" i="11"/>
  <c r="AE289" i="11"/>
  <c r="AF397" i="11"/>
  <c r="AF406" i="11" s="1"/>
  <c r="AF395" i="11"/>
  <c r="AF396" i="11"/>
  <c r="AE402" i="11"/>
  <c r="AG284" i="11"/>
  <c r="AG390" i="11"/>
  <c r="AG393" i="11" s="1"/>
  <c r="AC414" i="11"/>
  <c r="AE406" i="11"/>
  <c r="AD413" i="11"/>
  <c r="AD418" i="11" s="1"/>
  <c r="AD411" i="11"/>
  <c r="AD416" i="11" s="1"/>
  <c r="AD405" i="11"/>
  <c r="AD412" i="11" s="1"/>
  <c r="AD417" i="11" s="1"/>
  <c r="AD277" i="11"/>
  <c r="AH269" i="11"/>
  <c r="AF270" i="11"/>
  <c r="AF273" i="11" s="1"/>
  <c r="AF339" i="11"/>
  <c r="AB353" i="11"/>
  <c r="AG611" i="11"/>
  <c r="AG268" i="11"/>
  <c r="AG337" i="11" s="1"/>
  <c r="AG344" i="11" s="1"/>
  <c r="AA379" i="11"/>
  <c r="AD346" i="11"/>
  <c r="AE341" i="11"/>
  <c r="AE339" i="11"/>
  <c r="AB379" i="11"/>
  <c r="AE272" i="11"/>
  <c r="AE273" i="11"/>
  <c r="AE274" i="11"/>
  <c r="AE275" i="11"/>
  <c r="AE276" i="11"/>
  <c r="M19" i="17"/>
  <c r="AI243" i="11"/>
  <c r="AI244" i="11"/>
  <c r="AI255" i="11" s="1"/>
  <c r="AI245" i="11"/>
  <c r="AI246" i="11"/>
  <c r="AI247" i="11"/>
  <c r="AI248" i="11"/>
  <c r="AI259" i="11" s="1"/>
  <c r="AI249" i="11"/>
  <c r="AI260" i="11" s="1"/>
  <c r="AI250" i="11"/>
  <c r="AI261" i="11" s="1"/>
  <c r="AI283" i="11" s="1"/>
  <c r="AG599" i="11"/>
  <c r="AG607" i="11"/>
  <c r="AG610" i="11"/>
  <c r="AG598" i="11"/>
  <c r="AH601" i="11"/>
  <c r="AG185" i="11"/>
  <c r="AG603" i="11" s="1"/>
  <c r="AG609" i="11"/>
  <c r="AG597" i="11"/>
  <c r="AH600" i="11"/>
  <c r="I72" i="11"/>
  <c r="AK136" i="11"/>
  <c r="AJ163" i="11"/>
  <c r="AJ183" i="11" s="1"/>
  <c r="AJ124" i="11"/>
  <c r="AJ132" i="11" s="1"/>
  <c r="AJ182" i="11" s="1"/>
  <c r="AJ112" i="11"/>
  <c r="AI120" i="11"/>
  <c r="AI181" i="11" s="1"/>
  <c r="AJ264" i="11"/>
  <c r="AJ271" i="11" s="1"/>
  <c r="AJ252" i="11"/>
  <c r="AH257" i="11"/>
  <c r="AH254" i="11"/>
  <c r="AH256" i="11"/>
  <c r="AH258" i="11"/>
  <c r="AY8" i="11"/>
  <c r="AY179" i="11" s="1"/>
  <c r="AX180" i="11"/>
  <c r="AG196" i="11"/>
  <c r="AG615" i="11" s="1"/>
  <c r="K14" i="17" s="1"/>
  <c r="K25" i="17" s="1"/>
  <c r="AH178" i="11"/>
  <c r="AH189" i="11"/>
  <c r="AH195" i="11"/>
  <c r="AH614" i="11" s="1"/>
  <c r="AH184" i="11"/>
  <c r="AH602" i="11" s="1"/>
  <c r="E72" i="13"/>
  <c r="F71" i="13"/>
  <c r="G71" i="13"/>
  <c r="H71" i="13"/>
  <c r="I71" i="13"/>
  <c r="J71" i="13"/>
  <c r="K71" i="13"/>
  <c r="L71" i="13"/>
  <c r="M71" i="13"/>
  <c r="N71" i="13"/>
  <c r="O71" i="13"/>
  <c r="P71" i="13"/>
  <c r="Q71" i="13"/>
  <c r="R71" i="13"/>
  <c r="S71" i="13"/>
  <c r="T71" i="13"/>
  <c r="U71" i="13"/>
  <c r="V71" i="13"/>
  <c r="W71" i="13"/>
  <c r="X71" i="13"/>
  <c r="Y71" i="13"/>
  <c r="Z71" i="13"/>
  <c r="AA71" i="13"/>
  <c r="AB71" i="13"/>
  <c r="AC71" i="13"/>
  <c r="AD71" i="13"/>
  <c r="AE71" i="13"/>
  <c r="AF71" i="13"/>
  <c r="AG71" i="13"/>
  <c r="AH71" i="13"/>
  <c r="AI71" i="13"/>
  <c r="AJ71" i="13"/>
  <c r="AK71" i="13"/>
  <c r="AJ167" i="11"/>
  <c r="AI173" i="11"/>
  <c r="AIX1" i="10"/>
  <c r="Z22" i="18"/>
  <c r="Z23" i="18"/>
  <c r="Z24" i="18"/>
  <c r="Z25" i="18"/>
  <c r="Z21" i="18"/>
  <c r="Z20" i="18"/>
  <c r="C23" i="18"/>
  <c r="AJ204" i="11"/>
  <c r="AI52" i="11"/>
  <c r="AI87" i="11" s="1"/>
  <c r="AI388" i="11"/>
  <c r="Y26" i="18"/>
  <c r="AK25" i="11"/>
  <c r="AO34" i="18"/>
  <c r="AP34" i="18" s="1"/>
  <c r="AQ34" i="18" s="1"/>
  <c r="AR34" i="18" s="1"/>
  <c r="AS34" i="18" s="1"/>
  <c r="AT34" i="18" s="1"/>
  <c r="AT24" i="11"/>
  <c r="AS28" i="11"/>
  <c r="AS39" i="11" s="1"/>
  <c r="AJ356" i="11"/>
  <c r="AJ387" i="11"/>
  <c r="AJ389" i="11" s="1"/>
  <c r="AJ340" i="11"/>
  <c r="AA6" i="18"/>
  <c r="AA14" i="16"/>
  <c r="AB12" i="16"/>
  <c r="AB27" i="16" s="1"/>
  <c r="AJ332" i="11"/>
  <c r="AJ333" i="11"/>
  <c r="AJ347" i="11" s="1"/>
  <c r="AK331" i="11"/>
  <c r="AK226" i="11"/>
  <c r="AK202" i="11"/>
  <c r="AK203" i="11"/>
  <c r="AN237" i="11"/>
  <c r="AN236" i="11"/>
  <c r="AO239" i="11"/>
  <c r="AN242" i="11"/>
  <c r="AN238" i="11"/>
  <c r="AO235" i="11"/>
  <c r="AN241" i="11"/>
  <c r="AN240" i="11"/>
  <c r="AL200" i="11"/>
  <c r="AH266" i="11" l="1"/>
  <c r="AH335" i="11" s="1"/>
  <c r="AH342" i="11" s="1"/>
  <c r="AH316" i="11"/>
  <c r="AH338" i="11"/>
  <c r="AH345" i="11" s="1"/>
  <c r="AH319" i="11"/>
  <c r="AH265" i="11"/>
  <c r="AH334" i="11" s="1"/>
  <c r="AH341" i="11" s="1"/>
  <c r="AH307" i="11"/>
  <c r="AH314" i="11" s="1"/>
  <c r="AK48" i="11"/>
  <c r="AK177" i="11" s="1"/>
  <c r="AJ177" i="11"/>
  <c r="AH267" i="11"/>
  <c r="AH336" i="11" s="1"/>
  <c r="AH343" i="11" s="1"/>
  <c r="AH318" i="11"/>
  <c r="AH317" i="11"/>
  <c r="AG346" i="11"/>
  <c r="AG348" i="11" s="1"/>
  <c r="AG357" i="11" s="1"/>
  <c r="AJ305" i="11"/>
  <c r="AG322" i="11"/>
  <c r="M22" i="17"/>
  <c r="M23" i="17"/>
  <c r="M21" i="17"/>
  <c r="AH550" i="11"/>
  <c r="AH447" i="11"/>
  <c r="AH552" i="11"/>
  <c r="AH448" i="11"/>
  <c r="AH551" i="11"/>
  <c r="AH446" i="11"/>
  <c r="AF468" i="11"/>
  <c r="AF473" i="11" s="1"/>
  <c r="AF457" i="11"/>
  <c r="AF572" i="11"/>
  <c r="AF577" i="11" s="1"/>
  <c r="AF561" i="11"/>
  <c r="AG557" i="11"/>
  <c r="AG573" i="11" s="1"/>
  <c r="AG453" i="11"/>
  <c r="AG469" i="11" s="1"/>
  <c r="AG559" i="11"/>
  <c r="AG575" i="11" s="1"/>
  <c r="AG456" i="11"/>
  <c r="AG472" i="11" s="1"/>
  <c r="AG560" i="11"/>
  <c r="AG576" i="11" s="1"/>
  <c r="AG556" i="11"/>
  <c r="AG452" i="11"/>
  <c r="AG558" i="11"/>
  <c r="AG574" i="11" s="1"/>
  <c r="AG454" i="11"/>
  <c r="AG470" i="11" s="1"/>
  <c r="AG455" i="11"/>
  <c r="AG471" i="11" s="1"/>
  <c r="AI588" i="11"/>
  <c r="AJ587" i="11"/>
  <c r="AJ569" i="11"/>
  <c r="Z604" i="11"/>
  <c r="D24" i="17"/>
  <c r="D13" i="17"/>
  <c r="AJ465" i="11"/>
  <c r="AA476" i="11"/>
  <c r="AA595" i="11" s="1"/>
  <c r="AF408" i="11"/>
  <c r="AG408" i="11" s="1"/>
  <c r="AA375" i="11"/>
  <c r="AA382" i="11" s="1"/>
  <c r="AA580" i="11" s="1"/>
  <c r="AD365" i="11"/>
  <c r="AC373" i="11"/>
  <c r="AC380" i="11" s="1"/>
  <c r="AC359" i="11"/>
  <c r="AB371" i="11"/>
  <c r="AB378" i="11" s="1"/>
  <c r="AC368" i="11"/>
  <c r="AB374" i="11"/>
  <c r="AB381" i="11" s="1"/>
  <c r="AD362" i="11"/>
  <c r="AC372" i="11"/>
  <c r="AC379" i="11" s="1"/>
  <c r="AD348" i="11"/>
  <c r="AD357" i="11" s="1"/>
  <c r="AD349" i="11"/>
  <c r="AD360" i="11" s="1"/>
  <c r="AD350" i="11"/>
  <c r="AD363" i="11" s="1"/>
  <c r="AD351" i="11"/>
  <c r="AD366" i="11" s="1"/>
  <c r="AD352" i="11"/>
  <c r="AG351" i="11"/>
  <c r="AG366" i="11" s="1"/>
  <c r="AG349" i="11"/>
  <c r="AG360" i="11" s="1"/>
  <c r="AG350" i="11"/>
  <c r="AG363" i="11" s="1"/>
  <c r="AG352" i="11"/>
  <c r="AJ370" i="11"/>
  <c r="AJ377" i="11" s="1"/>
  <c r="AJ361" i="11"/>
  <c r="AJ364" i="11"/>
  <c r="AJ358" i="11"/>
  <c r="AJ367" i="11"/>
  <c r="AK297" i="11"/>
  <c r="AK299" i="11"/>
  <c r="AK295" i="11"/>
  <c r="AK305" i="11" s="1"/>
  <c r="AK296" i="11"/>
  <c r="AK298" i="11"/>
  <c r="AF276" i="11"/>
  <c r="AF274" i="11"/>
  <c r="AB369" i="11"/>
  <c r="AD419" i="11"/>
  <c r="AI392" i="11"/>
  <c r="AE411" i="11"/>
  <c r="AE416" i="11" s="1"/>
  <c r="AI612" i="11"/>
  <c r="AI281" i="11"/>
  <c r="AH390" i="11"/>
  <c r="AH393" i="11" s="1"/>
  <c r="AH284" i="11"/>
  <c r="AF272" i="11"/>
  <c r="AD414" i="11"/>
  <c r="AG286" i="11"/>
  <c r="AG287" i="11"/>
  <c r="F184" i="11" s="1"/>
  <c r="AG288" i="11"/>
  <c r="F183" i="11" s="1"/>
  <c r="AF398" i="11"/>
  <c r="AF402" i="11"/>
  <c r="AF289" i="11"/>
  <c r="AF275" i="11"/>
  <c r="AG396" i="11"/>
  <c r="AG397" i="11"/>
  <c r="AG406" i="11" s="1"/>
  <c r="AG395" i="11"/>
  <c r="AI613" i="11"/>
  <c r="AI282" i="11"/>
  <c r="AI391" i="11" s="1"/>
  <c r="AD409" i="11"/>
  <c r="AG339" i="11"/>
  <c r="AE277" i="11"/>
  <c r="AI269" i="11"/>
  <c r="AG270" i="11"/>
  <c r="AG273" i="11" s="1"/>
  <c r="AH611" i="11"/>
  <c r="AH268" i="11"/>
  <c r="AH337" i="11" s="1"/>
  <c r="AH344" i="11" s="1"/>
  <c r="AE346" i="11"/>
  <c r="AC353" i="11"/>
  <c r="AJ243" i="11"/>
  <c r="AJ244" i="11"/>
  <c r="AJ255" i="11" s="1"/>
  <c r="AJ245" i="11"/>
  <c r="AJ246" i="11"/>
  <c r="AJ247" i="11"/>
  <c r="AJ248" i="11"/>
  <c r="AJ259" i="11" s="1"/>
  <c r="AJ249" i="11"/>
  <c r="AJ260" i="11" s="1"/>
  <c r="AJ250" i="11"/>
  <c r="AJ261" i="11" s="1"/>
  <c r="AJ283" i="11" s="1"/>
  <c r="AH610" i="11"/>
  <c r="AH598" i="11"/>
  <c r="AH607" i="11"/>
  <c r="AI601" i="11"/>
  <c r="AI600" i="11"/>
  <c r="AH609" i="11"/>
  <c r="AH597" i="11"/>
  <c r="AH599" i="11"/>
  <c r="I73" i="11"/>
  <c r="AL136" i="11"/>
  <c r="AK163" i="11"/>
  <c r="AK183" i="11" s="1"/>
  <c r="AK124" i="11"/>
  <c r="AK132" i="11" s="1"/>
  <c r="AK182" i="11" s="1"/>
  <c r="AK112" i="11"/>
  <c r="AJ120" i="11"/>
  <c r="AJ181" i="11" s="1"/>
  <c r="AF353" i="11"/>
  <c r="AK264" i="11"/>
  <c r="AK271" i="11" s="1"/>
  <c r="AK252" i="11"/>
  <c r="AI257" i="11"/>
  <c r="AI258" i="11"/>
  <c r="AI254" i="11"/>
  <c r="AI256" i="11"/>
  <c r="AY180" i="11"/>
  <c r="AZ8" i="11"/>
  <c r="AZ179" i="11" s="1"/>
  <c r="AH196" i="11"/>
  <c r="AH615" i="11" s="1"/>
  <c r="L14" i="17" s="1"/>
  <c r="L25" i="17" s="1"/>
  <c r="AH185" i="11"/>
  <c r="AH603" i="11" s="1"/>
  <c r="AI178" i="11"/>
  <c r="AI189" i="11"/>
  <c r="AI195" i="11"/>
  <c r="AI614" i="11" s="1"/>
  <c r="AI184" i="11"/>
  <c r="AI602" i="11" s="1"/>
  <c r="E73" i="13"/>
  <c r="F72" i="13"/>
  <c r="G72" i="13"/>
  <c r="H72" i="13"/>
  <c r="I72" i="13"/>
  <c r="J72" i="13"/>
  <c r="K72" i="13"/>
  <c r="L72" i="13"/>
  <c r="M72" i="13"/>
  <c r="N72" i="13"/>
  <c r="O72" i="13"/>
  <c r="P72" i="13"/>
  <c r="Q72" i="13"/>
  <c r="R72" i="13"/>
  <c r="S72" i="13"/>
  <c r="T72" i="13"/>
  <c r="U72" i="13"/>
  <c r="V72" i="13"/>
  <c r="W72" i="13"/>
  <c r="X72" i="13"/>
  <c r="Y72" i="13"/>
  <c r="Z72" i="13"/>
  <c r="AA72" i="13"/>
  <c r="AB72" i="13"/>
  <c r="AC72" i="13"/>
  <c r="AD72" i="13"/>
  <c r="AE72" i="13"/>
  <c r="AF72" i="13"/>
  <c r="AG72" i="13"/>
  <c r="AH72" i="13"/>
  <c r="AI72" i="13"/>
  <c r="AJ72" i="13"/>
  <c r="AK72" i="13"/>
  <c r="AK167" i="11"/>
  <c r="AJ173" i="11"/>
  <c r="N19" i="17"/>
  <c r="AIY1" i="10"/>
  <c r="AA20" i="18"/>
  <c r="AA22" i="18"/>
  <c r="AA23" i="18"/>
  <c r="AA24" i="18"/>
  <c r="AA25" i="18"/>
  <c r="AA21" i="18"/>
  <c r="AB6" i="18"/>
  <c r="AJ52" i="11"/>
  <c r="AJ87" i="11" s="1"/>
  <c r="Z26" i="18"/>
  <c r="AL25" i="11"/>
  <c r="AK356" i="11"/>
  <c r="AK387" i="11"/>
  <c r="AK389" i="11" s="1"/>
  <c r="AK340" i="11"/>
  <c r="AJ388" i="11"/>
  <c r="AU24" i="11"/>
  <c r="AT28" i="11"/>
  <c r="AT39" i="11" s="1"/>
  <c r="AB14" i="16"/>
  <c r="AC12" i="16"/>
  <c r="AC27" i="16" s="1"/>
  <c r="AK332" i="11"/>
  <c r="AK333" i="11"/>
  <c r="AK347" i="11" s="1"/>
  <c r="AK204" i="11"/>
  <c r="AL226" i="11"/>
  <c r="AL331" i="11"/>
  <c r="AL202" i="11"/>
  <c r="AL203" i="11"/>
  <c r="AP235" i="11"/>
  <c r="AO240" i="11"/>
  <c r="AO242" i="11"/>
  <c r="AO236" i="11"/>
  <c r="AO241" i="11"/>
  <c r="AO238" i="11"/>
  <c r="AP239" i="11"/>
  <c r="AO237" i="11"/>
  <c r="AM200" i="11"/>
  <c r="AH322" i="11" l="1"/>
  <c r="AI266" i="11"/>
  <c r="AI335" i="11" s="1"/>
  <c r="AI342" i="11" s="1"/>
  <c r="AI316" i="11"/>
  <c r="AK188" i="11"/>
  <c r="AI338" i="11"/>
  <c r="AI345" i="11" s="1"/>
  <c r="AI319" i="11"/>
  <c r="AI265" i="11"/>
  <c r="AI334" i="11" s="1"/>
  <c r="AI341" i="11" s="1"/>
  <c r="AI307" i="11"/>
  <c r="AI314" i="11" s="1"/>
  <c r="AL48" i="11"/>
  <c r="AL188" i="11" s="1"/>
  <c r="AI267" i="11"/>
  <c r="AI336" i="11" s="1"/>
  <c r="AI343" i="11" s="1"/>
  <c r="AI318" i="11"/>
  <c r="AI317" i="11"/>
  <c r="AH346" i="11"/>
  <c r="N22" i="17"/>
  <c r="N21" i="17"/>
  <c r="N23" i="17"/>
  <c r="AK587" i="11"/>
  <c r="AJ588" i="11"/>
  <c r="AH560" i="11"/>
  <c r="AH576" i="11" s="1"/>
  <c r="AH455" i="11"/>
  <c r="AH471" i="11" s="1"/>
  <c r="AH559" i="11"/>
  <c r="AH575" i="11" s="1"/>
  <c r="AH454" i="11"/>
  <c r="AH470" i="11" s="1"/>
  <c r="AH558" i="11"/>
  <c r="AH574" i="11" s="1"/>
  <c r="AH557" i="11"/>
  <c r="AH573" i="11" s="1"/>
  <c r="AH456" i="11"/>
  <c r="AH472" i="11" s="1"/>
  <c r="AH453" i="11"/>
  <c r="AH469" i="11" s="1"/>
  <c r="AH452" i="11"/>
  <c r="AH556" i="11"/>
  <c r="AG572" i="11"/>
  <c r="AG577" i="11" s="1"/>
  <c r="AG561" i="11"/>
  <c r="AI446" i="11"/>
  <c r="AI550" i="11"/>
  <c r="AI447" i="11"/>
  <c r="AI552" i="11"/>
  <c r="AI448" i="11"/>
  <c r="AI551" i="11"/>
  <c r="AG468" i="11"/>
  <c r="AG473" i="11" s="1"/>
  <c r="AG457" i="11"/>
  <c r="AK569" i="11"/>
  <c r="AB476" i="11"/>
  <c r="AB595" i="11" s="1"/>
  <c r="AK465" i="11"/>
  <c r="AA383" i="11"/>
  <c r="AA596" i="11"/>
  <c r="AC369" i="11"/>
  <c r="AC375" i="11" s="1"/>
  <c r="AC382" i="11" s="1"/>
  <c r="AA376" i="11"/>
  <c r="AE362" i="11"/>
  <c r="AD372" i="11"/>
  <c r="AD379" i="11" s="1"/>
  <c r="AD359" i="11"/>
  <c r="AC371" i="11"/>
  <c r="AC378" i="11" s="1"/>
  <c r="AB375" i="11"/>
  <c r="AB382" i="11" s="1"/>
  <c r="AB580" i="11" s="1"/>
  <c r="AD368" i="11"/>
  <c r="AC374" i="11"/>
  <c r="AC381" i="11" s="1"/>
  <c r="AE365" i="11"/>
  <c r="AD373" i="11"/>
  <c r="AD380" i="11" s="1"/>
  <c r="AE348" i="11"/>
  <c r="AE357" i="11" s="1"/>
  <c r="AE349" i="11"/>
  <c r="AE360" i="11" s="1"/>
  <c r="AE350" i="11"/>
  <c r="AE363" i="11" s="1"/>
  <c r="AE351" i="11"/>
  <c r="AE366" i="11" s="1"/>
  <c r="AE352" i="11"/>
  <c r="AK370" i="11"/>
  <c r="AK377" i="11" s="1"/>
  <c r="AK358" i="11"/>
  <c r="AK367" i="11"/>
  <c r="AK361" i="11"/>
  <c r="AK364" i="11"/>
  <c r="AH348" i="11"/>
  <c r="AH357" i="11" s="1"/>
  <c r="AH349" i="11"/>
  <c r="AH360" i="11" s="1"/>
  <c r="AH350" i="11"/>
  <c r="AH363" i="11" s="1"/>
  <c r="AH351" i="11"/>
  <c r="AH366" i="11" s="1"/>
  <c r="AH352" i="11"/>
  <c r="AL297" i="11"/>
  <c r="AL298" i="11"/>
  <c r="AL299" i="11"/>
  <c r="AL295" i="11"/>
  <c r="AL296" i="11"/>
  <c r="AG275" i="11"/>
  <c r="AJ392" i="11"/>
  <c r="AF411" i="11"/>
  <c r="AF416" i="11" s="1"/>
  <c r="AF277" i="11"/>
  <c r="F182" i="11"/>
  <c r="F185" i="11" s="1"/>
  <c r="AG289" i="11"/>
  <c r="AH395" i="11"/>
  <c r="AH402" i="11" s="1"/>
  <c r="AH396" i="11"/>
  <c r="AH397" i="11"/>
  <c r="AE413" i="11"/>
  <c r="AE418" i="11" s="1"/>
  <c r="AE405" i="11"/>
  <c r="AJ613" i="11"/>
  <c r="AJ282" i="11"/>
  <c r="AJ391" i="11" s="1"/>
  <c r="AI390" i="11"/>
  <c r="AI393" i="11" s="1"/>
  <c r="AI284" i="11"/>
  <c r="AG398" i="11"/>
  <c r="AG402" i="11"/>
  <c r="AH287" i="11"/>
  <c r="AH286" i="11"/>
  <c r="AH288" i="11"/>
  <c r="AJ612" i="11"/>
  <c r="AJ281" i="11"/>
  <c r="AG276" i="11"/>
  <c r="AG272" i="11"/>
  <c r="AH270" i="11"/>
  <c r="AH272" i="11" s="1"/>
  <c r="AJ269" i="11"/>
  <c r="AG274" i="11"/>
  <c r="AH339" i="11"/>
  <c r="AI611" i="11"/>
  <c r="AI268" i="11"/>
  <c r="AI337" i="11" s="1"/>
  <c r="AI344" i="11" s="1"/>
  <c r="AD353" i="11"/>
  <c r="AI599" i="11"/>
  <c r="O19" i="17"/>
  <c r="AK243" i="11"/>
  <c r="AK244" i="11"/>
  <c r="AK255" i="11" s="1"/>
  <c r="AK245" i="11"/>
  <c r="AK246" i="11"/>
  <c r="AK247" i="11"/>
  <c r="AK248" i="11"/>
  <c r="AK259" i="11" s="1"/>
  <c r="AK249" i="11"/>
  <c r="AK260" i="11" s="1"/>
  <c r="AK250" i="11"/>
  <c r="AK261" i="11" s="1"/>
  <c r="AK283" i="11" s="1"/>
  <c r="AI607" i="11"/>
  <c r="AI610" i="11"/>
  <c r="AI598" i="11"/>
  <c r="AJ601" i="11"/>
  <c r="AI609" i="11"/>
  <c r="AI597" i="11"/>
  <c r="AJ600" i="11"/>
  <c r="I74" i="11"/>
  <c r="AM136" i="11"/>
  <c r="AL163" i="11"/>
  <c r="AL183" i="11" s="1"/>
  <c r="AL124" i="11"/>
  <c r="AL132" i="11" s="1"/>
  <c r="AL182" i="11" s="1"/>
  <c r="AL112" i="11"/>
  <c r="AK120" i="11"/>
  <c r="AK181" i="11" s="1"/>
  <c r="AG353" i="11"/>
  <c r="AL264" i="11"/>
  <c r="AL271" i="11" s="1"/>
  <c r="AL252" i="11"/>
  <c r="AJ258" i="11"/>
  <c r="AJ254" i="11"/>
  <c r="AJ257" i="11"/>
  <c r="AJ256" i="11"/>
  <c r="AZ180" i="11"/>
  <c r="BA8" i="11"/>
  <c r="AI196" i="11"/>
  <c r="AI615" i="11" s="1"/>
  <c r="M14" i="17" s="1"/>
  <c r="M25" i="17" s="1"/>
  <c r="AI185" i="11"/>
  <c r="AI603" i="11" s="1"/>
  <c r="AJ189" i="11"/>
  <c r="AJ178" i="11"/>
  <c r="AL177" i="11"/>
  <c r="AJ195" i="11"/>
  <c r="AJ614" i="11" s="1"/>
  <c r="AJ184" i="11"/>
  <c r="AJ602" i="11" s="1"/>
  <c r="E74" i="13"/>
  <c r="F73" i="13"/>
  <c r="G73" i="13"/>
  <c r="H73" i="13"/>
  <c r="I73" i="13"/>
  <c r="J73" i="13"/>
  <c r="K73" i="13"/>
  <c r="L73" i="13"/>
  <c r="M73" i="13"/>
  <c r="N73" i="13"/>
  <c r="O73" i="13"/>
  <c r="P73" i="13"/>
  <c r="Q73" i="13"/>
  <c r="R73" i="13"/>
  <c r="S73" i="13"/>
  <c r="T73" i="13"/>
  <c r="U73" i="13"/>
  <c r="V73" i="13"/>
  <c r="W73" i="13"/>
  <c r="X73" i="13"/>
  <c r="Y73" i="13"/>
  <c r="Z73" i="13"/>
  <c r="AA73" i="13"/>
  <c r="AB73" i="13"/>
  <c r="AC73" i="13"/>
  <c r="AD73" i="13"/>
  <c r="AE73" i="13"/>
  <c r="AF73" i="13"/>
  <c r="AG73" i="13"/>
  <c r="AH73" i="13"/>
  <c r="AI73" i="13"/>
  <c r="AJ73" i="13"/>
  <c r="AK73" i="13"/>
  <c r="AL167" i="11"/>
  <c r="AK173" i="11"/>
  <c r="AK388" i="11"/>
  <c r="AIZ1" i="10"/>
  <c r="AB23" i="18"/>
  <c r="AB24" i="18"/>
  <c r="AB21" i="18"/>
  <c r="AB20" i="18"/>
  <c r="AB22" i="18"/>
  <c r="AB25" i="18"/>
  <c r="AK52" i="11"/>
  <c r="AK87" i="11" s="1"/>
  <c r="AC6" i="18"/>
  <c r="AM25" i="11"/>
  <c r="AL356" i="11"/>
  <c r="AL387" i="11"/>
  <c r="AL389" i="11" s="1"/>
  <c r="AL340" i="11"/>
  <c r="AV24" i="11"/>
  <c r="AU28" i="11"/>
  <c r="AU39" i="11" s="1"/>
  <c r="AA26" i="18"/>
  <c r="AC14" i="16"/>
  <c r="AD12" i="16"/>
  <c r="AD27" i="16" s="1"/>
  <c r="AL332" i="11"/>
  <c r="AL333" i="11"/>
  <c r="AL347" i="11" s="1"/>
  <c r="AM203" i="11"/>
  <c r="AL204" i="11"/>
  <c r="AM226" i="11"/>
  <c r="AM331" i="11"/>
  <c r="AM202" i="11"/>
  <c r="AP238" i="11"/>
  <c r="AP237" i="11"/>
  <c r="AP236" i="11"/>
  <c r="AP240" i="11"/>
  <c r="AQ239" i="11"/>
  <c r="AP241" i="11"/>
  <c r="AP242" i="11"/>
  <c r="AQ235" i="11"/>
  <c r="AN200" i="11"/>
  <c r="AI322" i="11" l="1"/>
  <c r="AJ266" i="11"/>
  <c r="AJ335" i="11" s="1"/>
  <c r="AJ342" i="11" s="1"/>
  <c r="AJ316" i="11"/>
  <c r="AJ267" i="11"/>
  <c r="AJ336" i="11" s="1"/>
  <c r="AJ343" i="11" s="1"/>
  <c r="AJ318" i="11"/>
  <c r="AJ317" i="11"/>
  <c r="AJ265" i="11"/>
  <c r="AJ334" i="11" s="1"/>
  <c r="AJ341" i="11" s="1"/>
  <c r="AJ307" i="11"/>
  <c r="AJ314" i="11" s="1"/>
  <c r="AL305" i="11"/>
  <c r="AM48" i="11"/>
  <c r="AM177" i="11" s="1"/>
  <c r="I75" i="11"/>
  <c r="AI346" i="11"/>
  <c r="AI349" i="11" s="1"/>
  <c r="AI360" i="11" s="1"/>
  <c r="AJ338" i="11"/>
  <c r="AJ345" i="11" s="1"/>
  <c r="AJ319" i="11"/>
  <c r="O22" i="17"/>
  <c r="O21" i="17"/>
  <c r="O23" i="17"/>
  <c r="AH468" i="11"/>
  <c r="AH473" i="11" s="1"/>
  <c r="AH457" i="11"/>
  <c r="AJ448" i="11"/>
  <c r="AJ552" i="11"/>
  <c r="AJ447" i="11"/>
  <c r="AJ551" i="11"/>
  <c r="AJ446" i="11"/>
  <c r="AJ550" i="11"/>
  <c r="AH572" i="11"/>
  <c r="AH577" i="11" s="1"/>
  <c r="AH561" i="11"/>
  <c r="AI557" i="11"/>
  <c r="AI573" i="11" s="1"/>
  <c r="AI455" i="11"/>
  <c r="AI471" i="11" s="1"/>
  <c r="AI556" i="11"/>
  <c r="AI560" i="11"/>
  <c r="AI576" i="11" s="1"/>
  <c r="AI454" i="11"/>
  <c r="AI470" i="11" s="1"/>
  <c r="AI559" i="11"/>
  <c r="AI575" i="11" s="1"/>
  <c r="AI453" i="11"/>
  <c r="AI469" i="11" s="1"/>
  <c r="AI456" i="11"/>
  <c r="AI472" i="11" s="1"/>
  <c r="AI558" i="11"/>
  <c r="AI574" i="11" s="1"/>
  <c r="AI452" i="11"/>
  <c r="AL587" i="11"/>
  <c r="AK588" i="11"/>
  <c r="AC580" i="11"/>
  <c r="AC596" i="11" s="1"/>
  <c r="AC608" i="11" s="1"/>
  <c r="AC616" i="11" s="1"/>
  <c r="G9" i="17" s="1"/>
  <c r="G20" i="17" s="1"/>
  <c r="AL569" i="11"/>
  <c r="AA604" i="11"/>
  <c r="AA608" i="11"/>
  <c r="AA616" i="11" s="1"/>
  <c r="E9" i="17" s="1"/>
  <c r="E20" i="17" s="1"/>
  <c r="AC476" i="11"/>
  <c r="AC595" i="11" s="1"/>
  <c r="AL465" i="11"/>
  <c r="AD369" i="11"/>
  <c r="AD375" i="11" s="1"/>
  <c r="AD382" i="11" s="1"/>
  <c r="AB383" i="11"/>
  <c r="AB596" i="11"/>
  <c r="AH404" i="11"/>
  <c r="AC376" i="11"/>
  <c r="AB376" i="11"/>
  <c r="AC383" i="11"/>
  <c r="AF365" i="11"/>
  <c r="AE373" i="11"/>
  <c r="AE380" i="11" s="1"/>
  <c r="AF362" i="11"/>
  <c r="AE372" i="11"/>
  <c r="AE379" i="11" s="1"/>
  <c r="AE359" i="11"/>
  <c r="AD371" i="11"/>
  <c r="AD378" i="11" s="1"/>
  <c r="AE368" i="11"/>
  <c r="AD374" i="11"/>
  <c r="AD381" i="11" s="1"/>
  <c r="AL370" i="11"/>
  <c r="AL377" i="11" s="1"/>
  <c r="AL367" i="11"/>
  <c r="AL358" i="11"/>
  <c r="AL364" i="11"/>
  <c r="AL361" i="11"/>
  <c r="AI348" i="11"/>
  <c r="AI357" i="11" s="1"/>
  <c r="AI350" i="11"/>
  <c r="AI363" i="11" s="1"/>
  <c r="AI352" i="11"/>
  <c r="AM296" i="11"/>
  <c r="AM297" i="11"/>
  <c r="AM298" i="11"/>
  <c r="AM299" i="11"/>
  <c r="AM295" i="11"/>
  <c r="AK392" i="11"/>
  <c r="AG277" i="11"/>
  <c r="AH274" i="11"/>
  <c r="AF413" i="11"/>
  <c r="AF418" i="11" s="1"/>
  <c r="AG405" i="11"/>
  <c r="AG412" i="11" s="1"/>
  <c r="AG417" i="11" s="1"/>
  <c r="AK612" i="11"/>
  <c r="AK281" i="11"/>
  <c r="AG411" i="11"/>
  <c r="AG416" i="11" s="1"/>
  <c r="AH273" i="11"/>
  <c r="AF405" i="11"/>
  <c r="AH398" i="11"/>
  <c r="AH406" i="11"/>
  <c r="AH408" i="11" s="1"/>
  <c r="AK613" i="11"/>
  <c r="AK282" i="11"/>
  <c r="AK391" i="11" s="1"/>
  <c r="AJ390" i="11"/>
  <c r="AJ393" i="11" s="1"/>
  <c r="AJ284" i="11"/>
  <c r="AI395" i="11"/>
  <c r="AI396" i="11"/>
  <c r="AI397" i="11"/>
  <c r="AI406" i="11" s="1"/>
  <c r="AH289" i="11"/>
  <c r="AI286" i="11"/>
  <c r="AI288" i="11"/>
  <c r="AI287" i="11"/>
  <c r="AE412" i="11"/>
  <c r="AE409" i="11"/>
  <c r="AH275" i="11"/>
  <c r="AH276" i="11"/>
  <c r="AK269" i="11"/>
  <c r="AI339" i="11"/>
  <c r="AI270" i="11"/>
  <c r="AJ611" i="11"/>
  <c r="AJ268" i="11"/>
  <c r="AJ337" i="11" s="1"/>
  <c r="AJ344" i="11" s="1"/>
  <c r="AE353" i="11"/>
  <c r="P19" i="17"/>
  <c r="AL244" i="11"/>
  <c r="AL255" i="11" s="1"/>
  <c r="AL246" i="11"/>
  <c r="AL248" i="11"/>
  <c r="AL259" i="11" s="1"/>
  <c r="AL245" i="11"/>
  <c r="AL247" i="11"/>
  <c r="AL249" i="11"/>
  <c r="AL260" i="11" s="1"/>
  <c r="AL243" i="11"/>
  <c r="AL250" i="11"/>
  <c r="AL261" i="11" s="1"/>
  <c r="AL283" i="11" s="1"/>
  <c r="AK601" i="11"/>
  <c r="AJ610" i="11"/>
  <c r="AJ598" i="11"/>
  <c r="AK600" i="11"/>
  <c r="AJ609" i="11"/>
  <c r="AJ597" i="11"/>
  <c r="AJ599" i="11"/>
  <c r="AJ607" i="11"/>
  <c r="AN136" i="11"/>
  <c r="AM163" i="11"/>
  <c r="AM183" i="11" s="1"/>
  <c r="AM124" i="11"/>
  <c r="AM132" i="11" s="1"/>
  <c r="AM182" i="11" s="1"/>
  <c r="AM112" i="11"/>
  <c r="AL120" i="11"/>
  <c r="AL181" i="11" s="1"/>
  <c r="AH353" i="11"/>
  <c r="AM264" i="11"/>
  <c r="AM271" i="11" s="1"/>
  <c r="AM252" i="11"/>
  <c r="AK257" i="11"/>
  <c r="AK254" i="11"/>
  <c r="AK258" i="11"/>
  <c r="AK256" i="11"/>
  <c r="BA180" i="11"/>
  <c r="BA179" i="11"/>
  <c r="AM188" i="11"/>
  <c r="AJ185" i="11"/>
  <c r="AJ603" i="11" s="1"/>
  <c r="AK178" i="11"/>
  <c r="AK189" i="11"/>
  <c r="AK184" i="11"/>
  <c r="AK602" i="11" s="1"/>
  <c r="AK195" i="11"/>
  <c r="AK614" i="11" s="1"/>
  <c r="AJ196" i="11"/>
  <c r="AJ615" i="11" s="1"/>
  <c r="N14" i="17" s="1"/>
  <c r="N25" i="17" s="1"/>
  <c r="E75" i="13"/>
  <c r="F74" i="13"/>
  <c r="G74" i="13"/>
  <c r="H74" i="13"/>
  <c r="I74" i="13"/>
  <c r="J74" i="13"/>
  <c r="K74" i="13"/>
  <c r="L74" i="13"/>
  <c r="M74" i="13"/>
  <c r="N74" i="13"/>
  <c r="O74" i="13"/>
  <c r="P74" i="13"/>
  <c r="Q74" i="13"/>
  <c r="R74" i="13"/>
  <c r="S74" i="13"/>
  <c r="T74" i="13"/>
  <c r="U74" i="13"/>
  <c r="V74" i="13"/>
  <c r="W74" i="13"/>
  <c r="X74" i="13"/>
  <c r="Y74" i="13"/>
  <c r="Z74" i="13"/>
  <c r="AA74" i="13"/>
  <c r="AB74" i="13"/>
  <c r="AC74" i="13"/>
  <c r="AD74" i="13"/>
  <c r="AE74" i="13"/>
  <c r="AF74" i="13"/>
  <c r="AG74" i="13"/>
  <c r="AH74" i="13"/>
  <c r="AI74" i="13"/>
  <c r="AJ74" i="13"/>
  <c r="AK74" i="13"/>
  <c r="AM167" i="11"/>
  <c r="AL173" i="11"/>
  <c r="AJA1" i="10"/>
  <c r="AC22" i="18"/>
  <c r="AC23" i="18"/>
  <c r="AC21" i="18"/>
  <c r="AC20" i="18"/>
  <c r="AC24" i="18"/>
  <c r="AC25" i="18"/>
  <c r="AB26" i="18"/>
  <c r="AL52" i="11"/>
  <c r="AL87" i="11" s="1"/>
  <c r="AN25" i="11"/>
  <c r="AM356" i="11"/>
  <c r="AM387" i="11"/>
  <c r="AM389" i="11" s="1"/>
  <c r="AM340" i="11"/>
  <c r="AW24" i="11"/>
  <c r="AV28" i="11"/>
  <c r="AV39" i="11" s="1"/>
  <c r="AL388" i="11"/>
  <c r="AM388" i="11" s="1"/>
  <c r="AD6" i="18"/>
  <c r="AD14" i="16"/>
  <c r="AE12" i="16"/>
  <c r="AE27" i="16" s="1"/>
  <c r="AM204" i="11"/>
  <c r="AM332" i="11"/>
  <c r="AM333" i="11"/>
  <c r="AM347" i="11" s="1"/>
  <c r="AN226" i="11"/>
  <c r="AN331" i="11"/>
  <c r="AN202" i="11"/>
  <c r="AN203" i="11"/>
  <c r="AQ241" i="11"/>
  <c r="AQ240" i="11"/>
  <c r="AQ237" i="11"/>
  <c r="AR235" i="11"/>
  <c r="AQ242" i="11"/>
  <c r="AR239" i="11"/>
  <c r="AQ236" i="11"/>
  <c r="AQ238" i="11"/>
  <c r="AO200" i="11"/>
  <c r="AK267" i="11" l="1"/>
  <c r="AK336" i="11" s="1"/>
  <c r="AK343" i="11" s="1"/>
  <c r="AK318" i="11"/>
  <c r="AK317" i="11"/>
  <c r="AJ322" i="11"/>
  <c r="AK266" i="11"/>
  <c r="AK335" i="11" s="1"/>
  <c r="AK342" i="11" s="1"/>
  <c r="AK316" i="11"/>
  <c r="AI351" i="11"/>
  <c r="AI366" i="11" s="1"/>
  <c r="AN48" i="11"/>
  <c r="AK265" i="11"/>
  <c r="AK307" i="11"/>
  <c r="AK314" i="11" s="1"/>
  <c r="AJ346" i="11"/>
  <c r="AK338" i="11"/>
  <c r="AK345" i="11" s="1"/>
  <c r="AK319" i="11"/>
  <c r="AM305" i="11"/>
  <c r="P22" i="17"/>
  <c r="P23" i="17"/>
  <c r="P21" i="17"/>
  <c r="AK448" i="11"/>
  <c r="AK446" i="11"/>
  <c r="AK550" i="11"/>
  <c r="AK551" i="11"/>
  <c r="AK552" i="11"/>
  <c r="AK447" i="11"/>
  <c r="AI468" i="11"/>
  <c r="AI473" i="11" s="1"/>
  <c r="AI457" i="11"/>
  <c r="AL588" i="11"/>
  <c r="AM587" i="11"/>
  <c r="AI572" i="11"/>
  <c r="AI577" i="11" s="1"/>
  <c r="AI561" i="11"/>
  <c r="AJ557" i="11"/>
  <c r="AJ573" i="11" s="1"/>
  <c r="AJ454" i="11"/>
  <c r="AJ470" i="11" s="1"/>
  <c r="AJ558" i="11"/>
  <c r="AJ574" i="11" s="1"/>
  <c r="AJ455" i="11"/>
  <c r="AJ471" i="11" s="1"/>
  <c r="AJ556" i="11"/>
  <c r="AJ452" i="11"/>
  <c r="AJ453" i="11"/>
  <c r="AJ469" i="11" s="1"/>
  <c r="AJ559" i="11"/>
  <c r="AJ575" i="11" s="1"/>
  <c r="AJ456" i="11"/>
  <c r="AJ472" i="11" s="1"/>
  <c r="AJ560" i="11"/>
  <c r="AJ576" i="11" s="1"/>
  <c r="G24" i="17"/>
  <c r="G13" i="17"/>
  <c r="AC604" i="11"/>
  <c r="AM569" i="11"/>
  <c r="AD580" i="11"/>
  <c r="AD596" i="11" s="1"/>
  <c r="AD608" i="11" s="1"/>
  <c r="AD616" i="11" s="1"/>
  <c r="H9" i="17" s="1"/>
  <c r="H20" i="17" s="1"/>
  <c r="E24" i="17"/>
  <c r="E13" i="17"/>
  <c r="AB604" i="11"/>
  <c r="AB608" i="11"/>
  <c r="AB616" i="11" s="1"/>
  <c r="F9" i="17" s="1"/>
  <c r="F20" i="17" s="1"/>
  <c r="AD476" i="11"/>
  <c r="AD595" i="11" s="1"/>
  <c r="AM465" i="11"/>
  <c r="AE369" i="11"/>
  <c r="AE375" i="11" s="1"/>
  <c r="AE382" i="11" s="1"/>
  <c r="AD376" i="11"/>
  <c r="AI408" i="11"/>
  <c r="AD383" i="11"/>
  <c r="AF368" i="11"/>
  <c r="AE374" i="11"/>
  <c r="AE381" i="11" s="1"/>
  <c r="AF372" i="11"/>
  <c r="AF379" i="11" s="1"/>
  <c r="AG362" i="11"/>
  <c r="AF359" i="11"/>
  <c r="AE371" i="11"/>
  <c r="AE378" i="11" s="1"/>
  <c r="AF373" i="11"/>
  <c r="AF380" i="11" s="1"/>
  <c r="AG365" i="11"/>
  <c r="AJ348" i="11"/>
  <c r="AJ357" i="11" s="1"/>
  <c r="AJ349" i="11"/>
  <c r="AJ360" i="11" s="1"/>
  <c r="AJ350" i="11"/>
  <c r="AJ363" i="11" s="1"/>
  <c r="AJ351" i="11"/>
  <c r="AJ366" i="11" s="1"/>
  <c r="AJ352" i="11"/>
  <c r="AM370" i="11"/>
  <c r="AM377" i="11" s="1"/>
  <c r="AM364" i="11"/>
  <c r="AM367" i="11"/>
  <c r="AM361" i="11"/>
  <c r="AM358" i="11"/>
  <c r="AN296" i="11"/>
  <c r="AN297" i="11"/>
  <c r="AN298" i="11"/>
  <c r="AN299" i="11"/>
  <c r="AN295" i="11"/>
  <c r="AE414" i="11"/>
  <c r="AE417" i="11"/>
  <c r="AE419" i="11" s="1"/>
  <c r="AL392" i="11"/>
  <c r="AH277" i="11"/>
  <c r="AG409" i="11"/>
  <c r="AJ286" i="11"/>
  <c r="AJ288" i="11"/>
  <c r="AJ287" i="11"/>
  <c r="AI289" i="11"/>
  <c r="AJ397" i="11"/>
  <c r="AJ406" i="11" s="1"/>
  <c r="AJ395" i="11"/>
  <c r="AJ396" i="11"/>
  <c r="AK284" i="11"/>
  <c r="AK390" i="11"/>
  <c r="AK393" i="11" s="1"/>
  <c r="AF412" i="11"/>
  <c r="AF409" i="11"/>
  <c r="AG413" i="11"/>
  <c r="AH405" i="11"/>
  <c r="AL613" i="11"/>
  <c r="AL282" i="11"/>
  <c r="AL391" i="11" s="1"/>
  <c r="AL612" i="11"/>
  <c r="AL281" i="11"/>
  <c r="AI402" i="11"/>
  <c r="AI404" i="11" s="1"/>
  <c r="AI398" i="11"/>
  <c r="AH411" i="11"/>
  <c r="AH416" i="11" s="1"/>
  <c r="AL269" i="11"/>
  <c r="AJ339" i="11"/>
  <c r="AK611" i="11"/>
  <c r="AK268" i="11"/>
  <c r="AK337" i="11" s="1"/>
  <c r="AK344" i="11" s="1"/>
  <c r="AI272" i="11"/>
  <c r="AI273" i="11"/>
  <c r="AI274" i="11"/>
  <c r="AI275" i="11"/>
  <c r="AI276" i="11"/>
  <c r="AK334" i="11"/>
  <c r="AK341" i="11" s="1"/>
  <c r="AJ270" i="11"/>
  <c r="Q19" i="17"/>
  <c r="AM243" i="11"/>
  <c r="AM244" i="11"/>
  <c r="AM255" i="11" s="1"/>
  <c r="AM245" i="11"/>
  <c r="AM246" i="11"/>
  <c r="AM247" i="11"/>
  <c r="AM248" i="11"/>
  <c r="AM259" i="11" s="1"/>
  <c r="AM249" i="11"/>
  <c r="AM260" i="11" s="1"/>
  <c r="AM250" i="11"/>
  <c r="AM261" i="11" s="1"/>
  <c r="AM283" i="11" s="1"/>
  <c r="AM392" i="11" s="1"/>
  <c r="AK609" i="11"/>
  <c r="AK597" i="11"/>
  <c r="AK607" i="11"/>
  <c r="AL601" i="11"/>
  <c r="AL600" i="11"/>
  <c r="AK599" i="11"/>
  <c r="AK610" i="11"/>
  <c r="AK598" i="11"/>
  <c r="I76" i="11"/>
  <c r="AO136" i="11"/>
  <c r="AN163" i="11"/>
  <c r="AN183" i="11" s="1"/>
  <c r="AN124" i="11"/>
  <c r="AN132" i="11" s="1"/>
  <c r="AN182" i="11" s="1"/>
  <c r="AN112" i="11"/>
  <c r="AM120" i="11"/>
  <c r="AM181" i="11" s="1"/>
  <c r="AN264" i="11"/>
  <c r="AN271" i="11" s="1"/>
  <c r="AN252" i="11"/>
  <c r="AL256" i="11"/>
  <c r="AL254" i="11"/>
  <c r="AL258" i="11"/>
  <c r="AL257" i="11"/>
  <c r="AK185" i="11"/>
  <c r="AK603" i="11" s="1"/>
  <c r="AK196" i="11"/>
  <c r="AK615" i="11" s="1"/>
  <c r="O14" i="17" s="1"/>
  <c r="O25" i="17" s="1"/>
  <c r="AN177" i="11"/>
  <c r="AN188" i="11"/>
  <c r="AL178" i="11"/>
  <c r="AL189" i="11"/>
  <c r="AL184" i="11"/>
  <c r="AL602" i="11" s="1"/>
  <c r="AL195" i="11"/>
  <c r="AL614" i="11" s="1"/>
  <c r="E76" i="13"/>
  <c r="F75" i="13"/>
  <c r="G75" i="13"/>
  <c r="H75" i="13"/>
  <c r="I75" i="13"/>
  <c r="J75" i="13"/>
  <c r="K75" i="13"/>
  <c r="L75" i="13"/>
  <c r="M75" i="13"/>
  <c r="N75" i="13"/>
  <c r="O75" i="13"/>
  <c r="P75" i="13"/>
  <c r="Q75" i="13"/>
  <c r="R75" i="13"/>
  <c r="S75" i="13"/>
  <c r="T75" i="13"/>
  <c r="U75" i="13"/>
  <c r="V75" i="13"/>
  <c r="W75" i="13"/>
  <c r="X75" i="13"/>
  <c r="Y75" i="13"/>
  <c r="Z75" i="13"/>
  <c r="AA75" i="13"/>
  <c r="AB75" i="13"/>
  <c r="AC75" i="13"/>
  <c r="AD75" i="13"/>
  <c r="AE75" i="13"/>
  <c r="AF75" i="13"/>
  <c r="AG75" i="13"/>
  <c r="AH75" i="13"/>
  <c r="AI75" i="13"/>
  <c r="AJ75" i="13"/>
  <c r="AK75" i="13"/>
  <c r="I77" i="11" s="1"/>
  <c r="AN167" i="11"/>
  <c r="AM173" i="11"/>
  <c r="AJB1" i="10"/>
  <c r="AD22" i="18"/>
  <c r="AD23" i="18"/>
  <c r="AD24" i="18"/>
  <c r="AD25" i="18"/>
  <c r="AD21" i="18"/>
  <c r="AD20" i="18"/>
  <c r="AM52" i="11"/>
  <c r="AM87" i="11" s="1"/>
  <c r="AC26" i="18"/>
  <c r="AO25" i="11"/>
  <c r="AX24" i="11"/>
  <c r="AW28" i="11"/>
  <c r="AW39" i="11" s="1"/>
  <c r="AN356" i="11"/>
  <c r="AN387" i="11"/>
  <c r="AN389" i="11" s="1"/>
  <c r="AN340" i="11"/>
  <c r="AE6" i="18"/>
  <c r="AE14" i="16"/>
  <c r="AF12" i="16"/>
  <c r="AF27" i="16" s="1"/>
  <c r="AN332" i="11"/>
  <c r="AN333" i="11"/>
  <c r="AN347" i="11" s="1"/>
  <c r="AO203" i="11"/>
  <c r="AN204" i="11"/>
  <c r="AO331" i="11"/>
  <c r="AO226" i="11"/>
  <c r="AO202" i="11"/>
  <c r="AS235" i="11"/>
  <c r="AR238" i="11"/>
  <c r="AS239" i="11"/>
  <c r="AR240" i="11"/>
  <c r="AR236" i="11"/>
  <c r="AR242" i="11"/>
  <c r="AR237" i="11"/>
  <c r="AR241" i="11"/>
  <c r="AP200" i="11"/>
  <c r="AL267" i="11" l="1"/>
  <c r="AL336" i="11" s="1"/>
  <c r="AL343" i="11" s="1"/>
  <c r="AL318" i="11"/>
  <c r="AL317" i="11"/>
  <c r="AL338" i="11"/>
  <c r="AL345" i="11" s="1"/>
  <c r="AL319" i="11"/>
  <c r="AO48" i="11"/>
  <c r="AL266" i="11"/>
  <c r="AL335" i="11" s="1"/>
  <c r="AL342" i="11" s="1"/>
  <c r="AL316" i="11"/>
  <c r="AL265" i="11"/>
  <c r="AL307" i="11"/>
  <c r="AL314" i="11" s="1"/>
  <c r="AL322" i="11" s="1"/>
  <c r="AI353" i="11"/>
  <c r="AN305" i="11"/>
  <c r="AK322" i="11"/>
  <c r="Q22" i="17"/>
  <c r="Q21" i="17"/>
  <c r="Q23" i="17"/>
  <c r="AJ408" i="11"/>
  <c r="AJ468" i="11"/>
  <c r="AJ473" i="11" s="1"/>
  <c r="AJ457" i="11"/>
  <c r="AM588" i="11"/>
  <c r="AN587" i="11"/>
  <c r="AK560" i="11"/>
  <c r="AK576" i="11" s="1"/>
  <c r="AK558" i="11"/>
  <c r="AK574" i="11" s="1"/>
  <c r="AK455" i="11"/>
  <c r="AK471" i="11" s="1"/>
  <c r="AK556" i="11"/>
  <c r="AK454" i="11"/>
  <c r="AK470" i="11" s="1"/>
  <c r="AK453" i="11"/>
  <c r="AK469" i="11" s="1"/>
  <c r="AK456" i="11"/>
  <c r="AK472" i="11" s="1"/>
  <c r="AK559" i="11"/>
  <c r="AK575" i="11" s="1"/>
  <c r="AK452" i="11"/>
  <c r="AK557" i="11"/>
  <c r="AK573" i="11" s="1"/>
  <c r="AJ572" i="11"/>
  <c r="AJ577" i="11" s="1"/>
  <c r="AJ561" i="11"/>
  <c r="AL551" i="11"/>
  <c r="AL446" i="11"/>
  <c r="AL447" i="11"/>
  <c r="AL448" i="11"/>
  <c r="AL550" i="11"/>
  <c r="AL552" i="11"/>
  <c r="AF369" i="11"/>
  <c r="H24" i="17"/>
  <c r="H13" i="17"/>
  <c r="AE580" i="11"/>
  <c r="AE596" i="11" s="1"/>
  <c r="AE608" i="11" s="1"/>
  <c r="AE616" i="11" s="1"/>
  <c r="I9" i="17" s="1"/>
  <c r="I20" i="17" s="1"/>
  <c r="AD604" i="11"/>
  <c r="AN569" i="11"/>
  <c r="F13" i="17"/>
  <c r="F24" i="17"/>
  <c r="AN465" i="11"/>
  <c r="AE476" i="11"/>
  <c r="AE595" i="11" s="1"/>
  <c r="AE376" i="11"/>
  <c r="AE383" i="11"/>
  <c r="AG373" i="11"/>
  <c r="AG380" i="11" s="1"/>
  <c r="AH365" i="11"/>
  <c r="AF374" i="11"/>
  <c r="AF381" i="11" s="1"/>
  <c r="AG368" i="11"/>
  <c r="AF375" i="11"/>
  <c r="AF382" i="11" s="1"/>
  <c r="AF371" i="11"/>
  <c r="AF378" i="11" s="1"/>
  <c r="AG359" i="11"/>
  <c r="AG372" i="11"/>
  <c r="AG379" i="11" s="1"/>
  <c r="AH362" i="11"/>
  <c r="AN370" i="11"/>
  <c r="AN377" i="11" s="1"/>
  <c r="AN361" i="11"/>
  <c r="AN358" i="11"/>
  <c r="AN364" i="11"/>
  <c r="AN367" i="11"/>
  <c r="AO298" i="11"/>
  <c r="AO297" i="11"/>
  <c r="AO296" i="11"/>
  <c r="AO299" i="11"/>
  <c r="AO295" i="11"/>
  <c r="AO305" i="11" s="1"/>
  <c r="AF414" i="11"/>
  <c r="AF417" i="11"/>
  <c r="AF419" i="11" s="1"/>
  <c r="AG414" i="11"/>
  <c r="AG418" i="11"/>
  <c r="AG419" i="11" s="1"/>
  <c r="AH412" i="11"/>
  <c r="AH417" i="11" s="1"/>
  <c r="AH409" i="11"/>
  <c r="AJ289" i="11"/>
  <c r="AI411" i="11"/>
  <c r="AI416" i="11" s="1"/>
  <c r="AK287" i="11"/>
  <c r="AK288" i="11"/>
  <c r="AK286" i="11"/>
  <c r="AL390" i="11"/>
  <c r="AL393" i="11" s="1"/>
  <c r="AL284" i="11"/>
  <c r="AH413" i="11"/>
  <c r="AH418" i="11" s="1"/>
  <c r="AI405" i="11"/>
  <c r="AJ398" i="11"/>
  <c r="AJ402" i="11"/>
  <c r="AJ404" i="11" s="1"/>
  <c r="AM613" i="11"/>
  <c r="AM282" i="11"/>
  <c r="AM391" i="11" s="1"/>
  <c r="AM612" i="11"/>
  <c r="AM281" i="11"/>
  <c r="AK396" i="11"/>
  <c r="AK397" i="11"/>
  <c r="AK406" i="11" s="1"/>
  <c r="AK408" i="11" s="1"/>
  <c r="AK395" i="11"/>
  <c r="AI277" i="11"/>
  <c r="AM269" i="11"/>
  <c r="AK270" i="11"/>
  <c r="AK273" i="11" s="1"/>
  <c r="AK346" i="11"/>
  <c r="AK339" i="11"/>
  <c r="AL334" i="11"/>
  <c r="AL341" i="11" s="1"/>
  <c r="AL611" i="11"/>
  <c r="AL268" i="11"/>
  <c r="AL337" i="11" s="1"/>
  <c r="AL344" i="11" s="1"/>
  <c r="AJ275" i="11"/>
  <c r="AJ274" i="11"/>
  <c r="AJ276" i="11"/>
  <c r="AJ273" i="11"/>
  <c r="AJ272" i="11"/>
  <c r="R19" i="17"/>
  <c r="AN243" i="11"/>
  <c r="AN244" i="11"/>
  <c r="AN255" i="11" s="1"/>
  <c r="AN245" i="11"/>
  <c r="AN246" i="11"/>
  <c r="AN247" i="11"/>
  <c r="AN248" i="11"/>
  <c r="AN259" i="11" s="1"/>
  <c r="AN249" i="11"/>
  <c r="AN260" i="11" s="1"/>
  <c r="AN250" i="11"/>
  <c r="AN261" i="11" s="1"/>
  <c r="AN283" i="11" s="1"/>
  <c r="AM600" i="11"/>
  <c r="AM601" i="11"/>
  <c r="AL609" i="11"/>
  <c r="AL597" i="11"/>
  <c r="AL610" i="11"/>
  <c r="AL598" i="11"/>
  <c r="AL607" i="11"/>
  <c r="AL599" i="11"/>
  <c r="AP136" i="11"/>
  <c r="AO163" i="11"/>
  <c r="AO183" i="11" s="1"/>
  <c r="AO124" i="11"/>
  <c r="AO132" i="11" s="1"/>
  <c r="AO182" i="11" s="1"/>
  <c r="AO112" i="11"/>
  <c r="AN120" i="11"/>
  <c r="AN181" i="11" s="1"/>
  <c r="AJ353" i="11"/>
  <c r="AO264" i="11"/>
  <c r="AO271" i="11" s="1"/>
  <c r="AO252" i="11"/>
  <c r="AM254" i="11"/>
  <c r="AM257" i="11"/>
  <c r="AM256" i="11"/>
  <c r="AM258" i="11"/>
  <c r="AL185" i="11"/>
  <c r="AL603" i="11" s="1"/>
  <c r="AM189" i="11"/>
  <c r="AM178" i="11"/>
  <c r="AO177" i="11"/>
  <c r="AO188" i="11"/>
  <c r="AM195" i="11"/>
  <c r="AM614" i="11" s="1"/>
  <c r="AM184" i="11"/>
  <c r="AM602" i="11" s="1"/>
  <c r="AL196" i="11"/>
  <c r="AL615" i="11" s="1"/>
  <c r="P14" i="17" s="1"/>
  <c r="P25" i="17" s="1"/>
  <c r="E77" i="13"/>
  <c r="F76" i="13"/>
  <c r="G76" i="13"/>
  <c r="H76" i="13"/>
  <c r="I76" i="13"/>
  <c r="J76" i="13"/>
  <c r="K76" i="13"/>
  <c r="L76" i="13"/>
  <c r="M76" i="13"/>
  <c r="N76" i="13"/>
  <c r="O76" i="13"/>
  <c r="P76" i="13"/>
  <c r="Q76" i="13"/>
  <c r="R76" i="13"/>
  <c r="S76" i="13"/>
  <c r="T76" i="13"/>
  <c r="U76" i="13"/>
  <c r="V76" i="13"/>
  <c r="W76" i="13"/>
  <c r="X76" i="13"/>
  <c r="Y76" i="13"/>
  <c r="Z76" i="13"/>
  <c r="AA76" i="13"/>
  <c r="AB76" i="13"/>
  <c r="AC76" i="13"/>
  <c r="AD76" i="13"/>
  <c r="AE76" i="13"/>
  <c r="AF76" i="13"/>
  <c r="AG76" i="13"/>
  <c r="AH76" i="13"/>
  <c r="AI76" i="13"/>
  <c r="AJ76" i="13"/>
  <c r="AK76" i="13"/>
  <c r="AO167" i="11"/>
  <c r="AN173" i="11"/>
  <c r="AJC1" i="10"/>
  <c r="AE20" i="18"/>
  <c r="AE22" i="18"/>
  <c r="AE23" i="18"/>
  <c r="AE24" i="18"/>
  <c r="AE25" i="18"/>
  <c r="AE21" i="18"/>
  <c r="AN52" i="11"/>
  <c r="AN87" i="11" s="1"/>
  <c r="AP25" i="11"/>
  <c r="AO356" i="11"/>
  <c r="AO387" i="11"/>
  <c r="AO389" i="11" s="1"/>
  <c r="AO340" i="11"/>
  <c r="AN388" i="11"/>
  <c r="AY24" i="11"/>
  <c r="AX28" i="11"/>
  <c r="AX39" i="11" s="1"/>
  <c r="AD26" i="18"/>
  <c r="AF6" i="18"/>
  <c r="AF14" i="16"/>
  <c r="AP203" i="11"/>
  <c r="AO332" i="11"/>
  <c r="AO333" i="11"/>
  <c r="AO347" i="11" s="1"/>
  <c r="AO204" i="11"/>
  <c r="AP331" i="11"/>
  <c r="AP226" i="11"/>
  <c r="AP202" i="11"/>
  <c r="AS241" i="11"/>
  <c r="AS240" i="11"/>
  <c r="AS242" i="11"/>
  <c r="AS238" i="11"/>
  <c r="AS237" i="11"/>
  <c r="AS236" i="11"/>
  <c r="AT239" i="11"/>
  <c r="AT235" i="11"/>
  <c r="AQ200" i="11"/>
  <c r="AM265" i="11" l="1"/>
  <c r="AM334" i="11" s="1"/>
  <c r="AM341" i="11" s="1"/>
  <c r="AM307" i="11"/>
  <c r="AM314" i="11" s="1"/>
  <c r="AM267" i="11"/>
  <c r="AM336" i="11" s="1"/>
  <c r="AM343" i="11" s="1"/>
  <c r="AM318" i="11"/>
  <c r="AM317" i="11"/>
  <c r="AP48" i="11"/>
  <c r="AM338" i="11"/>
  <c r="AM345" i="11" s="1"/>
  <c r="AM319" i="11"/>
  <c r="AM266" i="11"/>
  <c r="AM335" i="11" s="1"/>
  <c r="AM342" i="11" s="1"/>
  <c r="AM316" i="11"/>
  <c r="R22" i="17"/>
  <c r="R21" i="17"/>
  <c r="R23" i="17"/>
  <c r="AM550" i="11"/>
  <c r="AM447" i="11"/>
  <c r="AM446" i="11"/>
  <c r="AM448" i="11"/>
  <c r="AM551" i="11"/>
  <c r="AM552" i="11"/>
  <c r="AK468" i="11"/>
  <c r="AK473" i="11" s="1"/>
  <c r="AK457" i="11"/>
  <c r="AL557" i="11"/>
  <c r="AL573" i="11" s="1"/>
  <c r="AL560" i="11"/>
  <c r="AL576" i="11" s="1"/>
  <c r="AL452" i="11"/>
  <c r="AL558" i="11"/>
  <c r="AL574" i="11" s="1"/>
  <c r="AL454" i="11"/>
  <c r="AL470" i="11" s="1"/>
  <c r="AL556" i="11"/>
  <c r="AL453" i="11"/>
  <c r="AL469" i="11" s="1"/>
  <c r="AL559" i="11"/>
  <c r="AL575" i="11" s="1"/>
  <c r="AL455" i="11"/>
  <c r="AL471" i="11" s="1"/>
  <c r="AL456" i="11"/>
  <c r="AL472" i="11" s="1"/>
  <c r="AK572" i="11"/>
  <c r="AK577" i="11" s="1"/>
  <c r="AK561" i="11"/>
  <c r="AN588" i="11"/>
  <c r="AO587" i="11"/>
  <c r="I13" i="17"/>
  <c r="I24" i="17"/>
  <c r="AF580" i="11"/>
  <c r="AF596" i="11" s="1"/>
  <c r="AF608" i="11" s="1"/>
  <c r="AF616" i="11" s="1"/>
  <c r="J9" i="17" s="1"/>
  <c r="J20" i="17" s="1"/>
  <c r="AE604" i="11"/>
  <c r="AO569" i="11"/>
  <c r="AF476" i="11"/>
  <c r="AF595" i="11" s="1"/>
  <c r="AO465" i="11"/>
  <c r="AG369" i="11"/>
  <c r="AG375" i="11" s="1"/>
  <c r="AG382" i="11" s="1"/>
  <c r="AF376" i="11"/>
  <c r="AF383" i="11"/>
  <c r="AH372" i="11"/>
  <c r="AH379" i="11" s="1"/>
  <c r="AI362" i="11"/>
  <c r="AG374" i="11"/>
  <c r="AG381" i="11" s="1"/>
  <c r="AH368" i="11"/>
  <c r="AG371" i="11"/>
  <c r="AH359" i="11"/>
  <c r="AH373" i="11"/>
  <c r="AH380" i="11" s="1"/>
  <c r="AI365" i="11"/>
  <c r="AH419" i="11"/>
  <c r="AO370" i="11"/>
  <c r="AO377" i="11" s="1"/>
  <c r="AO358" i="11"/>
  <c r="AO361" i="11"/>
  <c r="AO367" i="11"/>
  <c r="AO364" i="11"/>
  <c r="AK348" i="11"/>
  <c r="AK357" i="11" s="1"/>
  <c r="AK350" i="11"/>
  <c r="AK363" i="11" s="1"/>
  <c r="AK351" i="11"/>
  <c r="AK366" i="11" s="1"/>
  <c r="AK352" i="11"/>
  <c r="AK349" i="11"/>
  <c r="AK360" i="11" s="1"/>
  <c r="AP297" i="11"/>
  <c r="AP298" i="11"/>
  <c r="AP299" i="11"/>
  <c r="AP295" i="11"/>
  <c r="AP296" i="11"/>
  <c r="AK272" i="11"/>
  <c r="AN392" i="11"/>
  <c r="AN269" i="11"/>
  <c r="AH414" i="11"/>
  <c r="AK276" i="11"/>
  <c r="AJ411" i="11"/>
  <c r="AJ416" i="11" s="1"/>
  <c r="AI412" i="11"/>
  <c r="AI417" i="11" s="1"/>
  <c r="AI409" i="11"/>
  <c r="AN613" i="11"/>
  <c r="AN282" i="11"/>
  <c r="AN391" i="11" s="1"/>
  <c r="AN612" i="11"/>
  <c r="AN281" i="11"/>
  <c r="AI413" i="11"/>
  <c r="AI418" i="11" s="1"/>
  <c r="AK275" i="11"/>
  <c r="AK274" i="11"/>
  <c r="AM284" i="11"/>
  <c r="AM390" i="11"/>
  <c r="AM393" i="11" s="1"/>
  <c r="AL287" i="11"/>
  <c r="AL288" i="11"/>
  <c r="AL286" i="11"/>
  <c r="AK398" i="11"/>
  <c r="AK402" i="11"/>
  <c r="AK404" i="11" s="1"/>
  <c r="AL395" i="11"/>
  <c r="AL396" i="11"/>
  <c r="AL397" i="11"/>
  <c r="AL406" i="11" s="1"/>
  <c r="AL408" i="11" s="1"/>
  <c r="AK289" i="11"/>
  <c r="AJ277" i="11"/>
  <c r="AL346" i="11"/>
  <c r="AL339" i="11"/>
  <c r="AM611" i="11"/>
  <c r="AM268" i="11"/>
  <c r="AM337" i="11" s="1"/>
  <c r="AM344" i="11" s="1"/>
  <c r="AM346" i="11" s="1"/>
  <c r="AG378" i="11"/>
  <c r="AL270" i="11"/>
  <c r="S19" i="17"/>
  <c r="AO243" i="11"/>
  <c r="AO244" i="11"/>
  <c r="AO255" i="11" s="1"/>
  <c r="AO245" i="11"/>
  <c r="AO246" i="11"/>
  <c r="AO247" i="11"/>
  <c r="AO248" i="11"/>
  <c r="AO259" i="11" s="1"/>
  <c r="AO249" i="11"/>
  <c r="AO260" i="11" s="1"/>
  <c r="AO250" i="11"/>
  <c r="AO261" i="11" s="1"/>
  <c r="AO283" i="11" s="1"/>
  <c r="AN601" i="11"/>
  <c r="AN600" i="11"/>
  <c r="AM610" i="11"/>
  <c r="AM598" i="11"/>
  <c r="AM609" i="11"/>
  <c r="AM597" i="11"/>
  <c r="AM607" i="11"/>
  <c r="AM599" i="11"/>
  <c r="I78" i="11"/>
  <c r="AQ136" i="11"/>
  <c r="AP163" i="11"/>
  <c r="AP183" i="11" s="1"/>
  <c r="AP124" i="11"/>
  <c r="AP132" i="11" s="1"/>
  <c r="AP182" i="11" s="1"/>
  <c r="AP112" i="11"/>
  <c r="AO120" i="11"/>
  <c r="AO181" i="11" s="1"/>
  <c r="AP264" i="11"/>
  <c r="AP271" i="11" s="1"/>
  <c r="AP252" i="11"/>
  <c r="AN257" i="11"/>
  <c r="AN258" i="11"/>
  <c r="AN254" i="11"/>
  <c r="AN256" i="11"/>
  <c r="AM185" i="11"/>
  <c r="AM603" i="11" s="1"/>
  <c r="AM196" i="11"/>
  <c r="AM615" i="11" s="1"/>
  <c r="Q14" i="17" s="1"/>
  <c r="Q25" i="17" s="1"/>
  <c r="AN195" i="11"/>
  <c r="AN614" i="11" s="1"/>
  <c r="AN184" i="11"/>
  <c r="AN602" i="11" s="1"/>
  <c r="AP188" i="11"/>
  <c r="AP177" i="11"/>
  <c r="AN189" i="11"/>
  <c r="AN178" i="11"/>
  <c r="E78" i="13"/>
  <c r="F77" i="13"/>
  <c r="G77" i="13"/>
  <c r="H77" i="13"/>
  <c r="I77" i="13"/>
  <c r="J77" i="13"/>
  <c r="K77" i="13"/>
  <c r="L77" i="13"/>
  <c r="M77" i="13"/>
  <c r="N77" i="13"/>
  <c r="O77" i="13"/>
  <c r="P77" i="13"/>
  <c r="Q77" i="13"/>
  <c r="R77" i="13"/>
  <c r="S77" i="13"/>
  <c r="T77" i="13"/>
  <c r="U77" i="13"/>
  <c r="V77" i="13"/>
  <c r="W77" i="13"/>
  <c r="X77" i="13"/>
  <c r="Y77" i="13"/>
  <c r="Z77" i="13"/>
  <c r="AA77" i="13"/>
  <c r="AB77" i="13"/>
  <c r="AC77" i="13"/>
  <c r="AD77" i="13"/>
  <c r="AE77" i="13"/>
  <c r="AF77" i="13"/>
  <c r="AG77" i="13"/>
  <c r="AH77" i="13"/>
  <c r="AI77" i="13"/>
  <c r="AJ77" i="13"/>
  <c r="AK77" i="13"/>
  <c r="AP167" i="11"/>
  <c r="AO173" i="11"/>
  <c r="AJD1" i="10"/>
  <c r="AF22" i="18"/>
  <c r="AF25" i="18"/>
  <c r="AF20" i="18"/>
  <c r="AF23" i="18"/>
  <c r="AF24" i="18"/>
  <c r="AF21" i="18"/>
  <c r="AO52" i="11"/>
  <c r="AO87" i="11" s="1"/>
  <c r="AO388" i="11"/>
  <c r="AQ25" i="11"/>
  <c r="AP356" i="11"/>
  <c r="AP387" i="11"/>
  <c r="AP389" i="11" s="1"/>
  <c r="AP340" i="11"/>
  <c r="AZ24" i="11"/>
  <c r="AY28" i="11"/>
  <c r="AY39" i="11" s="1"/>
  <c r="AE26" i="18"/>
  <c r="AG6" i="18"/>
  <c r="AP204" i="11"/>
  <c r="AP332" i="11"/>
  <c r="AP333" i="11"/>
  <c r="AP347" i="11" s="1"/>
  <c r="AQ226" i="11"/>
  <c r="AQ331" i="11"/>
  <c r="AQ202" i="11"/>
  <c r="AQ203" i="11"/>
  <c r="AT236" i="11"/>
  <c r="AU235" i="11"/>
  <c r="AT238" i="11"/>
  <c r="AT240" i="11"/>
  <c r="AU239" i="11"/>
  <c r="AT237" i="11"/>
  <c r="AT242" i="11"/>
  <c r="AT241" i="11"/>
  <c r="AR200" i="11"/>
  <c r="AQ48" i="11" l="1"/>
  <c r="AN267" i="11"/>
  <c r="AN336" i="11" s="1"/>
  <c r="AN343" i="11" s="1"/>
  <c r="AN318" i="11"/>
  <c r="AN317" i="11"/>
  <c r="AN338" i="11"/>
  <c r="AN345" i="11" s="1"/>
  <c r="AN319" i="11"/>
  <c r="AP305" i="11"/>
  <c r="AN266" i="11"/>
  <c r="AN335" i="11" s="1"/>
  <c r="AN342" i="11" s="1"/>
  <c r="AN316" i="11"/>
  <c r="AM322" i="11"/>
  <c r="AN265" i="11"/>
  <c r="AN334" i="11" s="1"/>
  <c r="AN341" i="11" s="1"/>
  <c r="AN307" i="11"/>
  <c r="AN314" i="11" s="1"/>
  <c r="S22" i="17"/>
  <c r="S21" i="17"/>
  <c r="S23" i="17"/>
  <c r="AL468" i="11"/>
  <c r="AL473" i="11" s="1"/>
  <c r="AL457" i="11"/>
  <c r="AM456" i="11"/>
  <c r="AM472" i="11" s="1"/>
  <c r="AM559" i="11"/>
  <c r="AM575" i="11" s="1"/>
  <c r="AM452" i="11"/>
  <c r="AM453" i="11"/>
  <c r="AM469" i="11" s="1"/>
  <c r="AM558" i="11"/>
  <c r="AM574" i="11" s="1"/>
  <c r="AM455" i="11"/>
  <c r="AM471" i="11" s="1"/>
  <c r="AM556" i="11"/>
  <c r="AM557" i="11"/>
  <c r="AM573" i="11" s="1"/>
  <c r="AM454" i="11"/>
  <c r="AM470" i="11" s="1"/>
  <c r="AM560" i="11"/>
  <c r="AM576" i="11" s="1"/>
  <c r="AP587" i="11"/>
  <c r="AO588" i="11"/>
  <c r="AL572" i="11"/>
  <c r="AL577" i="11" s="1"/>
  <c r="AL561" i="11"/>
  <c r="AN551" i="11"/>
  <c r="AN448" i="11"/>
  <c r="AN446" i="11"/>
  <c r="AN447" i="11"/>
  <c r="AN550" i="11"/>
  <c r="AN552" i="11"/>
  <c r="J24" i="17"/>
  <c r="J13" i="17"/>
  <c r="AF604" i="11"/>
  <c r="AG580" i="11"/>
  <c r="AG596" i="11" s="1"/>
  <c r="AG608" i="11" s="1"/>
  <c r="AG616" i="11" s="1"/>
  <c r="K9" i="17" s="1"/>
  <c r="K20" i="17" s="1"/>
  <c r="AP569" i="11"/>
  <c r="AG476" i="11"/>
  <c r="AG595" i="11" s="1"/>
  <c r="AP465" i="11"/>
  <c r="AH369" i="11"/>
  <c r="AH375" i="11" s="1"/>
  <c r="AH382" i="11" s="1"/>
  <c r="AG376" i="11"/>
  <c r="AI419" i="11"/>
  <c r="AI372" i="11"/>
  <c r="AI379" i="11" s="1"/>
  <c r="AJ362" i="11"/>
  <c r="AG383" i="11"/>
  <c r="AI373" i="11"/>
  <c r="AI380" i="11" s="1"/>
  <c r="AJ365" i="11"/>
  <c r="AJ373" i="11" s="1"/>
  <c r="AH374" i="11"/>
  <c r="AH381" i="11" s="1"/>
  <c r="AI368" i="11"/>
  <c r="AH371" i="11"/>
  <c r="AH378" i="11" s="1"/>
  <c r="AI359" i="11"/>
  <c r="AP370" i="11"/>
  <c r="AP377" i="11" s="1"/>
  <c r="AP367" i="11"/>
  <c r="AP364" i="11"/>
  <c r="AP358" i="11"/>
  <c r="AP361" i="11"/>
  <c r="AM348" i="11"/>
  <c r="AM357" i="11" s="1"/>
  <c r="AM349" i="11"/>
  <c r="AM360" i="11" s="1"/>
  <c r="AM350" i="11"/>
  <c r="AM363" i="11" s="1"/>
  <c r="AM351" i="11"/>
  <c r="AM366" i="11" s="1"/>
  <c r="AM352" i="11"/>
  <c r="AL348" i="11"/>
  <c r="AL357" i="11" s="1"/>
  <c r="AL349" i="11"/>
  <c r="AL360" i="11" s="1"/>
  <c r="AL350" i="11"/>
  <c r="AL363" i="11" s="1"/>
  <c r="AL351" i="11"/>
  <c r="AL366" i="11" s="1"/>
  <c r="AL352" i="11"/>
  <c r="AQ296" i="11"/>
  <c r="AQ297" i="11"/>
  <c r="AQ298" i="11"/>
  <c r="AQ299" i="11"/>
  <c r="AQ295" i="11"/>
  <c r="AO392" i="11"/>
  <c r="AK277" i="11"/>
  <c r="AI414" i="11"/>
  <c r="AK411" i="11"/>
  <c r="AK416" i="11" s="1"/>
  <c r="AO613" i="11"/>
  <c r="AO282" i="11"/>
  <c r="AO391" i="11" s="1"/>
  <c r="AM395" i="11"/>
  <c r="AM402" i="11" s="1"/>
  <c r="AM396" i="11"/>
  <c r="AM397" i="11"/>
  <c r="AM406" i="11" s="1"/>
  <c r="AM408" i="11" s="1"/>
  <c r="AJ413" i="11"/>
  <c r="AJ418" i="11" s="1"/>
  <c r="AK353" i="11"/>
  <c r="AO612" i="11"/>
  <c r="AO281" i="11"/>
  <c r="AL402" i="11"/>
  <c r="AL404" i="11" s="1"/>
  <c r="AL398" i="11"/>
  <c r="AL289" i="11"/>
  <c r="AM286" i="11"/>
  <c r="AM287" i="11"/>
  <c r="AM288" i="11"/>
  <c r="AJ405" i="11"/>
  <c r="AN390" i="11"/>
  <c r="AN393" i="11" s="1"/>
  <c r="AN284" i="11"/>
  <c r="AO269" i="11"/>
  <c r="AM270" i="11"/>
  <c r="AM272" i="11" s="1"/>
  <c r="AM339" i="11"/>
  <c r="AN611" i="11"/>
  <c r="AN268" i="11"/>
  <c r="AN337" i="11" s="1"/>
  <c r="AN344" i="11" s="1"/>
  <c r="AL272" i="11"/>
  <c r="AL273" i="11"/>
  <c r="AL274" i="11"/>
  <c r="AL275" i="11"/>
  <c r="AL276" i="11"/>
  <c r="T19" i="17"/>
  <c r="AP243" i="11"/>
  <c r="AP245" i="11"/>
  <c r="AP244" i="11"/>
  <c r="AP255" i="11" s="1"/>
  <c r="AP246" i="11"/>
  <c r="AP247" i="11"/>
  <c r="AP248" i="11"/>
  <c r="AP259" i="11" s="1"/>
  <c r="AP249" i="11"/>
  <c r="AP260" i="11" s="1"/>
  <c r="AP250" i="11"/>
  <c r="AP261" i="11" s="1"/>
  <c r="AP283" i="11" s="1"/>
  <c r="AN185" i="11"/>
  <c r="AN603" i="11" s="1"/>
  <c r="AN609" i="11"/>
  <c r="AN597" i="11"/>
  <c r="AN599" i="11"/>
  <c r="AN196" i="11"/>
  <c r="AN615" i="11" s="1"/>
  <c r="R14" i="17" s="1"/>
  <c r="R25" i="17" s="1"/>
  <c r="AN607" i="11"/>
  <c r="AN610" i="11"/>
  <c r="AN598" i="11"/>
  <c r="AO601" i="11"/>
  <c r="AO600" i="11"/>
  <c r="I79" i="11"/>
  <c r="AR136" i="11"/>
  <c r="AQ163" i="11"/>
  <c r="AQ183" i="11" s="1"/>
  <c r="AQ124" i="11"/>
  <c r="AQ132" i="11" s="1"/>
  <c r="AQ182" i="11" s="1"/>
  <c r="AQ112" i="11"/>
  <c r="AP120" i="11"/>
  <c r="AP181" i="11" s="1"/>
  <c r="AQ264" i="11"/>
  <c r="AQ271" i="11" s="1"/>
  <c r="AQ252" i="11"/>
  <c r="AO254" i="11"/>
  <c r="AO256" i="11"/>
  <c r="AO257" i="11"/>
  <c r="AO258" i="11"/>
  <c r="AO184" i="11"/>
  <c r="AO602" i="11" s="1"/>
  <c r="AO195" i="11"/>
  <c r="AO614" i="11" s="1"/>
  <c r="AQ188" i="11"/>
  <c r="AQ177" i="11"/>
  <c r="AO189" i="11"/>
  <c r="AO178" i="11"/>
  <c r="E79" i="13"/>
  <c r="F78" i="13"/>
  <c r="G78" i="13"/>
  <c r="H78" i="13"/>
  <c r="I78" i="13"/>
  <c r="J78" i="13"/>
  <c r="K78" i="13"/>
  <c r="L78" i="13"/>
  <c r="M78" i="13"/>
  <c r="N78" i="13"/>
  <c r="O78" i="13"/>
  <c r="P78" i="13"/>
  <c r="Q78" i="13"/>
  <c r="R78" i="13"/>
  <c r="S78" i="13"/>
  <c r="T78" i="13"/>
  <c r="U78" i="13"/>
  <c r="V78" i="13"/>
  <c r="W78" i="13"/>
  <c r="X78" i="13"/>
  <c r="Y78" i="13"/>
  <c r="Z78" i="13"/>
  <c r="AA78" i="13"/>
  <c r="AB78" i="13"/>
  <c r="AC78" i="13"/>
  <c r="AD78" i="13"/>
  <c r="AE78" i="13"/>
  <c r="AF78" i="13"/>
  <c r="AG78" i="13"/>
  <c r="AH78" i="13"/>
  <c r="AI78" i="13"/>
  <c r="AJ78" i="13"/>
  <c r="AK78" i="13"/>
  <c r="AQ167" i="11"/>
  <c r="AP173" i="11"/>
  <c r="AG20" i="18"/>
  <c r="AG22" i="18"/>
  <c r="AG24" i="18"/>
  <c r="AG25" i="18"/>
  <c r="AG23" i="18"/>
  <c r="AG21" i="18"/>
  <c r="AP52" i="11"/>
  <c r="AP87" i="11" s="1"/>
  <c r="AR25" i="11"/>
  <c r="AQ356" i="11"/>
  <c r="AQ387" i="11"/>
  <c r="AQ389" i="11" s="1"/>
  <c r="AQ340" i="11"/>
  <c r="BA24" i="11"/>
  <c r="BA28" i="11" s="1"/>
  <c r="BA39" i="11" s="1"/>
  <c r="AZ28" i="11"/>
  <c r="AZ39" i="11" s="1"/>
  <c r="AP388" i="11"/>
  <c r="AQ388" i="11" s="1"/>
  <c r="AF26" i="18"/>
  <c r="AH6" i="18"/>
  <c r="AQ204" i="11"/>
  <c r="AQ332" i="11"/>
  <c r="AQ333" i="11"/>
  <c r="AQ347" i="11" s="1"/>
  <c r="AR331" i="11"/>
  <c r="AR226" i="11"/>
  <c r="AR202" i="11"/>
  <c r="AR203" i="11"/>
  <c r="AU240" i="11"/>
  <c r="AU241" i="11"/>
  <c r="AU237" i="11"/>
  <c r="AV235" i="11"/>
  <c r="AU242" i="11"/>
  <c r="AV239" i="11"/>
  <c r="AU238" i="11"/>
  <c r="AU236" i="11"/>
  <c r="AS200" i="11"/>
  <c r="AO267" i="11" l="1"/>
  <c r="AO336" i="11" s="1"/>
  <c r="AO343" i="11" s="1"/>
  <c r="AO318" i="11"/>
  <c r="AO317" i="11"/>
  <c r="AO338" i="11"/>
  <c r="AO345" i="11" s="1"/>
  <c r="AO319" i="11"/>
  <c r="AO266" i="11"/>
  <c r="AO335" i="11" s="1"/>
  <c r="AO342" i="11" s="1"/>
  <c r="AO316" i="11"/>
  <c r="AO265" i="11"/>
  <c r="AO334" i="11" s="1"/>
  <c r="AO341" i="11" s="1"/>
  <c r="AO307" i="11"/>
  <c r="AO314" i="11" s="1"/>
  <c r="AR48" i="11"/>
  <c r="AQ305" i="11"/>
  <c r="AN322" i="11"/>
  <c r="T22" i="17"/>
  <c r="T21" i="17"/>
  <c r="T23" i="17"/>
  <c r="AN556" i="11"/>
  <c r="AN452" i="11"/>
  <c r="AN558" i="11"/>
  <c r="AN574" i="11" s="1"/>
  <c r="AN559" i="11"/>
  <c r="AN575" i="11" s="1"/>
  <c r="AN454" i="11"/>
  <c r="AN470" i="11" s="1"/>
  <c r="AN560" i="11"/>
  <c r="AN576" i="11" s="1"/>
  <c r="AN453" i="11"/>
  <c r="AN469" i="11" s="1"/>
  <c r="AN456" i="11"/>
  <c r="AN472" i="11" s="1"/>
  <c r="AN455" i="11"/>
  <c r="AN471" i="11" s="1"/>
  <c r="AN557" i="11"/>
  <c r="AN573" i="11" s="1"/>
  <c r="AO551" i="11"/>
  <c r="AO552" i="11"/>
  <c r="AO448" i="11"/>
  <c r="AO550" i="11"/>
  <c r="AO447" i="11"/>
  <c r="AO446" i="11"/>
  <c r="AP588" i="11"/>
  <c r="AQ587" i="11"/>
  <c r="AM572" i="11"/>
  <c r="AM577" i="11" s="1"/>
  <c r="AM561" i="11"/>
  <c r="AM468" i="11"/>
  <c r="AM473" i="11" s="1"/>
  <c r="AM457" i="11"/>
  <c r="K24" i="17"/>
  <c r="K13" i="17"/>
  <c r="AQ569" i="11"/>
  <c r="AH580" i="11"/>
  <c r="AH596" i="11" s="1"/>
  <c r="AH608" i="11" s="1"/>
  <c r="AH616" i="11" s="1"/>
  <c r="L9" i="17" s="1"/>
  <c r="L20" i="17" s="1"/>
  <c r="AG604" i="11"/>
  <c r="AH476" i="11"/>
  <c r="AH595" i="11" s="1"/>
  <c r="AQ465" i="11"/>
  <c r="AH376" i="11"/>
  <c r="AI369" i="11"/>
  <c r="AI375" i="11" s="1"/>
  <c r="AI382" i="11" s="1"/>
  <c r="AM404" i="11"/>
  <c r="AI371" i="11"/>
  <c r="AI378" i="11" s="1"/>
  <c r="AJ359" i="11"/>
  <c r="AH383" i="11"/>
  <c r="AI374" i="11"/>
  <c r="AI381" i="11" s="1"/>
  <c r="AJ368" i="11"/>
  <c r="AK365" i="11"/>
  <c r="AK373" i="11" s="1"/>
  <c r="AJ372" i="11"/>
  <c r="AJ379" i="11" s="1"/>
  <c r="AK362" i="11"/>
  <c r="AQ370" i="11"/>
  <c r="AQ377" i="11" s="1"/>
  <c r="AQ364" i="11"/>
  <c r="AQ367" i="11"/>
  <c r="AQ358" i="11"/>
  <c r="AQ361" i="11"/>
  <c r="AR296" i="11"/>
  <c r="AR297" i="11"/>
  <c r="AR298" i="11"/>
  <c r="AR299" i="11"/>
  <c r="AR295" i="11"/>
  <c r="AP392" i="11"/>
  <c r="AP269" i="11"/>
  <c r="AL353" i="11"/>
  <c r="AN346" i="11"/>
  <c r="AM275" i="11"/>
  <c r="AM398" i="11"/>
  <c r="AL411" i="11"/>
  <c r="AL416" i="11" s="1"/>
  <c r="AM274" i="11"/>
  <c r="AN286" i="11"/>
  <c r="AN287" i="11"/>
  <c r="AN288" i="11"/>
  <c r="AK413" i="11"/>
  <c r="AK418" i="11" s="1"/>
  <c r="AL405" i="11"/>
  <c r="AK405" i="11"/>
  <c r="AP612" i="11"/>
  <c r="AP281" i="11"/>
  <c r="AM273" i="11"/>
  <c r="AN397" i="11"/>
  <c r="AN406" i="11" s="1"/>
  <c r="AN408" i="11" s="1"/>
  <c r="AN395" i="11"/>
  <c r="AN396" i="11"/>
  <c r="AM289" i="11"/>
  <c r="AO284" i="11"/>
  <c r="AO390" i="11"/>
  <c r="AO393" i="11" s="1"/>
  <c r="AP613" i="11"/>
  <c r="AP282" i="11"/>
  <c r="AP391" i="11" s="1"/>
  <c r="AM276" i="11"/>
  <c r="AJ412" i="11"/>
  <c r="AJ409" i="11"/>
  <c r="AL277" i="11"/>
  <c r="AO611" i="11"/>
  <c r="AO268" i="11"/>
  <c r="AO337" i="11" s="1"/>
  <c r="AO344" i="11" s="1"/>
  <c r="AN339" i="11"/>
  <c r="AJ380" i="11"/>
  <c r="AN270" i="11"/>
  <c r="U19" i="17"/>
  <c r="AQ243" i="11"/>
  <c r="AQ244" i="11"/>
  <c r="AQ255" i="11" s="1"/>
  <c r="AQ245" i="11"/>
  <c r="AQ246" i="11"/>
  <c r="AQ247" i="11"/>
  <c r="AQ248" i="11"/>
  <c r="AQ259" i="11" s="1"/>
  <c r="AQ249" i="11"/>
  <c r="AQ260" i="11" s="1"/>
  <c r="AQ250" i="11"/>
  <c r="AQ261" i="11" s="1"/>
  <c r="AQ283" i="11" s="1"/>
  <c r="AQ392" i="11" s="1"/>
  <c r="AP600" i="11"/>
  <c r="AM353" i="11"/>
  <c r="AP601" i="11"/>
  <c r="AO610" i="11"/>
  <c r="AO598" i="11"/>
  <c r="AO607" i="11"/>
  <c r="AO609" i="11"/>
  <c r="AO597" i="11"/>
  <c r="AO599" i="11"/>
  <c r="I80" i="11"/>
  <c r="AS136" i="11"/>
  <c r="AR163" i="11"/>
  <c r="AR183" i="11" s="1"/>
  <c r="AR124" i="11"/>
  <c r="AR132" i="11" s="1"/>
  <c r="AR182" i="11" s="1"/>
  <c r="AR112" i="11"/>
  <c r="AQ120" i="11"/>
  <c r="AQ181" i="11" s="1"/>
  <c r="AR264" i="11"/>
  <c r="AR271" i="11" s="1"/>
  <c r="AR252" i="11"/>
  <c r="AP256" i="11"/>
  <c r="AP254" i="11"/>
  <c r="AP258" i="11"/>
  <c r="AP257" i="11"/>
  <c r="AO185" i="11"/>
  <c r="AO603" i="11" s="1"/>
  <c r="AO196" i="11"/>
  <c r="AO615" i="11" s="1"/>
  <c r="S14" i="17" s="1"/>
  <c r="S25" i="17" s="1"/>
  <c r="AR177" i="11"/>
  <c r="AR188" i="11"/>
  <c r="AP184" i="11"/>
  <c r="AP602" i="11" s="1"/>
  <c r="AP195" i="11"/>
  <c r="AP614" i="11" s="1"/>
  <c r="AP178" i="11"/>
  <c r="AP189" i="11"/>
  <c r="E80" i="13"/>
  <c r="F79" i="13"/>
  <c r="G79" i="13"/>
  <c r="H79" i="13"/>
  <c r="I79" i="13"/>
  <c r="J79" i="13"/>
  <c r="K79" i="13"/>
  <c r="L79" i="13"/>
  <c r="M79" i="13"/>
  <c r="N79" i="13"/>
  <c r="O79" i="13"/>
  <c r="P79" i="13"/>
  <c r="Q79" i="13"/>
  <c r="R79" i="13"/>
  <c r="S79" i="13"/>
  <c r="T79" i="13"/>
  <c r="U79" i="13"/>
  <c r="V79" i="13"/>
  <c r="W79" i="13"/>
  <c r="X79" i="13"/>
  <c r="Y79" i="13"/>
  <c r="Z79" i="13"/>
  <c r="AA79" i="13"/>
  <c r="AB79" i="13"/>
  <c r="AC79" i="13"/>
  <c r="AD79" i="13"/>
  <c r="AE79" i="13"/>
  <c r="AF79" i="13"/>
  <c r="AG79" i="13"/>
  <c r="AH79" i="13"/>
  <c r="AI79" i="13"/>
  <c r="AJ79" i="13"/>
  <c r="AK79" i="13"/>
  <c r="AR167" i="11"/>
  <c r="AQ173" i="11"/>
  <c r="AH22" i="18"/>
  <c r="AH23" i="18"/>
  <c r="AH24" i="18"/>
  <c r="AH25" i="18"/>
  <c r="AH21" i="18"/>
  <c r="AH20" i="18"/>
  <c r="AQ52" i="11"/>
  <c r="AQ87" i="11" s="1"/>
  <c r="AS25" i="11"/>
  <c r="AR356" i="11"/>
  <c r="AR387" i="11"/>
  <c r="AR389" i="11" s="1"/>
  <c r="AR340" i="11"/>
  <c r="AG26" i="18"/>
  <c r="AI6" i="18"/>
  <c r="AR204" i="11"/>
  <c r="AR332" i="11"/>
  <c r="AR333" i="11"/>
  <c r="AR347" i="11" s="1"/>
  <c r="AS331" i="11"/>
  <c r="AS226" i="11"/>
  <c r="AS202" i="11"/>
  <c r="AS203" i="11"/>
  <c r="AV236" i="11"/>
  <c r="AW235" i="11"/>
  <c r="AW239" i="11"/>
  <c r="AV241" i="11"/>
  <c r="AV238" i="11"/>
  <c r="AV242" i="11"/>
  <c r="AV237" i="11"/>
  <c r="AV240" i="11"/>
  <c r="AT200" i="11"/>
  <c r="AP267" i="11" l="1"/>
  <c r="AP336" i="11" s="1"/>
  <c r="AP343" i="11" s="1"/>
  <c r="AP318" i="11"/>
  <c r="AP317" i="11"/>
  <c r="AR305" i="11"/>
  <c r="AP266" i="11"/>
  <c r="AP335" i="11" s="1"/>
  <c r="AP342" i="11" s="1"/>
  <c r="AP316" i="11"/>
  <c r="AS48" i="11"/>
  <c r="AO346" i="11"/>
  <c r="AO322" i="11"/>
  <c r="AP265" i="11"/>
  <c r="AP307" i="11"/>
  <c r="AP314" i="11" s="1"/>
  <c r="AP322" i="11" s="1"/>
  <c r="AP338" i="11"/>
  <c r="AP345" i="11" s="1"/>
  <c r="AP319" i="11"/>
  <c r="U22" i="17"/>
  <c r="U21" i="17"/>
  <c r="U23" i="17"/>
  <c r="AN468" i="11"/>
  <c r="AN473" i="11" s="1"/>
  <c r="AN457" i="11"/>
  <c r="AO557" i="11"/>
  <c r="AO573" i="11" s="1"/>
  <c r="AO454" i="11"/>
  <c r="AO470" i="11" s="1"/>
  <c r="AO456" i="11"/>
  <c r="AO472" i="11" s="1"/>
  <c r="AO453" i="11"/>
  <c r="AO469" i="11" s="1"/>
  <c r="AO560" i="11"/>
  <c r="AO576" i="11" s="1"/>
  <c r="AO559" i="11"/>
  <c r="AO575" i="11" s="1"/>
  <c r="AO452" i="11"/>
  <c r="AO558" i="11"/>
  <c r="AO574" i="11" s="1"/>
  <c r="AO556" i="11"/>
  <c r="AO455" i="11"/>
  <c r="AO471" i="11" s="1"/>
  <c r="AR587" i="11"/>
  <c r="AQ588" i="11"/>
  <c r="AP552" i="11"/>
  <c r="AP446" i="11"/>
  <c r="AP447" i="11"/>
  <c r="AP551" i="11"/>
  <c r="AP550" i="11"/>
  <c r="AP448" i="11"/>
  <c r="AN572" i="11"/>
  <c r="AN577" i="11" s="1"/>
  <c r="AN561" i="11"/>
  <c r="L24" i="17"/>
  <c r="L13" i="17"/>
  <c r="AR569" i="11"/>
  <c r="AI580" i="11"/>
  <c r="AI596" i="11" s="1"/>
  <c r="AI608" i="11" s="1"/>
  <c r="AI616" i="11" s="1"/>
  <c r="M9" i="17" s="1"/>
  <c r="M20" i="17" s="1"/>
  <c r="AH604" i="11"/>
  <c r="AI476" i="11"/>
  <c r="AI595" i="11" s="1"/>
  <c r="AR465" i="11"/>
  <c r="AJ369" i="11"/>
  <c r="AJ375" i="11" s="1"/>
  <c r="AJ382" i="11" s="1"/>
  <c r="AI376" i="11"/>
  <c r="AL365" i="11"/>
  <c r="AL373" i="11" s="1"/>
  <c r="AI383" i="11"/>
  <c r="AJ374" i="11"/>
  <c r="AJ381" i="11" s="1"/>
  <c r="AK368" i="11"/>
  <c r="AK372" i="11"/>
  <c r="AL362" i="11"/>
  <c r="AJ371" i="11"/>
  <c r="AJ378" i="11" s="1"/>
  <c r="AK359" i="11"/>
  <c r="AR370" i="11"/>
  <c r="AR377" i="11" s="1"/>
  <c r="AR361" i="11"/>
  <c r="AR364" i="11"/>
  <c r="AR358" i="11"/>
  <c r="AR367" i="11"/>
  <c r="AO349" i="11"/>
  <c r="AO352" i="11"/>
  <c r="AO350" i="11"/>
  <c r="AO348" i="11"/>
  <c r="AO357" i="11" s="1"/>
  <c r="AO351" i="11"/>
  <c r="AN348" i="11"/>
  <c r="AN357" i="11" s="1"/>
  <c r="AN349" i="11"/>
  <c r="AN360" i="11" s="1"/>
  <c r="AN350" i="11"/>
  <c r="AN363" i="11" s="1"/>
  <c r="AN351" i="11"/>
  <c r="AN366" i="11" s="1"/>
  <c r="AN352" i="11"/>
  <c r="AS298" i="11"/>
  <c r="AS299" i="11"/>
  <c r="AS295" i="11"/>
  <c r="AS296" i="11"/>
  <c r="AS297" i="11"/>
  <c r="AJ414" i="11"/>
  <c r="AJ417" i="11"/>
  <c r="AJ419" i="11" s="1"/>
  <c r="AQ269" i="11"/>
  <c r="AO270" i="11"/>
  <c r="AO273" i="11" s="1"/>
  <c r="F171" i="11" s="1"/>
  <c r="AM277" i="11"/>
  <c r="AL412" i="11"/>
  <c r="AL417" i="11" s="1"/>
  <c r="AL409" i="11"/>
  <c r="AO288" i="11"/>
  <c r="AO286" i="11"/>
  <c r="AO287" i="11"/>
  <c r="AP390" i="11"/>
  <c r="AP393" i="11" s="1"/>
  <c r="AP284" i="11"/>
  <c r="AO396" i="11"/>
  <c r="AO397" i="11"/>
  <c r="AO406" i="11" s="1"/>
  <c r="AO408" i="11" s="1"/>
  <c r="AO395" i="11"/>
  <c r="AL413" i="11"/>
  <c r="AL418" i="11" s="1"/>
  <c r="AQ613" i="11"/>
  <c r="AQ282" i="11"/>
  <c r="AQ391" i="11" s="1"/>
  <c r="AN289" i="11"/>
  <c r="AN398" i="11"/>
  <c r="AN402" i="11"/>
  <c r="AN404" i="11" s="1"/>
  <c r="AQ612" i="11"/>
  <c r="AQ281" i="11"/>
  <c r="AK412" i="11"/>
  <c r="AK409" i="11"/>
  <c r="AM411" i="11"/>
  <c r="AM416" i="11" s="1"/>
  <c r="AO339" i="11"/>
  <c r="AP611" i="11"/>
  <c r="AP268" i="11"/>
  <c r="AP337" i="11" s="1"/>
  <c r="AP344" i="11" s="1"/>
  <c r="AK380" i="11"/>
  <c r="AN272" i="11"/>
  <c r="AN276" i="11"/>
  <c r="AN275" i="11"/>
  <c r="AN274" i="11"/>
  <c r="AN273" i="11"/>
  <c r="V19" i="17"/>
  <c r="AR243" i="11"/>
  <c r="AR244" i="11"/>
  <c r="AR255" i="11" s="1"/>
  <c r="AR245" i="11"/>
  <c r="AR246" i="11"/>
  <c r="AR247" i="11"/>
  <c r="AR248" i="11"/>
  <c r="AR259" i="11" s="1"/>
  <c r="AR249" i="11"/>
  <c r="AR260" i="11" s="1"/>
  <c r="AR250" i="11"/>
  <c r="AR261" i="11" s="1"/>
  <c r="AR283" i="11" s="1"/>
  <c r="AP609" i="11"/>
  <c r="AP597" i="11"/>
  <c r="AQ601" i="11"/>
  <c r="AQ600" i="11"/>
  <c r="AP599" i="11"/>
  <c r="AP610" i="11"/>
  <c r="AP598" i="11"/>
  <c r="AP607" i="11"/>
  <c r="I81" i="11"/>
  <c r="AT136" i="11"/>
  <c r="AS163" i="11"/>
  <c r="AS183" i="11" s="1"/>
  <c r="AS124" i="11"/>
  <c r="AS132" i="11" s="1"/>
  <c r="AS182" i="11" s="1"/>
  <c r="AR120" i="11"/>
  <c r="AR181" i="11" s="1"/>
  <c r="AS112" i="11"/>
  <c r="AS264" i="11"/>
  <c r="AS271" i="11" s="1"/>
  <c r="AS252" i="11"/>
  <c r="AP334" i="11"/>
  <c r="AP341" i="11" s="1"/>
  <c r="AQ256" i="11"/>
  <c r="AQ258" i="11"/>
  <c r="AQ254" i="11"/>
  <c r="AQ257" i="11"/>
  <c r="AQ178" i="11"/>
  <c r="AQ189" i="11"/>
  <c r="AQ195" i="11"/>
  <c r="AQ614" i="11" s="1"/>
  <c r="AQ184" i="11"/>
  <c r="AQ602" i="11" s="1"/>
  <c r="AP196" i="11"/>
  <c r="AP615" i="11" s="1"/>
  <c r="T14" i="17" s="1"/>
  <c r="T25" i="17" s="1"/>
  <c r="AS177" i="11"/>
  <c r="AS188" i="11"/>
  <c r="AP185" i="11"/>
  <c r="AP603" i="11" s="1"/>
  <c r="F80" i="13"/>
  <c r="G80" i="13"/>
  <c r="H80" i="13"/>
  <c r="I80" i="13"/>
  <c r="J80" i="13"/>
  <c r="K80" i="13"/>
  <c r="L80" i="13"/>
  <c r="M80" i="13"/>
  <c r="N80" i="13"/>
  <c r="O80" i="13"/>
  <c r="P80" i="13"/>
  <c r="Q80" i="13"/>
  <c r="R80" i="13"/>
  <c r="S80" i="13"/>
  <c r="T80" i="13"/>
  <c r="U80" i="13"/>
  <c r="V80" i="13"/>
  <c r="W80" i="13"/>
  <c r="X80" i="13"/>
  <c r="Y80" i="13"/>
  <c r="Z80" i="13"/>
  <c r="AA80" i="13"/>
  <c r="AB80" i="13"/>
  <c r="AC80" i="13"/>
  <c r="AD80" i="13"/>
  <c r="AE80" i="13"/>
  <c r="AF80" i="13"/>
  <c r="AG80" i="13"/>
  <c r="AH80" i="13"/>
  <c r="AI80" i="13"/>
  <c r="AJ80" i="13"/>
  <c r="AK80" i="13"/>
  <c r="AS167" i="11"/>
  <c r="AR173" i="11"/>
  <c r="AI20" i="18"/>
  <c r="AI22" i="18"/>
  <c r="AI23" i="18"/>
  <c r="AI24" i="18"/>
  <c r="AI25" i="18"/>
  <c r="AI21" i="18"/>
  <c r="AR52" i="11"/>
  <c r="AR87" i="11" s="1"/>
  <c r="AT203" i="11"/>
  <c r="AT25" i="11"/>
  <c r="AS356" i="11"/>
  <c r="AS387" i="11"/>
  <c r="AS389" i="11" s="1"/>
  <c r="AS340" i="11"/>
  <c r="AR388" i="11"/>
  <c r="AH26" i="18"/>
  <c r="AJ6" i="18"/>
  <c r="AS332" i="11"/>
  <c r="AS333" i="11"/>
  <c r="AS347" i="11" s="1"/>
  <c r="AS204" i="11"/>
  <c r="AT226" i="11"/>
  <c r="AT331" i="11"/>
  <c r="AT202" i="11"/>
  <c r="AW241" i="11"/>
  <c r="AW240" i="11"/>
  <c r="AW242" i="11"/>
  <c r="AX235" i="11"/>
  <c r="AW237" i="11"/>
  <c r="AW238" i="11"/>
  <c r="AX239" i="11"/>
  <c r="AW236" i="11"/>
  <c r="AU200" i="11"/>
  <c r="AQ266" i="11" l="1"/>
  <c r="AQ335" i="11" s="1"/>
  <c r="AQ342" i="11" s="1"/>
  <c r="AQ316" i="11"/>
  <c r="AS305" i="11"/>
  <c r="AQ338" i="11"/>
  <c r="AQ345" i="11" s="1"/>
  <c r="AQ319" i="11"/>
  <c r="AQ267" i="11"/>
  <c r="AQ336" i="11" s="1"/>
  <c r="AQ343" i="11" s="1"/>
  <c r="AQ318" i="11"/>
  <c r="AQ317" i="11"/>
  <c r="AT48" i="11"/>
  <c r="AQ265" i="11"/>
  <c r="AQ334" i="11" s="1"/>
  <c r="AQ341" i="11" s="1"/>
  <c r="AQ307" i="11"/>
  <c r="AQ314" i="11" s="1"/>
  <c r="V22" i="17"/>
  <c r="V23" i="17"/>
  <c r="V21" i="17"/>
  <c r="AK369" i="11"/>
  <c r="AK375" i="11" s="1"/>
  <c r="AK382" i="11" s="1"/>
  <c r="AO572" i="11"/>
  <c r="AO577" i="11" s="1"/>
  <c r="AO561" i="11"/>
  <c r="AQ447" i="11"/>
  <c r="AQ552" i="11"/>
  <c r="AQ446" i="11"/>
  <c r="AQ550" i="11"/>
  <c r="AQ448" i="11"/>
  <c r="AQ551" i="11"/>
  <c r="AP557" i="11"/>
  <c r="AP573" i="11" s="1"/>
  <c r="AP455" i="11"/>
  <c r="AP471" i="11" s="1"/>
  <c r="AP560" i="11"/>
  <c r="AP576" i="11" s="1"/>
  <c r="AP559" i="11"/>
  <c r="AP575" i="11" s="1"/>
  <c r="AP558" i="11"/>
  <c r="AP574" i="11" s="1"/>
  <c r="AP454" i="11"/>
  <c r="AP470" i="11" s="1"/>
  <c r="AP556" i="11"/>
  <c r="AP453" i="11"/>
  <c r="AP469" i="11" s="1"/>
  <c r="AP452" i="11"/>
  <c r="AP456" i="11"/>
  <c r="AP472" i="11" s="1"/>
  <c r="AS587" i="11"/>
  <c r="AR588" i="11"/>
  <c r="AO468" i="11"/>
  <c r="AO473" i="11" s="1"/>
  <c r="AO457" i="11"/>
  <c r="M13" i="17"/>
  <c r="M24" i="17"/>
  <c r="AS569" i="11"/>
  <c r="AJ580" i="11"/>
  <c r="AJ596" i="11" s="1"/>
  <c r="AJ608" i="11" s="1"/>
  <c r="AJ616" i="11" s="1"/>
  <c r="N9" i="17" s="1"/>
  <c r="N20" i="17" s="1"/>
  <c r="AI604" i="11"/>
  <c r="AS465" i="11"/>
  <c r="AJ476" i="11"/>
  <c r="AJ595" i="11" s="1"/>
  <c r="AO272" i="11"/>
  <c r="F170" i="11" s="1"/>
  <c r="AJ376" i="11"/>
  <c r="AM365" i="11"/>
  <c r="AM373" i="11" s="1"/>
  <c r="AK371" i="11"/>
  <c r="AK378" i="11" s="1"/>
  <c r="AL359" i="11"/>
  <c r="AK374" i="11"/>
  <c r="AK381" i="11" s="1"/>
  <c r="AL368" i="11"/>
  <c r="AJ383" i="11"/>
  <c r="AL372" i="11"/>
  <c r="AM362" i="11"/>
  <c r="AL419" i="11"/>
  <c r="AS370" i="11"/>
  <c r="AS377" i="11" s="1"/>
  <c r="AS358" i="11"/>
  <c r="AS367" i="11"/>
  <c r="AS361" i="11"/>
  <c r="AS364" i="11"/>
  <c r="AT297" i="11"/>
  <c r="AT298" i="11"/>
  <c r="AT299" i="11"/>
  <c r="AT295" i="11"/>
  <c r="AT296" i="11"/>
  <c r="AO275" i="11"/>
  <c r="F173" i="11" s="1"/>
  <c r="AO276" i="11"/>
  <c r="F174" i="11" s="1"/>
  <c r="AO274" i="11"/>
  <c r="F172" i="11" s="1"/>
  <c r="AK414" i="11"/>
  <c r="AK417" i="11"/>
  <c r="AK419" i="11" s="1"/>
  <c r="AR392" i="11"/>
  <c r="AL414" i="11"/>
  <c r="AN353" i="11"/>
  <c r="AQ390" i="11"/>
  <c r="AQ393" i="11" s="1"/>
  <c r="AQ284" i="11"/>
  <c r="AO289" i="11"/>
  <c r="AR612" i="11"/>
  <c r="AR281" i="11"/>
  <c r="AN411" i="11"/>
  <c r="AN416" i="11" s="1"/>
  <c r="AP287" i="11"/>
  <c r="AP288" i="11"/>
  <c r="AP286" i="11"/>
  <c r="AR613" i="11"/>
  <c r="AR282" i="11"/>
  <c r="AR391" i="11" s="1"/>
  <c r="AO398" i="11"/>
  <c r="AO402" i="11"/>
  <c r="AO404" i="11" s="1"/>
  <c r="AP395" i="11"/>
  <c r="AP402" i="11" s="1"/>
  <c r="AP396" i="11"/>
  <c r="AP397" i="11"/>
  <c r="AM413" i="11"/>
  <c r="AM418" i="11" s="1"/>
  <c r="AN405" i="11"/>
  <c r="AN412" i="11" s="1"/>
  <c r="AN417" i="11" s="1"/>
  <c r="AM405" i="11"/>
  <c r="AN277" i="11"/>
  <c r="AR269" i="11"/>
  <c r="AP270" i="11"/>
  <c r="AP274" i="11" s="1"/>
  <c r="AP346" i="11"/>
  <c r="AQ611" i="11"/>
  <c r="AQ268" i="11"/>
  <c r="AQ337" i="11" s="1"/>
  <c r="AQ344" i="11" s="1"/>
  <c r="AQ346" i="11" s="1"/>
  <c r="AL380" i="11"/>
  <c r="AK379" i="11"/>
  <c r="W19" i="17"/>
  <c r="AS243" i="11"/>
  <c r="AS244" i="11"/>
  <c r="AS255" i="11" s="1"/>
  <c r="AS245" i="11"/>
  <c r="AS246" i="11"/>
  <c r="AS247" i="11"/>
  <c r="AS248" i="11"/>
  <c r="AS259" i="11" s="1"/>
  <c r="AS249" i="11"/>
  <c r="AS260" i="11" s="1"/>
  <c r="AS250" i="11"/>
  <c r="AS261" i="11" s="1"/>
  <c r="AS283" i="11" s="1"/>
  <c r="AQ599" i="11"/>
  <c r="AQ610" i="11"/>
  <c r="AQ598" i="11"/>
  <c r="AR600" i="11"/>
  <c r="AQ607" i="11"/>
  <c r="AQ609" i="11"/>
  <c r="AQ597" i="11"/>
  <c r="AR601" i="11"/>
  <c r="I82" i="11"/>
  <c r="AU136" i="11"/>
  <c r="AT163" i="11"/>
  <c r="AT183" i="11" s="1"/>
  <c r="AT124" i="11"/>
  <c r="AT132" i="11" s="1"/>
  <c r="AT182" i="11" s="1"/>
  <c r="AT112" i="11"/>
  <c r="AS120" i="11"/>
  <c r="AS181" i="11" s="1"/>
  <c r="AT264" i="11"/>
  <c r="AT271" i="11" s="1"/>
  <c r="AT252" i="11"/>
  <c r="AP339" i="11"/>
  <c r="AR256" i="11"/>
  <c r="AR254" i="11"/>
  <c r="AR258" i="11"/>
  <c r="AR257" i="11"/>
  <c r="AQ196" i="11"/>
  <c r="AQ615" i="11" s="1"/>
  <c r="U14" i="17" s="1"/>
  <c r="U25" i="17" s="1"/>
  <c r="AR195" i="11"/>
  <c r="AR614" i="11" s="1"/>
  <c r="AR184" i="11"/>
  <c r="AR602" i="11" s="1"/>
  <c r="AR189" i="11"/>
  <c r="AR178" i="11"/>
  <c r="AT188" i="11"/>
  <c r="AT177" i="11"/>
  <c r="AQ185" i="11"/>
  <c r="AQ603" i="11" s="1"/>
  <c r="AT167" i="11"/>
  <c r="AS173" i="11"/>
  <c r="AJ24" i="18"/>
  <c r="AJ21" i="18"/>
  <c r="AJ20" i="18"/>
  <c r="AJ22" i="18"/>
  <c r="AJ23" i="18"/>
  <c r="AJ25" i="18"/>
  <c r="AT204" i="11"/>
  <c r="AS388" i="11"/>
  <c r="AS52" i="11"/>
  <c r="AS87" i="11" s="1"/>
  <c r="AU203" i="11"/>
  <c r="AU25" i="11"/>
  <c r="AT356" i="11"/>
  <c r="AT387" i="11"/>
  <c r="AT389" i="11" s="1"/>
  <c r="AT340" i="11"/>
  <c r="AI26" i="18"/>
  <c r="AK6" i="18"/>
  <c r="AO360" i="11"/>
  <c r="AO363" i="11"/>
  <c r="AO366" i="11"/>
  <c r="AO353" i="11"/>
  <c r="AT332" i="11"/>
  <c r="AT333" i="11"/>
  <c r="AT347" i="11" s="1"/>
  <c r="AU226" i="11"/>
  <c r="AU331" i="11"/>
  <c r="AU202" i="11"/>
  <c r="AX236" i="11"/>
  <c r="AY235" i="11"/>
  <c r="AX238" i="11"/>
  <c r="AX240" i="11"/>
  <c r="AY239" i="11"/>
  <c r="AX237" i="11"/>
  <c r="AX242" i="11"/>
  <c r="AX241" i="11"/>
  <c r="AV200" i="11"/>
  <c r="AR267" i="11" l="1"/>
  <c r="AR336" i="11" s="1"/>
  <c r="AR343" i="11" s="1"/>
  <c r="AR318" i="11"/>
  <c r="AR317" i="11"/>
  <c r="AR265" i="11"/>
  <c r="AR334" i="11" s="1"/>
  <c r="AR341" i="11" s="1"/>
  <c r="AR307" i="11"/>
  <c r="AR314" i="11" s="1"/>
  <c r="AT305" i="11"/>
  <c r="AR338" i="11"/>
  <c r="AR345" i="11" s="1"/>
  <c r="AR319" i="11"/>
  <c r="AU48" i="11"/>
  <c r="AR266" i="11"/>
  <c r="AR335" i="11" s="1"/>
  <c r="AR342" i="11" s="1"/>
  <c r="AR316" i="11"/>
  <c r="AQ322" i="11"/>
  <c r="W22" i="17"/>
  <c r="W23" i="17"/>
  <c r="W21" i="17"/>
  <c r="AR448" i="11"/>
  <c r="AR447" i="11"/>
  <c r="AR446" i="11"/>
  <c r="AR550" i="11"/>
  <c r="AR552" i="11"/>
  <c r="AR551" i="11"/>
  <c r="AT587" i="11"/>
  <c r="AS588" i="11"/>
  <c r="AP572" i="11"/>
  <c r="AP577" i="11" s="1"/>
  <c r="AP561" i="11"/>
  <c r="AQ559" i="11"/>
  <c r="AQ575" i="11" s="1"/>
  <c r="AQ453" i="11"/>
  <c r="AQ469" i="11" s="1"/>
  <c r="AQ558" i="11"/>
  <c r="AQ574" i="11" s="1"/>
  <c r="AQ556" i="11"/>
  <c r="AQ560" i="11"/>
  <c r="AQ576" i="11" s="1"/>
  <c r="AQ557" i="11"/>
  <c r="AQ573" i="11" s="1"/>
  <c r="AQ454" i="11"/>
  <c r="AQ470" i="11" s="1"/>
  <c r="AQ452" i="11"/>
  <c r="AQ456" i="11"/>
  <c r="AQ472" i="11" s="1"/>
  <c r="AQ455" i="11"/>
  <c r="AQ471" i="11" s="1"/>
  <c r="AP468" i="11"/>
  <c r="AP473" i="11" s="1"/>
  <c r="AP457" i="11"/>
  <c r="N13" i="17"/>
  <c r="N24" i="17"/>
  <c r="AJ604" i="11"/>
  <c r="AT569" i="11"/>
  <c r="AK580" i="11"/>
  <c r="AK596" i="11" s="1"/>
  <c r="AK608" i="11" s="1"/>
  <c r="AK616" i="11" s="1"/>
  <c r="O9" i="17" s="1"/>
  <c r="O20" i="17" s="1"/>
  <c r="AK476" i="11"/>
  <c r="AK595" i="11" s="1"/>
  <c r="AT465" i="11"/>
  <c r="AP272" i="11"/>
  <c r="AL369" i="11"/>
  <c r="AL375" i="11" s="1"/>
  <c r="AL382" i="11" s="1"/>
  <c r="AP404" i="11"/>
  <c r="AN365" i="11"/>
  <c r="AN373" i="11" s="1"/>
  <c r="AN380" i="11" s="1"/>
  <c r="AM368" i="11"/>
  <c r="AL374" i="11"/>
  <c r="AL381" i="11" s="1"/>
  <c r="AK376" i="11"/>
  <c r="AN362" i="11"/>
  <c r="AM372" i="11"/>
  <c r="AK383" i="11"/>
  <c r="AL371" i="11"/>
  <c r="AL378" i="11" s="1"/>
  <c r="AM359" i="11"/>
  <c r="AP348" i="11"/>
  <c r="AP357" i="11" s="1"/>
  <c r="AP349" i="11"/>
  <c r="AP360" i="11" s="1"/>
  <c r="AP350" i="11"/>
  <c r="AP363" i="11" s="1"/>
  <c r="AP351" i="11"/>
  <c r="AP366" i="11" s="1"/>
  <c r="AP352" i="11"/>
  <c r="AT370" i="11"/>
  <c r="AT377" i="11" s="1"/>
  <c r="AT367" i="11"/>
  <c r="AT358" i="11"/>
  <c r="AT361" i="11"/>
  <c r="AT364" i="11"/>
  <c r="AQ348" i="11"/>
  <c r="AQ357" i="11" s="1"/>
  <c r="AQ349" i="11"/>
  <c r="AQ360" i="11" s="1"/>
  <c r="AQ350" i="11"/>
  <c r="AQ363" i="11" s="1"/>
  <c r="AQ351" i="11"/>
  <c r="AQ366" i="11" s="1"/>
  <c r="AQ352" i="11"/>
  <c r="AO277" i="11"/>
  <c r="AU296" i="11"/>
  <c r="AU297" i="11"/>
  <c r="AU298" i="11"/>
  <c r="AU299" i="11"/>
  <c r="AU295" i="11"/>
  <c r="AS392" i="11"/>
  <c r="AP276" i="11"/>
  <c r="AP275" i="11"/>
  <c r="AP289" i="11"/>
  <c r="AP273" i="11"/>
  <c r="AO411" i="11"/>
  <c r="AO416" i="11" s="1"/>
  <c r="AS612" i="11"/>
  <c r="AS281" i="11"/>
  <c r="AP398" i="11"/>
  <c r="AP406" i="11"/>
  <c r="AP408" i="11" s="1"/>
  <c r="AM412" i="11"/>
  <c r="AM409" i="11"/>
  <c r="AN413" i="11"/>
  <c r="AO405" i="11"/>
  <c r="AQ286" i="11"/>
  <c r="AQ287" i="11"/>
  <c r="AQ288" i="11"/>
  <c r="AS613" i="11"/>
  <c r="AS282" i="11"/>
  <c r="AS391" i="11" s="1"/>
  <c r="AN409" i="11"/>
  <c r="AR390" i="11"/>
  <c r="AR393" i="11" s="1"/>
  <c r="AR284" i="11"/>
  <c r="AQ395" i="11"/>
  <c r="AQ402" i="11" s="1"/>
  <c r="AQ396" i="11"/>
  <c r="AQ397" i="11"/>
  <c r="AQ406" i="11" s="1"/>
  <c r="AQ270" i="11"/>
  <c r="AQ272" i="11" s="1"/>
  <c r="AS269" i="11"/>
  <c r="AQ339" i="11"/>
  <c r="AL379" i="11"/>
  <c r="AR611" i="11"/>
  <c r="AR268" i="11"/>
  <c r="AR337" i="11" s="1"/>
  <c r="AR344" i="11" s="1"/>
  <c r="AM380" i="11"/>
  <c r="AT244" i="11"/>
  <c r="AT255" i="11" s="1"/>
  <c r="AT249" i="11"/>
  <c r="AT260" i="11" s="1"/>
  <c r="AT246" i="11"/>
  <c r="AT247" i="11"/>
  <c r="AT248" i="11"/>
  <c r="AT259" i="11" s="1"/>
  <c r="AT243" i="11"/>
  <c r="AT245" i="11"/>
  <c r="AT250" i="11"/>
  <c r="AT261" i="11" s="1"/>
  <c r="AT283" i="11" s="1"/>
  <c r="AR610" i="11"/>
  <c r="AR598" i="11"/>
  <c r="AR607" i="11"/>
  <c r="AS601" i="11"/>
  <c r="AS600" i="11"/>
  <c r="AR609" i="11"/>
  <c r="AR597" i="11"/>
  <c r="AR599" i="11"/>
  <c r="AV136" i="11"/>
  <c r="AU163" i="11"/>
  <c r="AU183" i="11" s="1"/>
  <c r="AU124" i="11"/>
  <c r="AU132" i="11" s="1"/>
  <c r="AU182" i="11" s="1"/>
  <c r="AU112" i="11"/>
  <c r="AT120" i="11"/>
  <c r="AT181" i="11" s="1"/>
  <c r="AU264" i="11"/>
  <c r="AU271" i="11" s="1"/>
  <c r="AU252" i="11"/>
  <c r="AS254" i="11"/>
  <c r="AS257" i="11"/>
  <c r="AS256" i="11"/>
  <c r="AS258" i="11"/>
  <c r="AU188" i="11"/>
  <c r="AU177" i="11"/>
  <c r="AR196" i="11"/>
  <c r="AR615" i="11" s="1"/>
  <c r="V14" i="17" s="1"/>
  <c r="V25" i="17" s="1"/>
  <c r="AS178" i="11"/>
  <c r="AS189" i="11"/>
  <c r="AS184" i="11"/>
  <c r="AS602" i="11" s="1"/>
  <c r="AS195" i="11"/>
  <c r="AS614" i="11" s="1"/>
  <c r="AR185" i="11"/>
  <c r="AR603" i="11" s="1"/>
  <c r="AU167" i="11"/>
  <c r="AT173" i="11"/>
  <c r="X19" i="17"/>
  <c r="AK23" i="18"/>
  <c r="AK21" i="18"/>
  <c r="AK20" i="18"/>
  <c r="AK22" i="18"/>
  <c r="AK24" i="18"/>
  <c r="AK25" i="18"/>
  <c r="AU204" i="11"/>
  <c r="AL6" i="18"/>
  <c r="AT52" i="11"/>
  <c r="AT87" i="11" s="1"/>
  <c r="AV25" i="11"/>
  <c r="AT388" i="11"/>
  <c r="AU356" i="11"/>
  <c r="AU387" i="11"/>
  <c r="AU389" i="11" s="1"/>
  <c r="AU340" i="11"/>
  <c r="AJ26" i="18"/>
  <c r="F175" i="11"/>
  <c r="AU332" i="11"/>
  <c r="AU333" i="11"/>
  <c r="AU347" i="11" s="1"/>
  <c r="AV226" i="11"/>
  <c r="AV331" i="11"/>
  <c r="AV202" i="11"/>
  <c r="AV203" i="11"/>
  <c r="AY241" i="11"/>
  <c r="AY237" i="11"/>
  <c r="AY240" i="11"/>
  <c r="AZ235" i="11"/>
  <c r="AY242" i="11"/>
  <c r="AZ239" i="11"/>
  <c r="AY238" i="11"/>
  <c r="AY236" i="11"/>
  <c r="AW200" i="11"/>
  <c r="AS267" i="11" l="1"/>
  <c r="AS336" i="11" s="1"/>
  <c r="AS343" i="11" s="1"/>
  <c r="AS318" i="11"/>
  <c r="AS317" i="11"/>
  <c r="AV48" i="11"/>
  <c r="AV188" i="11" s="1"/>
  <c r="AS265" i="11"/>
  <c r="AS334" i="11" s="1"/>
  <c r="AS341" i="11" s="1"/>
  <c r="AS307" i="11"/>
  <c r="AS314" i="11" s="1"/>
  <c r="AU305" i="11"/>
  <c r="AR346" i="11"/>
  <c r="AS338" i="11"/>
  <c r="AS345" i="11" s="1"/>
  <c r="AS319" i="11"/>
  <c r="AS266" i="11"/>
  <c r="AS335" i="11" s="1"/>
  <c r="AS342" i="11" s="1"/>
  <c r="AS316" i="11"/>
  <c r="AR322" i="11"/>
  <c r="X22" i="17"/>
  <c r="X23" i="17"/>
  <c r="X21" i="17"/>
  <c r="AS446" i="11"/>
  <c r="AS550" i="11"/>
  <c r="AS552" i="11"/>
  <c r="AS448" i="11"/>
  <c r="AS551" i="11"/>
  <c r="AS447" i="11"/>
  <c r="AU587" i="11"/>
  <c r="AT588" i="11"/>
  <c r="AQ468" i="11"/>
  <c r="AQ473" i="11" s="1"/>
  <c r="AQ457" i="11"/>
  <c r="AQ572" i="11"/>
  <c r="AQ577" i="11" s="1"/>
  <c r="AQ561" i="11"/>
  <c r="AR560" i="11"/>
  <c r="AR576" i="11" s="1"/>
  <c r="AR452" i="11"/>
  <c r="AR556" i="11"/>
  <c r="AR453" i="11"/>
  <c r="AR469" i="11" s="1"/>
  <c r="AR455" i="11"/>
  <c r="AR471" i="11" s="1"/>
  <c r="AR454" i="11"/>
  <c r="AR470" i="11" s="1"/>
  <c r="AR559" i="11"/>
  <c r="AR575" i="11" s="1"/>
  <c r="AR557" i="11"/>
  <c r="AR573" i="11" s="1"/>
  <c r="AR456" i="11"/>
  <c r="AR472" i="11" s="1"/>
  <c r="AR558" i="11"/>
  <c r="AR574" i="11" s="1"/>
  <c r="O13" i="17"/>
  <c r="O24" i="17"/>
  <c r="AU569" i="11"/>
  <c r="AL580" i="11"/>
  <c r="AL596" i="11" s="1"/>
  <c r="AL608" i="11" s="1"/>
  <c r="AL616" i="11" s="1"/>
  <c r="P9" i="17" s="1"/>
  <c r="P20" i="17" s="1"/>
  <c r="AK604" i="11"/>
  <c r="AL476" i="11"/>
  <c r="AL595" i="11" s="1"/>
  <c r="AU465" i="11"/>
  <c r="AM369" i="11"/>
  <c r="AM375" i="11" s="1"/>
  <c r="AM382" i="11" s="1"/>
  <c r="AQ404" i="11"/>
  <c r="AL376" i="11"/>
  <c r="AQ408" i="11"/>
  <c r="AO365" i="11"/>
  <c r="AO373" i="11" s="1"/>
  <c r="AL383" i="11"/>
  <c r="AM371" i="11"/>
  <c r="AM378" i="11" s="1"/>
  <c r="AN359" i="11"/>
  <c r="AN372" i="11"/>
  <c r="AO362" i="11"/>
  <c r="AM374" i="11"/>
  <c r="AM381" i="11" s="1"/>
  <c r="AN368" i="11"/>
  <c r="AR348" i="11"/>
  <c r="AR357" i="11" s="1"/>
  <c r="AR349" i="11"/>
  <c r="AR360" i="11" s="1"/>
  <c r="AR350" i="11"/>
  <c r="AR363" i="11" s="1"/>
  <c r="AR351" i="11"/>
  <c r="AR366" i="11" s="1"/>
  <c r="AR352" i="11"/>
  <c r="AU370" i="11"/>
  <c r="AU377" i="11" s="1"/>
  <c r="AU364" i="11"/>
  <c r="AU367" i="11"/>
  <c r="AU361" i="11"/>
  <c r="AU358" i="11"/>
  <c r="AV296" i="11"/>
  <c r="AV297" i="11"/>
  <c r="AV298" i="11"/>
  <c r="AV299" i="11"/>
  <c r="AV295" i="11"/>
  <c r="AM414" i="11"/>
  <c r="AM417" i="11"/>
  <c r="AM419" i="11" s="1"/>
  <c r="AN414" i="11"/>
  <c r="AN418" i="11"/>
  <c r="AN419" i="11" s="1"/>
  <c r="AQ275" i="11"/>
  <c r="AT392" i="11"/>
  <c r="AP353" i="11"/>
  <c r="AP277" i="11"/>
  <c r="AQ274" i="11"/>
  <c r="AQ273" i="11"/>
  <c r="AQ276" i="11"/>
  <c r="AO412" i="11"/>
  <c r="AO417" i="11" s="1"/>
  <c r="AO409" i="11"/>
  <c r="AR397" i="11"/>
  <c r="AR406" i="11" s="1"/>
  <c r="AR395" i="11"/>
  <c r="AR396" i="11"/>
  <c r="AT613" i="11"/>
  <c r="AT282" i="11"/>
  <c r="AT391" i="11" s="1"/>
  <c r="AQ398" i="11"/>
  <c r="AT612" i="11"/>
  <c r="AT281" i="11"/>
  <c r="AQ289" i="11"/>
  <c r="AS284" i="11"/>
  <c r="AS390" i="11"/>
  <c r="AS393" i="11" s="1"/>
  <c r="AR287" i="11"/>
  <c r="AR286" i="11"/>
  <c r="AR288" i="11"/>
  <c r="AO413" i="11"/>
  <c r="AO418" i="11" s="1"/>
  <c r="AP411" i="11"/>
  <c r="AP416" i="11" s="1"/>
  <c r="AT269" i="11"/>
  <c r="AS611" i="11"/>
  <c r="AS268" i="11"/>
  <c r="AS337" i="11" s="1"/>
  <c r="AS344" i="11" s="1"/>
  <c r="AR339" i="11"/>
  <c r="AM379" i="11"/>
  <c r="AR270" i="11"/>
  <c r="AU243" i="11"/>
  <c r="AU244" i="11"/>
  <c r="AU255" i="11" s="1"/>
  <c r="AU245" i="11"/>
  <c r="AU246" i="11"/>
  <c r="AU247" i="11"/>
  <c r="AU248" i="11"/>
  <c r="AU259" i="11" s="1"/>
  <c r="AU249" i="11"/>
  <c r="AU260" i="11" s="1"/>
  <c r="AU250" i="11"/>
  <c r="AU261" i="11" s="1"/>
  <c r="AU283" i="11" s="1"/>
  <c r="AT601" i="11"/>
  <c r="AS610" i="11"/>
  <c r="AS598" i="11"/>
  <c r="AS609" i="11"/>
  <c r="AS597" i="11"/>
  <c r="AS607" i="11"/>
  <c r="AT600" i="11"/>
  <c r="AS599" i="11"/>
  <c r="AW136" i="11"/>
  <c r="AV163" i="11"/>
  <c r="AV183" i="11" s="1"/>
  <c r="AV124" i="11"/>
  <c r="AV132" i="11" s="1"/>
  <c r="AV182" i="11" s="1"/>
  <c r="AV112" i="11"/>
  <c r="AU120" i="11"/>
  <c r="AU181" i="11" s="1"/>
  <c r="AQ353" i="11"/>
  <c r="AV264" i="11"/>
  <c r="AV271" i="11" s="1"/>
  <c r="AV252" i="11"/>
  <c r="AT257" i="11"/>
  <c r="AT258" i="11"/>
  <c r="AT254" i="11"/>
  <c r="AT256" i="11"/>
  <c r="AS196" i="11"/>
  <c r="AS615" i="11" s="1"/>
  <c r="W14" i="17" s="1"/>
  <c r="W25" i="17" s="1"/>
  <c r="AT184" i="11"/>
  <c r="AT602" i="11" s="1"/>
  <c r="AT195" i="11"/>
  <c r="AT614" i="11" s="1"/>
  <c r="AT178" i="11"/>
  <c r="AT189" i="11"/>
  <c r="AV177" i="11"/>
  <c r="AS185" i="11"/>
  <c r="AS603" i="11" s="1"/>
  <c r="AV167" i="11"/>
  <c r="AU173" i="11"/>
  <c r="Y19" i="17"/>
  <c r="AL22" i="18"/>
  <c r="AL23" i="18"/>
  <c r="AL24" i="18"/>
  <c r="AL25" i="18"/>
  <c r="AL21" i="18"/>
  <c r="AL20" i="18"/>
  <c r="AM6" i="18"/>
  <c r="AU388" i="11"/>
  <c r="AU52" i="11"/>
  <c r="AU87" i="11" s="1"/>
  <c r="AW25" i="11"/>
  <c r="AV356" i="11"/>
  <c r="AV387" i="11"/>
  <c r="AV389" i="11" s="1"/>
  <c r="AV340" i="11"/>
  <c r="AK26" i="18"/>
  <c r="AV332" i="11"/>
  <c r="AV333" i="11"/>
  <c r="AV347" i="11" s="1"/>
  <c r="AV204" i="11"/>
  <c r="AW331" i="11"/>
  <c r="AW226" i="11"/>
  <c r="AW202" i="11"/>
  <c r="AW203" i="11"/>
  <c r="BA239" i="11"/>
  <c r="AZ236" i="11"/>
  <c r="BA235" i="11"/>
  <c r="AZ237" i="11"/>
  <c r="AZ238" i="11"/>
  <c r="AZ242" i="11"/>
  <c r="AZ240" i="11"/>
  <c r="AZ241" i="11"/>
  <c r="AX200" i="11"/>
  <c r="AS322" i="11" l="1"/>
  <c r="AW48" i="11"/>
  <c r="AT267" i="11"/>
  <c r="AT336" i="11" s="1"/>
  <c r="AT343" i="11" s="1"/>
  <c r="AT318" i="11"/>
  <c r="AT317" i="11"/>
  <c r="AS346" i="11"/>
  <c r="AS351" i="11" s="1"/>
  <c r="AS366" i="11" s="1"/>
  <c r="AV305" i="11"/>
  <c r="AT265" i="11"/>
  <c r="AT334" i="11" s="1"/>
  <c r="AT341" i="11" s="1"/>
  <c r="AT307" i="11"/>
  <c r="AT314" i="11" s="1"/>
  <c r="AT338" i="11"/>
  <c r="AT345" i="11" s="1"/>
  <c r="AT319" i="11"/>
  <c r="AT266" i="11"/>
  <c r="AT335" i="11" s="1"/>
  <c r="AT342" i="11" s="1"/>
  <c r="AT316" i="11"/>
  <c r="Y22" i="17"/>
  <c r="Y23" i="17"/>
  <c r="Y21" i="17"/>
  <c r="AT447" i="11"/>
  <c r="AT550" i="11"/>
  <c r="AT552" i="11"/>
  <c r="AT551" i="11"/>
  <c r="AT446" i="11"/>
  <c r="AT448" i="11"/>
  <c r="AR572" i="11"/>
  <c r="AR577" i="11" s="1"/>
  <c r="AR561" i="11"/>
  <c r="AR468" i="11"/>
  <c r="AR473" i="11" s="1"/>
  <c r="AR457" i="11"/>
  <c r="AS556" i="11"/>
  <c r="AS453" i="11"/>
  <c r="AS469" i="11" s="1"/>
  <c r="AS557" i="11"/>
  <c r="AS573" i="11" s="1"/>
  <c r="AS559" i="11"/>
  <c r="AS575" i="11" s="1"/>
  <c r="AS560" i="11"/>
  <c r="AS576" i="11" s="1"/>
  <c r="AS454" i="11"/>
  <c r="AS470" i="11" s="1"/>
  <c r="AS456" i="11"/>
  <c r="AS472" i="11" s="1"/>
  <c r="AS452" i="11"/>
  <c r="AS558" i="11"/>
  <c r="AS574" i="11" s="1"/>
  <c r="AS455" i="11"/>
  <c r="AS471" i="11" s="1"/>
  <c r="AV587" i="11"/>
  <c r="AU588" i="11"/>
  <c r="P13" i="17"/>
  <c r="P24" i="17"/>
  <c r="AV569" i="11"/>
  <c r="AM580" i="11"/>
  <c r="AM596" i="11" s="1"/>
  <c r="AM608" i="11" s="1"/>
  <c r="AM616" i="11" s="1"/>
  <c r="Q9" i="17" s="1"/>
  <c r="Q20" i="17" s="1"/>
  <c r="AL604" i="11"/>
  <c r="AV465" i="11"/>
  <c r="AM476" i="11"/>
  <c r="AM595" i="11" s="1"/>
  <c r="AN369" i="11"/>
  <c r="AN375" i="11" s="1"/>
  <c r="AN382" i="11" s="1"/>
  <c r="AM376" i="11"/>
  <c r="AR408" i="11"/>
  <c r="AP365" i="11"/>
  <c r="AO372" i="11"/>
  <c r="AP362" i="11"/>
  <c r="AN374" i="11"/>
  <c r="AN381" i="11" s="1"/>
  <c r="AO368" i="11"/>
  <c r="AN371" i="11"/>
  <c r="AN378" i="11" s="1"/>
  <c r="AO359" i="11"/>
  <c r="AM383" i="11"/>
  <c r="AO419" i="11"/>
  <c r="AV370" i="11"/>
  <c r="AV377" i="11" s="1"/>
  <c r="AV361" i="11"/>
  <c r="AV364" i="11"/>
  <c r="AV367" i="11"/>
  <c r="AV358" i="11"/>
  <c r="AS348" i="11"/>
  <c r="AS357" i="11" s="1"/>
  <c r="AS352" i="11"/>
  <c r="AW299" i="11"/>
  <c r="AW295" i="11"/>
  <c r="AW297" i="11"/>
  <c r="AW296" i="11"/>
  <c r="AW298" i="11"/>
  <c r="AO414" i="11"/>
  <c r="AU392" i="11"/>
  <c r="AS339" i="11"/>
  <c r="AQ277" i="11"/>
  <c r="AR289" i="11"/>
  <c r="AR398" i="11"/>
  <c r="AR402" i="11"/>
  <c r="AR404" i="11" s="1"/>
  <c r="AU612" i="11"/>
  <c r="AU281" i="11"/>
  <c r="AP413" i="11"/>
  <c r="AP418" i="11" s="1"/>
  <c r="AQ411" i="11"/>
  <c r="AQ416" i="11" s="1"/>
  <c r="AS288" i="11"/>
  <c r="AS287" i="11"/>
  <c r="AS286" i="11"/>
  <c r="AU613" i="11"/>
  <c r="AU282" i="11"/>
  <c r="AU391" i="11" s="1"/>
  <c r="AP405" i="11"/>
  <c r="AT390" i="11"/>
  <c r="AT393" i="11" s="1"/>
  <c r="AT284" i="11"/>
  <c r="AS396" i="11"/>
  <c r="AS397" i="11"/>
  <c r="AS406" i="11" s="1"/>
  <c r="AS395" i="11"/>
  <c r="AU269" i="11"/>
  <c r="AO380" i="11"/>
  <c r="AT611" i="11"/>
  <c r="AT268" i="11"/>
  <c r="AT337" i="11" s="1"/>
  <c r="AT344" i="11" s="1"/>
  <c r="AT346" i="11" s="1"/>
  <c r="AN379" i="11"/>
  <c r="AR273" i="11"/>
  <c r="AR272" i="11"/>
  <c r="AR276" i="11"/>
  <c r="AR275" i="11"/>
  <c r="AR274" i="11"/>
  <c r="AS270" i="11"/>
  <c r="Z19" i="17"/>
  <c r="AV243" i="11"/>
  <c r="AV244" i="11"/>
  <c r="AV255" i="11" s="1"/>
  <c r="AV245" i="11"/>
  <c r="AV246" i="11"/>
  <c r="AV247" i="11"/>
  <c r="AV248" i="11"/>
  <c r="AV259" i="11" s="1"/>
  <c r="AV249" i="11"/>
  <c r="AV260" i="11" s="1"/>
  <c r="AV250" i="11"/>
  <c r="AV261" i="11" s="1"/>
  <c r="AV283" i="11" s="1"/>
  <c r="AT609" i="11"/>
  <c r="AT597" i="11"/>
  <c r="AU601" i="11"/>
  <c r="AT607" i="11"/>
  <c r="AT610" i="11"/>
  <c r="AT598" i="11"/>
  <c r="AT599" i="11"/>
  <c r="AU600" i="11"/>
  <c r="AX136" i="11"/>
  <c r="AW163" i="11"/>
  <c r="AW183" i="11" s="1"/>
  <c r="AW124" i="11"/>
  <c r="AW132" i="11" s="1"/>
  <c r="AW182" i="11" s="1"/>
  <c r="AW112" i="11"/>
  <c r="AV120" i="11"/>
  <c r="AV181" i="11" s="1"/>
  <c r="AR353" i="11"/>
  <c r="AW264" i="11"/>
  <c r="AW271" i="11" s="1"/>
  <c r="AW252" i="11"/>
  <c r="AT185" i="11"/>
  <c r="AT603" i="11" s="1"/>
  <c r="AU256" i="11"/>
  <c r="AU258" i="11"/>
  <c r="AU257" i="11"/>
  <c r="AU254" i="11"/>
  <c r="AT196" i="11"/>
  <c r="AT615" i="11" s="1"/>
  <c r="X14" i="17" s="1"/>
  <c r="X25" i="17" s="1"/>
  <c r="AU178" i="11"/>
  <c r="AU189" i="11"/>
  <c r="AW177" i="11"/>
  <c r="AW188" i="11"/>
  <c r="AU195" i="11"/>
  <c r="AU614" i="11" s="1"/>
  <c r="AU184" i="11"/>
  <c r="AU602" i="11" s="1"/>
  <c r="AW167" i="11"/>
  <c r="AV173" i="11"/>
  <c r="AM20" i="18"/>
  <c r="AM22" i="18"/>
  <c r="AM23" i="18"/>
  <c r="AM24" i="18"/>
  <c r="AM25" i="18"/>
  <c r="AM21" i="18"/>
  <c r="AL26" i="18"/>
  <c r="AV52" i="11"/>
  <c r="AV87" i="11" s="1"/>
  <c r="AN6" i="18"/>
  <c r="AX25" i="11"/>
  <c r="AW356" i="11"/>
  <c r="AW387" i="11"/>
  <c r="AW389" i="11" s="1"/>
  <c r="AW340" i="11"/>
  <c r="AV388" i="11"/>
  <c r="AX203" i="11"/>
  <c r="AW332" i="11"/>
  <c r="AW333" i="11"/>
  <c r="AW347" i="11" s="1"/>
  <c r="AW204" i="11"/>
  <c r="AX331" i="11"/>
  <c r="AX226" i="11"/>
  <c r="AX202" i="11"/>
  <c r="BA241" i="11"/>
  <c r="BA236" i="11"/>
  <c r="BA242" i="11"/>
  <c r="BA237" i="11"/>
  <c r="BA240" i="11"/>
  <c r="BA238" i="11"/>
  <c r="AY200" i="11"/>
  <c r="AX48" i="11" l="1"/>
  <c r="AU267" i="11"/>
  <c r="AU336" i="11" s="1"/>
  <c r="AU343" i="11" s="1"/>
  <c r="AU318" i="11"/>
  <c r="AU317" i="11"/>
  <c r="AW305" i="11"/>
  <c r="AS349" i="11"/>
  <c r="AS360" i="11" s="1"/>
  <c r="AT322" i="11"/>
  <c r="AU266" i="11"/>
  <c r="AU335" i="11" s="1"/>
  <c r="AU342" i="11" s="1"/>
  <c r="AU316" i="11"/>
  <c r="AU265" i="11"/>
  <c r="AU334" i="11" s="1"/>
  <c r="AU341" i="11" s="1"/>
  <c r="AU307" i="11"/>
  <c r="AU314" i="11" s="1"/>
  <c r="AU322" i="11" s="1"/>
  <c r="AU338" i="11"/>
  <c r="AU345" i="11" s="1"/>
  <c r="AU319" i="11"/>
  <c r="AS350" i="11"/>
  <c r="AS363" i="11" s="1"/>
  <c r="Z21" i="17"/>
  <c r="Z23" i="17"/>
  <c r="Z22" i="17"/>
  <c r="AS572" i="11"/>
  <c r="AS577" i="11" s="1"/>
  <c r="AS561" i="11"/>
  <c r="AU446" i="11"/>
  <c r="AU448" i="11"/>
  <c r="AU447" i="11"/>
  <c r="AU552" i="11"/>
  <c r="AU551" i="11"/>
  <c r="AU550" i="11"/>
  <c r="AS468" i="11"/>
  <c r="AS473" i="11" s="1"/>
  <c r="AS457" i="11"/>
  <c r="AW587" i="11"/>
  <c r="AV588" i="11"/>
  <c r="AT560" i="11"/>
  <c r="AT576" i="11" s="1"/>
  <c r="AT557" i="11"/>
  <c r="AT573" i="11" s="1"/>
  <c r="AT558" i="11"/>
  <c r="AT574" i="11" s="1"/>
  <c r="AT559" i="11"/>
  <c r="AT575" i="11" s="1"/>
  <c r="AT452" i="11"/>
  <c r="AT453" i="11"/>
  <c r="AT469" i="11" s="1"/>
  <c r="AT556" i="11"/>
  <c r="AT454" i="11"/>
  <c r="AT470" i="11" s="1"/>
  <c r="AT455" i="11"/>
  <c r="AT471" i="11" s="1"/>
  <c r="AT456" i="11"/>
  <c r="AT472" i="11" s="1"/>
  <c r="Q24" i="17"/>
  <c r="Q13" i="17"/>
  <c r="AW569" i="11"/>
  <c r="AN580" i="11"/>
  <c r="AN596" i="11" s="1"/>
  <c r="AN608" i="11" s="1"/>
  <c r="AN616" i="11" s="1"/>
  <c r="R9" i="17" s="1"/>
  <c r="R20" i="17" s="1"/>
  <c r="AM604" i="11"/>
  <c r="AS408" i="11"/>
  <c r="AW465" i="11"/>
  <c r="AN476" i="11"/>
  <c r="AN595" i="11" s="1"/>
  <c r="AO369" i="11"/>
  <c r="AO375" i="11" s="1"/>
  <c r="AO382" i="11" s="1"/>
  <c r="AN376" i="11"/>
  <c r="AP373" i="11"/>
  <c r="AP380" i="11" s="1"/>
  <c r="AQ365" i="11"/>
  <c r="AV392" i="11"/>
  <c r="AO371" i="11"/>
  <c r="AO378" i="11" s="1"/>
  <c r="AP359" i="11"/>
  <c r="AP372" i="11"/>
  <c r="AQ362" i="11"/>
  <c r="AN383" i="11"/>
  <c r="AO374" i="11"/>
  <c r="AO381" i="11" s="1"/>
  <c r="AP368" i="11"/>
  <c r="AT348" i="11"/>
  <c r="AT357" i="11" s="1"/>
  <c r="AT349" i="11"/>
  <c r="AT360" i="11" s="1"/>
  <c r="AT350" i="11"/>
  <c r="AT363" i="11" s="1"/>
  <c r="AT351" i="11"/>
  <c r="AT366" i="11" s="1"/>
  <c r="AT352" i="11"/>
  <c r="AW370" i="11"/>
  <c r="AW377" i="11" s="1"/>
  <c r="AW358" i="11"/>
  <c r="AW361" i="11"/>
  <c r="AW367" i="11"/>
  <c r="AW364" i="11"/>
  <c r="AX297" i="11"/>
  <c r="AX298" i="11"/>
  <c r="AX299" i="11"/>
  <c r="AX295" i="11"/>
  <c r="AX296" i="11"/>
  <c r="AV269" i="11"/>
  <c r="AR411" i="11"/>
  <c r="AR416" i="11" s="1"/>
  <c r="AV613" i="11"/>
  <c r="AV282" i="11"/>
  <c r="AV391" i="11" s="1"/>
  <c r="AS398" i="11"/>
  <c r="AS402" i="11"/>
  <c r="AS404" i="11" s="1"/>
  <c r="AT287" i="11"/>
  <c r="AT286" i="11"/>
  <c r="AT288" i="11"/>
  <c r="AQ413" i="11"/>
  <c r="AQ418" i="11" s="1"/>
  <c r="AR405" i="11"/>
  <c r="AR412" i="11" s="1"/>
  <c r="AR417" i="11" s="1"/>
  <c r="AP412" i="11"/>
  <c r="AP409" i="11"/>
  <c r="AU390" i="11"/>
  <c r="AU393" i="11" s="1"/>
  <c r="AU284" i="11"/>
  <c r="AV612" i="11"/>
  <c r="AV281" i="11"/>
  <c r="AT270" i="11"/>
  <c r="AT273" i="11" s="1"/>
  <c r="AT395" i="11"/>
  <c r="AT402" i="11" s="1"/>
  <c r="AT396" i="11"/>
  <c r="AT397" i="11"/>
  <c r="AS289" i="11"/>
  <c r="AQ405" i="11"/>
  <c r="AR277" i="11"/>
  <c r="AT339" i="11"/>
  <c r="AS272" i="11"/>
  <c r="AS273" i="11"/>
  <c r="AS274" i="11"/>
  <c r="AS275" i="11"/>
  <c r="AS276" i="11"/>
  <c r="AO379" i="11"/>
  <c r="AU611" i="11"/>
  <c r="AU268" i="11"/>
  <c r="AU337" i="11" s="1"/>
  <c r="AU344" i="11" s="1"/>
  <c r="AU346" i="11" s="1"/>
  <c r="AA19" i="17"/>
  <c r="AW243" i="11"/>
  <c r="AW244" i="11"/>
  <c r="AW255" i="11" s="1"/>
  <c r="AW245" i="11"/>
  <c r="AW246" i="11"/>
  <c r="AW247" i="11"/>
  <c r="AW248" i="11"/>
  <c r="AW259" i="11" s="1"/>
  <c r="AW249" i="11"/>
  <c r="AW260" i="11" s="1"/>
  <c r="AW250" i="11"/>
  <c r="AW261" i="11" s="1"/>
  <c r="AW283" i="11" s="1"/>
  <c r="AU607" i="11"/>
  <c r="AU599" i="11"/>
  <c r="AV601" i="11"/>
  <c r="AU610" i="11"/>
  <c r="AU598" i="11"/>
  <c r="AU609" i="11"/>
  <c r="AU597" i="11"/>
  <c r="AV600" i="11"/>
  <c r="AY136" i="11"/>
  <c r="AX163" i="11"/>
  <c r="AX183" i="11" s="1"/>
  <c r="AX124" i="11"/>
  <c r="AX132" i="11" s="1"/>
  <c r="AX182" i="11" s="1"/>
  <c r="AX112" i="11"/>
  <c r="AW120" i="11"/>
  <c r="AW181" i="11" s="1"/>
  <c r="AS353" i="11"/>
  <c r="AX264" i="11"/>
  <c r="AX271" i="11" s="1"/>
  <c r="AX252" i="11"/>
  <c r="AV256" i="11"/>
  <c r="AV258" i="11"/>
  <c r="AV257" i="11"/>
  <c r="AV254" i="11"/>
  <c r="AX188" i="11"/>
  <c r="AX177" i="11"/>
  <c r="AV189" i="11"/>
  <c r="AV178" i="11"/>
  <c r="AV195" i="11"/>
  <c r="AV614" i="11" s="1"/>
  <c r="AV184" i="11"/>
  <c r="AV602" i="11" s="1"/>
  <c r="AU196" i="11"/>
  <c r="AU615" i="11" s="1"/>
  <c r="Y14" i="17" s="1"/>
  <c r="Y25" i="17" s="1"/>
  <c r="AU185" i="11"/>
  <c r="AU603" i="11" s="1"/>
  <c r="AX167" i="11"/>
  <c r="AW173" i="11"/>
  <c r="AN22" i="18"/>
  <c r="AN23" i="18"/>
  <c r="AN25" i="18"/>
  <c r="AN20" i="18"/>
  <c r="AN24" i="18"/>
  <c r="AN21" i="18"/>
  <c r="AM26" i="18"/>
  <c r="AW52" i="11"/>
  <c r="AW87" i="11" s="1"/>
  <c r="AW388" i="11"/>
  <c r="AY25" i="11"/>
  <c r="AX356" i="11"/>
  <c r="AX387" i="11"/>
  <c r="AX389" i="11" s="1"/>
  <c r="AX340" i="11"/>
  <c r="AO6" i="18"/>
  <c r="AX204" i="11"/>
  <c r="AY203" i="11"/>
  <c r="AX332" i="11"/>
  <c r="AX333" i="11"/>
  <c r="AX347" i="11" s="1"/>
  <c r="AY226" i="11"/>
  <c r="AY331" i="11"/>
  <c r="AY202" i="11"/>
  <c r="AZ200" i="11"/>
  <c r="AV266" i="11" l="1"/>
  <c r="AV335" i="11" s="1"/>
  <c r="AV342" i="11" s="1"/>
  <c r="AV316" i="11"/>
  <c r="AX305" i="11"/>
  <c r="AY48" i="11"/>
  <c r="AY188" i="11" s="1"/>
  <c r="AV265" i="11"/>
  <c r="AV334" i="11" s="1"/>
  <c r="AV341" i="11" s="1"/>
  <c r="AV307" i="11"/>
  <c r="AV314" i="11" s="1"/>
  <c r="AV267" i="11"/>
  <c r="AV336" i="11" s="1"/>
  <c r="AV343" i="11" s="1"/>
  <c r="AV318" i="11"/>
  <c r="AV317" i="11"/>
  <c r="AV338" i="11"/>
  <c r="AV345" i="11" s="1"/>
  <c r="AV319" i="11"/>
  <c r="AA21" i="17"/>
  <c r="AA23" i="17"/>
  <c r="AA22" i="17"/>
  <c r="AT572" i="11"/>
  <c r="AT577" i="11" s="1"/>
  <c r="AT561" i="11"/>
  <c r="AV446" i="11"/>
  <c r="AV447" i="11"/>
  <c r="AV550" i="11"/>
  <c r="AV448" i="11"/>
  <c r="AV551" i="11"/>
  <c r="AV552" i="11"/>
  <c r="AW588" i="11"/>
  <c r="AX587" i="11"/>
  <c r="AT468" i="11"/>
  <c r="AT473" i="11" s="1"/>
  <c r="AT457" i="11"/>
  <c r="AU559" i="11"/>
  <c r="AU575" i="11" s="1"/>
  <c r="AU558" i="11"/>
  <c r="AU574" i="11" s="1"/>
  <c r="AU453" i="11"/>
  <c r="AU469" i="11" s="1"/>
  <c r="AU452" i="11"/>
  <c r="AU557" i="11"/>
  <c r="AU573" i="11" s="1"/>
  <c r="AU455" i="11"/>
  <c r="AU471" i="11" s="1"/>
  <c r="AU556" i="11"/>
  <c r="AU454" i="11"/>
  <c r="AU470" i="11" s="1"/>
  <c r="AU456" i="11"/>
  <c r="AU472" i="11" s="1"/>
  <c r="AU560" i="11"/>
  <c r="AU576" i="11" s="1"/>
  <c r="R24" i="17"/>
  <c r="R13" i="17"/>
  <c r="AX569" i="11"/>
  <c r="AN604" i="11"/>
  <c r="AO580" i="11"/>
  <c r="AO596" i="11" s="1"/>
  <c r="AO608" i="11" s="1"/>
  <c r="AO616" i="11" s="1"/>
  <c r="S9" i="17" s="1"/>
  <c r="S20" i="17" s="1"/>
  <c r="AX465" i="11"/>
  <c r="AO476" i="11"/>
  <c r="AO595" i="11" s="1"/>
  <c r="AP369" i="11"/>
  <c r="AP375" i="11" s="1"/>
  <c r="AP382" i="11" s="1"/>
  <c r="AO376" i="11"/>
  <c r="AQ373" i="11"/>
  <c r="AQ380" i="11" s="1"/>
  <c r="AR365" i="11"/>
  <c r="AT404" i="11"/>
  <c r="AO383" i="11"/>
  <c r="AQ372" i="11"/>
  <c r="AR362" i="11"/>
  <c r="AQ368" i="11"/>
  <c r="AP374" i="11"/>
  <c r="AP381" i="11" s="1"/>
  <c r="AP371" i="11"/>
  <c r="AP378" i="11" s="1"/>
  <c r="AQ359" i="11"/>
  <c r="AU348" i="11"/>
  <c r="AU357" i="11" s="1"/>
  <c r="AU349" i="11"/>
  <c r="AU360" i="11" s="1"/>
  <c r="AU350" i="11"/>
  <c r="AU363" i="11" s="1"/>
  <c r="AU351" i="11"/>
  <c r="AU366" i="11" s="1"/>
  <c r="AU352" i="11"/>
  <c r="AX370" i="11"/>
  <c r="AX377" i="11" s="1"/>
  <c r="AX367" i="11"/>
  <c r="AX358" i="11"/>
  <c r="AX364" i="11"/>
  <c r="AX361" i="11"/>
  <c r="AY296" i="11"/>
  <c r="AY297" i="11"/>
  <c r="AY298" i="11"/>
  <c r="AY299" i="11"/>
  <c r="AY295" i="11"/>
  <c r="AY305" i="11" s="1"/>
  <c r="AT276" i="11"/>
  <c r="AP414" i="11"/>
  <c r="AP417" i="11"/>
  <c r="AP419" i="11" s="1"/>
  <c r="AT272" i="11"/>
  <c r="AT275" i="11"/>
  <c r="AW392" i="11"/>
  <c r="AT274" i="11"/>
  <c r="AS277" i="11"/>
  <c r="AT398" i="11"/>
  <c r="AT406" i="11"/>
  <c r="AT408" i="11" s="1"/>
  <c r="AW613" i="11"/>
  <c r="AW282" i="11"/>
  <c r="AW391" i="11" s="1"/>
  <c r="AW612" i="11"/>
  <c r="AW281" i="11"/>
  <c r="AQ412" i="11"/>
  <c r="AQ409" i="11"/>
  <c r="AU286" i="11"/>
  <c r="AU288" i="11"/>
  <c r="AU287" i="11"/>
  <c r="AR413" i="11"/>
  <c r="AS405" i="11"/>
  <c r="AS412" i="11" s="1"/>
  <c r="AS417" i="11" s="1"/>
  <c r="AT289" i="11"/>
  <c r="AS411" i="11"/>
  <c r="AS416" i="11" s="1"/>
  <c r="AV390" i="11"/>
  <c r="AV393" i="11" s="1"/>
  <c r="AV284" i="11"/>
  <c r="AU395" i="11"/>
  <c r="AU402" i="11" s="1"/>
  <c r="AU396" i="11"/>
  <c r="AU397" i="11"/>
  <c r="AU406" i="11" s="1"/>
  <c r="AR409" i="11"/>
  <c r="AW269" i="11"/>
  <c r="AU339" i="11"/>
  <c r="AU270" i="11"/>
  <c r="AV611" i="11"/>
  <c r="AV268" i="11"/>
  <c r="AV337" i="11" s="1"/>
  <c r="AV344" i="11" s="1"/>
  <c r="AP379" i="11"/>
  <c r="AB19" i="17"/>
  <c r="AX246" i="11"/>
  <c r="AX248" i="11"/>
  <c r="AX259" i="11" s="1"/>
  <c r="AX243" i="11"/>
  <c r="AX245" i="11"/>
  <c r="AX244" i="11"/>
  <c r="AX255" i="11" s="1"/>
  <c r="AX247" i="11"/>
  <c r="AX249" i="11"/>
  <c r="AX260" i="11" s="1"/>
  <c r="AX250" i="11"/>
  <c r="AX261" i="11" s="1"/>
  <c r="AX283" i="11" s="1"/>
  <c r="AW256" i="11"/>
  <c r="AV610" i="11"/>
  <c r="AV598" i="11"/>
  <c r="AW601" i="11"/>
  <c r="AW600" i="11"/>
  <c r="AV609" i="11"/>
  <c r="AV597" i="11"/>
  <c r="AV599" i="11"/>
  <c r="AV607" i="11"/>
  <c r="AZ136" i="11"/>
  <c r="AY163" i="11"/>
  <c r="AY183" i="11" s="1"/>
  <c r="AY124" i="11"/>
  <c r="AY132" i="11" s="1"/>
  <c r="AY182" i="11" s="1"/>
  <c r="AY112" i="11"/>
  <c r="AX120" i="11"/>
  <c r="AX181" i="11" s="1"/>
  <c r="AT353" i="11"/>
  <c r="AY264" i="11"/>
  <c r="AY271" i="11" s="1"/>
  <c r="AY252" i="11"/>
  <c r="AW258" i="11"/>
  <c r="AW254" i="11"/>
  <c r="AW257" i="11"/>
  <c r="AV185" i="11"/>
  <c r="AV603" i="11" s="1"/>
  <c r="AW189" i="11"/>
  <c r="AW178" i="11"/>
  <c r="AW184" i="11"/>
  <c r="AW602" i="11" s="1"/>
  <c r="AW195" i="11"/>
  <c r="AW614" i="11" s="1"/>
  <c r="AV196" i="11"/>
  <c r="AV615" i="11" s="1"/>
  <c r="Z14" i="17" s="1"/>
  <c r="Z25" i="17" s="1"/>
  <c r="AY177" i="11"/>
  <c r="AY167" i="11"/>
  <c r="AX173" i="11"/>
  <c r="AO20" i="18"/>
  <c r="AO22" i="18"/>
  <c r="AO24" i="18"/>
  <c r="AO25" i="18"/>
  <c r="AO23" i="18"/>
  <c r="AO21" i="18"/>
  <c r="AX52" i="11"/>
  <c r="AX87" i="11" s="1"/>
  <c r="AN26" i="18"/>
  <c r="AZ25" i="11"/>
  <c r="AY356" i="11"/>
  <c r="AY387" i="11"/>
  <c r="AY389" i="11" s="1"/>
  <c r="AY340" i="11"/>
  <c r="AX388" i="11"/>
  <c r="AP6" i="18"/>
  <c r="AY204" i="11"/>
  <c r="AY332" i="11"/>
  <c r="AY333" i="11"/>
  <c r="AY347" i="11" s="1"/>
  <c r="AZ226" i="11"/>
  <c r="AZ331" i="11"/>
  <c r="AZ202" i="11"/>
  <c r="AZ203" i="11"/>
  <c r="BA200" i="11"/>
  <c r="AW267" i="11" l="1"/>
  <c r="AW336" i="11" s="1"/>
  <c r="AW343" i="11" s="1"/>
  <c r="AW318" i="11"/>
  <c r="AW317" i="11"/>
  <c r="AV322" i="11"/>
  <c r="AV346" i="11"/>
  <c r="AW338" i="11"/>
  <c r="AW345" i="11" s="1"/>
  <c r="AW319" i="11"/>
  <c r="AZ48" i="11"/>
  <c r="AW265" i="11"/>
  <c r="AW334" i="11" s="1"/>
  <c r="AW341" i="11" s="1"/>
  <c r="AW307" i="11"/>
  <c r="AW314" i="11" s="1"/>
  <c r="AW322" i="11" s="1"/>
  <c r="AW266" i="11"/>
  <c r="AW335" i="11" s="1"/>
  <c r="AW342" i="11" s="1"/>
  <c r="AW316" i="11"/>
  <c r="AB21" i="17"/>
  <c r="AB23" i="17"/>
  <c r="AB22" i="17"/>
  <c r="AU468" i="11"/>
  <c r="AU473" i="11" s="1"/>
  <c r="AU457" i="11"/>
  <c r="AV557" i="11"/>
  <c r="AV573" i="11" s="1"/>
  <c r="AV455" i="11"/>
  <c r="AV471" i="11" s="1"/>
  <c r="AV453" i="11"/>
  <c r="AV469" i="11" s="1"/>
  <c r="AV560" i="11"/>
  <c r="AV576" i="11" s="1"/>
  <c r="AV558" i="11"/>
  <c r="AV574" i="11" s="1"/>
  <c r="AV454" i="11"/>
  <c r="AV470" i="11" s="1"/>
  <c r="AV556" i="11"/>
  <c r="AV559" i="11"/>
  <c r="AV575" i="11" s="1"/>
  <c r="AV456" i="11"/>
  <c r="AV472" i="11" s="1"/>
  <c r="AV452" i="11"/>
  <c r="AU572" i="11"/>
  <c r="AU577" i="11" s="1"/>
  <c r="AU561" i="11"/>
  <c r="AY587" i="11"/>
  <c r="AX588" i="11"/>
  <c r="AW550" i="11"/>
  <c r="AW447" i="11"/>
  <c r="AW551" i="11"/>
  <c r="AW446" i="11"/>
  <c r="AW552" i="11"/>
  <c r="AW448" i="11"/>
  <c r="S13" i="17"/>
  <c r="S24" i="17"/>
  <c r="AY569" i="11"/>
  <c r="AP580" i="11"/>
  <c r="AP596" i="11" s="1"/>
  <c r="AP608" i="11" s="1"/>
  <c r="AP616" i="11" s="1"/>
  <c r="T9" i="17" s="1"/>
  <c r="T20" i="17" s="1"/>
  <c r="AO604" i="11"/>
  <c r="AP476" i="11"/>
  <c r="AP595" i="11" s="1"/>
  <c r="AY465" i="11"/>
  <c r="AQ369" i="11"/>
  <c r="AQ375" i="11" s="1"/>
  <c r="AQ382" i="11" s="1"/>
  <c r="AU404" i="11"/>
  <c r="AP376" i="11"/>
  <c r="AR373" i="11"/>
  <c r="AR380" i="11" s="1"/>
  <c r="AS365" i="11"/>
  <c r="AP383" i="11"/>
  <c r="AU408" i="11"/>
  <c r="AQ371" i="11"/>
  <c r="AQ378" i="11" s="1"/>
  <c r="AR359" i="11"/>
  <c r="AR372" i="11"/>
  <c r="AS362" i="11"/>
  <c r="AQ374" i="11"/>
  <c r="AQ381" i="11" s="1"/>
  <c r="AR368" i="11"/>
  <c r="AV348" i="11"/>
  <c r="AV357" i="11" s="1"/>
  <c r="AV349" i="11"/>
  <c r="AV360" i="11" s="1"/>
  <c r="AV350" i="11"/>
  <c r="AV363" i="11" s="1"/>
  <c r="AV351" i="11"/>
  <c r="AV366" i="11" s="1"/>
  <c r="AV352" i="11"/>
  <c r="AY370" i="11"/>
  <c r="AY377" i="11" s="1"/>
  <c r="AY364" i="11"/>
  <c r="AY361" i="11"/>
  <c r="AY367" i="11"/>
  <c r="AY358" i="11"/>
  <c r="AZ296" i="11"/>
  <c r="AZ297" i="11"/>
  <c r="AZ298" i="11"/>
  <c r="AZ299" i="11"/>
  <c r="AZ295" i="11"/>
  <c r="AV339" i="11"/>
  <c r="AQ414" i="11"/>
  <c r="AQ417" i="11"/>
  <c r="AQ419" i="11" s="1"/>
  <c r="AR414" i="11"/>
  <c r="AR418" i="11"/>
  <c r="AR419" i="11" s="1"/>
  <c r="AT277" i="11"/>
  <c r="AX392" i="11"/>
  <c r="AU289" i="11"/>
  <c r="AS409" i="11"/>
  <c r="AV397" i="11"/>
  <c r="AV406" i="11" s="1"/>
  <c r="AV395" i="11"/>
  <c r="AV396" i="11"/>
  <c r="AX612" i="11"/>
  <c r="AX281" i="11"/>
  <c r="AX613" i="11"/>
  <c r="AX282" i="11"/>
  <c r="AX391" i="11" s="1"/>
  <c r="AU398" i="11"/>
  <c r="AW284" i="11"/>
  <c r="AW390" i="11"/>
  <c r="AW393" i="11" s="1"/>
  <c r="AS413" i="11"/>
  <c r="AT411" i="11"/>
  <c r="AT416" i="11" s="1"/>
  <c r="AV286" i="11"/>
  <c r="AV287" i="11"/>
  <c r="AV288" i="11"/>
  <c r="AX269" i="11"/>
  <c r="AW611" i="11"/>
  <c r="AW268" i="11"/>
  <c r="AW337" i="11" s="1"/>
  <c r="AW344" i="11" s="1"/>
  <c r="AQ379" i="11"/>
  <c r="AW597" i="11"/>
  <c r="AV270" i="11"/>
  <c r="AW609" i="11"/>
  <c r="AU272" i="11"/>
  <c r="AU273" i="11"/>
  <c r="AU274" i="11"/>
  <c r="AU275" i="11"/>
  <c r="AU276" i="11"/>
  <c r="AC19" i="17"/>
  <c r="AY243" i="11"/>
  <c r="AY244" i="11"/>
  <c r="AY255" i="11" s="1"/>
  <c r="AY245" i="11"/>
  <c r="AY246" i="11"/>
  <c r="AY247" i="11"/>
  <c r="AY248" i="11"/>
  <c r="AY259" i="11" s="1"/>
  <c r="AY249" i="11"/>
  <c r="AY260" i="11" s="1"/>
  <c r="AY250" i="11"/>
  <c r="AY261" i="11" s="1"/>
  <c r="AY283" i="11" s="1"/>
  <c r="AX601" i="11"/>
  <c r="AX600" i="11"/>
  <c r="AW607" i="11"/>
  <c r="AW610" i="11"/>
  <c r="AW598" i="11"/>
  <c r="AW599" i="11"/>
  <c r="BA136" i="11"/>
  <c r="BA163" i="11" s="1"/>
  <c r="BA183" i="11" s="1"/>
  <c r="AZ163" i="11"/>
  <c r="AZ183" i="11" s="1"/>
  <c r="AZ124" i="11"/>
  <c r="AZ132" i="11" s="1"/>
  <c r="AZ182" i="11" s="1"/>
  <c r="AZ112" i="11"/>
  <c r="AY120" i="11"/>
  <c r="AY181" i="11" s="1"/>
  <c r="AU353" i="11"/>
  <c r="AZ264" i="11"/>
  <c r="AZ271" i="11" s="1"/>
  <c r="AZ252" i="11"/>
  <c r="AX254" i="11"/>
  <c r="AX258" i="11"/>
  <c r="AX256" i="11"/>
  <c r="AX257" i="11"/>
  <c r="AX195" i="11"/>
  <c r="AX614" i="11" s="1"/>
  <c r="AX184" i="11"/>
  <c r="AX602" i="11" s="1"/>
  <c r="AX178" i="11"/>
  <c r="AX189" i="11"/>
  <c r="AZ177" i="11"/>
  <c r="AZ188" i="11"/>
  <c r="AW185" i="11"/>
  <c r="AW603" i="11" s="1"/>
  <c r="AW196" i="11"/>
  <c r="AW615" i="11" s="1"/>
  <c r="AA14" i="17" s="1"/>
  <c r="AA25" i="17" s="1"/>
  <c r="AZ167" i="11"/>
  <c r="AY173" i="11"/>
  <c r="AP22" i="18"/>
  <c r="AP23" i="18"/>
  <c r="AP24" i="18"/>
  <c r="AP25" i="18"/>
  <c r="AP21" i="18"/>
  <c r="AP20" i="18"/>
  <c r="AY52" i="11"/>
  <c r="AY87" i="11" s="1"/>
  <c r="BA25" i="11"/>
  <c r="AY388" i="11"/>
  <c r="AZ356" i="11"/>
  <c r="AZ387" i="11"/>
  <c r="AZ389" i="11" s="1"/>
  <c r="AZ340" i="11"/>
  <c r="AO26" i="18"/>
  <c r="AQ6" i="18"/>
  <c r="AZ332" i="11"/>
  <c r="AZ333" i="11"/>
  <c r="AZ347" i="11" s="1"/>
  <c r="AZ204" i="11"/>
  <c r="BA331" i="11"/>
  <c r="BA226" i="11"/>
  <c r="BA202" i="11"/>
  <c r="BA203" i="11"/>
  <c r="AX265" i="11" l="1"/>
  <c r="AX307" i="11"/>
  <c r="AX314" i="11" s="1"/>
  <c r="AX338" i="11"/>
  <c r="AX345" i="11" s="1"/>
  <c r="AX319" i="11"/>
  <c r="AX266" i="11"/>
  <c r="AX335" i="11" s="1"/>
  <c r="AX342" i="11" s="1"/>
  <c r="AX316" i="11"/>
  <c r="AX267" i="11"/>
  <c r="AX336" i="11" s="1"/>
  <c r="AX343" i="11" s="1"/>
  <c r="AX318" i="11"/>
  <c r="AX317" i="11"/>
  <c r="AZ305" i="11"/>
  <c r="BA48" i="11"/>
  <c r="AC23" i="17"/>
  <c r="AC21" i="17"/>
  <c r="AC22" i="17"/>
  <c r="AX448" i="11"/>
  <c r="AX550" i="11"/>
  <c r="AX552" i="11"/>
  <c r="AX446" i="11"/>
  <c r="AX551" i="11"/>
  <c r="AX447" i="11"/>
  <c r="AV468" i="11"/>
  <c r="AV473" i="11" s="1"/>
  <c r="AV457" i="11"/>
  <c r="AZ587" i="11"/>
  <c r="AY588" i="11"/>
  <c r="AW558" i="11"/>
  <c r="AW574" i="11" s="1"/>
  <c r="AW557" i="11"/>
  <c r="AW573" i="11" s="1"/>
  <c r="AW556" i="11"/>
  <c r="AW560" i="11"/>
  <c r="AW576" i="11" s="1"/>
  <c r="AW455" i="11"/>
  <c r="AW471" i="11" s="1"/>
  <c r="AW456" i="11"/>
  <c r="AW472" i="11" s="1"/>
  <c r="AW559" i="11"/>
  <c r="AW575" i="11" s="1"/>
  <c r="AW452" i="11"/>
  <c r="AW454" i="11"/>
  <c r="AW470" i="11" s="1"/>
  <c r="AW453" i="11"/>
  <c r="AW469" i="11" s="1"/>
  <c r="AV572" i="11"/>
  <c r="AV577" i="11" s="1"/>
  <c r="AV561" i="11"/>
  <c r="AR369" i="11"/>
  <c r="AR375" i="11" s="1"/>
  <c r="AR382" i="11" s="1"/>
  <c r="T24" i="17"/>
  <c r="T13" i="17"/>
  <c r="AZ569" i="11"/>
  <c r="AP604" i="11"/>
  <c r="AQ580" i="11"/>
  <c r="AQ596" i="11" s="1"/>
  <c r="AQ608" i="11" s="1"/>
  <c r="AQ616" i="11" s="1"/>
  <c r="U9" i="17" s="1"/>
  <c r="U20" i="17" s="1"/>
  <c r="AZ465" i="11"/>
  <c r="AQ476" i="11"/>
  <c r="AQ595" i="11" s="1"/>
  <c r="AQ376" i="11"/>
  <c r="AS373" i="11"/>
  <c r="AS380" i="11" s="1"/>
  <c r="AT365" i="11"/>
  <c r="AQ383" i="11"/>
  <c r="AR371" i="11"/>
  <c r="AR378" i="11" s="1"/>
  <c r="AS359" i="11"/>
  <c r="AV408" i="11"/>
  <c r="AR374" i="11"/>
  <c r="AR381" i="11" s="1"/>
  <c r="AS368" i="11"/>
  <c r="AT362" i="11"/>
  <c r="AS372" i="11"/>
  <c r="AZ370" i="11"/>
  <c r="AZ377" i="11" s="1"/>
  <c r="AZ361" i="11"/>
  <c r="AZ358" i="11"/>
  <c r="AZ364" i="11"/>
  <c r="AZ367" i="11"/>
  <c r="BA298" i="11"/>
  <c r="BA296" i="11"/>
  <c r="BA297" i="11"/>
  <c r="BA299" i="11"/>
  <c r="BA295" i="11"/>
  <c r="AS414" i="11"/>
  <c r="AS418" i="11"/>
  <c r="AS419" i="11" s="1"/>
  <c r="AY392" i="11"/>
  <c r="AV289" i="11"/>
  <c r="AY612" i="11"/>
  <c r="AY281" i="11"/>
  <c r="AT413" i="11"/>
  <c r="AT418" i="11" s="1"/>
  <c r="AU405" i="11"/>
  <c r="AU412" i="11" s="1"/>
  <c r="AU417" i="11" s="1"/>
  <c r="AT405" i="11"/>
  <c r="AW396" i="11"/>
  <c r="AW397" i="11"/>
  <c r="AW406" i="11" s="1"/>
  <c r="AW395" i="11"/>
  <c r="AV402" i="11"/>
  <c r="AV404" i="11" s="1"/>
  <c r="AV398" i="11"/>
  <c r="AY613" i="11"/>
  <c r="AY282" i="11"/>
  <c r="AY391" i="11" s="1"/>
  <c r="AU411" i="11"/>
  <c r="AU416" i="11" s="1"/>
  <c r="AW288" i="11"/>
  <c r="AW287" i="11"/>
  <c r="AW286" i="11"/>
  <c r="AX390" i="11"/>
  <c r="AX393" i="11" s="1"/>
  <c r="AX284" i="11"/>
  <c r="AU277" i="11"/>
  <c r="AW270" i="11"/>
  <c r="AW272" i="11" s="1"/>
  <c r="AY269" i="11"/>
  <c r="AW346" i="11"/>
  <c r="AW339" i="11"/>
  <c r="AX611" i="11"/>
  <c r="AX268" i="11"/>
  <c r="AX337" i="11" s="1"/>
  <c r="AX344" i="11" s="1"/>
  <c r="AR379" i="11"/>
  <c r="AV274" i="11"/>
  <c r="AV273" i="11"/>
  <c r="AV272" i="11"/>
  <c r="AV276" i="11"/>
  <c r="AV275" i="11"/>
  <c r="AX334" i="11"/>
  <c r="AX341" i="11" s="1"/>
  <c r="AD19" i="17"/>
  <c r="AZ243" i="11"/>
  <c r="AZ244" i="11"/>
  <c r="AZ255" i="11" s="1"/>
  <c r="AZ245" i="11"/>
  <c r="AZ246" i="11"/>
  <c r="AZ247" i="11"/>
  <c r="AZ248" i="11"/>
  <c r="AZ259" i="11" s="1"/>
  <c r="AZ249" i="11"/>
  <c r="AZ260" i="11" s="1"/>
  <c r="AZ250" i="11"/>
  <c r="AZ261" i="11" s="1"/>
  <c r="AZ283" i="11" s="1"/>
  <c r="AX609" i="11"/>
  <c r="AX597" i="11"/>
  <c r="AX607" i="11"/>
  <c r="AY600" i="11"/>
  <c r="AX610" i="11"/>
  <c r="AX598" i="11"/>
  <c r="AX599" i="11"/>
  <c r="AY601" i="11"/>
  <c r="BA124" i="11"/>
  <c r="BA132" i="11" s="1"/>
  <c r="BA182" i="11" s="1"/>
  <c r="BA112" i="11"/>
  <c r="BA120" i="11" s="1"/>
  <c r="BA181" i="11" s="1"/>
  <c r="AZ120" i="11"/>
  <c r="AZ181" i="11" s="1"/>
  <c r="AV353" i="11"/>
  <c r="BA264" i="11"/>
  <c r="BA271" i="11" s="1"/>
  <c r="BA252" i="11"/>
  <c r="AY254" i="11"/>
  <c r="AY257" i="11"/>
  <c r="AY258" i="11"/>
  <c r="AY256" i="11"/>
  <c r="AX196" i="11"/>
  <c r="AX615" i="11" s="1"/>
  <c r="AB14" i="17" s="1"/>
  <c r="AB25" i="17" s="1"/>
  <c r="AX185" i="11"/>
  <c r="AX603" i="11" s="1"/>
  <c r="BA177" i="11"/>
  <c r="BA188" i="11"/>
  <c r="AY189" i="11"/>
  <c r="AY178" i="11"/>
  <c r="AY195" i="11"/>
  <c r="AY614" i="11" s="1"/>
  <c r="AY184" i="11"/>
  <c r="AY602" i="11" s="1"/>
  <c r="BA167" i="11"/>
  <c r="BA173" i="11" s="1"/>
  <c r="AZ173" i="11"/>
  <c r="AQ20" i="18"/>
  <c r="AQ22" i="18"/>
  <c r="AQ23" i="18"/>
  <c r="AQ24" i="18"/>
  <c r="AQ25" i="18"/>
  <c r="AQ21" i="18"/>
  <c r="AZ52" i="11"/>
  <c r="AZ87" i="11" s="1"/>
  <c r="AZ388" i="11"/>
  <c r="BA356" i="11"/>
  <c r="BA387" i="11"/>
  <c r="BA389" i="11" s="1"/>
  <c r="BA340" i="11"/>
  <c r="AP26" i="18"/>
  <c r="AR6" i="18"/>
  <c r="BA204" i="11"/>
  <c r="BA332" i="11"/>
  <c r="BA333" i="11"/>
  <c r="BA347" i="11" s="1"/>
  <c r="AY267" i="11" l="1"/>
  <c r="AY336" i="11" s="1"/>
  <c r="AY343" i="11" s="1"/>
  <c r="AY318" i="11"/>
  <c r="AY317" i="11"/>
  <c r="AY338" i="11"/>
  <c r="AY345" i="11" s="1"/>
  <c r="AY319" i="11"/>
  <c r="BA305" i="11"/>
  <c r="AX322" i="11"/>
  <c r="AY265" i="11"/>
  <c r="AY307" i="11"/>
  <c r="AY314" i="11" s="1"/>
  <c r="AY266" i="11"/>
  <c r="AY335" i="11" s="1"/>
  <c r="AY342" i="11" s="1"/>
  <c r="AY316" i="11"/>
  <c r="AD21" i="17"/>
  <c r="AD23" i="17"/>
  <c r="AD22" i="17"/>
  <c r="AW468" i="11"/>
  <c r="AW473" i="11" s="1"/>
  <c r="AW457" i="11"/>
  <c r="AY446" i="11"/>
  <c r="AY550" i="11"/>
  <c r="AY551" i="11"/>
  <c r="AY448" i="11"/>
  <c r="AY447" i="11"/>
  <c r="AY552" i="11"/>
  <c r="AX452" i="11"/>
  <c r="AX556" i="11"/>
  <c r="AX560" i="11"/>
  <c r="AX576" i="11" s="1"/>
  <c r="AX454" i="11"/>
  <c r="AX470" i="11" s="1"/>
  <c r="AX557" i="11"/>
  <c r="AX573" i="11" s="1"/>
  <c r="AX455" i="11"/>
  <c r="AX471" i="11" s="1"/>
  <c r="AX559" i="11"/>
  <c r="AX575" i="11" s="1"/>
  <c r="AX558" i="11"/>
  <c r="AX574" i="11" s="1"/>
  <c r="AX453" i="11"/>
  <c r="AX469" i="11" s="1"/>
  <c r="AX456" i="11"/>
  <c r="AX472" i="11" s="1"/>
  <c r="AW572" i="11"/>
  <c r="AW577" i="11" s="1"/>
  <c r="AW561" i="11"/>
  <c r="AZ588" i="11"/>
  <c r="BA587" i="11"/>
  <c r="BA588" i="11" s="1"/>
  <c r="U24" i="17"/>
  <c r="U13" i="17"/>
  <c r="AR580" i="11"/>
  <c r="AR596" i="11" s="1"/>
  <c r="AR608" i="11" s="1"/>
  <c r="AR616" i="11" s="1"/>
  <c r="V9" i="17" s="1"/>
  <c r="V20" i="17" s="1"/>
  <c r="BA569" i="11"/>
  <c r="AQ604" i="11"/>
  <c r="BA465" i="11"/>
  <c r="AR476" i="11"/>
  <c r="AR595" i="11" s="1"/>
  <c r="AR376" i="11"/>
  <c r="AS369" i="11"/>
  <c r="AS375" i="11" s="1"/>
  <c r="AT373" i="11"/>
  <c r="AT380" i="11" s="1"/>
  <c r="AU365" i="11"/>
  <c r="AT372" i="11"/>
  <c r="AU362" i="11"/>
  <c r="AW408" i="11"/>
  <c r="AS371" i="11"/>
  <c r="AS378" i="11" s="1"/>
  <c r="AT359" i="11"/>
  <c r="AR383" i="11"/>
  <c r="AS374" i="11"/>
  <c r="AS381" i="11" s="1"/>
  <c r="AT368" i="11"/>
  <c r="AW350" i="11"/>
  <c r="AW348" i="11"/>
  <c r="AW357" i="11" s="1"/>
  <c r="AW351" i="11"/>
  <c r="AW366" i="11" s="1"/>
  <c r="AW349" i="11"/>
  <c r="AW360" i="11" s="1"/>
  <c r="AW352" i="11"/>
  <c r="BA370" i="11"/>
  <c r="BA377" i="11" s="1"/>
  <c r="BA358" i="11"/>
  <c r="BA361" i="11"/>
  <c r="BA364" i="11"/>
  <c r="BA367" i="11"/>
  <c r="AZ392" i="11"/>
  <c r="AW289" i="11"/>
  <c r="AW276" i="11"/>
  <c r="AU413" i="11"/>
  <c r="AZ612" i="11"/>
  <c r="AZ281" i="11"/>
  <c r="AW275" i="11"/>
  <c r="AW274" i="11"/>
  <c r="AX287" i="11"/>
  <c r="AX286" i="11"/>
  <c r="AX288" i="11"/>
  <c r="AV411" i="11"/>
  <c r="AV416" i="11" s="1"/>
  <c r="AY284" i="11"/>
  <c r="AY390" i="11"/>
  <c r="AY393" i="11" s="1"/>
  <c r="AZ613" i="11"/>
  <c r="AZ282" i="11"/>
  <c r="AZ391" i="11" s="1"/>
  <c r="AV277" i="11"/>
  <c r="AW273" i="11"/>
  <c r="AX395" i="11"/>
  <c r="AX402" i="11" s="1"/>
  <c r="AX396" i="11"/>
  <c r="AX397" i="11"/>
  <c r="AU409" i="11"/>
  <c r="AW398" i="11"/>
  <c r="AW402" i="11"/>
  <c r="AW404" i="11" s="1"/>
  <c r="AT412" i="11"/>
  <c r="AT409" i="11"/>
  <c r="AW363" i="11"/>
  <c r="AZ269" i="11"/>
  <c r="AX346" i="11"/>
  <c r="AX339" i="11"/>
  <c r="AY334" i="11"/>
  <c r="AY341" i="11" s="1"/>
  <c r="AS379" i="11"/>
  <c r="AY611" i="11"/>
  <c r="AY268" i="11"/>
  <c r="AY337" i="11" s="1"/>
  <c r="AY344" i="11" s="1"/>
  <c r="AX270" i="11"/>
  <c r="AE19" i="17"/>
  <c r="BA243" i="11"/>
  <c r="BA244" i="11"/>
  <c r="BA255" i="11" s="1"/>
  <c r="BA245" i="11"/>
  <c r="BA246" i="11"/>
  <c r="BA247" i="11"/>
  <c r="BA248" i="11"/>
  <c r="BA259" i="11" s="1"/>
  <c r="BA249" i="11"/>
  <c r="BA260" i="11" s="1"/>
  <c r="BA282" i="11" s="1"/>
  <c r="BA250" i="11"/>
  <c r="BA261" i="11" s="1"/>
  <c r="BA283" i="11" s="1"/>
  <c r="AY609" i="11"/>
  <c r="AY597" i="11"/>
  <c r="AY610" i="11"/>
  <c r="AY598" i="11"/>
  <c r="AZ600" i="11"/>
  <c r="AZ601" i="11"/>
  <c r="AY599" i="11"/>
  <c r="AY607" i="11"/>
  <c r="AZ254" i="11"/>
  <c r="AZ257" i="11"/>
  <c r="AZ258" i="11"/>
  <c r="AZ256" i="11"/>
  <c r="AY196" i="11"/>
  <c r="AY615" i="11" s="1"/>
  <c r="AC14" i="17" s="1"/>
  <c r="AC25" i="17" s="1"/>
  <c r="AZ189" i="11"/>
  <c r="AZ178" i="11"/>
  <c r="AZ195" i="11"/>
  <c r="AZ614" i="11" s="1"/>
  <c r="AZ184" i="11"/>
  <c r="AZ602" i="11" s="1"/>
  <c r="BA184" i="11"/>
  <c r="BA195" i="11"/>
  <c r="AY185" i="11"/>
  <c r="AY603" i="11" s="1"/>
  <c r="BA388" i="11"/>
  <c r="AR24" i="18"/>
  <c r="AR21" i="18"/>
  <c r="AR20" i="18"/>
  <c r="AR22" i="18"/>
  <c r="AR23" i="18"/>
  <c r="AR25" i="18"/>
  <c r="BA52" i="11"/>
  <c r="BA87" i="11" s="1"/>
  <c r="AQ26" i="18"/>
  <c r="AS6" i="18"/>
  <c r="AZ267" i="11" l="1"/>
  <c r="AZ336" i="11" s="1"/>
  <c r="AZ343" i="11" s="1"/>
  <c r="AZ318" i="11"/>
  <c r="AZ317" i="11"/>
  <c r="AZ265" i="11"/>
  <c r="AZ334" i="11" s="1"/>
  <c r="AZ341" i="11" s="1"/>
  <c r="AZ307" i="11"/>
  <c r="AZ314" i="11" s="1"/>
  <c r="AZ266" i="11"/>
  <c r="AZ335" i="11" s="1"/>
  <c r="AZ342" i="11" s="1"/>
  <c r="AZ316" i="11"/>
  <c r="AZ338" i="11"/>
  <c r="AZ345" i="11" s="1"/>
  <c r="AZ319" i="11"/>
  <c r="AY322" i="11"/>
  <c r="AE21" i="17"/>
  <c r="AE23" i="17"/>
  <c r="AE22" i="17"/>
  <c r="BA446" i="11"/>
  <c r="BA551" i="11"/>
  <c r="BA448" i="11"/>
  <c r="BA447" i="11"/>
  <c r="BA550" i="11"/>
  <c r="BA552" i="11"/>
  <c r="AX572" i="11"/>
  <c r="AX577" i="11" s="1"/>
  <c r="AX561" i="11"/>
  <c r="AY559" i="11"/>
  <c r="AY575" i="11" s="1"/>
  <c r="AY557" i="11"/>
  <c r="AY573" i="11" s="1"/>
  <c r="AY558" i="11"/>
  <c r="AY574" i="11" s="1"/>
  <c r="AY556" i="11"/>
  <c r="AY453" i="11"/>
  <c r="AY469" i="11" s="1"/>
  <c r="AY452" i="11"/>
  <c r="AY560" i="11"/>
  <c r="AY576" i="11" s="1"/>
  <c r="AY454" i="11"/>
  <c r="AY470" i="11" s="1"/>
  <c r="AY455" i="11"/>
  <c r="AY471" i="11" s="1"/>
  <c r="AY456" i="11"/>
  <c r="AY472" i="11" s="1"/>
  <c r="AZ448" i="11"/>
  <c r="AZ552" i="11"/>
  <c r="AZ447" i="11"/>
  <c r="AZ550" i="11"/>
  <c r="AZ446" i="11"/>
  <c r="AZ551" i="11"/>
  <c r="AX468" i="11"/>
  <c r="AX473" i="11" s="1"/>
  <c r="AX457" i="11"/>
  <c r="V24" i="17"/>
  <c r="V13" i="17"/>
  <c r="AR604" i="11"/>
  <c r="AS476" i="11"/>
  <c r="AS595" i="11" s="1"/>
  <c r="AT369" i="11"/>
  <c r="AT375" i="11" s="1"/>
  <c r="AT382" i="11" s="1"/>
  <c r="AY346" i="11"/>
  <c r="AY349" i="11" s="1"/>
  <c r="AY360" i="11" s="1"/>
  <c r="AU373" i="11"/>
  <c r="AU380" i="11" s="1"/>
  <c r="AV365" i="11"/>
  <c r="AV373" i="11" s="1"/>
  <c r="AS376" i="11"/>
  <c r="AS382" i="11"/>
  <c r="AS580" i="11" s="1"/>
  <c r="AX404" i="11"/>
  <c r="AT371" i="11"/>
  <c r="AT378" i="11" s="1"/>
  <c r="AU359" i="11"/>
  <c r="AU372" i="11"/>
  <c r="AV362" i="11"/>
  <c r="AT374" i="11"/>
  <c r="AT381" i="11" s="1"/>
  <c r="AU368" i="11"/>
  <c r="AX348" i="11"/>
  <c r="AX357" i="11" s="1"/>
  <c r="AX349" i="11"/>
  <c r="AX360" i="11" s="1"/>
  <c r="AX350" i="11"/>
  <c r="AX363" i="11" s="1"/>
  <c r="AX351" i="11"/>
  <c r="AX366" i="11" s="1"/>
  <c r="AX352" i="11"/>
  <c r="AT414" i="11"/>
  <c r="AT417" i="11"/>
  <c r="AT419" i="11" s="1"/>
  <c r="AU414" i="11"/>
  <c r="AU418" i="11"/>
  <c r="AU419" i="11" s="1"/>
  <c r="BA392" i="11"/>
  <c r="BA391" i="11"/>
  <c r="AW353" i="11"/>
  <c r="AW277" i="11"/>
  <c r="AW411" i="11"/>
  <c r="AW416" i="11" s="1"/>
  <c r="AZ390" i="11"/>
  <c r="AZ393" i="11" s="1"/>
  <c r="AZ284" i="11"/>
  <c r="BA612" i="11"/>
  <c r="BA281" i="11"/>
  <c r="AX398" i="11"/>
  <c r="AX406" i="11"/>
  <c r="AX408" i="11" s="1"/>
  <c r="AY286" i="11"/>
  <c r="AY287" i="11"/>
  <c r="AY288" i="11"/>
  <c r="AY395" i="11"/>
  <c r="AY396" i="11"/>
  <c r="AY397" i="11"/>
  <c r="AY406" i="11" s="1"/>
  <c r="AV413" i="11"/>
  <c r="AV418" i="11" s="1"/>
  <c r="AV405" i="11"/>
  <c r="AX289" i="11"/>
  <c r="BA269" i="11"/>
  <c r="AY339" i="11"/>
  <c r="AT379" i="11"/>
  <c r="AX272" i="11"/>
  <c r="AX273" i="11"/>
  <c r="AX274" i="11"/>
  <c r="AX275" i="11"/>
  <c r="AX276" i="11"/>
  <c r="AZ611" i="11"/>
  <c r="AZ268" i="11"/>
  <c r="AZ337" i="11" s="1"/>
  <c r="AZ344" i="11" s="1"/>
  <c r="AZ346" i="11" s="1"/>
  <c r="AY270" i="11"/>
  <c r="BA602" i="11"/>
  <c r="BA600" i="11"/>
  <c r="AZ607" i="11"/>
  <c r="AZ609" i="11"/>
  <c r="AZ597" i="11"/>
  <c r="AZ610" i="11"/>
  <c r="AZ598" i="11"/>
  <c r="BA613" i="11"/>
  <c r="BA601" i="11"/>
  <c r="BA614" i="11"/>
  <c r="AZ599" i="11"/>
  <c r="BA254" i="11"/>
  <c r="BA256" i="11"/>
  <c r="BA258" i="11"/>
  <c r="BA268" i="11" s="1"/>
  <c r="BA337" i="11" s="1"/>
  <c r="BA344" i="11" s="1"/>
  <c r="BA257" i="11"/>
  <c r="BA189" i="11"/>
  <c r="BA178" i="11"/>
  <c r="AZ185" i="11"/>
  <c r="AZ603" i="11" s="1"/>
  <c r="AZ196" i="11"/>
  <c r="AZ615" i="11" s="1"/>
  <c r="AD14" i="17" s="1"/>
  <c r="AD25" i="17" s="1"/>
  <c r="AS23" i="18"/>
  <c r="AS21" i="18"/>
  <c r="AS20" i="18"/>
  <c r="AS22" i="18"/>
  <c r="AS24" i="18"/>
  <c r="AS25" i="18"/>
  <c r="AR26" i="18"/>
  <c r="BA267" i="11" l="1"/>
  <c r="BA336" i="11" s="1"/>
  <c r="BA343" i="11" s="1"/>
  <c r="BA318" i="11"/>
  <c r="BA317" i="11"/>
  <c r="BA338" i="11"/>
  <c r="BA345" i="11" s="1"/>
  <c r="BA319" i="11"/>
  <c r="BA266" i="11"/>
  <c r="BA335" i="11" s="1"/>
  <c r="BA342" i="11" s="1"/>
  <c r="BA316" i="11"/>
  <c r="BA265" i="11"/>
  <c r="BA334" i="11" s="1"/>
  <c r="BA341" i="11" s="1"/>
  <c r="BA346" i="11" s="1"/>
  <c r="BA307" i="11"/>
  <c r="BA314" i="11" s="1"/>
  <c r="AZ322" i="11"/>
  <c r="AY572" i="11"/>
  <c r="AY577" i="11" s="1"/>
  <c r="AY561" i="11"/>
  <c r="BA456" i="11"/>
  <c r="BA472" i="11" s="1"/>
  <c r="BA455" i="11"/>
  <c r="BA471" i="11" s="1"/>
  <c r="BA452" i="11"/>
  <c r="BA560" i="11"/>
  <c r="BA576" i="11" s="1"/>
  <c r="BA454" i="11"/>
  <c r="BA470" i="11" s="1"/>
  <c r="BA453" i="11"/>
  <c r="BA469" i="11" s="1"/>
  <c r="BA556" i="11"/>
  <c r="BA558" i="11"/>
  <c r="BA574" i="11" s="1"/>
  <c r="BA559" i="11"/>
  <c r="BA575" i="11" s="1"/>
  <c r="BA557" i="11"/>
  <c r="BA573" i="11" s="1"/>
  <c r="AY468" i="11"/>
  <c r="AY473" i="11" s="1"/>
  <c r="AY457" i="11"/>
  <c r="AZ558" i="11"/>
  <c r="AZ574" i="11" s="1"/>
  <c r="AZ560" i="11"/>
  <c r="AZ576" i="11" s="1"/>
  <c r="AZ559" i="11"/>
  <c r="AZ575" i="11" s="1"/>
  <c r="AZ557" i="11"/>
  <c r="AZ573" i="11" s="1"/>
  <c r="AZ452" i="11"/>
  <c r="AZ453" i="11"/>
  <c r="AZ469" i="11" s="1"/>
  <c r="AZ454" i="11"/>
  <c r="AZ470" i="11" s="1"/>
  <c r="AZ456" i="11"/>
  <c r="AZ472" i="11" s="1"/>
  <c r="AZ556" i="11"/>
  <c r="AZ455" i="11"/>
  <c r="AZ471" i="11" s="1"/>
  <c r="AT580" i="11"/>
  <c r="AT596" i="11" s="1"/>
  <c r="AT608" i="11" s="1"/>
  <c r="AT616" i="11" s="1"/>
  <c r="X9" i="17" s="1"/>
  <c r="X20" i="17" s="1"/>
  <c r="AT476" i="11"/>
  <c r="AT595" i="11" s="1"/>
  <c r="AS383" i="11"/>
  <c r="AS596" i="11"/>
  <c r="AY350" i="11"/>
  <c r="AY363" i="11" s="1"/>
  <c r="AY348" i="11"/>
  <c r="AY357" i="11" s="1"/>
  <c r="AY352" i="11"/>
  <c r="AY351" i="11"/>
  <c r="AY366" i="11" s="1"/>
  <c r="AW365" i="11"/>
  <c r="AW373" i="11" s="1"/>
  <c r="AU369" i="11"/>
  <c r="AU375" i="11" s="1"/>
  <c r="AU382" i="11" s="1"/>
  <c r="AT376" i="11"/>
  <c r="AY408" i="11"/>
  <c r="AV372" i="11"/>
  <c r="AW362" i="11"/>
  <c r="AU374" i="11"/>
  <c r="AU381" i="11" s="1"/>
  <c r="AV368" i="11"/>
  <c r="AT383" i="11"/>
  <c r="AU371" i="11"/>
  <c r="AU378" i="11" s="1"/>
  <c r="AV359" i="11"/>
  <c r="AZ348" i="11"/>
  <c r="AZ357" i="11" s="1"/>
  <c r="AZ349" i="11"/>
  <c r="AZ360" i="11" s="1"/>
  <c r="AZ350" i="11"/>
  <c r="AZ363" i="11" s="1"/>
  <c r="AZ351" i="11"/>
  <c r="AZ366" i="11" s="1"/>
  <c r="AZ352" i="11"/>
  <c r="AV412" i="11"/>
  <c r="AV409" i="11"/>
  <c r="AW413" i="11"/>
  <c r="AW418" i="11" s="1"/>
  <c r="AX405" i="11"/>
  <c r="AX412" i="11" s="1"/>
  <c r="AX417" i="11" s="1"/>
  <c r="AY398" i="11"/>
  <c r="AY402" i="11"/>
  <c r="AY404" i="11" s="1"/>
  <c r="AZ287" i="11"/>
  <c r="AZ288" i="11"/>
  <c r="AZ286" i="11"/>
  <c r="AW405" i="11"/>
  <c r="AZ397" i="11"/>
  <c r="AZ406" i="11" s="1"/>
  <c r="AZ395" i="11"/>
  <c r="AZ396" i="11"/>
  <c r="AY289" i="11"/>
  <c r="BA284" i="11"/>
  <c r="BA390" i="11"/>
  <c r="BA393" i="11" s="1"/>
  <c r="AX411" i="11"/>
  <c r="AX416" i="11" s="1"/>
  <c r="AX353" i="11"/>
  <c r="AX277" i="11"/>
  <c r="AV380" i="11"/>
  <c r="AZ339" i="11"/>
  <c r="BA270" i="11"/>
  <c r="AU379" i="11"/>
  <c r="AY272" i="11"/>
  <c r="AY273" i="11"/>
  <c r="AY274" i="11"/>
  <c r="AY275" i="11"/>
  <c r="AY276" i="11"/>
  <c r="AZ270" i="11"/>
  <c r="BA610" i="11"/>
  <c r="BA598" i="11"/>
  <c r="BA609" i="11"/>
  <c r="BA597" i="11"/>
  <c r="BA196" i="11"/>
  <c r="BA615" i="11" s="1"/>
  <c r="AE14" i="17" s="1"/>
  <c r="AE25" i="17" s="1"/>
  <c r="BA185" i="11"/>
  <c r="BA603" i="11" s="1"/>
  <c r="BA611" i="11"/>
  <c r="BA599" i="11"/>
  <c r="BA607" i="11"/>
  <c r="AS26" i="18"/>
  <c r="BA322" i="11" l="1"/>
  <c r="AZ468" i="11"/>
  <c r="AZ473" i="11" s="1"/>
  <c r="AZ457" i="11"/>
  <c r="AZ572" i="11"/>
  <c r="AZ577" i="11" s="1"/>
  <c r="AZ561" i="11"/>
  <c r="BA572" i="11"/>
  <c r="BA577" i="11" s="1"/>
  <c r="BA561" i="11"/>
  <c r="BA468" i="11"/>
  <c r="BA473" i="11" s="1"/>
  <c r="BA457" i="11"/>
  <c r="X24" i="17"/>
  <c r="X13" i="17"/>
  <c r="AU580" i="11"/>
  <c r="AU596" i="11" s="1"/>
  <c r="AU608" i="11" s="1"/>
  <c r="AU616" i="11" s="1"/>
  <c r="Y9" i="17" s="1"/>
  <c r="Y20" i="17" s="1"/>
  <c r="AT604" i="11"/>
  <c r="AS604" i="11"/>
  <c r="AS608" i="11"/>
  <c r="AS616" i="11" s="1"/>
  <c r="W9" i="17" s="1"/>
  <c r="W20" i="17" s="1"/>
  <c r="AU476" i="11"/>
  <c r="AU595" i="11" s="1"/>
  <c r="AX365" i="11"/>
  <c r="AY353" i="11"/>
  <c r="AZ408" i="11"/>
  <c r="AV369" i="11"/>
  <c r="AV375" i="11" s="1"/>
  <c r="AV382" i="11" s="1"/>
  <c r="AU376" i="11"/>
  <c r="AV374" i="11"/>
  <c r="AV381" i="11" s="1"/>
  <c r="AW368" i="11"/>
  <c r="AV371" i="11"/>
  <c r="AV378" i="11" s="1"/>
  <c r="AW359" i="11"/>
  <c r="AW372" i="11"/>
  <c r="AX362" i="11"/>
  <c r="AU383" i="11"/>
  <c r="BA348" i="11"/>
  <c r="BA357" i="11" s="1"/>
  <c r="BA349" i="11"/>
  <c r="BA360" i="11" s="1"/>
  <c r="BA352" i="11"/>
  <c r="BA350" i="11"/>
  <c r="BA363" i="11" s="1"/>
  <c r="BA351" i="11"/>
  <c r="BA366" i="11" s="1"/>
  <c r="AV414" i="11"/>
  <c r="AV417" i="11"/>
  <c r="AV419" i="11" s="1"/>
  <c r="AX413" i="11"/>
  <c r="AY405" i="11"/>
  <c r="AY412" i="11" s="1"/>
  <c r="AY417" i="11" s="1"/>
  <c r="AZ398" i="11"/>
  <c r="AZ402" i="11"/>
  <c r="AZ404" i="11" s="1"/>
  <c r="AY411" i="11"/>
  <c r="AY416" i="11" s="1"/>
  <c r="AW412" i="11"/>
  <c r="AW409" i="11"/>
  <c r="BA287" i="11"/>
  <c r="BA288" i="11"/>
  <c r="BA286" i="11"/>
  <c r="AX409" i="11"/>
  <c r="BA396" i="11"/>
  <c r="BA397" i="11"/>
  <c r="BA406" i="11" s="1"/>
  <c r="BA395" i="11"/>
  <c r="AZ289" i="11"/>
  <c r="BA339" i="11"/>
  <c r="AW380" i="11"/>
  <c r="AY277" i="11"/>
  <c r="BA272" i="11"/>
  <c r="BA273" i="11"/>
  <c r="BA274" i="11"/>
  <c r="BA275" i="11"/>
  <c r="BA276" i="11"/>
  <c r="AV379" i="11"/>
  <c r="AZ275" i="11"/>
  <c r="AZ276" i="11"/>
  <c r="AZ274" i="11"/>
  <c r="AZ272" i="11"/>
  <c r="AZ273" i="11"/>
  <c r="AZ353" i="11"/>
  <c r="Y24" i="17" l="1"/>
  <c r="Y13" i="17"/>
  <c r="AV580" i="11"/>
  <c r="AV596" i="11" s="1"/>
  <c r="AV608" i="11" s="1"/>
  <c r="AV616" i="11" s="1"/>
  <c r="Z9" i="17" s="1"/>
  <c r="Z20" i="17" s="1"/>
  <c r="AU604" i="11"/>
  <c r="W24" i="17"/>
  <c r="W13" i="17"/>
  <c r="AV476" i="11"/>
  <c r="AV595" i="11" s="1"/>
  <c r="AW369" i="11"/>
  <c r="AW375" i="11" s="1"/>
  <c r="AW382" i="11" s="1"/>
  <c r="BA408" i="11"/>
  <c r="AX373" i="11"/>
  <c r="AX380" i="11" s="1"/>
  <c r="AY365" i="11"/>
  <c r="AV376" i="11"/>
  <c r="AV383" i="11"/>
  <c r="AW371" i="11"/>
  <c r="AW378" i="11" s="1"/>
  <c r="AX359" i="11"/>
  <c r="AX372" i="11"/>
  <c r="AY362" i="11"/>
  <c r="AW374" i="11"/>
  <c r="AW381" i="11" s="1"/>
  <c r="AX368" i="11"/>
  <c r="AX414" i="11"/>
  <c r="AX418" i="11"/>
  <c r="AX419" i="11" s="1"/>
  <c r="AW414" i="11"/>
  <c r="AW417" i="11"/>
  <c r="AW419" i="11" s="1"/>
  <c r="BA289" i="11"/>
  <c r="BA398" i="11"/>
  <c r="BA402" i="11"/>
  <c r="BA404" i="11" s="1"/>
  <c r="AZ411" i="11"/>
  <c r="AZ416" i="11" s="1"/>
  <c r="AY413" i="11"/>
  <c r="AZ405" i="11"/>
  <c r="AZ412" i="11" s="1"/>
  <c r="AZ417" i="11" s="1"/>
  <c r="AY409" i="11"/>
  <c r="AZ277" i="11"/>
  <c r="AW379" i="11"/>
  <c r="BA277" i="11"/>
  <c r="BA353" i="11"/>
  <c r="Z13" i="17" l="1"/>
  <c r="Z24" i="17"/>
  <c r="AW580" i="11"/>
  <c r="AW596" i="11" s="1"/>
  <c r="AW608" i="11" s="1"/>
  <c r="AW616" i="11" s="1"/>
  <c r="AA9" i="17" s="1"/>
  <c r="AA20" i="17" s="1"/>
  <c r="AV604" i="11"/>
  <c r="AW476" i="11"/>
  <c r="AW595" i="11" s="1"/>
  <c r="AY373" i="11"/>
  <c r="AZ365" i="11"/>
  <c r="AX369" i="11"/>
  <c r="AX375" i="11" s="1"/>
  <c r="AX382" i="11" s="1"/>
  <c r="AW376" i="11"/>
  <c r="AW383" i="11"/>
  <c r="AX371" i="11"/>
  <c r="AX378" i="11" s="1"/>
  <c r="AY359" i="11"/>
  <c r="AY368" i="11"/>
  <c r="AX374" i="11"/>
  <c r="AX381" i="11" s="1"/>
  <c r="AY372" i="11"/>
  <c r="AZ362" i="11"/>
  <c r="AY414" i="11"/>
  <c r="AY418" i="11"/>
  <c r="AY419" i="11" s="1"/>
  <c r="AZ409" i="11"/>
  <c r="BA411" i="11"/>
  <c r="BA416" i="11" s="1"/>
  <c r="AZ413" i="11"/>
  <c r="AY380" i="11"/>
  <c r="AX379" i="11"/>
  <c r="AA24" i="17" l="1"/>
  <c r="AA13" i="17"/>
  <c r="AW604" i="11"/>
  <c r="AX580" i="11"/>
  <c r="AX596" i="11" s="1"/>
  <c r="AX608" i="11" s="1"/>
  <c r="AX616" i="11" s="1"/>
  <c r="AB9" i="17" s="1"/>
  <c r="AX476" i="11"/>
  <c r="AX595" i="11" s="1"/>
  <c r="AZ373" i="11"/>
  <c r="AZ380" i="11" s="1"/>
  <c r="BA365" i="11"/>
  <c r="BA373" i="11" s="1"/>
  <c r="BA380" i="11" s="1"/>
  <c r="AX376" i="11"/>
  <c r="AY369" i="11"/>
  <c r="AY375" i="11" s="1"/>
  <c r="AY382" i="11" s="1"/>
  <c r="AX383" i="11"/>
  <c r="AY374" i="11"/>
  <c r="AY381" i="11" s="1"/>
  <c r="AZ368" i="11"/>
  <c r="AZ372" i="11"/>
  <c r="BA362" i="11"/>
  <c r="BA372" i="11" s="1"/>
  <c r="AY371" i="11"/>
  <c r="AY378" i="11" s="1"/>
  <c r="AZ359" i="11"/>
  <c r="AZ414" i="11"/>
  <c r="AZ418" i="11"/>
  <c r="AZ419" i="11" s="1"/>
  <c r="BA405" i="11"/>
  <c r="BA413" i="11"/>
  <c r="BA418" i="11" s="1"/>
  <c r="AY379" i="11"/>
  <c r="AB20" i="17" l="1"/>
  <c r="AB24" i="17" s="1"/>
  <c r="AX604" i="11"/>
  <c r="AY580" i="11"/>
  <c r="AY596" i="11" s="1"/>
  <c r="AY608" i="11" s="1"/>
  <c r="AY616" i="11" s="1"/>
  <c r="AC9" i="17" s="1"/>
  <c r="AC20" i="17" s="1"/>
  <c r="AB13" i="17"/>
  <c r="AY476" i="11"/>
  <c r="AY595" i="11" s="1"/>
  <c r="AZ369" i="11"/>
  <c r="AZ375" i="11" s="1"/>
  <c r="AZ382" i="11" s="1"/>
  <c r="AY376" i="11"/>
  <c r="AY383" i="11"/>
  <c r="AZ371" i="11"/>
  <c r="AZ378" i="11" s="1"/>
  <c r="BA359" i="11"/>
  <c r="BA371" i="11" s="1"/>
  <c r="BA378" i="11" s="1"/>
  <c r="AZ374" i="11"/>
  <c r="AZ381" i="11" s="1"/>
  <c r="BA368" i="11"/>
  <c r="BA412" i="11"/>
  <c r="BA409" i="11"/>
  <c r="AZ379" i="11"/>
  <c r="AC13" i="17" l="1"/>
  <c r="AC24" i="17"/>
  <c r="AZ580" i="11"/>
  <c r="AZ596" i="11" s="1"/>
  <c r="AZ608" i="11" s="1"/>
  <c r="AZ616" i="11" s="1"/>
  <c r="AD9" i="17" s="1"/>
  <c r="AD20" i="17" s="1"/>
  <c r="AY604" i="11"/>
  <c r="AZ476" i="11"/>
  <c r="AZ595" i="11" s="1"/>
  <c r="BA476" i="11"/>
  <c r="BA595" i="11" s="1"/>
  <c r="AZ376" i="11"/>
  <c r="AZ383" i="11"/>
  <c r="BA369" i="11"/>
  <c r="BA374" i="11"/>
  <c r="BA381" i="11" s="1"/>
  <c r="BA414" i="11"/>
  <c r="BA417" i="11"/>
  <c r="BA419" i="11" s="1"/>
  <c r="BA379" i="11"/>
  <c r="AD13" i="17" l="1"/>
  <c r="AD24" i="17"/>
  <c r="AZ604" i="11"/>
  <c r="BA375" i="11"/>
  <c r="BA376" i="11" s="1"/>
  <c r="BA382" i="11" l="1"/>
  <c r="BA580" i="11" s="1"/>
  <c r="BA383" i="11" l="1"/>
  <c r="BA596" i="11"/>
  <c r="BA604" i="11" l="1"/>
  <c r="BA608" i="11"/>
  <c r="BA616" i="11" s="1"/>
  <c r="AE9" i="17" s="1"/>
  <c r="AE20" i="17" s="1"/>
  <c r="AE13" i="17" l="1"/>
  <c r="AE24" i="17"/>
</calcChain>
</file>

<file path=xl/comments1.xml><?xml version="1.0" encoding="utf-8"?>
<comments xmlns="http://schemas.openxmlformats.org/spreadsheetml/2006/main">
  <authors>
    <author>Omistaja</author>
  </authors>
  <commentList>
    <comment ref="B3" authorId="0" shapeId="0">
      <text>
        <r>
          <rPr>
            <b/>
            <sz val="9"/>
            <color indexed="81"/>
            <rFont val="Tahoma"/>
            <family val="2"/>
          </rPr>
          <t>Omistaja:</t>
        </r>
        <r>
          <rPr>
            <sz val="9"/>
            <color indexed="81"/>
            <rFont val="Tahoma"/>
            <family val="2"/>
          </rPr>
          <t xml:space="preserve">
three first inputs are common to all modules</t>
        </r>
      </text>
    </comment>
  </commentList>
</comments>
</file>

<file path=xl/comments2.xml><?xml version="1.0" encoding="utf-8"?>
<comments xmlns="http://schemas.openxmlformats.org/spreadsheetml/2006/main">
  <authors>
    <author>Kimmo Sakari Lylykangas</author>
  </authors>
  <commentList>
    <comment ref="B130"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48" authorId="0" shapeId="0">
      <text>
        <r>
          <rPr>
            <b/>
            <sz val="9"/>
            <color indexed="81"/>
            <rFont val="Tahoma"/>
            <family val="2"/>
            <charset val="186"/>
          </rPr>
          <t xml:space="preserve">Mobility refers to the volume of passenger transport within the area by residents and non-residents
</t>
        </r>
      </text>
    </comment>
    <comment ref="F149" authorId="0" shapeId="0">
      <text>
        <r>
          <rPr>
            <b/>
            <sz val="9"/>
            <color indexed="81"/>
            <rFont val="Tahoma"/>
            <family val="2"/>
            <charset val="186"/>
          </rPr>
          <t xml:space="preserve">If inserted value is a positive number, mobility (vehicle kilometers for all modes of passenger transport) is decreasing
</t>
        </r>
      </text>
    </comment>
    <comment ref="G149" authorId="0" shapeId="0">
      <text>
        <r>
          <rPr>
            <b/>
            <sz val="9"/>
            <color indexed="81"/>
            <rFont val="Tahoma"/>
            <family val="2"/>
            <charset val="186"/>
          </rPr>
          <t xml:space="preserve">If population affected is 100%, then the expected change applies to the whole area in concern
</t>
        </r>
      </text>
    </comment>
    <comment ref="B150" authorId="0" shapeId="0">
      <text>
        <r>
          <rPr>
            <b/>
            <sz val="9"/>
            <color indexed="81"/>
            <rFont val="Tahoma"/>
            <family val="2"/>
            <charset val="186"/>
          </rPr>
          <t>It is assumed that the impact achieved by policy is permanent.</t>
        </r>
      </text>
    </comment>
    <comment ref="B152"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59" authorId="0" shapeId="0">
      <text>
        <r>
          <rPr>
            <b/>
            <sz val="9"/>
            <color indexed="81"/>
            <rFont val="Tahoma"/>
            <family val="2"/>
            <charset val="186"/>
          </rPr>
          <t>It is assumed that the impact achieved by policy is permanent.</t>
        </r>
      </text>
    </comment>
    <comment ref="B161"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76" authorId="0" shapeId="0">
      <text>
        <r>
          <rPr>
            <b/>
            <sz val="9"/>
            <color indexed="81"/>
            <rFont val="Tahoma"/>
            <family val="2"/>
            <charset val="186"/>
          </rPr>
          <t>It is assumed that the impact achieved by policy is permanent.</t>
        </r>
      </text>
    </comment>
    <comment ref="B178"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86" authorId="0" shapeId="0">
      <text>
        <r>
          <rPr>
            <b/>
            <sz val="9"/>
            <color indexed="81"/>
            <rFont val="Tahoma"/>
            <family val="2"/>
            <charset val="186"/>
          </rPr>
          <t>It is assumed that the impact achieved by policy is permanent.</t>
        </r>
      </text>
    </comment>
    <comment ref="B188"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97" authorId="0" shapeId="0">
      <text>
        <r>
          <rPr>
            <b/>
            <sz val="9"/>
            <color indexed="81"/>
            <rFont val="Tahoma"/>
            <family val="2"/>
            <charset val="186"/>
          </rPr>
          <t>It is assumed that the impact achieved by policy is permanent.</t>
        </r>
      </text>
    </comment>
    <comment ref="B199"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19" authorId="0" shapeId="0">
      <text>
        <r>
          <rPr>
            <b/>
            <sz val="9"/>
            <color indexed="81"/>
            <rFont val="Tahoma"/>
            <family val="2"/>
            <charset val="186"/>
          </rPr>
          <t>It is assumed that the impact achieved by policy is permanent.</t>
        </r>
      </text>
    </comment>
    <comment ref="B224"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29" authorId="0" shapeId="0">
      <text>
        <r>
          <rPr>
            <b/>
            <sz val="9"/>
            <color indexed="81"/>
            <rFont val="Tahoma"/>
            <family val="2"/>
            <charset val="186"/>
          </rPr>
          <t>It is assumed that the impact achieved by policy is permanent.</t>
        </r>
      </text>
    </comment>
    <comment ref="B231"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List>
</comments>
</file>

<file path=xl/sharedStrings.xml><?xml version="1.0" encoding="utf-8"?>
<sst xmlns="http://schemas.openxmlformats.org/spreadsheetml/2006/main" count="11880" uniqueCount="3216">
  <si>
    <t>Finland</t>
  </si>
  <si>
    <t>Austria</t>
  </si>
  <si>
    <t>Belgium</t>
  </si>
  <si>
    <t>Bulgaria</t>
  </si>
  <si>
    <t>Cyprus</t>
  </si>
  <si>
    <t>Czechia</t>
  </si>
  <si>
    <t>Denmark</t>
  </si>
  <si>
    <t>Estonia</t>
  </si>
  <si>
    <t>Spain</t>
  </si>
  <si>
    <t>France</t>
  </si>
  <si>
    <t>Greece</t>
  </si>
  <si>
    <t>Hungary</t>
  </si>
  <si>
    <t>Croatia</t>
  </si>
  <si>
    <t>Ireland</t>
  </si>
  <si>
    <t>Italy</t>
  </si>
  <si>
    <t>Lithuania</t>
  </si>
  <si>
    <t>Luxembourg</t>
  </si>
  <si>
    <t>Latvia</t>
  </si>
  <si>
    <t>Malta</t>
  </si>
  <si>
    <t>Netherlands</t>
  </si>
  <si>
    <t>Poland</t>
  </si>
  <si>
    <t>Portugal</t>
  </si>
  <si>
    <t>Romania</t>
  </si>
  <si>
    <t>Sweden</t>
  </si>
  <si>
    <t>Slovenia</t>
  </si>
  <si>
    <t>Slovakia</t>
  </si>
  <si>
    <t>Norway</t>
  </si>
  <si>
    <t>Germany</t>
  </si>
  <si>
    <t>UK</t>
  </si>
  <si>
    <t>Iceland</t>
  </si>
  <si>
    <t>Switzerland</t>
  </si>
  <si>
    <t>Population of the assessment area</t>
  </si>
  <si>
    <t>Liechtenstein</t>
  </si>
  <si>
    <t>Country</t>
  </si>
  <si>
    <t>U1 PLANNER USER INPUT 1: BASELINE</t>
  </si>
  <si>
    <t>BASELINE</t>
  </si>
  <si>
    <t>BUS</t>
  </si>
  <si>
    <t>PASSENGER CAR</t>
  </si>
  <si>
    <t>METRO</t>
  </si>
  <si>
    <t>TRAM</t>
  </si>
  <si>
    <t>BUS PASSENGER-KM PER CAPITA</t>
  </si>
  <si>
    <t>BUS OCCUPANCY</t>
  </si>
  <si>
    <t>PASSENGER CAR AVERAGE CAR OCCUPANCY</t>
  </si>
  <si>
    <t>PASSENGER CAR PASSENGER-KM PER CAPITA</t>
  </si>
  <si>
    <t>METRO AVERAGE OCCUPANCY</t>
  </si>
  <si>
    <t>METRO VEHICLE-KM/CAPITA</t>
  </si>
  <si>
    <t>METRO EMISSION FACTOR</t>
  </si>
  <si>
    <t>TRAM VEHICLE-KM/CAPITA</t>
  </si>
  <si>
    <t>TRAM AVERAGE OCCUPANCY</t>
  </si>
  <si>
    <t>TRAM EMISSION FACTOR</t>
  </si>
  <si>
    <t>TRAIN PASSENGER-KM/A</t>
  </si>
  <si>
    <t>TRAIN AVERAGE OCCUPANCY</t>
  </si>
  <si>
    <t>TRAIN EMISSION FACTOR</t>
  </si>
  <si>
    <t>ROAD TRANSPORT VEHICLE-KM/CAPITA</t>
  </si>
  <si>
    <t>INLAND WATERWAYS TRANSPORT VEHICLE-KM/CAPITA</t>
  </si>
  <si>
    <t>INLAND WATERWAYS TRANSPORT EMISSION FACTOR</t>
  </si>
  <si>
    <t>ROAD TRANSPORT EMISSION FACTOR</t>
  </si>
  <si>
    <r>
      <t>BUS EMISSION FACTOR (gCO</t>
    </r>
    <r>
      <rPr>
        <vertAlign val="subscript"/>
        <sz val="10"/>
        <rFont val="Calibri"/>
        <family val="2"/>
        <scheme val="minor"/>
      </rPr>
      <t>2</t>
    </r>
    <r>
      <rPr>
        <sz val="10"/>
        <rFont val="Calibri"/>
        <family val="2"/>
        <scheme val="minor"/>
      </rPr>
      <t>/km)</t>
    </r>
  </si>
  <si>
    <r>
      <t>PASSENGER CAR AVERAGE EMISSION FACTOR (gCO</t>
    </r>
    <r>
      <rPr>
        <vertAlign val="subscript"/>
        <sz val="10"/>
        <rFont val="Calibri"/>
        <family val="2"/>
        <scheme val="minor"/>
      </rPr>
      <t>2</t>
    </r>
    <r>
      <rPr>
        <sz val="10"/>
        <rFont val="Calibri"/>
        <family val="2"/>
        <scheme val="minor"/>
      </rPr>
      <t>/km)</t>
    </r>
  </si>
  <si>
    <t>BUS_COL1</t>
  </si>
  <si>
    <t>BUS_COL2</t>
  </si>
  <si>
    <t>BUS_COL3</t>
  </si>
  <si>
    <t>CAR_COL1</t>
  </si>
  <si>
    <t>CAR_COL2</t>
  </si>
  <si>
    <t>CAR_COL3</t>
  </si>
  <si>
    <t>METRO_COL1</t>
  </si>
  <si>
    <t>METRO_COL2</t>
  </si>
  <si>
    <t>METRO_COL3</t>
  </si>
  <si>
    <t>TRAM_COL1</t>
  </si>
  <si>
    <t>TRAM_COL2</t>
  </si>
  <si>
    <t>TRAM_COL3</t>
  </si>
  <si>
    <t>TRAIN_COL1</t>
  </si>
  <si>
    <t>TRAIN_COL2</t>
  </si>
  <si>
    <t>TRAIN_COL3</t>
  </si>
  <si>
    <t>RAIL TRN_COL1</t>
  </si>
  <si>
    <t>RAIL TRN_COL2</t>
  </si>
  <si>
    <t>ROAD TRN_COL1</t>
  </si>
  <si>
    <t>PASSENGER TRAIN</t>
  </si>
  <si>
    <t>RAIL TRANSPORT</t>
  </si>
  <si>
    <t>ROAD TRANSPORT</t>
  </si>
  <si>
    <t>TRANSPORT ON INLAND WATERWAYS</t>
  </si>
  <si>
    <t>WATER TRN_COL3</t>
  </si>
  <si>
    <t>WATER TRN_COL4</t>
  </si>
  <si>
    <t>Total Transport emissions per capita</t>
  </si>
  <si>
    <t>METROPOLITAN CENTER</t>
  </si>
  <si>
    <t>URBAN</t>
  </si>
  <si>
    <t>SUBURBAN</t>
  </si>
  <si>
    <t>TOWN</t>
  </si>
  <si>
    <t>RURAL</t>
  </si>
  <si>
    <t>%</t>
  </si>
  <si>
    <t>explanatory note</t>
  </si>
  <si>
    <t>bus</t>
  </si>
  <si>
    <t>car</t>
  </si>
  <si>
    <t>tram</t>
  </si>
  <si>
    <t>train</t>
  </si>
  <si>
    <t>rail freight</t>
  </si>
  <si>
    <t>road freight</t>
  </si>
  <si>
    <t>inland waterways freight</t>
  </si>
  <si>
    <t>metro</t>
  </si>
  <si>
    <t>POP_COL1</t>
  </si>
  <si>
    <t>ROAD TRN_COL2</t>
  </si>
  <si>
    <t>WATER TRN_COL1</t>
  </si>
  <si>
    <t>WATER TRN_COL2</t>
  </si>
  <si>
    <t>ROAD TRN_COL3</t>
  </si>
  <si>
    <t>RAIL TRN_COL3</t>
  </si>
  <si>
    <t>TRAIN_COL4</t>
  </si>
  <si>
    <t>TRAM_COL4</t>
  </si>
  <si>
    <t>METRO_COL4</t>
  </si>
  <si>
    <t>CAR_COL4</t>
  </si>
  <si>
    <t>BUS_COL4</t>
  </si>
  <si>
    <t>POP_COL2</t>
  </si>
  <si>
    <t>POP_COL3</t>
  </si>
  <si>
    <t>BUS_COL5</t>
  </si>
  <si>
    <t>BUS_COL6</t>
  </si>
  <si>
    <t>ANNUAL POPULATION CHANGE 2020-30</t>
  </si>
  <si>
    <t>ANNUAL POPULATION CHANGE 2030-40</t>
  </si>
  <si>
    <t>ANNUAL POPULATION CHANGE 2040-50</t>
  </si>
  <si>
    <t>ANNUAL CHANGE IN PASSENGER-KM 2020-30</t>
  </si>
  <si>
    <t>ANNUAL CHANGE IN PASSENGER-KM 2030- 40</t>
  </si>
  <si>
    <t>ANNUAL CHANGE IN PASSENGER-KM 2040-2050</t>
  </si>
  <si>
    <t>CAR_COL5</t>
  </si>
  <si>
    <t>CAR_COL6</t>
  </si>
  <si>
    <t>METRO_COL5</t>
  </si>
  <si>
    <t>METRO_COL6</t>
  </si>
  <si>
    <t>ANNUAL CHANGE IN VEHICLE-KM 2020-30</t>
  </si>
  <si>
    <t>ANNUAL CHANGE IN VEHICLE-KM 2030-40</t>
  </si>
  <si>
    <t>ANNUAL CHANGE IN VEHICLE-KM 2040-50</t>
  </si>
  <si>
    <t>TRAM_COL5</t>
  </si>
  <si>
    <t>TRAM_COL6</t>
  </si>
  <si>
    <t>TRAIN_COL5</t>
  </si>
  <si>
    <t>TRAIN_COL6</t>
  </si>
  <si>
    <t>RAIL TRN_COL4</t>
  </si>
  <si>
    <t>RAIL TRN_COL5</t>
  </si>
  <si>
    <t>ROAD TRN_COL4</t>
  </si>
  <si>
    <t>ROAD TRN_COL5</t>
  </si>
  <si>
    <t>WATER TRN_COL5</t>
  </si>
  <si>
    <t>0.3</t>
  </si>
  <si>
    <t>POP_COL1,2,3 = annual change (years 2020-30, 2030-40, 2040-50)</t>
  </si>
  <si>
    <t>Year</t>
  </si>
  <si>
    <t>km</t>
  </si>
  <si>
    <t>N-S measurement (km)</t>
  </si>
  <si>
    <t>E-W measurement (km)</t>
  </si>
  <si>
    <t>Non-residential road transport</t>
  </si>
  <si>
    <t>Freight transport by road</t>
  </si>
  <si>
    <t>Freight transport by rail</t>
  </si>
  <si>
    <t>Freight transport by inland waterways</t>
  </si>
  <si>
    <t>year of data origin</t>
  </si>
  <si>
    <t>source</t>
  </si>
  <si>
    <t>Settlement type</t>
  </si>
  <si>
    <t>Area</t>
  </si>
  <si>
    <t>Non-residential and freight</t>
  </si>
  <si>
    <t>U2 NEW DEVELOPMENT</t>
  </si>
  <si>
    <t>residents moving in</t>
  </si>
  <si>
    <t>start</t>
  </si>
  <si>
    <t>end</t>
  </si>
  <si>
    <t>TRANSPORT CO2e EMISSIONS</t>
  </si>
  <si>
    <t>New residents</t>
  </si>
  <si>
    <t>Number of new residents</t>
  </si>
  <si>
    <t>baseline population based on year selection and annual change</t>
  </si>
  <si>
    <t>U2 new development and annual change</t>
  </si>
  <si>
    <t>population scenario (baseline + U2 with annual change)</t>
  </si>
  <si>
    <t/>
  </si>
  <si>
    <t>0 = no new developments to be quantified</t>
  </si>
  <si>
    <t>U3 POLICY QUANTIFICATION</t>
  </si>
  <si>
    <t>weighted average</t>
  </si>
  <si>
    <t>policy period</t>
  </si>
  <si>
    <t>expected change (%)</t>
  </si>
  <si>
    <t>population affected (%)</t>
  </si>
  <si>
    <t>Decrease in mobility</t>
  </si>
  <si>
    <t>U3.1 Passenger mobility</t>
  </si>
  <si>
    <t>total</t>
  </si>
  <si>
    <t>U3.3 Modal split, passenger transport</t>
  </si>
  <si>
    <t>Weighted average of old (baseline) and new settlement (U2)</t>
  </si>
  <si>
    <t>share in the end of policy period</t>
  </si>
  <si>
    <t>without policy (%)</t>
  </si>
  <si>
    <t>annual change in the modal share during the policy period</t>
  </si>
  <si>
    <t>TOTAL</t>
  </si>
  <si>
    <t>U3.1 reduction percentage</t>
  </si>
  <si>
    <t>sum of previous rows</t>
  </si>
  <si>
    <t>modal share without the policy U3.3 impact (%)</t>
  </si>
  <si>
    <t>modal share with the policy U3.3 impact (%)</t>
  </si>
  <si>
    <t>U3.1 impact per mode of passenger transport</t>
  </si>
  <si>
    <t>U3.3 impact as passenger-km</t>
  </si>
  <si>
    <t xml:space="preserve">revised percentage x total passenger-km </t>
  </si>
  <si>
    <t>rest of it</t>
  </si>
  <si>
    <t>expected change %</t>
  </si>
  <si>
    <t>change in freight transport (%)</t>
  </si>
  <si>
    <t>U3.2 Freight transport</t>
  </si>
  <si>
    <t>U3.2 reduction percentage</t>
  </si>
  <si>
    <t>ANNUAL CHANGE IN VEHICLE-KM 2030- 40</t>
  </si>
  <si>
    <t>ANNUAL CHANGE IN VEHICLE-KM 2040-2050</t>
  </si>
  <si>
    <t>GRID ELECTRICITY EMISSION FACTOR</t>
  </si>
  <si>
    <t>ENE_COL1</t>
  </si>
  <si>
    <t>ENE_COL2</t>
  </si>
  <si>
    <t>ENE_COL3</t>
  </si>
  <si>
    <t>ENE_COL4</t>
  </si>
  <si>
    <t>PETROL ENGINES IN BUSES (%)</t>
  </si>
  <si>
    <t>LPG ENGINES IN BUSES (%)</t>
  </si>
  <si>
    <t>DIESEL ENGINES IN BUSES (%)</t>
  </si>
  <si>
    <t>CNG ENGINES IN BUSES (%)</t>
  </si>
  <si>
    <t>ELECTRIC ENGINES IN BUSES (%)</t>
  </si>
  <si>
    <t>BUS_COL7</t>
  </si>
  <si>
    <t>BUS_COL8</t>
  </si>
  <si>
    <t>BUS_COL9</t>
  </si>
  <si>
    <t>BUS_COL10</t>
  </si>
  <si>
    <t>BUS_COL11</t>
  </si>
  <si>
    <t>ANNUAL CHANGE IN EMISSION F 2020-30</t>
  </si>
  <si>
    <t>ANNUAL CHANGE IN EMISSION F 2030-40</t>
  </si>
  <si>
    <t>ANNUAL CHANGE IN EMISSION  F 2040-50</t>
  </si>
  <si>
    <t>PETROL CAR EMISSION FACTOR</t>
  </si>
  <si>
    <t>DIESEL CAR EMISSION FACTOR</t>
  </si>
  <si>
    <t>LPG engines in cars (%)</t>
  </si>
  <si>
    <t>CNG engines in cars (%)</t>
  </si>
  <si>
    <t>NGV engines in cars (%)</t>
  </si>
  <si>
    <t>hybrid electric-petrol engines in cars (%)</t>
  </si>
  <si>
    <t>diesel engines in cars (%)</t>
  </si>
  <si>
    <t>petrol engines in cars (%)</t>
  </si>
  <si>
    <t>hybrid electric-diesel engines in cars (%)</t>
  </si>
  <si>
    <t>hydrogen+fuel cell engines in cars (%)</t>
  </si>
  <si>
    <t>bioethanol engines in cars (%)</t>
  </si>
  <si>
    <t>biodiesel engines in cars (%)</t>
  </si>
  <si>
    <t>bi-fuel engines in cars (%)</t>
  </si>
  <si>
    <t>BEV (%)</t>
  </si>
  <si>
    <t>petrol PHEV cars (%)</t>
  </si>
  <si>
    <t>diesel PHEV cars (%)</t>
  </si>
  <si>
    <t>Local dataset</t>
  </si>
  <si>
    <t>rail transport</t>
  </si>
  <si>
    <t>road transport</t>
  </si>
  <si>
    <t>water transport</t>
  </si>
  <si>
    <t>correction factor</t>
  </si>
  <si>
    <t>CF baseline</t>
  </si>
  <si>
    <t>CF new developments (U2)</t>
  </si>
  <si>
    <t>CF weighted average</t>
  </si>
  <si>
    <t>CF NEW SETTLEMENT</t>
  </si>
  <si>
    <t xml:space="preserve">CF BASELINE </t>
  </si>
  <si>
    <t>CF</t>
  </si>
  <si>
    <t>CF CHANGE CALCULATION</t>
  </si>
  <si>
    <t>input from U2</t>
  </si>
  <si>
    <t>RAIL FREIGHT VEHICLE-KM/CAPITA</t>
  </si>
  <si>
    <t>SHARE OF ELECTRIC ENGINES (%)</t>
  </si>
  <si>
    <t>Metro systems included</t>
  </si>
  <si>
    <t>Tram systems included</t>
  </si>
  <si>
    <t>BASELINE RESULTS</t>
  </si>
  <si>
    <t>Edinburgh</t>
  </si>
  <si>
    <t>Rathlin Island</t>
  </si>
  <si>
    <t>Meath County</t>
  </si>
  <si>
    <t>Kymenlaakso</t>
  </si>
  <si>
    <t>Haapsalu</t>
  </si>
  <si>
    <t>CAR_COL7</t>
  </si>
  <si>
    <t>CAR_COL8</t>
  </si>
  <si>
    <t>CAR_COL9</t>
  </si>
  <si>
    <t>CAR_COL10</t>
  </si>
  <si>
    <t>CAR_COL11</t>
  </si>
  <si>
    <t>CAR_COL12</t>
  </si>
  <si>
    <t>CAR_COL13</t>
  </si>
  <si>
    <t>CAR_COL14</t>
  </si>
  <si>
    <t>CAR_COL15</t>
  </si>
  <si>
    <t>CAR_COL16</t>
  </si>
  <si>
    <t>CAR_COL17</t>
  </si>
  <si>
    <t>CAR_COL18</t>
  </si>
  <si>
    <t>CAR_COL19</t>
  </si>
  <si>
    <t>CAR_COL20</t>
  </si>
  <si>
    <t>CAR_COL21</t>
  </si>
  <si>
    <t>CAR_COL22</t>
  </si>
  <si>
    <t>Other (%)</t>
  </si>
  <si>
    <t>CAR_COL23</t>
  </si>
  <si>
    <t>TRANSPORT</t>
  </si>
  <si>
    <t>Settlements</t>
  </si>
  <si>
    <t>Cropland</t>
  </si>
  <si>
    <t>Grassland</t>
  </si>
  <si>
    <t>Wetland</t>
  </si>
  <si>
    <t>Other land</t>
  </si>
  <si>
    <t>U4 LAND USE BASELINE</t>
  </si>
  <si>
    <t>LAND USE CHANGE CO2e EMISSIONS</t>
  </si>
  <si>
    <t>CORRECTION FACTOR metropolitan</t>
  </si>
  <si>
    <t>CORRECTION FACTOR city</t>
  </si>
  <si>
    <t>CORRECTION FACTOR town</t>
  </si>
  <si>
    <t>CORRECTION FACTOR suburban</t>
  </si>
  <si>
    <t>CORRECTION FACTOR rural</t>
  </si>
  <si>
    <t>BUS_COL12</t>
  </si>
  <si>
    <t>BUS_COL13</t>
  </si>
  <si>
    <t>BUS_COL14</t>
  </si>
  <si>
    <t>BUS_COL15</t>
  </si>
  <si>
    <t>BUS_COL16</t>
  </si>
  <si>
    <t>CAR_COL24</t>
  </si>
  <si>
    <t>CAR_COL25</t>
  </si>
  <si>
    <t>CAR_COL26</t>
  </si>
  <si>
    <t>CAR_COL27</t>
  </si>
  <si>
    <t>CAR_COL28</t>
  </si>
  <si>
    <t>TRAIN_COL7</t>
  </si>
  <si>
    <t>TRAIN_COL8</t>
  </si>
  <si>
    <t>TRAIN_COL9</t>
  </si>
  <si>
    <t>TRAIN_COL10</t>
  </si>
  <si>
    <t>TRAIN_COL11</t>
  </si>
  <si>
    <t>RAIL TRN_COL6</t>
  </si>
  <si>
    <t>RAIL TRN_COL7</t>
  </si>
  <si>
    <t>RAIL TRN_COL8</t>
  </si>
  <si>
    <t>RAIL TRN_COL9</t>
  </si>
  <si>
    <t>RAIL TRN_COL10</t>
  </si>
  <si>
    <t>ROAD TRN_COL6</t>
  </si>
  <si>
    <t>ROAD TRN_COL7</t>
  </si>
  <si>
    <t>ROAD TRN_COL8</t>
  </si>
  <si>
    <t>ROAD TRN_COL9</t>
  </si>
  <si>
    <t>ROAD TRN_COL10</t>
  </si>
  <si>
    <t>WATER TRN_COL6</t>
  </si>
  <si>
    <t>WATER TRN_COL7</t>
  </si>
  <si>
    <t>WATER TRN_COL8</t>
  </si>
  <si>
    <t>WATER TRN_COL9</t>
  </si>
  <si>
    <t>WATER TRN_COL10</t>
  </si>
  <si>
    <t>baseline (%)</t>
  </si>
  <si>
    <t>Total</t>
  </si>
  <si>
    <t>land use category</t>
  </si>
  <si>
    <t>Population</t>
  </si>
  <si>
    <t>POPULATION</t>
  </si>
  <si>
    <t>POP_COL0</t>
  </si>
  <si>
    <t>vehicle-km/a</t>
  </si>
  <si>
    <t>Baseline year</t>
  </si>
  <si>
    <t>Population prognosis</t>
  </si>
  <si>
    <t>Expected annual change in population (%)</t>
  </si>
  <si>
    <t>new datarow to "DEFAULT DATA"</t>
  </si>
  <si>
    <t>Grid electricity emission factor (kgCO2e/kWh)</t>
  </si>
  <si>
    <t>CREATE LOCAL DATASET</t>
  </si>
  <si>
    <t>Prognosis on grid electricity emission factor (kgCO2e/kWh)</t>
  </si>
  <si>
    <t>Annual passenger-kilometers</t>
  </si>
  <si>
    <t>Average bus occupancy</t>
  </si>
  <si>
    <t>pkm/a</t>
  </si>
  <si>
    <t>passengers</t>
  </si>
  <si>
    <t>Expected annual change in carbon intensity (%)</t>
  </si>
  <si>
    <t>Expected annual change in passenger-km</t>
  </si>
  <si>
    <t>Name of the new dataset</t>
  </si>
  <si>
    <t>Engine types of buses</t>
  </si>
  <si>
    <t>name:</t>
  </si>
  <si>
    <t>ENERGY</t>
  </si>
  <si>
    <t>CSC_COL1</t>
  </si>
  <si>
    <t>CSC_COL2</t>
  </si>
  <si>
    <t>CSC_COL3</t>
  </si>
  <si>
    <t>CSC_COL4</t>
  </si>
  <si>
    <t>CSC_COL5</t>
  </si>
  <si>
    <t>CSC_COL6</t>
  </si>
  <si>
    <t>2020-30</t>
  </si>
  <si>
    <t>2030-40</t>
  </si>
  <si>
    <t>2040-50</t>
  </si>
  <si>
    <t>metropolitan</t>
  </si>
  <si>
    <t>city</t>
  </si>
  <si>
    <t>suburban</t>
  </si>
  <si>
    <t>town</t>
  </si>
  <si>
    <t>rural</t>
  </si>
  <si>
    <t>CSC_COL7</t>
  </si>
  <si>
    <t>CSC_COL8</t>
  </si>
  <si>
    <t>CSC_COL9</t>
  </si>
  <si>
    <t>CSC_COL10</t>
  </si>
  <si>
    <t>CSC_COL11</t>
  </si>
  <si>
    <t>CSC_COL12</t>
  </si>
  <si>
    <t>CSC_COL13</t>
  </si>
  <si>
    <t>CSC_COL14</t>
  </si>
  <si>
    <t>CSC_COL15</t>
  </si>
  <si>
    <t>CSC_COL16</t>
  </si>
  <si>
    <t>CSC_COL17</t>
  </si>
  <si>
    <t>CSC_COL18</t>
  </si>
  <si>
    <t>CSC_COL19</t>
  </si>
  <si>
    <t>CSC_COL20</t>
  </si>
  <si>
    <t>CSC_COL21</t>
  </si>
  <si>
    <t>CSC_COL22</t>
  </si>
  <si>
    <t>CSC_COL23</t>
  </si>
  <si>
    <t>CSC_COL24</t>
  </si>
  <si>
    <t>CSC_COL25</t>
  </si>
  <si>
    <t>CSC_COL26</t>
  </si>
  <si>
    <t>CSC_COL27</t>
  </si>
  <si>
    <t>CSC_COL28</t>
  </si>
  <si>
    <t>CSC_COL29</t>
  </si>
  <si>
    <t>CSC_COL30</t>
  </si>
  <si>
    <t>CSC_COL31</t>
  </si>
  <si>
    <t>CSC_COL32</t>
  </si>
  <si>
    <t>CSC_COL33</t>
  </si>
  <si>
    <t>CSC_COL34</t>
  </si>
  <si>
    <t>CSC_COL35</t>
  </si>
  <si>
    <t>CSC_COL36</t>
  </si>
  <si>
    <t>Total Land use change emissions per capita</t>
  </si>
  <si>
    <t>emission factors for driving</t>
  </si>
  <si>
    <t>roads</t>
  </si>
  <si>
    <t>streets</t>
  </si>
  <si>
    <t>land use change</t>
  </si>
  <si>
    <t>U5 CALCULATION</t>
  </si>
  <si>
    <t>U5 LAND USE CHANGE</t>
  </si>
  <si>
    <t>CSC_COL37</t>
  </si>
  <si>
    <t>CSC_COL38</t>
  </si>
  <si>
    <t>CSC_COL39</t>
  </si>
  <si>
    <t>CSC_COL40</t>
  </si>
  <si>
    <t>CSC_COL41</t>
  </si>
  <si>
    <t>CSC_COL42</t>
  </si>
  <si>
    <t>CSC_COL43</t>
  </si>
  <si>
    <t>CSC_COL44</t>
  </si>
  <si>
    <t>CSC_COL45</t>
  </si>
  <si>
    <t>CSC_COL46</t>
  </si>
  <si>
    <t>CSC_COL47</t>
  </si>
  <si>
    <t>CSC_COL48</t>
  </si>
  <si>
    <t>CSC_COL49</t>
  </si>
  <si>
    <t>CSC_COL50</t>
  </si>
  <si>
    <t>CSC_COL51</t>
  </si>
  <si>
    <t>CSC_COL52</t>
  </si>
  <si>
    <t>CSC_COL53</t>
  </si>
  <si>
    <t>CSC_COL54</t>
  </si>
  <si>
    <t>CSC_COL55</t>
  </si>
  <si>
    <t>CSC_COL56</t>
  </si>
  <si>
    <t>CSC_COL57</t>
  </si>
  <si>
    <t>CSC_COL58</t>
  </si>
  <si>
    <t>CSC_COL59</t>
  </si>
  <si>
    <t>CSC_COL60</t>
  </si>
  <si>
    <t>CSC_COL61</t>
  </si>
  <si>
    <t>CSC_COL62</t>
  </si>
  <si>
    <t>CSC_COL63</t>
  </si>
  <si>
    <t>CSC_COL64</t>
  </si>
  <si>
    <t>CSC_COL65</t>
  </si>
  <si>
    <t>CSC_COL66</t>
  </si>
  <si>
    <t>cropland_to_forestland_biomass_aboveground</t>
  </si>
  <si>
    <t>cropland_to_forestland_biomass_belowground</t>
  </si>
  <si>
    <t>cropland_to_forestland_dead organic matter_dead wood</t>
  </si>
  <si>
    <t>cropland_to_forestland_dead organic matter_litter</t>
  </si>
  <si>
    <t xml:space="preserve">cropland_to_forestland_soil_mineral </t>
  </si>
  <si>
    <t>cropland_to_forestland_soil_organic</t>
  </si>
  <si>
    <t>grassland_to_forestland_biomass_aboveground</t>
  </si>
  <si>
    <t>grassland_to_forestland_biomass_belowground</t>
  </si>
  <si>
    <t>grassland_to_forestland_dead organic matter_dead wood</t>
  </si>
  <si>
    <t>grassland_to_forestland_dead organic matter_litter</t>
  </si>
  <si>
    <t xml:space="preserve">grassland_to_forestland_soil_mineral </t>
  </si>
  <si>
    <t>grassland_to_forestland_soil_organic</t>
  </si>
  <si>
    <t>wetlands_to_forestland_biomass_aboveground</t>
  </si>
  <si>
    <t>wetlands_to_forestland_biomass_belowground</t>
  </si>
  <si>
    <t>wetlands_to_forestland_dead organic matter_dead wood</t>
  </si>
  <si>
    <t>wetlands_to_forestland_dead organic matter_litter</t>
  </si>
  <si>
    <t xml:space="preserve">wetlands_to_forestland_soil_mineral </t>
  </si>
  <si>
    <t>wetlands_to_forestland_soil_organic</t>
  </si>
  <si>
    <t>settlements_to_forestland_biomass_aboveground</t>
  </si>
  <si>
    <t>settlements_to_forestland_biomass_belowground</t>
  </si>
  <si>
    <t>settlements_to_forestland_dead organic matter_dead wood</t>
  </si>
  <si>
    <t>settlements_to_forestland_dead organic matter_litter</t>
  </si>
  <si>
    <t xml:space="preserve">settlements_to_forestland_soil_mineral </t>
  </si>
  <si>
    <t>settlements_to_forestland_soil_organic</t>
  </si>
  <si>
    <t>otherland_to_forestland_biomass_aboveground</t>
  </si>
  <si>
    <t>otherland_to_forestland_biomass_belowground</t>
  </si>
  <si>
    <t>otherland_to_forestland_dead organic matter_dead wood</t>
  </si>
  <si>
    <t>otherland_to_forestland_dead organic matter_litter</t>
  </si>
  <si>
    <t xml:space="preserve">otherland_to_forestland_soil_mineral </t>
  </si>
  <si>
    <t>otherland_to_forestland_soil_organic</t>
  </si>
  <si>
    <t>forestland_to_cropland_biomass_aboveground</t>
  </si>
  <si>
    <t>forestland_to_cropland_biomass_belowground</t>
  </si>
  <si>
    <t>forestland_to_cropland_dead organic matter_dead wood</t>
  </si>
  <si>
    <t>forestland_to_cropland_dead organic matter_litter</t>
  </si>
  <si>
    <t xml:space="preserve">forestland_to_cropland_soil_mineral </t>
  </si>
  <si>
    <t>forestland_to_cropland_soil_organic</t>
  </si>
  <si>
    <t>grassland_to_cropland_biomass_aboveground</t>
  </si>
  <si>
    <t>grassland_to_cropland_biomass_belowground</t>
  </si>
  <si>
    <t>grassland_to_cropland_dead organic matter_dead wood</t>
  </si>
  <si>
    <t>grassland_to_cropland_dead organic matter_litter</t>
  </si>
  <si>
    <t xml:space="preserve">grassland_to_cropland_soil_mineral </t>
  </si>
  <si>
    <t>grassland_to_cropland_soil_organic</t>
  </si>
  <si>
    <t>wetlands_to_cropland_biomass_aboveground</t>
  </si>
  <si>
    <t>wetlands_to_cropland_biomass_belowground</t>
  </si>
  <si>
    <t>wetlands_to_cropland_dead organic matter_dead wood</t>
  </si>
  <si>
    <t>wetlands_to_cropland_dead organic matter_litter</t>
  </si>
  <si>
    <t xml:space="preserve">wetlands_to_cropland_soil_mineral </t>
  </si>
  <si>
    <t>wetlands_to_cropland_soil_organic</t>
  </si>
  <si>
    <t>settlements_to_cropland_biomass_aboveground</t>
  </si>
  <si>
    <t>settlements_to_cropland_biomass_belowground</t>
  </si>
  <si>
    <t>settlements_to_cropland_dead organic matter_dead wood</t>
  </si>
  <si>
    <t>settlements_to_cropland_dead organic matter_litter</t>
  </si>
  <si>
    <t xml:space="preserve">settlements_to_cropland_soil_mineral </t>
  </si>
  <si>
    <t>settlements_to_cropland_soil_organic</t>
  </si>
  <si>
    <t>otherland_to_cropland_biomass_aboveground</t>
  </si>
  <si>
    <t>otherland_to_cropland_biomass_belowground</t>
  </si>
  <si>
    <t>otherland_to_cropland_dead organic matter_dead wood</t>
  </si>
  <si>
    <t>otherland_to_cropland_dead organic matter_litter</t>
  </si>
  <si>
    <t xml:space="preserve">otherland_to_cropland_soil_mineral </t>
  </si>
  <si>
    <t>otherland_to_cropland_soil_organic</t>
  </si>
  <si>
    <t>forestland_to_grassland_biomass_aboveground</t>
  </si>
  <si>
    <t>forestland_to_grassland_biomass_belowground</t>
  </si>
  <si>
    <t>forestland_to_grassland_dead organic matter_dead wood</t>
  </si>
  <si>
    <t>forestland_to_grassland_dead organic matter_litter</t>
  </si>
  <si>
    <t xml:space="preserve">forestland_to_grassland_soil_mineral </t>
  </si>
  <si>
    <t>forestland_to_grassland_soil_organic</t>
  </si>
  <si>
    <t>cropland_to_grassland_biomass_aboveground</t>
  </si>
  <si>
    <t>cropland_to_grassland_biomass_belowground</t>
  </si>
  <si>
    <t>cropland_to_grassland_dead organic matter_dead wood</t>
  </si>
  <si>
    <t>cropland_to_grassland_dead organic matter_litter</t>
  </si>
  <si>
    <t xml:space="preserve">cropland_to_grassland_soil_mineral </t>
  </si>
  <si>
    <t>cropland_to_grassland_soil_organic</t>
  </si>
  <si>
    <t>wetlands_to_grassland_biomass_aboveground</t>
  </si>
  <si>
    <t>wetlands_to_grassland_biomass_belowground</t>
  </si>
  <si>
    <t>wetlands_to_grassland_dead organic matter_dead wood</t>
  </si>
  <si>
    <t>wetlands_to_grassland_dead organic matter_litter</t>
  </si>
  <si>
    <t xml:space="preserve">wetlands_to_grassland_soil_mineral </t>
  </si>
  <si>
    <t>wetlands_to_grassland_soil_organic</t>
  </si>
  <si>
    <t>settlements_to_grassland_biomass_aboveground</t>
  </si>
  <si>
    <t>settlements_to_grassland_biomass_belowground</t>
  </si>
  <si>
    <t>settlements_to_grassland_dead organic matter_dead wood</t>
  </si>
  <si>
    <t>settlements_to_grassland_dead organic matter_litter</t>
  </si>
  <si>
    <t xml:space="preserve">settlements_to_grassland_soil_mineral </t>
  </si>
  <si>
    <t>settlements_to_grassland_soil_organic</t>
  </si>
  <si>
    <t>otherland_to_grassland_biomass_aboveground</t>
  </si>
  <si>
    <t>otherland_to_grassland_biomass_belowground</t>
  </si>
  <si>
    <t>otherland_to_grassland_dead organic matter_dead wood</t>
  </si>
  <si>
    <t>otherland_to_grassland_dead organic matter_litter</t>
  </si>
  <si>
    <t xml:space="preserve">otherland_to_grassland_soil_mineral </t>
  </si>
  <si>
    <t>otherland_to_grassland_soil_organic</t>
  </si>
  <si>
    <t>forestland_to_settlements_biomass_aboveground</t>
  </si>
  <si>
    <t>forestland_to_settlements_biomass_belowground</t>
  </si>
  <si>
    <t>forestland_to_settlements_dead organic matter_dead wood</t>
  </si>
  <si>
    <t>forestland_to_settlements_dead organic matter_litter</t>
  </si>
  <si>
    <t xml:space="preserve">forestland_to_settlements_soil_mineral </t>
  </si>
  <si>
    <t>forestland_to_settlements_soil_organic</t>
  </si>
  <si>
    <t>cropland_to_settlements_biomass_aboveground</t>
  </si>
  <si>
    <t>cropland_to_settlements_biomass_belowground</t>
  </si>
  <si>
    <t>cropland_to_settlements_dead organic matter_dead wood</t>
  </si>
  <si>
    <t>cropland_to_settlements_dead organic matter_litter</t>
  </si>
  <si>
    <t xml:space="preserve">cropland_to_settlements_soil_mineral </t>
  </si>
  <si>
    <t>cropland_to_settlements_soil_organic</t>
  </si>
  <si>
    <t>grassland_to_settlements_biomass_aboveground</t>
  </si>
  <si>
    <t>grassland_to_settlements_biomass_belowground</t>
  </si>
  <si>
    <t>grassland_to_settlements_dead organic matter_dead wood</t>
  </si>
  <si>
    <t>grassland_to_settlements_dead organic matter_litter</t>
  </si>
  <si>
    <t xml:space="preserve">grassland_to_settlements_soil_mineral </t>
  </si>
  <si>
    <t>grassland_to_settlements_soil_organic</t>
  </si>
  <si>
    <t>wetlands_to_settlements_biomass_aboveground</t>
  </si>
  <si>
    <t>wetlands_to_settlements_biomass_belowground</t>
  </si>
  <si>
    <t>wetlands_to_settlements_dead organic matter_dead wood</t>
  </si>
  <si>
    <t>wetlands_to_settlements_dead organic matter_litter</t>
  </si>
  <si>
    <t xml:space="preserve">wetlands_to_settlements_soil_mineral </t>
  </si>
  <si>
    <t>wetlands_to_settlements_soil_organic</t>
  </si>
  <si>
    <t>otherland_to_settlements_biomass_aboveground</t>
  </si>
  <si>
    <t>otherland_to_settlements_biomass_belowground</t>
  </si>
  <si>
    <t>otherland_to_settlements_dead organic matter_dead wood</t>
  </si>
  <si>
    <t>otherland_to_settlements_dead organic matter_litter</t>
  </si>
  <si>
    <t xml:space="preserve">otherland_to_settlements_soil_mineral </t>
  </si>
  <si>
    <t>otherland_to_settlements_soil_organic</t>
  </si>
  <si>
    <t>forestland_to_otherland_biomass_aboveground</t>
  </si>
  <si>
    <t>forestland_to_otherland_biomass_belowground</t>
  </si>
  <si>
    <t>forestland_to_otherland_dead organic matter_dead wood</t>
  </si>
  <si>
    <t>forestland_to_otherland_dead organic matter_litter</t>
  </si>
  <si>
    <t xml:space="preserve">forestland_to_otherland_soil_mineral </t>
  </si>
  <si>
    <t>forestland_to_otherland_soil_organic</t>
  </si>
  <si>
    <t>cropland_to_otherland_biomass_aboveground</t>
  </si>
  <si>
    <t>cropland_to_otherland_biomass_belowground</t>
  </si>
  <si>
    <t>cropland_to_otherland_dead organic matter_dead wood</t>
  </si>
  <si>
    <t>cropland_to_otherland_dead organic matter_litter</t>
  </si>
  <si>
    <t xml:space="preserve">cropland_to_otherland_soil_mineral </t>
  </si>
  <si>
    <t>cropland_to_otherland_soil_organic</t>
  </si>
  <si>
    <t>grassland_to_other land_biomass_aboveground</t>
  </si>
  <si>
    <t>grassland_to_other land_biomass_belowground</t>
  </si>
  <si>
    <t>grassland_to_other land_dead organic matter_dead wood</t>
  </si>
  <si>
    <t>grassland_to_other land_dead organic matter_litter</t>
  </si>
  <si>
    <t xml:space="preserve">grassland_to_other land_soil_mineral </t>
  </si>
  <si>
    <t>grassland_to_other land_soil_organic</t>
  </si>
  <si>
    <t>wetlands_to_otherland_biomass_aboveground</t>
  </si>
  <si>
    <t>wetlands_to_otherland_biomass_belowground</t>
  </si>
  <si>
    <t>wetlands_to_otherland_dead organic matter_dead wood</t>
  </si>
  <si>
    <t>wetlands_to_otherland_dead organic matter_litter</t>
  </si>
  <si>
    <t xml:space="preserve">wetlands_to_otherland_soil_mineral </t>
  </si>
  <si>
    <t>wetlands_to_otherland_soil_organic</t>
  </si>
  <si>
    <t>settlements_to_otherland_biomass_aboveground</t>
  </si>
  <si>
    <t>settlements_to_otherland_biomass_belowground</t>
  </si>
  <si>
    <t>settlements_to_otherland_dead organic matter_dead wood</t>
  </si>
  <si>
    <t>settlements_to_otherland_dead organic matter_litter</t>
  </si>
  <si>
    <t xml:space="preserve">settlements_to_otherland_soil_mineral </t>
  </si>
  <si>
    <t>settlements_to_otherland_soil_organic</t>
  </si>
  <si>
    <t>forestland_remaining_forest land_biomass_aboveground</t>
  </si>
  <si>
    <t>forestland_remaining_forest land_biomass_belowground</t>
  </si>
  <si>
    <t>forestland_remaining_forest land_dead organic matter_dead wood</t>
  </si>
  <si>
    <t>forestland_remaining_forest land_dead organic matter_litter</t>
  </si>
  <si>
    <t xml:space="preserve">forestland_remaining_forest land_soil_mineral </t>
  </si>
  <si>
    <t>forestland_remaining_forest land_soil_organic</t>
  </si>
  <si>
    <t>cropland_remaining_cropland_biomass_aboveground</t>
  </si>
  <si>
    <t>cropland_remaining_cropland_biomass_belowground</t>
  </si>
  <si>
    <t>cropland_remaining_cropland_dead organic matter_dead wood</t>
  </si>
  <si>
    <t>cropland_remaining_cropland_dead organic matter_litter</t>
  </si>
  <si>
    <t xml:space="preserve">cropland_remaining_cropland_soil_mineral </t>
  </si>
  <si>
    <t>cropland_remaining_cropland_soil_organic</t>
  </si>
  <si>
    <t>grassland_remaining_grassland_biomass_aboveground</t>
  </si>
  <si>
    <t>grassland_remaining_grassland_biomass_belowground</t>
  </si>
  <si>
    <t>grassland_remaining_grassland_dead organic matter_dead wood</t>
  </si>
  <si>
    <t>grassland_remaining_grassland_dead organic matter_litter</t>
  </si>
  <si>
    <t xml:space="preserve">grassland_remaining_grassland_soil_mineral </t>
  </si>
  <si>
    <t>grassland_remaining_grassland_soil_organic</t>
  </si>
  <si>
    <t>wetlands_remaining_wetlands_biomass_aboveground</t>
  </si>
  <si>
    <t>wetlands_remaining_wetlands_biomass_belowground</t>
  </si>
  <si>
    <t>wetlands_remaining_wetlands_dead organic matter_dead wood</t>
  </si>
  <si>
    <t>wetlands_remaining_wetlands_dead organic matter_litter</t>
  </si>
  <si>
    <t xml:space="preserve">wetlands_remaining_wetlands_soil_mineral </t>
  </si>
  <si>
    <t>wetlands_remaining_wetlands_soil_organic</t>
  </si>
  <si>
    <t>settlements_remaining_settlements_biomass_aboveground</t>
  </si>
  <si>
    <t>settlements_remaining_settlements_biomass_belowground</t>
  </si>
  <si>
    <t>settlements_remaining_settlements_dead organic matter_dead wood</t>
  </si>
  <si>
    <t>settlements_remaining_settlements_dead organic matter_litter</t>
  </si>
  <si>
    <t xml:space="preserve">settlements_remaining_settlements_soil_mineral </t>
  </si>
  <si>
    <t>settlements_remaining_settlements_soil_organic</t>
  </si>
  <si>
    <t>peat_extraction_remaining_peat_extraction_biomass_aboveground</t>
  </si>
  <si>
    <t>peat_extraction_remaining_peat_extraction_biomass_belowground</t>
  </si>
  <si>
    <t>peat_extraction_remaining_peat_extraction_dead organic matter_dead wood</t>
  </si>
  <si>
    <t>peat_extraction_remaining_peat_extraction_dead organic matter_litter</t>
  </si>
  <si>
    <t xml:space="preserve">peat_extraction_remaining_peat_extraction_soil_mineral </t>
  </si>
  <si>
    <t>peat_extraction_remaining_peat_extraction_soil_organic</t>
  </si>
  <si>
    <t>CSC_COL67</t>
  </si>
  <si>
    <t>CSC_COL68</t>
  </si>
  <si>
    <t>CSC_COL69</t>
  </si>
  <si>
    <t>CSC_COL70</t>
  </si>
  <si>
    <t>CSC_COL71</t>
  </si>
  <si>
    <t>CSC_COL72</t>
  </si>
  <si>
    <t>CSC_COL73</t>
  </si>
  <si>
    <t>CSC_COL74</t>
  </si>
  <si>
    <t>CSC_COL75</t>
  </si>
  <si>
    <t>CSC_COL76</t>
  </si>
  <si>
    <t>CSC_COL77</t>
  </si>
  <si>
    <t>CSC_COL78</t>
  </si>
  <si>
    <t>CSC_COL79</t>
  </si>
  <si>
    <t>CSC_COL80</t>
  </si>
  <si>
    <t>CSC_COL81</t>
  </si>
  <si>
    <t>CSC_COL82</t>
  </si>
  <si>
    <t>CSC_COL83</t>
  </si>
  <si>
    <t>CSC_COL84</t>
  </si>
  <si>
    <t>CSC_COL85</t>
  </si>
  <si>
    <t>CSC_COL86</t>
  </si>
  <si>
    <t>CSC_COL87</t>
  </si>
  <si>
    <t>CSC_COL88</t>
  </si>
  <si>
    <t>CSC_COL89</t>
  </si>
  <si>
    <t>CSC_COL90</t>
  </si>
  <si>
    <t>CSC_COL91</t>
  </si>
  <si>
    <t>CSC_COL92</t>
  </si>
  <si>
    <t>CSC_COL93</t>
  </si>
  <si>
    <t>CSC_COL94</t>
  </si>
  <si>
    <t>CSC_COL95</t>
  </si>
  <si>
    <t>CSC_COL96</t>
  </si>
  <si>
    <t>CSC_COL97</t>
  </si>
  <si>
    <t>CSC_COL98</t>
  </si>
  <si>
    <t>CSC_COL99</t>
  </si>
  <si>
    <t>CSC_COL100</t>
  </si>
  <si>
    <t>CSC_COL101</t>
  </si>
  <si>
    <t>CSC_COL102</t>
  </si>
  <si>
    <t>CSC_COL103</t>
  </si>
  <si>
    <t>CSC_COL104</t>
  </si>
  <si>
    <t>CSC_COL105</t>
  </si>
  <si>
    <t>CSC_COL106</t>
  </si>
  <si>
    <t>CSC_COL107</t>
  </si>
  <si>
    <t>CSC_COL108</t>
  </si>
  <si>
    <t>CSC_COL109</t>
  </si>
  <si>
    <t>CSC_COL110</t>
  </si>
  <si>
    <t>CSC_COL111</t>
  </si>
  <si>
    <t>CSC_COL112</t>
  </si>
  <si>
    <t>CSC_COL113</t>
  </si>
  <si>
    <t>CSC_COL114</t>
  </si>
  <si>
    <t>CSC_COL115</t>
  </si>
  <si>
    <t>CSC_COL116</t>
  </si>
  <si>
    <t>CSC_COL117</t>
  </si>
  <si>
    <t>CSC_COL118</t>
  </si>
  <si>
    <t>CSC_COL119</t>
  </si>
  <si>
    <t>CSC_COL120</t>
  </si>
  <si>
    <t>CSC_COL121</t>
  </si>
  <si>
    <t>CSC_COL122</t>
  </si>
  <si>
    <t>CSC_COL123</t>
  </si>
  <si>
    <t>CSC_COL124</t>
  </si>
  <si>
    <t>CSC_COL125</t>
  </si>
  <si>
    <t>CSC_COL126</t>
  </si>
  <si>
    <t>CSC_COL127</t>
  </si>
  <si>
    <t>CSC_COL128</t>
  </si>
  <si>
    <t>CSC_COL129</t>
  </si>
  <si>
    <t>CSC_COL130</t>
  </si>
  <si>
    <t>CSC_COL131</t>
  </si>
  <si>
    <t>CSC_COL132</t>
  </si>
  <si>
    <t>CSC_COL133</t>
  </si>
  <si>
    <t>CSC_COL134</t>
  </si>
  <si>
    <t>CSC_COL135</t>
  </si>
  <si>
    <t>CSC_COL136</t>
  </si>
  <si>
    <t>CSC_COL137</t>
  </si>
  <si>
    <t>CSC_COL138</t>
  </si>
  <si>
    <t>CSC_COL139</t>
  </si>
  <si>
    <t>CSC_COL140</t>
  </si>
  <si>
    <t>CSC_COL141</t>
  </si>
  <si>
    <t>CSC_COL142</t>
  </si>
  <si>
    <t>CSC_COL143</t>
  </si>
  <si>
    <t>CSC_COL144</t>
  </si>
  <si>
    <t>CSC_COL145</t>
  </si>
  <si>
    <t>CSC_COL146</t>
  </si>
  <si>
    <t>CSC_COL147</t>
  </si>
  <si>
    <t>CSC_COL148</t>
  </si>
  <si>
    <t>CSC_COL149</t>
  </si>
  <si>
    <t>CSC_COL150</t>
  </si>
  <si>
    <t>CSC_COL151</t>
  </si>
  <si>
    <t>CSC_COL152</t>
  </si>
  <si>
    <t>CSC_COL153</t>
  </si>
  <si>
    <t>CSC_COL154</t>
  </si>
  <si>
    <t>CSC_COL155</t>
  </si>
  <si>
    <t>CSC_COL156</t>
  </si>
  <si>
    <t>CSC_COL157</t>
  </si>
  <si>
    <t>CSC_COL158</t>
  </si>
  <si>
    <t>CSC_COL159</t>
  </si>
  <si>
    <t>CSC_COL160</t>
  </si>
  <si>
    <t>CSC_COL161</t>
  </si>
  <si>
    <t>CSC_COL162</t>
  </si>
  <si>
    <t>CSC_COL163</t>
  </si>
  <si>
    <t>CSC_COL164</t>
  </si>
  <si>
    <t>CSC_COL165</t>
  </si>
  <si>
    <t>CSC_COL166</t>
  </si>
  <si>
    <t>CSC_COL167</t>
  </si>
  <si>
    <t>CSC_COL168</t>
  </si>
  <si>
    <t>CSC_COL169</t>
  </si>
  <si>
    <t>CSC_COL170</t>
  </si>
  <si>
    <t>CSC_COL171</t>
  </si>
  <si>
    <t>CSC_COL172</t>
  </si>
  <si>
    <t>CSC_COL173</t>
  </si>
  <si>
    <t>CSC_COL174</t>
  </si>
  <si>
    <t>CSC_COL175</t>
  </si>
  <si>
    <t>CSC_COL176</t>
  </si>
  <si>
    <t>CSC_COL177</t>
  </si>
  <si>
    <t>CSC_COL178</t>
  </si>
  <si>
    <t>CSC_COL179</t>
  </si>
  <si>
    <t>CSC_COL180</t>
  </si>
  <si>
    <t>CSC_COL181</t>
  </si>
  <si>
    <t>CSC_COL182</t>
  </si>
  <si>
    <t>CSC_COL183</t>
  </si>
  <si>
    <t>CSC_COL184</t>
  </si>
  <si>
    <t>CSC_COL185</t>
  </si>
  <si>
    <t>CSC_COL186</t>
  </si>
  <si>
    <t>CSC_COL187</t>
  </si>
  <si>
    <t>CSC_COL188</t>
  </si>
  <si>
    <t>CSC_COL189</t>
  </si>
  <si>
    <t>CSC_COL190</t>
  </si>
  <si>
    <t>CSC_COL191</t>
  </si>
  <si>
    <t>CSC_COL192</t>
  </si>
  <si>
    <t>CSC_COL193</t>
  </si>
  <si>
    <t>CSC_COL194</t>
  </si>
  <si>
    <t>CSC_COL195</t>
  </si>
  <si>
    <t>CSC_COL196</t>
  </si>
  <si>
    <t>CSC_COL197</t>
  </si>
  <si>
    <t>CSC_COL198</t>
  </si>
  <si>
    <t>CSC_COL199</t>
  </si>
  <si>
    <t>CSC_COL200</t>
  </si>
  <si>
    <t>CSC_COL201</t>
  </si>
  <si>
    <t>CSC_COL202</t>
  </si>
  <si>
    <t>CSC_COL203</t>
  </si>
  <si>
    <t>CSC_COL204</t>
  </si>
  <si>
    <t>CSC_COL205</t>
  </si>
  <si>
    <t>CSC_COL206</t>
  </si>
  <si>
    <t>CSC_COL207</t>
  </si>
  <si>
    <t>CSC_COL208</t>
  </si>
  <si>
    <t>CSC_COL209</t>
  </si>
  <si>
    <t>CSC_COL210</t>
  </si>
  <si>
    <t>CSC_COL211</t>
  </si>
  <si>
    <t>CSC_COL212</t>
  </si>
  <si>
    <t>CSC_COL213</t>
  </si>
  <si>
    <t>CSC_COL214</t>
  </si>
  <si>
    <t>CSC_COL215</t>
  </si>
  <si>
    <t>CSC_COL216</t>
  </si>
  <si>
    <t>CSC_COL217</t>
  </si>
  <si>
    <t>CSC_COL218</t>
  </si>
  <si>
    <t>CSC_COL219</t>
  </si>
  <si>
    <t>CSC_COL220</t>
  </si>
  <si>
    <t>CSC_COL221</t>
  </si>
  <si>
    <t>CSC_COL222</t>
  </si>
  <si>
    <t>CSC_COL223</t>
  </si>
  <si>
    <t>CSC_COL224</t>
  </si>
  <si>
    <t>CSC_COL225</t>
  </si>
  <si>
    <t>CSC_COL226</t>
  </si>
  <si>
    <t>CSC_COL227</t>
  </si>
  <si>
    <t>CSC_COL228</t>
  </si>
  <si>
    <t>CSC_COL229</t>
  </si>
  <si>
    <t>CSC_COL230</t>
  </si>
  <si>
    <t>CSC_COL231</t>
  </si>
  <si>
    <t>CSC_COL232</t>
  </si>
  <si>
    <t>CSC_COL233</t>
  </si>
  <si>
    <t>CSC_COL234</t>
  </si>
  <si>
    <t>CSC_COL235</t>
  </si>
  <si>
    <t>CSC_COL236</t>
  </si>
  <si>
    <t>CSC_COL237</t>
  </si>
  <si>
    <t>CSC_COL238</t>
  </si>
  <si>
    <t>CSC_COL239</t>
  </si>
  <si>
    <t>CSC_COL240</t>
  </si>
  <si>
    <t>from local dataset only</t>
  </si>
  <si>
    <t>land_use_baseline_cropland</t>
  </si>
  <si>
    <t>land_use_baseline_grassland</t>
  </si>
  <si>
    <t>land_use_baseline_wetlands</t>
  </si>
  <si>
    <t>land_use_baseline_forestland</t>
  </si>
  <si>
    <t>land_use_baseline_settlements</t>
  </si>
  <si>
    <t>land_use_baseline_other_land</t>
  </si>
  <si>
    <t>Forestland</t>
  </si>
  <si>
    <t>Wetlands</t>
  </si>
  <si>
    <t>LAND USE - BASELINE</t>
  </si>
  <si>
    <t>Other</t>
  </si>
  <si>
    <t>tCO2e/a</t>
  </si>
  <si>
    <t>in the local dataset, correction factors are zero</t>
  </si>
  <si>
    <t>Annual change (%)</t>
  </si>
  <si>
    <t>land_use_baseline_forestland_annual_change_2021-30</t>
  </si>
  <si>
    <t>land_use_baseline_forestland_annual_change_2031-40</t>
  </si>
  <si>
    <t>land_use_baseline_forestland_annual_change_2041-50</t>
  </si>
  <si>
    <t>land_use_baseline_forestland_2022</t>
  </si>
  <si>
    <t>land_use_baseline_cropland_2022</t>
  </si>
  <si>
    <t>land_use_baseline_grassland_2022</t>
  </si>
  <si>
    <t>land_use_baseline_wetlands_2022</t>
  </si>
  <si>
    <t>land_use_baseline_settlements_2022</t>
  </si>
  <si>
    <t>land_use_baseline_other_land_2022</t>
  </si>
  <si>
    <t>land_use_baseline_cropland_annual_change_2021-30</t>
  </si>
  <si>
    <t>land_use_baseline_cropland_annual_change_2031-40</t>
  </si>
  <si>
    <t>land_use_baseline_cropland_annual_change_2041-50</t>
  </si>
  <si>
    <t>land_use_baseline_grassland_annual_change_2021-30</t>
  </si>
  <si>
    <t>land_use_baseline_grassland_annual_change_2031-40</t>
  </si>
  <si>
    <t>land_use_baseline_grassland_annual_change_2041-50</t>
  </si>
  <si>
    <t>land_use_baseline_wetlands_annual_change_2021-30</t>
  </si>
  <si>
    <t>land_use_baseline_wetlands_annual_change_2031-40</t>
  </si>
  <si>
    <t>land_use_baseline_wetlands_annual_change_2041-50</t>
  </si>
  <si>
    <t>land_use_baseline_settlements_annual_change_2021-30</t>
  </si>
  <si>
    <t>land_use_baseline_settlements_annual_change_2031-40</t>
  </si>
  <si>
    <t>land_use_baseline_settlements_annual_change_2041-50</t>
  </si>
  <si>
    <t>land_use_baseline_other_land_annual_change_2021-30</t>
  </si>
  <si>
    <t>land_use_baseline_other_land_annual_change_2031-40</t>
  </si>
  <si>
    <t>land_use_baseline_other_land_annual_change_2041-50</t>
  </si>
  <si>
    <t>grid_electricity_emission_factor</t>
  </si>
  <si>
    <t>population (with U2 impact from Transport module)</t>
  </si>
  <si>
    <t>Population for U4</t>
  </si>
  <si>
    <t>from_cropland_to_forestland</t>
  </si>
  <si>
    <t>from_grassland_to_forestland</t>
  </si>
  <si>
    <t>from_wetland_to_forestland</t>
  </si>
  <si>
    <t>from_settlements_to_forestland</t>
  </si>
  <si>
    <t>from_other_land_to_forestland</t>
  </si>
  <si>
    <t>from_forestland_to_cropland</t>
  </si>
  <si>
    <t>from_grassland_to_cropland</t>
  </si>
  <si>
    <t>from_wetland_to_cropland</t>
  </si>
  <si>
    <t>from_settlements_to_cropland</t>
  </si>
  <si>
    <t>from_other_land_to_cropland</t>
  </si>
  <si>
    <t>from_forestland_to_grassland</t>
  </si>
  <si>
    <t>from_cropland_to_grassland</t>
  </si>
  <si>
    <t>from_wetland_to_grassland</t>
  </si>
  <si>
    <t>from_settlements_to_grassland</t>
  </si>
  <si>
    <t>from_other_land_to_grassland</t>
  </si>
  <si>
    <t>from_forestland_to_settlements</t>
  </si>
  <si>
    <t>from_cropland_to_settlements</t>
  </si>
  <si>
    <t>from_grassland_to_settlements</t>
  </si>
  <si>
    <t>from_wetland_to_settlements</t>
  </si>
  <si>
    <t>from_other_land_to_settlements</t>
  </si>
  <si>
    <t>from_forestland_to_other_land</t>
  </si>
  <si>
    <t>from_cropland_to_other_land</t>
  </si>
  <si>
    <t>from_grassland_to_other_land</t>
  </si>
  <si>
    <t>from_wetland_to_other_land</t>
  </si>
  <si>
    <t>from_settlements_to_other_land</t>
  </si>
  <si>
    <t>no inputs for U4 - displays results below only if existing results are imported in a local dataset</t>
  </si>
  <si>
    <t>U4 Land use - baseline tCO2/a (always zero except when specified in local dataset)</t>
  </si>
  <si>
    <t>U4 Land use - baseline tCO2/resident, a (always zero except when specified in local dataset)</t>
  </si>
  <si>
    <t>land_converted_to_peat_extraction (combined)_biomass_aboveground</t>
  </si>
  <si>
    <t>land_converted_to_peat_extraction (combined)_biomass_belowground</t>
  </si>
  <si>
    <t>land_converted_to_peat_extraction (combined)_dead organic matter_dead wood</t>
  </si>
  <si>
    <t>land_converted_to_peat_extraction (combined)_dead organic matter_litter</t>
  </si>
  <si>
    <t>land_converted_to_peat_extraction (combined)_soil_mineral</t>
  </si>
  <si>
    <t>land_converted_to_peat_extraction (combined)_soil_organic</t>
  </si>
  <si>
    <t>peatland_restoration_(rewetting)</t>
  </si>
  <si>
    <t>peatland_restoration_(rewetting)_biomass_aboveground</t>
  </si>
  <si>
    <t>peatland_restoration_(rewetting)_biomass_belowground</t>
  </si>
  <si>
    <t>peatland_restoration_(rewetting)_dead organic matter_dead wood</t>
  </si>
  <si>
    <t>peatland_restoration_(rewetting)_dead organic matter_litter</t>
  </si>
  <si>
    <t>peatland_restoration_(rewetting)_soil_mineral</t>
  </si>
  <si>
    <t>peatland_restoration_(rewetting)_soil_organic</t>
  </si>
  <si>
    <t>forestland_converted_to_other_wetlands/flooded_land</t>
  </si>
  <si>
    <t>forestland_converted_to_other_wetlands/flooded_land_biomass_aboveground</t>
  </si>
  <si>
    <t>forestland_converted_to_other_wetlands/flooded_land_biomass_belowground</t>
  </si>
  <si>
    <t>forestland_converted_to_other_wetlands/flooded_land_dead organic matter_dead wood</t>
  </si>
  <si>
    <t>forestland_converted_to_other_wetlands/flooded_land_dead organic matter_litter</t>
  </si>
  <si>
    <t>forestland_converted_to_other_wetlands/flooded_land_soil_mineral</t>
  </si>
  <si>
    <t>forestland_converted_to_other_wetlands/flooded_land_soil_organic</t>
  </si>
  <si>
    <t>cropland_converted_to_other_wetlands/flooded_land</t>
  </si>
  <si>
    <t>cropland_converted_to_other_wetlands/flooded_land_biomass_aboveground</t>
  </si>
  <si>
    <t>cropland_converted_to_other_wetlands/flooded_land_biomass_belowground</t>
  </si>
  <si>
    <t>cropland_converted_to_other_wetlands/flooded_land_dead organic matter_dead wood</t>
  </si>
  <si>
    <t>cropland_converted_to_other_wetlands/flooded_land_dead organic matter_litter</t>
  </si>
  <si>
    <t>cropland_converted_to_other_wetlands/flooded_land_soil_mineral</t>
  </si>
  <si>
    <t>cropland_converted_to_other_wetlands/flooded_land_soil_organic</t>
  </si>
  <si>
    <t>grassland_converted_to_other_wetlands/flooded_land</t>
  </si>
  <si>
    <t>grassland_converted_to_other_wetlands/flooded_land_biomass_aboveground</t>
  </si>
  <si>
    <t>grassland_converted_to_other_wetlands/flooded_land_biomass_belowground</t>
  </si>
  <si>
    <t>grassland_converted_to_other_wetlands/flooded_land_dead organic matter_dead wood</t>
  </si>
  <si>
    <t>grassland_converted_to_other_wetlands/flooded_land_dead organic matter_litter</t>
  </si>
  <si>
    <t>grassland_converted_to_other_wetlands/flooded_land_soil_mineral</t>
  </si>
  <si>
    <t>grassland_converted_to_other_wetlands/flooded_land_soil_organic</t>
  </si>
  <si>
    <t>land_converted_to_peat_extraction_(combined)</t>
  </si>
  <si>
    <t>Land converted to peat extraction (combined)</t>
  </si>
  <si>
    <t>Peatland restoration (rewetting)</t>
  </si>
  <si>
    <t>Carbon stock change factors, 
t C/ha yr</t>
  </si>
  <si>
    <t>Biomass</t>
  </si>
  <si>
    <t>Dead organic matter</t>
  </si>
  <si>
    <t>Soil</t>
  </si>
  <si>
    <t>aboveground</t>
  </si>
  <si>
    <t>belowground</t>
  </si>
  <si>
    <t>dead wood</t>
  </si>
  <si>
    <t>litter</t>
  </si>
  <si>
    <t xml:space="preserve">mineral </t>
  </si>
  <si>
    <t>organic</t>
  </si>
  <si>
    <t>Cropland to forest land</t>
  </si>
  <si>
    <t>Grassland to forest land</t>
  </si>
  <si>
    <t>Wetlands to forest land</t>
  </si>
  <si>
    <t>Settlements to forest land</t>
  </si>
  <si>
    <t>Other land to forest land</t>
  </si>
  <si>
    <t>Forest land to cropland</t>
  </si>
  <si>
    <t>Grassland to cropland</t>
  </si>
  <si>
    <t>Wetlands to cropland</t>
  </si>
  <si>
    <t>Settlements to cropland</t>
  </si>
  <si>
    <t>Other land to cropland</t>
  </si>
  <si>
    <t>Forest land to grassland</t>
  </si>
  <si>
    <t>Cropland to grassland</t>
  </si>
  <si>
    <t>Wetlands to grassland</t>
  </si>
  <si>
    <t>Settlements to grassland</t>
  </si>
  <si>
    <t>Other land to grassland</t>
  </si>
  <si>
    <t>Forest land converted to other wetlands/ flooded land</t>
  </si>
  <si>
    <t>Cropland converted to other wetlands/ flooded land</t>
  </si>
  <si>
    <t>Grassland converted to other wetlands/ flooded land</t>
  </si>
  <si>
    <t>Forest land to settlements</t>
  </si>
  <si>
    <t>Cropland to settlements</t>
  </si>
  <si>
    <t>Grassland to settlements</t>
  </si>
  <si>
    <t>Wetlands to settlements</t>
  </si>
  <si>
    <t>Other land to settlements</t>
  </si>
  <si>
    <t>Forest land to other land</t>
  </si>
  <si>
    <t>Cropland to other land</t>
  </si>
  <si>
    <t>Grassland to other land</t>
  </si>
  <si>
    <t>Wetlands to other land</t>
  </si>
  <si>
    <t>Settlements to other land</t>
  </si>
  <si>
    <t>Forest land remaining forest land</t>
  </si>
  <si>
    <t>Cropland remaining cropland</t>
  </si>
  <si>
    <t>Grassland remaining grassland</t>
  </si>
  <si>
    <t>Peat extraction remaining peat extraction</t>
  </si>
  <si>
    <t>Wetlands remaining wetlands</t>
  </si>
  <si>
    <t>Settlements remaining settlements</t>
  </si>
  <si>
    <t>without policy</t>
  </si>
  <si>
    <t>policy target %</t>
  </si>
  <si>
    <t>U3.4 MODAL SPLIT / FREIGHT TRANSPORT</t>
  </si>
  <si>
    <t>affected</t>
  </si>
  <si>
    <t>% of the area</t>
  </si>
  <si>
    <t>U3.5 SHARES OF FUEL TYPES / BUS TRANSPORT</t>
  </si>
  <si>
    <t>Increase in the share of renewables</t>
  </si>
  <si>
    <t>reduction</t>
  </si>
  <si>
    <t>Diesel</t>
  </si>
  <si>
    <t>Electricity</t>
  </si>
  <si>
    <t>Fuel type description</t>
  </si>
  <si>
    <t>AVERAGE</t>
  </si>
  <si>
    <t>ROAD</t>
  </si>
  <si>
    <t>STREET</t>
  </si>
  <si>
    <t>Petroleum products</t>
  </si>
  <si>
    <t>Liquefied Petroleum Gas (LPG)</t>
  </si>
  <si>
    <t>Natural Gas (CNG)</t>
  </si>
  <si>
    <t>area type</t>
  </si>
  <si>
    <t>ROAD-%  x road emission factor + STREET-% x street emission factor</t>
  </si>
  <si>
    <t>area type %</t>
  </si>
  <si>
    <t>from U1</t>
  </si>
  <si>
    <t>Land-use change</t>
  </si>
  <si>
    <t>Total area, ha</t>
  </si>
  <si>
    <t>Soil area, ha</t>
  </si>
  <si>
    <t>Forest land to other wetlands/ flooded land</t>
  </si>
  <si>
    <t>Cropland to other wetlands/ flooded land</t>
  </si>
  <si>
    <t>Grassland to other wetlands/ flooded land</t>
  </si>
  <si>
    <t>Total area (ha)</t>
  </si>
  <si>
    <t>total area (ha)</t>
  </si>
  <si>
    <t>soil area (ha)</t>
  </si>
  <si>
    <t>year 1</t>
  </si>
  <si>
    <t xml:space="preserve">year of </t>
  </si>
  <si>
    <t>implementation</t>
  </si>
  <si>
    <t>number of first CSC factor</t>
  </si>
  <si>
    <t>country</t>
  </si>
  <si>
    <t>GRID ELECTRICITY</t>
  </si>
  <si>
    <t>CAR</t>
  </si>
  <si>
    <t>INLAND WATERWAYS TRANSPORT</t>
  </si>
  <si>
    <t>LU BASELINE FORESTLAND</t>
  </si>
  <si>
    <t>LU BASELINE CROPLAND</t>
  </si>
  <si>
    <t>LU BASELINE GRASSLAND</t>
  </si>
  <si>
    <t>LU BASELINE WETLANDS</t>
  </si>
  <si>
    <t>LU BASELINE SETTLEMENTS</t>
  </si>
  <si>
    <t>LU BASELINE OTHER LAND</t>
  </si>
  <si>
    <t>ADJUSTMENT BY THE YEAR OF IMPLEMENTION</t>
  </si>
  <si>
    <t>Mir</t>
  </si>
  <si>
    <t>BUILDINGS</t>
  </si>
  <si>
    <t>BUS BASELINE EMISSIONS</t>
  </si>
  <si>
    <r>
      <t>V</t>
    </r>
    <r>
      <rPr>
        <vertAlign val="subscript"/>
        <sz val="10"/>
        <color theme="1"/>
        <rFont val="Arial Unicode MS"/>
        <family val="2"/>
        <charset val="186"/>
      </rPr>
      <t>BUS</t>
    </r>
  </si>
  <si>
    <r>
      <t>V</t>
    </r>
    <r>
      <rPr>
        <vertAlign val="subscript"/>
        <sz val="10"/>
        <rFont val="Arial Unicode MS"/>
        <family val="2"/>
        <charset val="186"/>
      </rPr>
      <t>BUS_2021</t>
    </r>
    <r>
      <rPr>
        <sz val="10"/>
        <rFont val="Arial Unicode MS"/>
        <family val="2"/>
        <charset val="186"/>
      </rPr>
      <t xml:space="preserve"> = BUS_COL1 / BUS_COL2 * CF</t>
    </r>
    <r>
      <rPr>
        <vertAlign val="subscript"/>
        <sz val="10"/>
        <rFont val="Arial Unicode MS"/>
        <family val="2"/>
        <charset val="186"/>
      </rPr>
      <t>BUS</t>
    </r>
    <r>
      <rPr>
        <sz val="10"/>
        <rFont val="Arial Unicode MS"/>
        <family val="2"/>
        <charset val="186"/>
      </rPr>
      <t xml:space="preserve"> </t>
    </r>
  </si>
  <si>
    <r>
      <t>average kgCO</t>
    </r>
    <r>
      <rPr>
        <vertAlign val="subscript"/>
        <sz val="10"/>
        <color theme="1"/>
        <rFont val="Arial Unicode MS"/>
        <family val="2"/>
        <charset val="186"/>
      </rPr>
      <t>2</t>
    </r>
    <r>
      <rPr>
        <sz val="10"/>
        <color theme="1"/>
        <rFont val="Arial Unicode MS"/>
        <family val="2"/>
        <charset val="186"/>
      </rPr>
      <t>e/vehicle-km</t>
    </r>
  </si>
  <si>
    <r>
      <t>BASELINE V</t>
    </r>
    <r>
      <rPr>
        <vertAlign val="subscript"/>
        <sz val="10"/>
        <color theme="1"/>
        <rFont val="Arial Unicode MS"/>
        <family val="2"/>
        <charset val="186"/>
      </rPr>
      <t>BUS</t>
    </r>
  </si>
  <si>
    <t>RESULT</t>
  </si>
  <si>
    <t>emission factor</t>
  </si>
  <si>
    <r>
      <t>BASELINE V</t>
    </r>
    <r>
      <rPr>
        <vertAlign val="subscript"/>
        <sz val="10"/>
        <color theme="1"/>
        <rFont val="Arial Unicode MS"/>
        <family val="2"/>
        <charset val="186"/>
      </rPr>
      <t>CAR</t>
    </r>
  </si>
  <si>
    <r>
      <t>V</t>
    </r>
    <r>
      <rPr>
        <vertAlign val="subscript"/>
        <sz val="10"/>
        <color theme="1"/>
        <rFont val="Arial Unicode MS"/>
        <family val="2"/>
        <charset val="186"/>
      </rPr>
      <t>CAR</t>
    </r>
  </si>
  <si>
    <t>Petrol</t>
  </si>
  <si>
    <t>Petrol-electric hybrid</t>
  </si>
  <si>
    <t xml:space="preserve">Petrol-electric plug-in hybrid PHEV </t>
  </si>
  <si>
    <t>Diesel-electric hybrid</t>
  </si>
  <si>
    <t>Diesel-electric plug-in hybrid PHEV</t>
  </si>
  <si>
    <t>Hydrogen+fuel cell</t>
  </si>
  <si>
    <t>Bioethanol</t>
  </si>
  <si>
    <t>Biodiesel</t>
  </si>
  <si>
    <t>Driving profile (%)</t>
  </si>
  <si>
    <t>Share in bus fleet (%)</t>
  </si>
  <si>
    <t>Share in car fleet (%)</t>
  </si>
  <si>
    <r>
      <t>Average emission factor E</t>
    </r>
    <r>
      <rPr>
        <vertAlign val="subscript"/>
        <sz val="10"/>
        <color theme="1"/>
        <rFont val="Arial Unicode MS"/>
        <family val="2"/>
        <charset val="186"/>
      </rPr>
      <t>CAR</t>
    </r>
  </si>
  <si>
    <t>CAR BASELINE EMISSIONS</t>
  </si>
  <si>
    <t>baseline car</t>
  </si>
  <si>
    <t>Biomethane (NGV)</t>
  </si>
  <si>
    <t>baseline metro</t>
  </si>
  <si>
    <t>Vienna</t>
  </si>
  <si>
    <t>-</t>
  </si>
  <si>
    <t>Brussels</t>
  </si>
  <si>
    <t>Sofia</t>
  </si>
  <si>
    <t>no metro</t>
  </si>
  <si>
    <t>Prague</t>
  </si>
  <si>
    <t>Copenhagen</t>
  </si>
  <si>
    <t>Helsinki</t>
  </si>
  <si>
    <t>Lille</t>
  </si>
  <si>
    <t>Lyon</t>
  </si>
  <si>
    <t>Marseille</t>
  </si>
  <si>
    <t>Paris</t>
  </si>
  <si>
    <t>Rennes</t>
  </si>
  <si>
    <t>Toulouse</t>
  </si>
  <si>
    <t>Berlin</t>
  </si>
  <si>
    <t>Hamburg</t>
  </si>
  <si>
    <t>Munich</t>
  </si>
  <si>
    <t>Nuremberg</t>
  </si>
  <si>
    <t>Athens</t>
  </si>
  <si>
    <t>Budapest</t>
  </si>
  <si>
    <t>Brescia</t>
  </si>
  <si>
    <t>Catania</t>
  </si>
  <si>
    <t>Genoa</t>
  </si>
  <si>
    <t>Milan</t>
  </si>
  <si>
    <t>Naples</t>
  </si>
  <si>
    <t>Rome</t>
  </si>
  <si>
    <t>Turin</t>
  </si>
  <si>
    <t>Amsterdam</t>
  </si>
  <si>
    <t>Rotterdam</t>
  </si>
  <si>
    <t>Oslo</t>
  </si>
  <si>
    <t>Warsaw</t>
  </si>
  <si>
    <t>Lisbon</t>
  </si>
  <si>
    <t>Bucharest</t>
  </si>
  <si>
    <t>Barcelona</t>
  </si>
  <si>
    <t>Bilbao</t>
  </si>
  <si>
    <t>Madrid</t>
  </si>
  <si>
    <t>Stockholm</t>
  </si>
  <si>
    <t>Lausanne</t>
  </si>
  <si>
    <t>Glasgow</t>
  </si>
  <si>
    <t>London Underground</t>
  </si>
  <si>
    <t>Gmunden</t>
  </si>
  <si>
    <t>Antwerp</t>
  </si>
  <si>
    <t>Osijek</t>
  </si>
  <si>
    <t>no trams</t>
  </si>
  <si>
    <t>Brno</t>
  </si>
  <si>
    <t>Aarhus</t>
  </si>
  <si>
    <t>Tallinn</t>
  </si>
  <si>
    <t>Angers</t>
  </si>
  <si>
    <t>Augsburg</t>
  </si>
  <si>
    <t>Dublin</t>
  </si>
  <si>
    <t>Bergamo–Albino light rail</t>
  </si>
  <si>
    <t>Daugavpils</t>
  </si>
  <si>
    <t>Bergen Light Rail</t>
  </si>
  <si>
    <t>Bydgoszcz</t>
  </si>
  <si>
    <t>Almada-Seixal</t>
  </si>
  <si>
    <t>Arad</t>
  </si>
  <si>
    <t>Bratislava</t>
  </si>
  <si>
    <t>Alicante</t>
  </si>
  <si>
    <t>Gothenburg</t>
  </si>
  <si>
    <t>Basel</t>
  </si>
  <si>
    <t>Birmingham, West Midlands Metro</t>
  </si>
  <si>
    <t>Graz</t>
  </si>
  <si>
    <t xml:space="preserve">Coast Tram </t>
  </si>
  <si>
    <t>Zagreb</t>
  </si>
  <si>
    <t>Liberec–Jablonec</t>
  </si>
  <si>
    <t>Tampere</t>
  </si>
  <si>
    <t>Aubagne</t>
  </si>
  <si>
    <t>Bad Schandau</t>
  </si>
  <si>
    <t>Debrecen</t>
  </si>
  <si>
    <t>Cagliari light rail</t>
  </si>
  <si>
    <t>Liepāja</t>
  </si>
  <si>
    <t>Częstochowa</t>
  </si>
  <si>
    <t>Botoșani</t>
  </si>
  <si>
    <t>Košice</t>
  </si>
  <si>
    <t>Lund</t>
  </si>
  <si>
    <t>Bern</t>
  </si>
  <si>
    <t>Blackpool tramway</t>
  </si>
  <si>
    <t>Innsbruck</t>
  </si>
  <si>
    <t>Most-Litvínov</t>
  </si>
  <si>
    <t>Avignon</t>
  </si>
  <si>
    <t>Miskolc</t>
  </si>
  <si>
    <t>Florence</t>
  </si>
  <si>
    <t>Riga</t>
  </si>
  <si>
    <t>The Hague</t>
  </si>
  <si>
    <t>Trondheim</t>
  </si>
  <si>
    <t>Elbląg</t>
  </si>
  <si>
    <t>Porto Metro</t>
  </si>
  <si>
    <t>Brăila</t>
  </si>
  <si>
    <t>Trenčianske Teplice</t>
  </si>
  <si>
    <t>Norrköping</t>
  </si>
  <si>
    <t>Geneva</t>
  </si>
  <si>
    <t>Linz</t>
  </si>
  <si>
    <t>Charleroi</t>
  </si>
  <si>
    <t>Olomouc</t>
  </si>
  <si>
    <t>Besançon</t>
  </si>
  <si>
    <t>Bielefeld</t>
  </si>
  <si>
    <t>Szeged</t>
  </si>
  <si>
    <t>Messina</t>
  </si>
  <si>
    <t>Utrecht sneltram</t>
  </si>
  <si>
    <t>Gdańsk</t>
  </si>
  <si>
    <t>Porto</t>
  </si>
  <si>
    <t>Granada</t>
  </si>
  <si>
    <t>London Tramlink</t>
  </si>
  <si>
    <t>Vienna tram</t>
  </si>
  <si>
    <t>Ghent</t>
  </si>
  <si>
    <t>Ostrava</t>
  </si>
  <si>
    <t>Bordeaux</t>
  </si>
  <si>
    <t>Bochum Stadtbahn</t>
  </si>
  <si>
    <t>Mestre</t>
  </si>
  <si>
    <t>Gorzów Wielkopolski</t>
  </si>
  <si>
    <t>Sintra</t>
  </si>
  <si>
    <t>Cluj-Napoca</t>
  </si>
  <si>
    <t>Neuchâtel</t>
  </si>
  <si>
    <t>Manchester Metrolink</t>
  </si>
  <si>
    <t>Wiener Lokalbahn</t>
  </si>
  <si>
    <t>Pilsen</t>
  </si>
  <si>
    <t>Brest</t>
  </si>
  <si>
    <t>Bochum/Gelsenkirchen</t>
  </si>
  <si>
    <t>Grudziądz</t>
  </si>
  <si>
    <t>Craiova</t>
  </si>
  <si>
    <t>Murcia</t>
  </si>
  <si>
    <t>Zürich</t>
  </si>
  <si>
    <t>Newcastle, Tyne and Wear Metro</t>
  </si>
  <si>
    <t>Bonn Stadtbahn</t>
  </si>
  <si>
    <t>Katowice</t>
  </si>
  <si>
    <t>Galați</t>
  </si>
  <si>
    <t>Parla</t>
  </si>
  <si>
    <t>Nottingham Express Transit</t>
  </si>
  <si>
    <t>Bonn</t>
  </si>
  <si>
    <t>Padua</t>
  </si>
  <si>
    <t>Kraków</t>
  </si>
  <si>
    <t>Iași (RATP Iași)</t>
  </si>
  <si>
    <t>Santa Cruz de Tenerife</t>
  </si>
  <si>
    <t>Sheffield Supertram</t>
  </si>
  <si>
    <t>Brandenburg  and der Havel</t>
  </si>
  <si>
    <t>Palermo</t>
  </si>
  <si>
    <t>Kraków Fast Tram</t>
  </si>
  <si>
    <t>Oradea</t>
  </si>
  <si>
    <t>Seville</t>
  </si>
  <si>
    <t>Docklands Light Railway</t>
  </si>
  <si>
    <t>Braunschweig</t>
  </si>
  <si>
    <t>Łódź</t>
  </si>
  <si>
    <t>Ploiești</t>
  </si>
  <si>
    <t>Sóller, Mallorca</t>
  </si>
  <si>
    <t>Bremen</t>
  </si>
  <si>
    <t>Sassari</t>
  </si>
  <si>
    <t>Olsztyn</t>
  </si>
  <si>
    <t>Timișoara</t>
  </si>
  <si>
    <t>Valencia</t>
  </si>
  <si>
    <t>Chemnitz</t>
  </si>
  <si>
    <t>Poznań</t>
  </si>
  <si>
    <t>Vitoria-Gasteiz</t>
  </si>
  <si>
    <t>Cologne</t>
  </si>
  <si>
    <t>Trieste–Opicina</t>
  </si>
  <si>
    <t>Poznań Fast Tram</t>
  </si>
  <si>
    <t>Zaragoza</t>
  </si>
  <si>
    <t>Cottbus</t>
  </si>
  <si>
    <t>Szczecin</t>
  </si>
  <si>
    <t>Darmstadt</t>
  </si>
  <si>
    <t>Toruń</t>
  </si>
  <si>
    <t>Dessau</t>
  </si>
  <si>
    <t>Dortmund</t>
  </si>
  <si>
    <t>Wrocław</t>
  </si>
  <si>
    <t>Dresden</t>
  </si>
  <si>
    <t>Duisburg</t>
  </si>
  <si>
    <t>Düsseldorf Stadtbahn</t>
  </si>
  <si>
    <t>Düsseldorf</t>
  </si>
  <si>
    <t>Erfurt</t>
  </si>
  <si>
    <t>Essen Stadtbahn</t>
  </si>
  <si>
    <t>Essen trams</t>
  </si>
  <si>
    <t>Frankfurt am Main U-Bahn</t>
  </si>
  <si>
    <t>Frankfurt am Main</t>
  </si>
  <si>
    <t>Frankfurt (Oder)</t>
  </si>
  <si>
    <t>Freiburg im Breisgau</t>
  </si>
  <si>
    <t>Gera</t>
  </si>
  <si>
    <t>Görlitz</t>
  </si>
  <si>
    <t>Gotha</t>
  </si>
  <si>
    <t>Halberstadt</t>
  </si>
  <si>
    <t>Halle (Saale)</t>
  </si>
  <si>
    <t>Heidelberg</t>
  </si>
  <si>
    <t>Hanover</t>
  </si>
  <si>
    <t>Jena</t>
  </si>
  <si>
    <t>Karlsruhe Stadtbahn</t>
  </si>
  <si>
    <t>Karlsruhe</t>
  </si>
  <si>
    <t>Kassel RegioTram</t>
  </si>
  <si>
    <t>Kassel</t>
  </si>
  <si>
    <t>Krefeld</t>
  </si>
  <si>
    <t>Leipzig</t>
  </si>
  <si>
    <t>Magdeburg</t>
  </si>
  <si>
    <t>Mainz</t>
  </si>
  <si>
    <t>Mannheim/Ludwigshafen</t>
  </si>
  <si>
    <t>Mülheim/Oberhausen</t>
  </si>
  <si>
    <t>Naumburg (Saale)</t>
  </si>
  <si>
    <t>Nordhausen</t>
  </si>
  <si>
    <t>Plauen</t>
  </si>
  <si>
    <t>Potsdam</t>
  </si>
  <si>
    <t>Rostock</t>
  </si>
  <si>
    <t>Saarbahn</t>
  </si>
  <si>
    <t>Schwerin</t>
  </si>
  <si>
    <t>Strausberg</t>
  </si>
  <si>
    <t>Stuttgart</t>
  </si>
  <si>
    <t>Ulm</t>
  </si>
  <si>
    <t>U6 BUILDINGS BASELINE</t>
  </si>
  <si>
    <t>CF not applied</t>
  </si>
  <si>
    <t>the results is per capita, as this is embedded in default values</t>
  </si>
  <si>
    <r>
      <t>kgCO</t>
    </r>
    <r>
      <rPr>
        <vertAlign val="subscript"/>
        <sz val="10"/>
        <color theme="1"/>
        <rFont val="Albertus Medium"/>
        <family val="2"/>
      </rPr>
      <t>2</t>
    </r>
    <r>
      <rPr>
        <sz val="10"/>
        <color theme="1"/>
        <rFont val="Albertus Medium"/>
        <family val="2"/>
      </rPr>
      <t>e/resident, a</t>
    </r>
  </si>
  <si>
    <t>gCO2e/vkm</t>
  </si>
  <si>
    <t>vkm/(a, capita)</t>
  </si>
  <si>
    <t>kgCO2e/(a, capita)</t>
  </si>
  <si>
    <t>METRO BASELINE EMISSIONS</t>
  </si>
  <si>
    <t>baseline tram</t>
  </si>
  <si>
    <t>Emission factors (parametric value = bold letter)</t>
  </si>
  <si>
    <r>
      <t>V</t>
    </r>
    <r>
      <rPr>
        <vertAlign val="subscript"/>
        <sz val="10"/>
        <color theme="1"/>
        <rFont val="Arial Unicode MS"/>
        <family val="2"/>
        <charset val="186"/>
      </rPr>
      <t>METRO</t>
    </r>
  </si>
  <si>
    <r>
      <t>V</t>
    </r>
    <r>
      <rPr>
        <vertAlign val="subscript"/>
        <sz val="10"/>
        <color theme="1"/>
        <rFont val="Arial Unicode MS"/>
        <family val="2"/>
        <charset val="186"/>
      </rPr>
      <t>TRAM</t>
    </r>
  </si>
  <si>
    <t>TRAM BASELINE EMISSIONS</t>
  </si>
  <si>
    <t>baseline passenger train</t>
  </si>
  <si>
    <r>
      <t>V</t>
    </r>
    <r>
      <rPr>
        <vertAlign val="subscript"/>
        <sz val="11"/>
        <color theme="1"/>
        <rFont val="Albertus Medium"/>
        <family val="2"/>
      </rPr>
      <t>TRAIN</t>
    </r>
  </si>
  <si>
    <r>
      <t>V</t>
    </r>
    <r>
      <rPr>
        <vertAlign val="subscript"/>
        <sz val="10"/>
        <rFont val="Arial Unicode MS"/>
        <family val="2"/>
        <charset val="186"/>
      </rPr>
      <t>TRAIN_2021</t>
    </r>
    <r>
      <rPr>
        <sz val="10"/>
        <rFont val="Arial Unicode MS"/>
        <family val="2"/>
        <charset val="186"/>
      </rPr>
      <t xml:space="preserve"> = TRAIN_COL1 / TRAIN_COL2 * CF</t>
    </r>
    <r>
      <rPr>
        <vertAlign val="subscript"/>
        <sz val="10"/>
        <rFont val="Arial Unicode MS"/>
        <family val="2"/>
        <charset val="186"/>
      </rPr>
      <t>TRAIN</t>
    </r>
    <r>
      <rPr>
        <sz val="10"/>
        <rFont val="Arial Unicode MS"/>
        <family val="2"/>
        <charset val="186"/>
      </rPr>
      <t xml:space="preserve"> </t>
    </r>
  </si>
  <si>
    <t>TRAIN_COL12</t>
  </si>
  <si>
    <t>TRAIN BASELINE EMISSIONS</t>
  </si>
  <si>
    <t>Apartment</t>
  </si>
  <si>
    <t>Detached</t>
  </si>
  <si>
    <t>Semi-detached</t>
  </si>
  <si>
    <t>Terraced</t>
  </si>
  <si>
    <t>Gas</t>
  </si>
  <si>
    <t>Oil</t>
  </si>
  <si>
    <t>Coal</t>
  </si>
  <si>
    <t>Peat</t>
  </si>
  <si>
    <t>Wood</t>
  </si>
  <si>
    <t>Renewable</t>
  </si>
  <si>
    <t>Heat</t>
  </si>
  <si>
    <t>U6.1 Number of residential units in the area</t>
  </si>
  <si>
    <t>Retail</t>
  </si>
  <si>
    <t>Health</t>
  </si>
  <si>
    <t>Hospitality</t>
  </si>
  <si>
    <t>Offices</t>
  </si>
  <si>
    <t>Industrial</t>
  </si>
  <si>
    <t>Warehouses</t>
  </si>
  <si>
    <t>heating of spaces</t>
  </si>
  <si>
    <t>domestic hot water</t>
  </si>
  <si>
    <t>light &amp; appliances</t>
  </si>
  <si>
    <t>pumps &amp; fans</t>
  </si>
  <si>
    <t>RESIDENTIAL BUILDINGS</t>
  </si>
  <si>
    <t>U8 POLICY QUANTIFICATION</t>
  </si>
  <si>
    <t>total floor area</t>
  </si>
  <si>
    <t>nr of units</t>
  </si>
  <si>
    <t>U7.1 New residential units</t>
  </si>
  <si>
    <t>U7.2 New commercial buildings</t>
  </si>
  <si>
    <t>residential units</t>
  </si>
  <si>
    <t>Semi-Detached</t>
  </si>
  <si>
    <t xml:space="preserve">Peat </t>
  </si>
  <si>
    <t>kWh/dwelling</t>
  </si>
  <si>
    <t>BUI_COL1</t>
  </si>
  <si>
    <t>Space heating</t>
  </si>
  <si>
    <t>Water heating</t>
  </si>
  <si>
    <t>Lights &amp; appliances</t>
  </si>
  <si>
    <t>Pumps &amp; fans</t>
  </si>
  <si>
    <t>Average</t>
  </si>
  <si>
    <t>from baseline</t>
  </si>
  <si>
    <t>annual change caused by the policy</t>
  </si>
  <si>
    <t>from inputs</t>
  </si>
  <si>
    <t>what remains (%)</t>
  </si>
  <si>
    <t>U3.3 change as %</t>
  </si>
  <si>
    <t>% share adjusted</t>
  </si>
  <si>
    <t>before</t>
  </si>
  <si>
    <t>after</t>
  </si>
  <si>
    <t>U6.2 Floor area of commercial buildings in the area</t>
  </si>
  <si>
    <t xml:space="preserve">PASSENGER TRANSPORT   </t>
  </si>
  <si>
    <t>Passenger road transport by non-residents</t>
  </si>
  <si>
    <t>very limited</t>
  </si>
  <si>
    <t>national average intensity</t>
  </si>
  <si>
    <t>very intensive</t>
  </si>
  <si>
    <t>FREIGHT TRANSPORT</t>
  </si>
  <si>
    <t>Freight transport on wheels</t>
  </si>
  <si>
    <t>freight for residents only</t>
  </si>
  <si>
    <t>low intensity</t>
  </si>
  <si>
    <t>high intensity</t>
  </si>
  <si>
    <t>all national road freight included</t>
  </si>
  <si>
    <t>Freight transport on rails</t>
  </si>
  <si>
    <t>no freight transport on rails</t>
  </si>
  <si>
    <t>all national rail freight included</t>
  </si>
  <si>
    <t>Freight transport on inland waterways</t>
  </si>
  <si>
    <t>no freight transport on water</t>
  </si>
  <si>
    <t>all inland waterways freight included</t>
  </si>
  <si>
    <t>peatland_restoration</t>
  </si>
  <si>
    <t>cropland_to_forestland</t>
  </si>
  <si>
    <t>grassland_to_forestland</t>
  </si>
  <si>
    <t>wetland_to_forestland</t>
  </si>
  <si>
    <t>settlement_to_forestland</t>
  </si>
  <si>
    <t>otherland_to_forestland</t>
  </si>
  <si>
    <t>forestland_to_cropland</t>
  </si>
  <si>
    <t>grassland_to_cropland</t>
  </si>
  <si>
    <t>wetland_to_cropland</t>
  </si>
  <si>
    <t>settlement_to_cropland</t>
  </si>
  <si>
    <t>otherland_to_cropland</t>
  </si>
  <si>
    <t>forestland_to_grassland</t>
  </si>
  <si>
    <t>cropland_to_grassland</t>
  </si>
  <si>
    <t>wetland_to_grassland</t>
  </si>
  <si>
    <t>settlement_to_grassland</t>
  </si>
  <si>
    <t>otherland_to_grassland</t>
  </si>
  <si>
    <t>land_to_peat_extraction</t>
  </si>
  <si>
    <t>forestland_to_other_wetland</t>
  </si>
  <si>
    <t>cropland_to_other_wetland</t>
  </si>
  <si>
    <t>grassland_to_other_wetland</t>
  </si>
  <si>
    <t>forestland_to_settlement</t>
  </si>
  <si>
    <t>cropland_to_settlement</t>
  </si>
  <si>
    <t>grassland_to_settlement</t>
  </si>
  <si>
    <t>wetland_to_settlement</t>
  </si>
  <si>
    <t>otherland_to_settlement</t>
  </si>
  <si>
    <t>forestland_to_otherland</t>
  </si>
  <si>
    <t>cropland_to_otherland</t>
  </si>
  <si>
    <t>grassland_to_otherland</t>
  </si>
  <si>
    <t>wetland_to_otherland</t>
  </si>
  <si>
    <t>settlement_to_otherland</t>
  </si>
  <si>
    <t>forestland_remaining_forestland</t>
  </si>
  <si>
    <t>cropland_remaining_cropland</t>
  </si>
  <si>
    <t>grassland_remaining_grassland</t>
  </si>
  <si>
    <t>peat_extraction_remaining_peat_extraction</t>
  </si>
  <si>
    <t>wetland_remaining_wetland</t>
  </si>
  <si>
    <t>settlement_remaining_settlement</t>
  </si>
  <si>
    <t>aboveground_biomass</t>
  </si>
  <si>
    <t>belowground_biomass</t>
  </si>
  <si>
    <t>dead_wood</t>
  </si>
  <si>
    <t>mineral_soil</t>
  </si>
  <si>
    <t>organic_soil</t>
  </si>
  <si>
    <t>LUC TO FORESTLAND</t>
  </si>
  <si>
    <t>LUC TO CROPLAND</t>
  </si>
  <si>
    <t>LUC TO GRASSLAND</t>
  </si>
  <si>
    <t>LUC TO OTHER WETLAND</t>
  </si>
  <si>
    <t>LUC TO SETTLEMENT</t>
  </si>
  <si>
    <t>LUC TO OTHERLAND</t>
  </si>
  <si>
    <t>LUC LAND USE REMAINING UNCHANGED</t>
  </si>
  <si>
    <t>EMISSION FACTORS FOR ENERGY CARRIERS</t>
  </si>
  <si>
    <t>District heating</t>
  </si>
  <si>
    <t>CoM</t>
  </si>
  <si>
    <t>ANNUAL CHANGE IN BUILDING STOCK</t>
  </si>
  <si>
    <t>2041-50</t>
  </si>
  <si>
    <t>2021-30</t>
  </si>
  <si>
    <t>2031-40</t>
  </si>
  <si>
    <t>Emission_factor_for_energy_carrier (kgCO2e/kWh)</t>
  </si>
  <si>
    <r>
      <t>m</t>
    </r>
    <r>
      <rPr>
        <sz val="10"/>
        <color theme="1"/>
        <rFont val="Calibri"/>
        <family val="2"/>
        <charset val="186"/>
      </rPr>
      <t>²</t>
    </r>
  </si>
  <si>
    <t>Residential unit type</t>
  </si>
  <si>
    <t>% of energy from renewables</t>
  </si>
  <si>
    <t>U8.1 Retrofits of residential buildings</t>
  </si>
  <si>
    <t>U8.2 Retrofits of commercial buildings</t>
  </si>
  <si>
    <t>Commercial building type</t>
  </si>
  <si>
    <t>Indicative energy use</t>
  </si>
  <si>
    <t xml:space="preserve">before </t>
  </si>
  <si>
    <t>A</t>
  </si>
  <si>
    <t>B</t>
  </si>
  <si>
    <t>C</t>
  </si>
  <si>
    <t>G</t>
  </si>
  <si>
    <t>D</t>
  </si>
  <si>
    <t>E</t>
  </si>
  <si>
    <t>F</t>
  </si>
  <si>
    <t>Select residential unit</t>
  </si>
  <si>
    <t>Select building type</t>
  </si>
  <si>
    <t>New buildings completed between</t>
  </si>
  <si>
    <t>total number of apartments</t>
  </si>
  <si>
    <t>sub-category</t>
  </si>
  <si>
    <t xml:space="preserve">Number of residential units   </t>
  </si>
  <si>
    <t>Existing apartments</t>
  </si>
  <si>
    <t>Existing terraced</t>
  </si>
  <si>
    <t>Existing semi-detached</t>
  </si>
  <si>
    <t>Existing detached</t>
  </si>
  <si>
    <t>Heat*</t>
  </si>
  <si>
    <t>unit</t>
  </si>
  <si>
    <t>Energy</t>
  </si>
  <si>
    <t>no terraced house units built before baseline year</t>
  </si>
  <si>
    <t>no B-class terraced house units built after baseline year</t>
  </si>
  <si>
    <t>total number of terraced house units</t>
  </si>
  <si>
    <t>no A-class terraced house units built after baseline year</t>
  </si>
  <si>
    <t>no semi-detached units built before baseline year</t>
  </si>
  <si>
    <t>no A-class semi-detached units built after baseline year</t>
  </si>
  <si>
    <t>no B-class semi-detached units built after baseline year</t>
  </si>
  <si>
    <t>total number of semi-detached units</t>
  </si>
  <si>
    <t>no detached units built before baseline year</t>
  </si>
  <si>
    <t>no A-class detached units built after baseline year</t>
  </si>
  <si>
    <t>no B-class detached units built after baseline year</t>
  </si>
  <si>
    <t>total number of detached units</t>
  </si>
  <si>
    <t>Apartments</t>
  </si>
  <si>
    <t>nr of apartments built before baseline year</t>
  </si>
  <si>
    <t>nr of B-class apartments built after baseline year</t>
  </si>
  <si>
    <t>nr of A-class apartments built after baseline year</t>
  </si>
  <si>
    <t>GHG emissions by energy carrier (tCO2e/a)</t>
  </si>
  <si>
    <t>DISTRICT HEATING</t>
  </si>
  <si>
    <t>NUMBER OF RESIDENTIAL UNITS - EQUATIONS</t>
  </si>
  <si>
    <t>district_heating_emission_factor</t>
  </si>
  <si>
    <t>ENE_COL5</t>
  </si>
  <si>
    <t>ENE_COL6</t>
  </si>
  <si>
    <t>ENE_COL7</t>
  </si>
  <si>
    <t>ENE_COL8</t>
  </si>
  <si>
    <t>gCO2/kWh</t>
  </si>
  <si>
    <t>to be removed</t>
  </si>
  <si>
    <t>Unit conversion gCO2e/a -&gt; tCO2e/a. All results are divided by 1 000 000.</t>
  </si>
  <si>
    <t>GHG emissions from the energy use in residential buildings by unit type and source of heating energy</t>
  </si>
  <si>
    <t>COMMERCIAL BUILDINGS</t>
  </si>
  <si>
    <t>Residential buildings total</t>
  </si>
  <si>
    <t>Commercial buildings total</t>
  </si>
  <si>
    <t>Energy use in buildings, total</t>
  </si>
  <si>
    <t>Baseline summary (tCO2e/a)</t>
  </si>
  <si>
    <t>TERRACED</t>
  </si>
  <si>
    <t>SEMI-DETACHED</t>
  </si>
  <si>
    <t>DETACHED</t>
  </si>
  <si>
    <t>APARTMENT</t>
  </si>
  <si>
    <t>Energy carrier</t>
  </si>
  <si>
    <t xml:space="preserve">BASELINE SUMMARY  </t>
  </si>
  <si>
    <t>Commercial</t>
  </si>
  <si>
    <t>Floor area of commercial buildings</t>
  </si>
  <si>
    <t>Total surface area of commercial buildings</t>
  </si>
  <si>
    <t>RETAIL</t>
  </si>
  <si>
    <t>HOSPITALITY</t>
  </si>
  <si>
    <t>OFFICES</t>
  </si>
  <si>
    <t>INDUSTRIAL</t>
  </si>
  <si>
    <t>WAREHOUSES</t>
  </si>
  <si>
    <t>GHG EMISSIONS, ENERGY USE IN RESIDENTIAL BUILDINGS - EQUATIONS</t>
  </si>
  <si>
    <t>FLOOR AREA IN COMMERCIAL BUILDINGS</t>
  </si>
  <si>
    <r>
      <t>AREA</t>
    </r>
    <r>
      <rPr>
        <vertAlign val="subscript"/>
        <sz val="10"/>
        <color theme="1"/>
        <rFont val="Arial Unicode MS"/>
        <family val="2"/>
        <charset val="186"/>
      </rPr>
      <t>year_1</t>
    </r>
    <r>
      <rPr>
        <sz val="10"/>
        <color theme="1"/>
        <rFont val="Arial Unicode MS"/>
        <family val="2"/>
        <charset val="186"/>
      </rPr>
      <t>: inputs from cells B14:B19</t>
    </r>
  </si>
  <si>
    <r>
      <t>2021-30: AREA</t>
    </r>
    <r>
      <rPr>
        <vertAlign val="subscript"/>
        <sz val="10"/>
        <color theme="1"/>
        <rFont val="Arial Unicode MS"/>
        <family val="2"/>
        <charset val="186"/>
      </rPr>
      <t>yearX</t>
    </r>
    <r>
      <rPr>
        <sz val="10"/>
        <color theme="1"/>
        <rFont val="Arial Unicode MS"/>
        <family val="2"/>
        <charset val="186"/>
      </rPr>
      <t xml:space="preserve"> = (100-BUI_COL11+BUI_COL38) / 100 * AREA</t>
    </r>
    <r>
      <rPr>
        <vertAlign val="subscript"/>
        <sz val="10"/>
        <color theme="1"/>
        <rFont val="Arial Unicode MS"/>
        <family val="2"/>
        <charset val="186"/>
      </rPr>
      <t>yearX-1</t>
    </r>
  </si>
  <si>
    <r>
      <t>2031-40: AREA</t>
    </r>
    <r>
      <rPr>
        <vertAlign val="subscript"/>
        <sz val="10"/>
        <color theme="1"/>
        <rFont val="Arial Unicode MS"/>
        <family val="2"/>
        <charset val="186"/>
      </rPr>
      <t>yearX</t>
    </r>
    <r>
      <rPr>
        <sz val="10"/>
        <color theme="1"/>
        <rFont val="Arial Unicode MS"/>
        <family val="2"/>
        <charset val="186"/>
      </rPr>
      <t xml:space="preserve"> = (100-BUI_COL12+BUI_COL39) / 100 * AREA</t>
    </r>
    <r>
      <rPr>
        <vertAlign val="subscript"/>
        <sz val="10"/>
        <color theme="1"/>
        <rFont val="Arial Unicode MS"/>
        <family val="2"/>
        <charset val="186"/>
      </rPr>
      <t>yearX-2</t>
    </r>
    <r>
      <rPr>
        <sz val="11"/>
        <color theme="1"/>
        <rFont val="Calibri"/>
        <family val="2"/>
        <scheme val="minor"/>
      </rPr>
      <t/>
    </r>
  </si>
  <si>
    <r>
      <t>2041-50: AREA</t>
    </r>
    <r>
      <rPr>
        <vertAlign val="subscript"/>
        <sz val="10"/>
        <color theme="1"/>
        <rFont val="Arial Unicode MS"/>
        <family val="2"/>
        <charset val="186"/>
      </rPr>
      <t>yearX</t>
    </r>
    <r>
      <rPr>
        <sz val="10"/>
        <color theme="1"/>
        <rFont val="Arial Unicode MS"/>
        <family val="2"/>
        <charset val="186"/>
      </rPr>
      <t xml:space="preserve"> = (100-BUI_COL13+BUI_COL40) / 100 * AREA</t>
    </r>
    <r>
      <rPr>
        <vertAlign val="subscript"/>
        <sz val="10"/>
        <color theme="1"/>
        <rFont val="Arial Unicode MS"/>
        <family val="2"/>
        <charset val="186"/>
      </rPr>
      <t>yearX-3</t>
    </r>
    <r>
      <rPr>
        <sz val="11"/>
        <color theme="1"/>
        <rFont val="Calibri"/>
        <family val="2"/>
        <scheme val="minor"/>
      </rPr>
      <t/>
    </r>
  </si>
  <si>
    <t>GHG EMISSIONS BY ENERGY CARRIER</t>
  </si>
  <si>
    <t>example: Retail</t>
  </si>
  <si>
    <r>
      <t>Electricity: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Retail_Electricity</t>
    </r>
    <r>
      <rPr>
        <sz val="10"/>
        <color theme="1"/>
        <rFont val="Arial Unicode MS"/>
        <family val="2"/>
        <charset val="186"/>
      </rPr>
      <t xml:space="preserve"> * Emission factor</t>
    </r>
    <r>
      <rPr>
        <vertAlign val="subscript"/>
        <sz val="10"/>
        <color theme="1"/>
        <rFont val="Arial Unicode MS"/>
        <family val="2"/>
        <charset val="186"/>
      </rPr>
      <t>Electricity</t>
    </r>
    <r>
      <rPr>
        <sz val="10"/>
        <color theme="1"/>
        <rFont val="Arial Unicode MS"/>
        <family val="2"/>
        <charset val="186"/>
      </rPr>
      <t xml:space="preserve"> / 1000 000</t>
    </r>
  </si>
  <si>
    <r>
      <t>Gas: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Retail_Gas</t>
    </r>
    <r>
      <rPr>
        <sz val="10"/>
        <color theme="1"/>
        <rFont val="Arial Unicode MS"/>
        <family val="2"/>
        <charset val="186"/>
      </rPr>
      <t xml:space="preserve"> * Emission factor</t>
    </r>
    <r>
      <rPr>
        <vertAlign val="subscript"/>
        <sz val="10"/>
        <color theme="1"/>
        <rFont val="Arial Unicode MS"/>
        <family val="2"/>
        <charset val="186"/>
      </rPr>
      <t xml:space="preserve">Gas </t>
    </r>
    <r>
      <rPr>
        <sz val="10"/>
        <color theme="1"/>
        <rFont val="Arial Unicode MS"/>
        <family val="2"/>
        <charset val="186"/>
      </rPr>
      <t>/ 1000 000</t>
    </r>
  </si>
  <si>
    <r>
      <t>Oil: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Retail_Oil</t>
    </r>
    <r>
      <rPr>
        <sz val="10"/>
        <color theme="1"/>
        <rFont val="Arial Unicode MS"/>
        <family val="2"/>
        <charset val="186"/>
      </rPr>
      <t xml:space="preserve"> * Emission factor</t>
    </r>
    <r>
      <rPr>
        <vertAlign val="subscript"/>
        <sz val="10"/>
        <color theme="1"/>
        <rFont val="Arial Unicode MS"/>
        <family val="2"/>
        <charset val="186"/>
      </rPr>
      <t xml:space="preserve">Oil </t>
    </r>
    <r>
      <rPr>
        <sz val="10"/>
        <color theme="1"/>
        <rFont val="Arial Unicode MS"/>
        <family val="2"/>
        <charset val="186"/>
      </rPr>
      <t>/ 1000 000</t>
    </r>
  </si>
  <si>
    <r>
      <t>Coal: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Retail_Coal</t>
    </r>
    <r>
      <rPr>
        <sz val="10"/>
        <color theme="1"/>
        <rFont val="Arial Unicode MS"/>
        <family val="2"/>
        <charset val="186"/>
      </rPr>
      <t xml:space="preserve"> * Emission factor</t>
    </r>
    <r>
      <rPr>
        <vertAlign val="subscript"/>
        <sz val="10"/>
        <color theme="1"/>
        <rFont val="Arial Unicode MS"/>
        <family val="2"/>
        <charset val="186"/>
      </rPr>
      <t xml:space="preserve">Coal </t>
    </r>
    <r>
      <rPr>
        <sz val="10"/>
        <color theme="1"/>
        <rFont val="Arial Unicode MS"/>
        <family val="2"/>
        <charset val="186"/>
      </rPr>
      <t>/ 1000 000</t>
    </r>
  </si>
  <si>
    <r>
      <t>Peat: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Retail_Peat</t>
    </r>
    <r>
      <rPr>
        <sz val="10"/>
        <color theme="1"/>
        <rFont val="Arial Unicode MS"/>
        <family val="2"/>
        <charset val="186"/>
      </rPr>
      <t xml:space="preserve"> * Emission factor</t>
    </r>
    <r>
      <rPr>
        <vertAlign val="subscript"/>
        <sz val="10"/>
        <color theme="1"/>
        <rFont val="Arial Unicode MS"/>
        <family val="2"/>
        <charset val="186"/>
      </rPr>
      <t xml:space="preserve">Peat </t>
    </r>
    <r>
      <rPr>
        <sz val="10"/>
        <color theme="1"/>
        <rFont val="Arial Unicode MS"/>
        <family val="2"/>
        <charset val="186"/>
      </rPr>
      <t>/ 1000 000</t>
    </r>
  </si>
  <si>
    <r>
      <t>Wood: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Retail_Wood</t>
    </r>
    <r>
      <rPr>
        <sz val="10"/>
        <color theme="1"/>
        <rFont val="Arial Unicode MS"/>
        <family val="2"/>
        <charset val="186"/>
      </rPr>
      <t xml:space="preserve"> * Emission factor</t>
    </r>
    <r>
      <rPr>
        <vertAlign val="subscript"/>
        <sz val="10"/>
        <color theme="1"/>
        <rFont val="Arial Unicode MS"/>
        <family val="2"/>
        <charset val="186"/>
      </rPr>
      <t xml:space="preserve">Wood </t>
    </r>
    <r>
      <rPr>
        <sz val="10"/>
        <color theme="1"/>
        <rFont val="Arial Unicode MS"/>
        <family val="2"/>
        <charset val="186"/>
      </rPr>
      <t>/ 1000 000</t>
    </r>
  </si>
  <si>
    <r>
      <t>Renewable: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Retail_Renewable</t>
    </r>
    <r>
      <rPr>
        <sz val="10"/>
        <color theme="1"/>
        <rFont val="Arial Unicode MS"/>
        <family val="2"/>
        <charset val="186"/>
      </rPr>
      <t xml:space="preserve"> * Emission factor</t>
    </r>
    <r>
      <rPr>
        <vertAlign val="subscript"/>
        <sz val="10"/>
        <color theme="1"/>
        <rFont val="Arial Unicode MS"/>
        <family val="2"/>
        <charset val="186"/>
      </rPr>
      <t xml:space="preserve">Renewable </t>
    </r>
    <r>
      <rPr>
        <sz val="10"/>
        <color theme="1"/>
        <rFont val="Arial Unicode MS"/>
        <family val="2"/>
        <charset val="186"/>
      </rPr>
      <t>/ 1000 000</t>
    </r>
  </si>
  <si>
    <r>
      <t>District heating: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Retail_Heat</t>
    </r>
    <r>
      <rPr>
        <sz val="10"/>
        <color theme="1"/>
        <rFont val="Arial Unicode MS"/>
        <family val="2"/>
        <charset val="186"/>
      </rPr>
      <t xml:space="preserve"> * Emission factor</t>
    </r>
    <r>
      <rPr>
        <vertAlign val="subscript"/>
        <sz val="10"/>
        <color theme="1"/>
        <rFont val="Arial Unicode MS"/>
        <family val="2"/>
        <charset val="186"/>
      </rPr>
      <t xml:space="preserve">Heat </t>
    </r>
    <r>
      <rPr>
        <sz val="10"/>
        <color theme="1"/>
        <rFont val="Arial Unicode MS"/>
        <family val="2"/>
        <charset val="186"/>
      </rPr>
      <t>/ 1000 000</t>
    </r>
  </si>
  <si>
    <r>
      <t>Electricity: Floor_area</t>
    </r>
    <r>
      <rPr>
        <vertAlign val="subscript"/>
        <sz val="10"/>
        <color theme="1"/>
        <rFont val="Arial Unicode MS"/>
        <family val="2"/>
        <charset val="186"/>
      </rPr>
      <t>Health</t>
    </r>
    <r>
      <rPr>
        <sz val="10"/>
        <color theme="1"/>
        <rFont val="Arial Unicode MS"/>
        <family val="2"/>
        <charset val="186"/>
      </rPr>
      <t xml:space="preserve"> * Consumption</t>
    </r>
    <r>
      <rPr>
        <vertAlign val="subscript"/>
        <sz val="10"/>
        <color theme="1"/>
        <rFont val="Arial Unicode MS"/>
        <family val="2"/>
        <charset val="186"/>
      </rPr>
      <t>Health_Electricity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</si>
  <si>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Hospitality</t>
    </r>
    <r>
      <rPr>
        <sz val="10"/>
        <color theme="1"/>
        <rFont val="Arial Unicode MS"/>
        <family val="2"/>
        <charset val="186"/>
      </rPr>
      <t xml:space="preserve"> * Consumption</t>
    </r>
    <r>
      <rPr>
        <vertAlign val="subscript"/>
        <sz val="10"/>
        <color theme="1"/>
        <rFont val="Arial Unicode MS"/>
        <family val="2"/>
        <charset val="186"/>
      </rPr>
      <t>Hospitality_Electricity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</si>
  <si>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Offices</t>
    </r>
    <r>
      <rPr>
        <sz val="10"/>
        <color theme="1"/>
        <rFont val="Arial Unicode MS"/>
        <family val="2"/>
        <charset val="186"/>
      </rPr>
      <t xml:space="preserve"> * Consumption</t>
    </r>
    <r>
      <rPr>
        <vertAlign val="subscript"/>
        <sz val="10"/>
        <color theme="1"/>
        <rFont val="Arial Unicode MS"/>
        <family val="2"/>
        <charset val="186"/>
      </rPr>
      <t>Offices_Electricity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</si>
  <si>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Industrial</t>
    </r>
    <r>
      <rPr>
        <sz val="10"/>
        <color theme="1"/>
        <rFont val="Arial Unicode MS"/>
        <family val="2"/>
        <charset val="186"/>
      </rPr>
      <t xml:space="preserve"> * Consumption</t>
    </r>
    <r>
      <rPr>
        <vertAlign val="subscript"/>
        <sz val="10"/>
        <color theme="1"/>
        <rFont val="Arial Unicode MS"/>
        <family val="2"/>
        <charset val="186"/>
      </rPr>
      <t>Industrial_Electricity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</si>
  <si>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Warehouses</t>
    </r>
    <r>
      <rPr>
        <sz val="10"/>
        <color theme="1"/>
        <rFont val="Arial Unicode MS"/>
        <family val="2"/>
        <charset val="186"/>
      </rPr>
      <t xml:space="preserve"> * Consumption</t>
    </r>
    <r>
      <rPr>
        <vertAlign val="subscript"/>
        <sz val="10"/>
        <color theme="1"/>
        <rFont val="Arial Unicode MS"/>
        <family val="2"/>
        <charset val="186"/>
      </rPr>
      <t>Warehouses_Electricity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</si>
  <si>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t>tCO2/a</t>
  </si>
  <si>
    <t>CO2 emissions from the energy use in commercial buildings by building type and source of heating energy</t>
  </si>
  <si>
    <t>CO2 emissions from the energy use in residential buildings by the end use</t>
  </si>
  <si>
    <t>number of units</t>
  </si>
  <si>
    <t>from</t>
  </si>
  <si>
    <t>to</t>
  </si>
  <si>
    <t>U7.3 Densification</t>
  </si>
  <si>
    <t>U7 NEW CONSTRUCTION / DENSIFICATION</t>
  </si>
  <si>
    <t>number of existing units</t>
  </si>
  <si>
    <t>Residential buildings</t>
  </si>
  <si>
    <t>Commercial buildings</t>
  </si>
  <si>
    <t>floor area</t>
  </si>
  <si>
    <t>Densification of  a specific area</t>
  </si>
  <si>
    <t>after densification</t>
  </si>
  <si>
    <t>floor area after densification</t>
  </si>
  <si>
    <t>THIS IS DISPLAYED AS A PIE CHART IN THE BASELINE RESULTS</t>
  </si>
  <si>
    <t>% energy from renewables</t>
  </si>
  <si>
    <t>Retrofits completed between</t>
  </si>
  <si>
    <t>densification rate (%)</t>
  </si>
  <si>
    <t>New residential units completed between</t>
  </si>
  <si>
    <t>Conversions implemented between</t>
  </si>
  <si>
    <t>U8.3 Change of building use</t>
  </si>
  <si>
    <t>Apartment total</t>
  </si>
  <si>
    <t>Terraced total</t>
  </si>
  <si>
    <t>Semi-detached total</t>
  </si>
  <si>
    <t>Detached total</t>
  </si>
  <si>
    <t>Retail total</t>
  </si>
  <si>
    <t>Health total</t>
  </si>
  <si>
    <t>Hospitality total</t>
  </si>
  <si>
    <t>Offices total</t>
  </si>
  <si>
    <t>Industrial total</t>
  </si>
  <si>
    <t>Warehouses total</t>
  </si>
  <si>
    <t>A-rated</t>
  </si>
  <si>
    <t>B-rated</t>
  </si>
  <si>
    <t>IF</t>
  </si>
  <si>
    <t>GHG emissions caused by the energy use of new construction / densification</t>
  </si>
  <si>
    <t>(E74 - D74 + 1)</t>
  </si>
  <si>
    <t>INDEX('DEFAULT DATA'!$PQ$9:$PX$41,START!$B$3,1)</t>
  </si>
  <si>
    <t>R4</t>
  </si>
  <si>
    <t>/ 1 000 000</t>
  </si>
  <si>
    <t>unit conversion</t>
  </si>
  <si>
    <t>GHG emission reductions from retrofits and conversions</t>
  </si>
  <si>
    <t>RESIDENTIAL UNITS - TWO TABLES PER RESIDENTIAL UNIT TYPE</t>
  </si>
  <si>
    <t>annual increase = emission factor * annual energy consumption per apartment * total number of new apartments / time period of construction / 1 000 000</t>
  </si>
  <si>
    <t>number of new units (apartments B74, terraced B75, semi-detached B76, detached B77) from U7.1</t>
  </si>
  <si>
    <t>(100 - F74) / 100</t>
  </si>
  <si>
    <t>(100 - F93) / 100</t>
  </si>
  <si>
    <t>C93 / 100 * B93</t>
  </si>
  <si>
    <t>number of years during which the new apartment units are constructed (apartments E74 and D74, terraced E75 and D75, semi-detached E76 and D76, detached E77 and D77)</t>
  </si>
  <si>
    <t>number of new units (apartments C93 and B93, terraced C94 and B94, semi-detached C95 and B95, detached C96 and B96) from U7.3</t>
  </si>
  <si>
    <t>(E93 - D93 + 1)</t>
  </si>
  <si>
    <t>number of years during which the new apartment units are constructed (apartments E93 and D93, terraced E94 and D94, semi-detached E95 and D95, detached E96 and D96)</t>
  </si>
  <si>
    <t>detects the implementation period (for example "from 2025 to 2030" etc)</t>
  </si>
  <si>
    <t>factor for multiplying the results (100% - share of renewable energy (=F93 apartments, F94 terraced, F95 semi-detached, F96 detached)) from U7.3; renewable energy has zero emissions</t>
  </si>
  <si>
    <t>factor for multiplying the results (100% - share of renewable energy (=F74 apartments, F75 terraced, F76 semi-detached, F77 detached)) from U7.1; renewable energy has zero emissions</t>
  </si>
  <si>
    <t>B74</t>
  </si>
  <si>
    <t>energy consumption from the default dataset, based on the country selection [row] and energy type [column 1 = electricity etc.]) PQ9:PQ41 for apartments, PY9:QF41 for terraced, QG9:QN41 for semi-detached, QO9:QV41 for detached)</t>
  </si>
  <si>
    <t>R5</t>
  </si>
  <si>
    <t>emission factor for grid electricity in 2022 [from row 4 in this worksheet]; (S4=2023, T4=2024...)</t>
  </si>
  <si>
    <t>emission factor for district heating in 2022 [from row 4 in this worksheet]; (S5=2023, T5=2024)</t>
  </si>
  <si>
    <t>INDEX('DEFAULT DATA'!$MM$9:$MS$41,START!$B$3,1)</t>
  </si>
  <si>
    <t>emission factor for gas (column1), oil (column2)...STARTB3 = country selection</t>
  </si>
  <si>
    <t>EQUATION example: Apartment, electricity, 2022</t>
  </si>
  <si>
    <t>energy use</t>
  </si>
  <si>
    <t>row 4</t>
  </si>
  <si>
    <t>row 5</t>
  </si>
  <si>
    <r>
      <t xml:space="preserve">U7.1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</si>
  <si>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r>
      <t xml:space="preserve">U7.3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</si>
  <si>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U7.1 EQUATION </t>
  </si>
  <si>
    <r>
      <t xml:space="preserve">U7.2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</si>
  <si>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U7.3 EQUATION </t>
  </si>
  <si>
    <t>=R$4*$P$372*((100-$F$93)/100)*ROUND(($C$93/100*$B$93)/($E$93-$D$93+1),0)/1000000</t>
  </si>
  <si>
    <t>=R$4*'INDEX('DEFAULT DATA'!$PQ$9:$PX$41,START!$B$3,1)*((100-$F$74)/100)*ROUND($B$74/($E$74-$D$74+1),0)/1000000</t>
  </si>
  <si>
    <r>
      <t xml:space="preserve">U8.1 IMPACTS ARE </t>
    </r>
    <r>
      <rPr>
        <b/>
        <sz val="11"/>
        <color theme="0" tint="-0.499984740745262"/>
        <rFont val="Arial Unicode MS"/>
        <family val="2"/>
        <charset val="186"/>
      </rPr>
      <t>REDUCED</t>
    </r>
    <r>
      <rPr>
        <sz val="11"/>
        <color theme="0" tint="-0.499984740745262"/>
        <rFont val="Arial Unicode MS"/>
        <family val="2"/>
        <charset val="186"/>
      </rPr>
      <t xml:space="preserve"> FROM THE BASELINE EMISSIONS</t>
    </r>
  </si>
  <si>
    <t>U8.2 IMPACTS ARE REDUCED FROM THE BASELINE EMISSIONS</t>
  </si>
  <si>
    <t xml:space="preserve">Describe below the settlement types that the assessment area consists of. The percentages express the share of the total population living in various types of settlements. </t>
  </si>
  <si>
    <t>These inputs are applied to scale down the statistical data from the national level to the assessment area.</t>
  </si>
  <si>
    <t>START</t>
  </si>
  <si>
    <t>LAND-USE CHANGE</t>
  </si>
  <si>
    <t>existing floor area</t>
  </si>
  <si>
    <t>U8.3 IMPACTS THAT ARE REDUCED FROM THE BASELINE EMISSIONS</t>
  </si>
  <si>
    <t>U8.3 IMPACTS THAT ARE ADDED TO THE BASELINE EMISSIONS</t>
  </si>
  <si>
    <t>GHG emission reductions from conversions</t>
  </si>
  <si>
    <t>GHG emission increase from conversions</t>
  </si>
  <si>
    <t>Baseline total</t>
  </si>
  <si>
    <t>POLICY QUANTIFICATION RESULTS</t>
  </si>
  <si>
    <t>ENERGY USE IN BUILDINGS</t>
  </si>
  <si>
    <t xml:space="preserve">if a &lt; a1 -&gt; nraXa = 0; nraAa = 0; nraBa = 0 </t>
  </si>
  <si>
    <r>
      <t>if a = a1 -&gt; nraX</t>
    </r>
    <r>
      <rPr>
        <vertAlign val="subscript"/>
        <sz val="10"/>
        <color theme="1"/>
        <rFont val="Arial Unicode MS"/>
        <family val="2"/>
        <charset val="186"/>
      </rPr>
      <t>a</t>
    </r>
    <r>
      <rPr>
        <sz val="10"/>
        <color theme="1"/>
        <rFont val="Arial Unicode MS"/>
        <family val="2"/>
        <charset val="186"/>
      </rPr>
      <t xml:space="preserve"> = B6 (user input, this page); nraAa = 0; nraBa = 0</t>
    </r>
  </si>
  <si>
    <t>for years 2021-2030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</si>
  <si>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BUI_COL8;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BUI_COL14;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BUI_COL17</t>
    </r>
  </si>
  <si>
    <t>for years 2031-2040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</si>
  <si>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BUI_COL9;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BUI_COL15;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BUI_COL18</t>
    </r>
  </si>
  <si>
    <t>for years 2041-2050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</si>
  <si>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BUI_COL10;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BUI_COL16;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BUI_COL19</t>
    </r>
  </si>
  <si>
    <r>
      <t>emission factors EFGE</t>
    </r>
    <r>
      <rPr>
        <vertAlign val="subscript"/>
        <sz val="10"/>
        <color theme="1"/>
        <rFont val="Arial Unicode MS"/>
        <family val="2"/>
        <charset val="186"/>
      </rPr>
      <t>a</t>
    </r>
    <r>
      <rPr>
        <sz val="10"/>
        <color theme="1"/>
        <rFont val="Arial Unicode MS"/>
        <family val="2"/>
        <charset val="186"/>
      </rPr>
      <t xml:space="preserve"> and  EFDH</t>
    </r>
    <r>
      <rPr>
        <vertAlign val="subscript"/>
        <sz val="10"/>
        <color theme="1"/>
        <rFont val="Arial Unicode MS"/>
        <family val="2"/>
        <charset val="186"/>
      </rPr>
      <t>a</t>
    </r>
  </si>
  <si>
    <r>
      <t>EFDH</t>
    </r>
    <r>
      <rPr>
        <vertAlign val="subscript"/>
        <sz val="9"/>
        <color theme="1"/>
        <rFont val="Arial Unicode MS"/>
        <family val="2"/>
        <charset val="186"/>
      </rPr>
      <t>a</t>
    </r>
    <r>
      <rPr>
        <sz val="9"/>
        <color theme="1"/>
        <rFont val="Arial Unicode MS"/>
        <family val="2"/>
        <charset val="186"/>
      </rPr>
      <t xml:space="preserve"> = EFDH</t>
    </r>
    <r>
      <rPr>
        <vertAlign val="subscript"/>
        <sz val="9"/>
        <color theme="1"/>
        <rFont val="Arial Unicode MS"/>
        <family val="2"/>
        <charset val="186"/>
      </rPr>
      <t>a-1</t>
    </r>
    <r>
      <rPr>
        <sz val="9"/>
        <color theme="1"/>
        <rFont val="Arial Unicode MS"/>
        <family val="2"/>
        <charset val="186"/>
      </rPr>
      <t xml:space="preserve"> * (100+ENE_COL6,7,8)/100 </t>
    </r>
  </si>
  <si>
    <r>
      <t>EFGE</t>
    </r>
    <r>
      <rPr>
        <vertAlign val="subscript"/>
        <sz val="9"/>
        <color theme="1"/>
        <rFont val="Arial Unicode MS"/>
        <family val="2"/>
        <charset val="186"/>
      </rPr>
      <t>a</t>
    </r>
    <r>
      <rPr>
        <sz val="9"/>
        <color theme="1"/>
        <rFont val="Arial Unicode MS"/>
        <family val="2"/>
        <charset val="186"/>
      </rPr>
      <t xml:space="preserve"> = EFGE</t>
    </r>
    <r>
      <rPr>
        <vertAlign val="subscript"/>
        <sz val="9"/>
        <color theme="1"/>
        <rFont val="Arial Unicode MS"/>
        <family val="2"/>
        <charset val="186"/>
      </rPr>
      <t>a-1</t>
    </r>
    <r>
      <rPr>
        <sz val="9"/>
        <color theme="1"/>
        <rFont val="Arial Unicode MS"/>
        <family val="2"/>
        <charset val="186"/>
      </rPr>
      <t xml:space="preserve"> * (100+ENE_COL2,3,4)/100 </t>
    </r>
  </si>
  <si>
    <r>
      <t>EFGE</t>
    </r>
    <r>
      <rPr>
        <vertAlign val="subscript"/>
        <sz val="9"/>
        <color theme="1"/>
        <rFont val="Arial Unicode MS"/>
        <family val="2"/>
        <charset val="186"/>
      </rPr>
      <t>2021</t>
    </r>
    <r>
      <rPr>
        <sz val="9"/>
        <color theme="1"/>
        <rFont val="Arial Unicode MS"/>
        <family val="2"/>
        <charset val="186"/>
      </rPr>
      <t xml:space="preserve"> = ENE_COL1; 'EFDH</t>
    </r>
    <r>
      <rPr>
        <vertAlign val="subscript"/>
        <sz val="9"/>
        <color theme="1"/>
        <rFont val="Arial Unicode MS"/>
        <family val="2"/>
        <charset val="186"/>
      </rPr>
      <t>2021</t>
    </r>
    <r>
      <rPr>
        <sz val="9"/>
        <color theme="1"/>
        <rFont val="Arial Unicode MS"/>
        <family val="2"/>
        <charset val="186"/>
      </rPr>
      <t xml:space="preserve"> = ENE_COL5</t>
    </r>
  </si>
  <si>
    <t>ENE_COL1, ENE_COL5</t>
  </si>
  <si>
    <t>calculated with ENE_COL2, ENE_COL6</t>
  </si>
  <si>
    <t>calculated with ENE_COL3, ENE_COL7</t>
  </si>
  <si>
    <t>calculated with ENE_COL4, ENE_COL8</t>
  </si>
  <si>
    <r>
      <rPr>
        <sz val="10"/>
        <color theme="1"/>
        <rFont val="Arial Unicode MS"/>
        <family val="2"/>
        <charset val="186"/>
      </rPr>
      <t>if a &gt; a1 -&gt; nraX</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(BUI_COL8,9,10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(BUI_COL14,15,16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xml:space="preserve">) * ((BUI_COL17,18,19 / 100)). </t>
    </r>
  </si>
  <si>
    <t>a1 (first assessment year) = user input, StartB2+2021 (StartB2 = 1,2,3,...).</t>
  </si>
  <si>
    <t>a = year</t>
  </si>
  <si>
    <r>
      <t>GHG_electricity</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BUI_COL275) + (nraA</t>
    </r>
    <r>
      <rPr>
        <vertAlign val="subscript"/>
        <sz val="10"/>
        <color theme="1"/>
        <rFont val="Arial Unicode MS"/>
        <family val="2"/>
        <charset val="186"/>
      </rPr>
      <t>a</t>
    </r>
    <r>
      <rPr>
        <sz val="10"/>
        <color theme="1"/>
        <rFont val="Arial Unicode MS"/>
        <family val="2"/>
        <charset val="186"/>
      </rPr>
      <t xml:space="preserve"> * BUI_COL51) + (nrB</t>
    </r>
    <r>
      <rPr>
        <vertAlign val="subscript"/>
        <sz val="10"/>
        <color theme="1"/>
        <rFont val="Arial Unicode MS"/>
        <family val="2"/>
        <charset val="186"/>
      </rPr>
      <t>a</t>
    </r>
    <r>
      <rPr>
        <sz val="10"/>
        <color theme="1"/>
        <rFont val="Arial Unicode MS"/>
        <family val="2"/>
        <charset val="186"/>
      </rPr>
      <t xml:space="preserve"> * BUI_COL83)) * GRID_ELECTRICITY_emission_factor</t>
    </r>
    <r>
      <rPr>
        <vertAlign val="subscript"/>
        <sz val="10"/>
        <color theme="1"/>
        <rFont val="Arial Unicode MS"/>
        <family val="2"/>
        <charset val="186"/>
      </rPr>
      <t>a</t>
    </r>
    <r>
      <rPr>
        <sz val="10"/>
        <color theme="1"/>
        <rFont val="Arial Unicode MS"/>
        <family val="2"/>
        <charset val="186"/>
      </rPr>
      <t xml:space="preserve"> (from row4)</t>
    </r>
  </si>
  <si>
    <r>
      <t>GHG_gas</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BUI_COL276) + (nraA</t>
    </r>
    <r>
      <rPr>
        <vertAlign val="subscript"/>
        <sz val="10"/>
        <color theme="1"/>
        <rFont val="Arial Unicode MS"/>
        <family val="2"/>
        <charset val="186"/>
      </rPr>
      <t>a</t>
    </r>
    <r>
      <rPr>
        <sz val="10"/>
        <color theme="1"/>
        <rFont val="Arial Unicode MS"/>
        <family val="2"/>
        <charset val="186"/>
      </rPr>
      <t xml:space="preserve"> * BUI_COL52) + (nraB</t>
    </r>
    <r>
      <rPr>
        <vertAlign val="subscript"/>
        <sz val="10"/>
        <color theme="1"/>
        <rFont val="Arial Unicode MS"/>
        <family val="2"/>
        <charset val="186"/>
      </rPr>
      <t>a</t>
    </r>
    <r>
      <rPr>
        <sz val="10"/>
        <color theme="1"/>
        <rFont val="Arial Unicode MS"/>
        <family val="2"/>
        <charset val="186"/>
      </rPr>
      <t xml:space="preserve"> * BUI_COL84)) * BUI_COL1</t>
    </r>
  </si>
  <si>
    <r>
      <t>GHG_oil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BUI_COL277) + (nraA</t>
    </r>
    <r>
      <rPr>
        <vertAlign val="subscript"/>
        <sz val="10"/>
        <color theme="1"/>
        <rFont val="Arial Unicode MS"/>
        <family val="2"/>
        <charset val="186"/>
      </rPr>
      <t>a</t>
    </r>
    <r>
      <rPr>
        <sz val="10"/>
        <color theme="1"/>
        <rFont val="Arial Unicode MS"/>
        <family val="2"/>
        <charset val="186"/>
      </rPr>
      <t xml:space="preserve"> * BUI_COL53) + (nraB</t>
    </r>
    <r>
      <rPr>
        <vertAlign val="subscript"/>
        <sz val="10"/>
        <color theme="1"/>
        <rFont val="Arial Unicode MS"/>
        <family val="2"/>
        <charset val="186"/>
      </rPr>
      <t>a</t>
    </r>
    <r>
      <rPr>
        <sz val="10"/>
        <color theme="1"/>
        <rFont val="Arial Unicode MS"/>
        <family val="2"/>
        <charset val="186"/>
      </rPr>
      <t xml:space="preserve"> * BUI_COL85)) * BUI_COL2</t>
    </r>
  </si>
  <si>
    <r>
      <t>GHG_coal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BUI_COL278) + (nraA</t>
    </r>
    <r>
      <rPr>
        <vertAlign val="subscript"/>
        <sz val="10"/>
        <color theme="1"/>
        <rFont val="Arial Unicode MS"/>
        <family val="2"/>
        <charset val="186"/>
      </rPr>
      <t>a</t>
    </r>
    <r>
      <rPr>
        <sz val="10"/>
        <color theme="1"/>
        <rFont val="Arial Unicode MS"/>
        <family val="2"/>
        <charset val="186"/>
      </rPr>
      <t xml:space="preserve"> * BUI_COL54) + (nraB</t>
    </r>
    <r>
      <rPr>
        <vertAlign val="subscript"/>
        <sz val="10"/>
        <color theme="1"/>
        <rFont val="Arial Unicode MS"/>
        <family val="2"/>
        <charset val="186"/>
      </rPr>
      <t>a</t>
    </r>
    <r>
      <rPr>
        <sz val="10"/>
        <color theme="1"/>
        <rFont val="Arial Unicode MS"/>
        <family val="2"/>
        <charset val="186"/>
      </rPr>
      <t xml:space="preserve"> * BUI_COL86)) * BUI_COL3</t>
    </r>
  </si>
  <si>
    <r>
      <t>GHG_peat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BUI_COL279) + (nraA</t>
    </r>
    <r>
      <rPr>
        <vertAlign val="subscript"/>
        <sz val="10"/>
        <color theme="1"/>
        <rFont val="Arial Unicode MS"/>
        <family val="2"/>
        <charset val="186"/>
      </rPr>
      <t>a</t>
    </r>
    <r>
      <rPr>
        <sz val="10"/>
        <color theme="1"/>
        <rFont val="Arial Unicode MS"/>
        <family val="2"/>
        <charset val="186"/>
      </rPr>
      <t xml:space="preserve"> * BUI_COL55) + (nraB</t>
    </r>
    <r>
      <rPr>
        <vertAlign val="subscript"/>
        <sz val="10"/>
        <color theme="1"/>
        <rFont val="Arial Unicode MS"/>
        <family val="2"/>
        <charset val="186"/>
      </rPr>
      <t>a</t>
    </r>
    <r>
      <rPr>
        <sz val="10"/>
        <color theme="1"/>
        <rFont val="Arial Unicode MS"/>
        <family val="2"/>
        <charset val="186"/>
      </rPr>
      <t xml:space="preserve"> * BUI_COL87)) * BUI_COL4</t>
    </r>
  </si>
  <si>
    <r>
      <t>GHG_wood</t>
    </r>
    <r>
      <rPr>
        <vertAlign val="subscript"/>
        <sz val="10"/>
        <color theme="1"/>
        <rFont val="Arial Unicode MS"/>
        <family val="2"/>
        <charset val="186"/>
      </rPr>
      <t>a</t>
    </r>
    <r>
      <rPr>
        <sz val="10"/>
        <color theme="1"/>
        <rFont val="Arial Unicode MS"/>
        <family val="2"/>
        <charset val="186"/>
      </rPr>
      <t xml:space="preserve"> = ((nra</t>
    </r>
    <r>
      <rPr>
        <vertAlign val="subscript"/>
        <sz val="10"/>
        <color theme="1"/>
        <rFont val="Arial Unicode MS"/>
        <family val="2"/>
        <charset val="186"/>
      </rPr>
      <t>a *</t>
    </r>
    <r>
      <rPr>
        <sz val="10"/>
        <color theme="1"/>
        <rFont val="Arial Unicode MS"/>
        <family val="2"/>
        <charset val="186"/>
      </rPr>
      <t xml:space="preserve"> BUI_COL280) + (nraA</t>
    </r>
    <r>
      <rPr>
        <vertAlign val="subscript"/>
        <sz val="10"/>
        <color theme="1"/>
        <rFont val="Arial Unicode MS"/>
        <family val="2"/>
        <charset val="186"/>
      </rPr>
      <t>a</t>
    </r>
    <r>
      <rPr>
        <sz val="10"/>
        <color theme="1"/>
        <rFont val="Arial Unicode MS"/>
        <family val="2"/>
        <charset val="186"/>
      </rPr>
      <t xml:space="preserve"> * BUI_COL56) + (nraB</t>
    </r>
    <r>
      <rPr>
        <vertAlign val="subscript"/>
        <sz val="10"/>
        <color theme="1"/>
        <rFont val="Arial Unicode MS"/>
        <family val="2"/>
        <charset val="186"/>
      </rPr>
      <t>a</t>
    </r>
    <r>
      <rPr>
        <sz val="10"/>
        <color theme="1"/>
        <rFont val="Arial Unicode MS"/>
        <family val="2"/>
        <charset val="186"/>
      </rPr>
      <t xml:space="preserve"> * BUI_COL88)) * BUI_COL5</t>
    </r>
  </si>
  <si>
    <r>
      <t>GHG_renewable</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BUI_COL281) + (nraA</t>
    </r>
    <r>
      <rPr>
        <vertAlign val="subscript"/>
        <sz val="10"/>
        <color theme="1"/>
        <rFont val="Arial Unicode MS"/>
        <family val="2"/>
        <charset val="186"/>
      </rPr>
      <t>a</t>
    </r>
    <r>
      <rPr>
        <sz val="10"/>
        <color theme="1"/>
        <rFont val="Arial Unicode MS"/>
        <family val="2"/>
        <charset val="186"/>
      </rPr>
      <t xml:space="preserve"> * BUI_COL57) + (nraB</t>
    </r>
    <r>
      <rPr>
        <vertAlign val="subscript"/>
        <sz val="10"/>
        <color theme="1"/>
        <rFont val="Arial Unicode MS"/>
        <family val="2"/>
        <charset val="186"/>
      </rPr>
      <t>a</t>
    </r>
    <r>
      <rPr>
        <sz val="10"/>
        <color theme="1"/>
        <rFont val="Arial Unicode MS"/>
        <family val="2"/>
        <charset val="186"/>
      </rPr>
      <t xml:space="preserve"> * BUI_COL89)) * BUI_COL6</t>
    </r>
  </si>
  <si>
    <r>
      <t>GHG_heat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BUI_COL282) + (nraA</t>
    </r>
    <r>
      <rPr>
        <vertAlign val="subscript"/>
        <sz val="10"/>
        <color theme="1"/>
        <rFont val="Arial Unicode MS"/>
        <family val="2"/>
        <charset val="186"/>
      </rPr>
      <t>a</t>
    </r>
    <r>
      <rPr>
        <sz val="10"/>
        <color theme="1"/>
        <rFont val="Arial Unicode MS"/>
        <family val="2"/>
        <charset val="186"/>
      </rPr>
      <t xml:space="preserve"> * BUI_COL58) + (nraB</t>
    </r>
    <r>
      <rPr>
        <vertAlign val="subscript"/>
        <sz val="10"/>
        <color theme="1"/>
        <rFont val="Arial Unicode MS"/>
        <family val="2"/>
        <charset val="186"/>
      </rPr>
      <t>a</t>
    </r>
    <r>
      <rPr>
        <sz val="10"/>
        <color theme="1"/>
        <rFont val="Arial Unicode MS"/>
        <family val="2"/>
        <charset val="186"/>
      </rPr>
      <t xml:space="preserve"> * BUI_COL90)) * DISTRICT_HEATING_emission_factor</t>
    </r>
    <r>
      <rPr>
        <vertAlign val="subscript"/>
        <sz val="10"/>
        <color theme="1"/>
        <rFont val="Arial Unicode MS"/>
        <family val="2"/>
        <charset val="186"/>
      </rPr>
      <t>a</t>
    </r>
    <r>
      <rPr>
        <sz val="10"/>
        <color theme="1"/>
        <rFont val="Arial Unicode MS"/>
        <family val="2"/>
        <charset val="186"/>
      </rPr>
      <t xml:space="preserve"> (from row 5)</t>
    </r>
  </si>
  <si>
    <t>= row131 * BUI_COL307 * row4 / 1000 000</t>
  </si>
  <si>
    <t>= row131 * BUI_COL308 * BUI_COL1 / 1000 000</t>
  </si>
  <si>
    <t>= row131 * BUI_COL309 * BUI_COL2 / 1000 000</t>
  </si>
  <si>
    <t>= row131 * BUI_COL310 * BUI_COL3 / 1000 000</t>
  </si>
  <si>
    <t>= row131 * BUI_COL311 * BUI_COL4 / 1000 000</t>
  </si>
  <si>
    <t>= row131 * BUI_COL312 * BUI_COL5 / 1000 000</t>
  </si>
  <si>
    <t>= row131 * BUI_COL313 * BUI_COL6 / 1000 000</t>
  </si>
  <si>
    <t>= row131 * BUI_COL314 * row5 / 1000 000</t>
  </si>
  <si>
    <t>= row132 * BUI_COL315 * row4 / 1000 000 etc.</t>
  </si>
  <si>
    <t>= row133 * BUI_COL323 * row4 / 1000 000 etc.</t>
  </si>
  <si>
    <t>= row134 * BUI_COL331 * row4 / 1000 000 etc.</t>
  </si>
  <si>
    <t>= row135 * BUI_COL339 * row4 / 1000 000 etc.</t>
  </si>
  <si>
    <t>= row136 * BUI_COL347 * row4 / 1000 000 etc.</t>
  </si>
  <si>
    <t>SUMMARY TABLE</t>
  </si>
  <si>
    <t>Baseline</t>
  </si>
  <si>
    <t>Baseline + policy impacts</t>
  </si>
  <si>
    <t>7.1 addition</t>
  </si>
  <si>
    <t>7.3 additiona</t>
  </si>
  <si>
    <t>8.1 reduction</t>
  </si>
  <si>
    <t>8.3 reduction</t>
  </si>
  <si>
    <t>8.3 addition</t>
  </si>
  <si>
    <t>= row 262</t>
  </si>
  <si>
    <t>= row 381</t>
  </si>
  <si>
    <t>= -row 493</t>
  </si>
  <si>
    <t>= -row 504</t>
  </si>
  <si>
    <t>= -row 515</t>
  </si>
  <si>
    <t>= -row 526</t>
  </si>
  <si>
    <t>= -row 537</t>
  </si>
  <si>
    <t>= -row 548</t>
  </si>
  <si>
    <t>= -row 627</t>
  </si>
  <si>
    <t>= -row 638</t>
  </si>
  <si>
    <t>= -row 649</t>
  </si>
  <si>
    <t>= -row 660</t>
  </si>
  <si>
    <t>= -row 671</t>
  </si>
  <si>
    <t>= -row 682</t>
  </si>
  <si>
    <t>= row 627</t>
  </si>
  <si>
    <t>= row 638</t>
  </si>
  <si>
    <t>= row 649</t>
  </si>
  <si>
    <t>= row 660</t>
  </si>
  <si>
    <t>= row 671</t>
  </si>
  <si>
    <t>= row 682</t>
  </si>
  <si>
    <t>= row219</t>
  </si>
  <si>
    <t>= row220</t>
  </si>
  <si>
    <t>= row221</t>
  </si>
  <si>
    <t>= row222</t>
  </si>
  <si>
    <t>a</t>
  </si>
  <si>
    <t>kWh/unit</t>
  </si>
  <si>
    <t xml:space="preserve">existing </t>
  </si>
  <si>
    <t>apartments</t>
  </si>
  <si>
    <t>BUI_COL275</t>
  </si>
  <si>
    <t>BUI_COL51</t>
  </si>
  <si>
    <t>BUI_COL83</t>
  </si>
  <si>
    <t>EF</t>
  </si>
  <si>
    <t>GRID_ELECTRICITY_emission_factora (from row4)</t>
  </si>
  <si>
    <t>BUI_COL276</t>
  </si>
  <si>
    <t>BUI_COL277</t>
  </si>
  <si>
    <t>BUI_COL278</t>
  </si>
  <si>
    <t>BUI_COL279</t>
  </si>
  <si>
    <t>BUI_COL280</t>
  </si>
  <si>
    <t>BUI_COL281</t>
  </si>
  <si>
    <t>BUI_COL282</t>
  </si>
  <si>
    <t>BUI_COL52</t>
  </si>
  <si>
    <t>BUI_COL53</t>
  </si>
  <si>
    <t>BUI_COL54</t>
  </si>
  <si>
    <t>BUI_COL55</t>
  </si>
  <si>
    <t>BUI_COL56</t>
  </si>
  <si>
    <t>BUI_COL57</t>
  </si>
  <si>
    <t>BUI_COL58</t>
  </si>
  <si>
    <t>BUI_COL84</t>
  </si>
  <si>
    <t>BUI_COL85</t>
  </si>
  <si>
    <t>BUI_COL86</t>
  </si>
  <si>
    <t>BUI_COL87</t>
  </si>
  <si>
    <t>BUI_COL88</t>
  </si>
  <si>
    <t>BUI_COL89</t>
  </si>
  <si>
    <t>BUI_COL90</t>
  </si>
  <si>
    <t>BUI_COL2</t>
  </si>
  <si>
    <t>BUI_COL3</t>
  </si>
  <si>
    <t>BUI_COL4</t>
  </si>
  <si>
    <t>BUI_COL5</t>
  </si>
  <si>
    <t>BUI_COL6</t>
  </si>
  <si>
    <t>DISTRICT_HEATING_emission_factora (from row 5)</t>
  </si>
  <si>
    <t>APARTMENTS / GHG-EMISSSIONS</t>
  </si>
  <si>
    <t>NUMBER OF APARTMENTS</t>
  </si>
  <si>
    <t>NUMBER OF TERRACED UNITS</t>
  </si>
  <si>
    <t>terraced</t>
  </si>
  <si>
    <t>BUI_COL283</t>
  </si>
  <si>
    <t>BUI_COL284</t>
  </si>
  <si>
    <t>BUI_COL285</t>
  </si>
  <si>
    <t>BUI_COL286</t>
  </si>
  <si>
    <t>BUI_COL287</t>
  </si>
  <si>
    <t>BUI_COL288</t>
  </si>
  <si>
    <t>BUI_COL289</t>
  </si>
  <si>
    <t>BUI_COL290</t>
  </si>
  <si>
    <t>BUI_COL59</t>
  </si>
  <si>
    <t>BUI_COL60</t>
  </si>
  <si>
    <t>BUI_COL61</t>
  </si>
  <si>
    <t>BUI_COL62</t>
  </si>
  <si>
    <t>BUI_COL63</t>
  </si>
  <si>
    <t>BUI_COL64</t>
  </si>
  <si>
    <t>BUI_COL65</t>
  </si>
  <si>
    <t>BUI_COL66</t>
  </si>
  <si>
    <t>BUI_COL91</t>
  </si>
  <si>
    <t>BUI_COL92</t>
  </si>
  <si>
    <t>BUI_COL93</t>
  </si>
  <si>
    <t>BUI_COL94</t>
  </si>
  <si>
    <t>BUI_COL95</t>
  </si>
  <si>
    <t>BUI_COL96</t>
  </si>
  <si>
    <t>BUI_COL97</t>
  </si>
  <si>
    <t>BUI_COL98</t>
  </si>
  <si>
    <t>TERRACED UNITS / GHG-EMISSSIONS</t>
  </si>
  <si>
    <t>NUMBER OF SEMI-DETACHED UNITS</t>
  </si>
  <si>
    <t>SEMI-DETACHED UNITS / GHG-EMISSSIONS</t>
  </si>
  <si>
    <t>semi-detached</t>
  </si>
  <si>
    <t>BUI_COL291</t>
  </si>
  <si>
    <t>BUI_COL292</t>
  </si>
  <si>
    <t>BUI_COL293</t>
  </si>
  <si>
    <t>BUI_COL294</t>
  </si>
  <si>
    <t>BUI_COL295</t>
  </si>
  <si>
    <t>BUI_COL296</t>
  </si>
  <si>
    <t>BUI_COL297</t>
  </si>
  <si>
    <t>BUI_COL298</t>
  </si>
  <si>
    <t>BUI_COL67</t>
  </si>
  <si>
    <t>BUI_COL68</t>
  </si>
  <si>
    <t>BUI_COL69</t>
  </si>
  <si>
    <t>BUI_COL70</t>
  </si>
  <si>
    <t>BUI_COL71</t>
  </si>
  <si>
    <t>BUI_COL72</t>
  </si>
  <si>
    <t>BUI_COL73</t>
  </si>
  <si>
    <t>BUI_COL74</t>
  </si>
  <si>
    <t>BUI_COL99</t>
  </si>
  <si>
    <t>BUI_COL100</t>
  </si>
  <si>
    <t>BUI_COL101</t>
  </si>
  <si>
    <t>BUI_COL102</t>
  </si>
  <si>
    <t>BUI_COL103</t>
  </si>
  <si>
    <t>BUI_COL104</t>
  </si>
  <si>
    <t>BUI_COL105</t>
  </si>
  <si>
    <t>BUI_COL106</t>
  </si>
  <si>
    <t>NUMBER OF DETACHED UNITS</t>
  </si>
  <si>
    <t>BUI_COL299</t>
  </si>
  <si>
    <t>BUI_COL75</t>
  </si>
  <si>
    <t>BUI_COL107</t>
  </si>
  <si>
    <t>BUI_COL300</t>
  </si>
  <si>
    <t>BUI_COL301</t>
  </si>
  <si>
    <t>BUI_COL302</t>
  </si>
  <si>
    <t>BUI_COL303</t>
  </si>
  <si>
    <t>BUI_COL304</t>
  </si>
  <si>
    <t>BUI_COL305</t>
  </si>
  <si>
    <t>BUI_COL306</t>
  </si>
  <si>
    <t>BUI_COL76</t>
  </si>
  <si>
    <t>BUI_COL77</t>
  </si>
  <si>
    <t>BUI_COL78</t>
  </si>
  <si>
    <t>BUI_COL79</t>
  </si>
  <si>
    <t>BUI_COL80</t>
  </si>
  <si>
    <t>BUI_COL81</t>
  </si>
  <si>
    <t>BUI_COL82</t>
  </si>
  <si>
    <t>BUI_COL108</t>
  </si>
  <si>
    <t>BUI_COL109</t>
  </si>
  <si>
    <t>BUI_COL110</t>
  </si>
  <si>
    <t>BUI_COL111</t>
  </si>
  <si>
    <t>BUI_COL112</t>
  </si>
  <si>
    <t>BUI_COL113</t>
  </si>
  <si>
    <t>BUI_COL114</t>
  </si>
  <si>
    <r>
      <t>nraX</t>
    </r>
    <r>
      <rPr>
        <vertAlign val="subscript"/>
        <sz val="10"/>
        <color theme="1"/>
        <rFont val="Albertus Medium"/>
        <family val="2"/>
      </rPr>
      <t>a</t>
    </r>
  </si>
  <si>
    <r>
      <t>nraA</t>
    </r>
    <r>
      <rPr>
        <vertAlign val="subscript"/>
        <sz val="10"/>
        <color theme="1"/>
        <rFont val="Albertus Medium"/>
        <family val="2"/>
      </rPr>
      <t>a</t>
    </r>
  </si>
  <si>
    <r>
      <t>nraB</t>
    </r>
    <r>
      <rPr>
        <vertAlign val="subscript"/>
        <sz val="10"/>
        <color theme="1"/>
        <rFont val="Albertus Medium"/>
        <family val="2"/>
      </rPr>
      <t>a</t>
    </r>
  </si>
  <si>
    <r>
      <t>nrtX</t>
    </r>
    <r>
      <rPr>
        <vertAlign val="subscript"/>
        <sz val="10"/>
        <color theme="1"/>
        <rFont val="Albertus Medium"/>
        <family val="2"/>
      </rPr>
      <t>a</t>
    </r>
  </si>
  <si>
    <r>
      <t>nrtA</t>
    </r>
    <r>
      <rPr>
        <vertAlign val="subscript"/>
        <sz val="10"/>
        <color theme="1"/>
        <rFont val="Albertus Medium"/>
        <family val="2"/>
      </rPr>
      <t>a</t>
    </r>
  </si>
  <si>
    <r>
      <t>nrtB</t>
    </r>
    <r>
      <rPr>
        <vertAlign val="subscript"/>
        <sz val="10"/>
        <color theme="1"/>
        <rFont val="Albertus Medium"/>
        <family val="2"/>
      </rPr>
      <t>a</t>
    </r>
  </si>
  <si>
    <r>
      <t>nrsX</t>
    </r>
    <r>
      <rPr>
        <vertAlign val="subscript"/>
        <sz val="10"/>
        <color theme="1"/>
        <rFont val="Albertus Medium"/>
        <family val="2"/>
      </rPr>
      <t>a</t>
    </r>
  </si>
  <si>
    <r>
      <t>nrsA</t>
    </r>
    <r>
      <rPr>
        <vertAlign val="subscript"/>
        <sz val="10"/>
        <color theme="1"/>
        <rFont val="Albertus Medium"/>
        <family val="2"/>
      </rPr>
      <t>a</t>
    </r>
  </si>
  <si>
    <r>
      <t>nrsB</t>
    </r>
    <r>
      <rPr>
        <vertAlign val="subscript"/>
        <sz val="10"/>
        <color theme="1"/>
        <rFont val="Albertus Medium"/>
        <family val="2"/>
      </rPr>
      <t>a</t>
    </r>
  </si>
  <si>
    <r>
      <t>nrdX</t>
    </r>
    <r>
      <rPr>
        <vertAlign val="subscript"/>
        <sz val="10"/>
        <color theme="1"/>
        <rFont val="Albertus Medium"/>
        <family val="2"/>
      </rPr>
      <t>a</t>
    </r>
  </si>
  <si>
    <r>
      <t>nrdA</t>
    </r>
    <r>
      <rPr>
        <vertAlign val="subscript"/>
        <sz val="10"/>
        <color theme="1"/>
        <rFont val="Albertus Medium"/>
        <family val="2"/>
      </rPr>
      <t>a</t>
    </r>
  </si>
  <si>
    <r>
      <t>nrdB</t>
    </r>
    <r>
      <rPr>
        <vertAlign val="subscript"/>
        <sz val="10"/>
        <color theme="1"/>
        <rFont val="Albertus Medium"/>
        <family val="2"/>
      </rPr>
      <t>a</t>
    </r>
  </si>
  <si>
    <r>
      <t>GHG_Gas</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BUI_COL276) + (nraA</t>
    </r>
    <r>
      <rPr>
        <vertAlign val="subscript"/>
        <sz val="10"/>
        <color theme="1"/>
        <rFont val="Albertus Medium"/>
        <family val="2"/>
      </rPr>
      <t>a</t>
    </r>
    <r>
      <rPr>
        <sz val="10"/>
        <color theme="1"/>
        <rFont val="Albertus Medium"/>
        <family val="2"/>
      </rPr>
      <t xml:space="preserve"> * BUI_COL52) + (nraB</t>
    </r>
    <r>
      <rPr>
        <vertAlign val="subscript"/>
        <sz val="10"/>
        <color theme="1"/>
        <rFont val="Albertus Medium"/>
        <family val="2"/>
      </rPr>
      <t>a</t>
    </r>
    <r>
      <rPr>
        <sz val="10"/>
        <color theme="1"/>
        <rFont val="Albertus Medium"/>
        <family val="2"/>
      </rPr>
      <t xml:space="preserve"> * BUI_COL84)) * BUI_COL1 / 1000000</t>
    </r>
  </si>
  <si>
    <r>
      <t>GHG_Oil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BUI_COL277) + (nraA</t>
    </r>
    <r>
      <rPr>
        <vertAlign val="subscript"/>
        <sz val="10"/>
        <color theme="1"/>
        <rFont val="Albertus Medium"/>
        <family val="2"/>
      </rPr>
      <t>a</t>
    </r>
    <r>
      <rPr>
        <sz val="10"/>
        <color theme="1"/>
        <rFont val="Albertus Medium"/>
        <family val="2"/>
      </rPr>
      <t xml:space="preserve"> * BUI_COL53) + (nraB</t>
    </r>
    <r>
      <rPr>
        <vertAlign val="subscript"/>
        <sz val="10"/>
        <color theme="1"/>
        <rFont val="Albertus Medium"/>
        <family val="2"/>
      </rPr>
      <t>a</t>
    </r>
    <r>
      <rPr>
        <sz val="10"/>
        <color theme="1"/>
        <rFont val="Albertus Medium"/>
        <family val="2"/>
      </rPr>
      <t xml:space="preserve"> * BUI_COL85)) * BUI_COL2 / 1000000</t>
    </r>
  </si>
  <si>
    <r>
      <t>GHG_Coal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BUI_COL278) + (nraA</t>
    </r>
    <r>
      <rPr>
        <vertAlign val="subscript"/>
        <sz val="10"/>
        <color theme="1"/>
        <rFont val="Albertus Medium"/>
        <family val="2"/>
      </rPr>
      <t>a</t>
    </r>
    <r>
      <rPr>
        <sz val="10"/>
        <color theme="1"/>
        <rFont val="Albertus Medium"/>
        <family val="2"/>
      </rPr>
      <t xml:space="preserve"> * BUI_COL54) + (nraB</t>
    </r>
    <r>
      <rPr>
        <vertAlign val="subscript"/>
        <sz val="10"/>
        <color theme="1"/>
        <rFont val="Albertus Medium"/>
        <family val="2"/>
      </rPr>
      <t>a</t>
    </r>
    <r>
      <rPr>
        <sz val="10"/>
        <color theme="1"/>
        <rFont val="Albertus Medium"/>
        <family val="2"/>
      </rPr>
      <t xml:space="preserve"> * BUI_COL86)) * BUI_COL3 / 1000000</t>
    </r>
  </si>
  <si>
    <r>
      <t>GHG_Peat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BUI_COL279) + (nraA</t>
    </r>
    <r>
      <rPr>
        <vertAlign val="subscript"/>
        <sz val="10"/>
        <color theme="1"/>
        <rFont val="Albertus Medium"/>
        <family val="2"/>
      </rPr>
      <t>a</t>
    </r>
    <r>
      <rPr>
        <sz val="10"/>
        <color theme="1"/>
        <rFont val="Albertus Medium"/>
        <family val="2"/>
      </rPr>
      <t xml:space="preserve"> * BUI_COL55) + (nraB</t>
    </r>
    <r>
      <rPr>
        <vertAlign val="subscript"/>
        <sz val="10"/>
        <color theme="1"/>
        <rFont val="Albertus Medium"/>
        <family val="2"/>
      </rPr>
      <t>a</t>
    </r>
    <r>
      <rPr>
        <sz val="10"/>
        <color theme="1"/>
        <rFont val="Albertus Medium"/>
        <family val="2"/>
      </rPr>
      <t xml:space="preserve"> * BUI_COL87)) * BUI_COL4 / 1000000</t>
    </r>
  </si>
  <si>
    <r>
      <t>GHG_Wood</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BUI_COL280) + (nraA</t>
    </r>
    <r>
      <rPr>
        <vertAlign val="subscript"/>
        <sz val="10"/>
        <color theme="1"/>
        <rFont val="Albertus Medium"/>
        <family val="2"/>
      </rPr>
      <t>a</t>
    </r>
    <r>
      <rPr>
        <sz val="10"/>
        <color theme="1"/>
        <rFont val="Albertus Medium"/>
        <family val="2"/>
      </rPr>
      <t xml:space="preserve"> * BUI_COL56) + (nraB</t>
    </r>
    <r>
      <rPr>
        <vertAlign val="subscript"/>
        <sz val="10"/>
        <color theme="1"/>
        <rFont val="Albertus Medium"/>
        <family val="2"/>
      </rPr>
      <t>a</t>
    </r>
    <r>
      <rPr>
        <sz val="10"/>
        <color theme="1"/>
        <rFont val="Albertus Medium"/>
        <family val="2"/>
      </rPr>
      <t xml:space="preserve"> * BUI_COL88)) * BUI_COL5 / 1000000</t>
    </r>
  </si>
  <si>
    <r>
      <t>GHG_Renewable</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BUI_COL281) + (nraA</t>
    </r>
    <r>
      <rPr>
        <vertAlign val="subscript"/>
        <sz val="10"/>
        <color theme="1"/>
        <rFont val="Albertus Medium"/>
        <family val="2"/>
      </rPr>
      <t>a</t>
    </r>
    <r>
      <rPr>
        <sz val="10"/>
        <color theme="1"/>
        <rFont val="Albertus Medium"/>
        <family val="2"/>
      </rPr>
      <t xml:space="preserve"> * BUI_COL57) + (nraB</t>
    </r>
    <r>
      <rPr>
        <vertAlign val="subscript"/>
        <sz val="10"/>
        <color theme="1"/>
        <rFont val="Albertus Medium"/>
        <family val="2"/>
      </rPr>
      <t>a</t>
    </r>
    <r>
      <rPr>
        <sz val="10"/>
        <color theme="1"/>
        <rFont val="Albertus Medium"/>
        <family val="2"/>
      </rPr>
      <t xml:space="preserve"> * BUI_COL89)) * BUI_COL6 / 1000000</t>
    </r>
  </si>
  <si>
    <r>
      <t>GHG_Heat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BUI_COL282) + (nraA</t>
    </r>
    <r>
      <rPr>
        <vertAlign val="subscript"/>
        <sz val="10"/>
        <color theme="1"/>
        <rFont val="Albertus Medium"/>
        <family val="2"/>
      </rPr>
      <t>a</t>
    </r>
    <r>
      <rPr>
        <sz val="10"/>
        <color theme="1"/>
        <rFont val="Albertus Medium"/>
        <family val="2"/>
      </rPr>
      <t xml:space="preserve"> * BUI_COL58) + (nraB</t>
    </r>
    <r>
      <rPr>
        <vertAlign val="subscript"/>
        <sz val="10"/>
        <color theme="1"/>
        <rFont val="Albertus Medium"/>
        <family val="2"/>
      </rPr>
      <t>a</t>
    </r>
    <r>
      <rPr>
        <sz val="10"/>
        <color theme="1"/>
        <rFont val="Albertus Medium"/>
        <family val="2"/>
      </rPr>
      <t xml:space="preserve"> * BUI_COL90))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</si>
  <si>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BUI_COL275) + (nraA</t>
    </r>
    <r>
      <rPr>
        <vertAlign val="subscript"/>
        <sz val="10"/>
        <color theme="1"/>
        <rFont val="Albertus Medium"/>
        <family val="2"/>
      </rPr>
      <t>a</t>
    </r>
    <r>
      <rPr>
        <sz val="10"/>
        <color theme="1"/>
        <rFont val="Albertus Medium"/>
        <family val="2"/>
      </rPr>
      <t xml:space="preserve"> * BUI_COL51) + (nraB</t>
    </r>
    <r>
      <rPr>
        <vertAlign val="subscript"/>
        <sz val="10"/>
        <color theme="1"/>
        <rFont val="Albertus Medium"/>
        <family val="2"/>
      </rPr>
      <t>a</t>
    </r>
    <r>
      <rPr>
        <sz val="10"/>
        <color theme="1"/>
        <rFont val="Albertus Medium"/>
        <family val="2"/>
      </rPr>
      <t xml:space="preserve"> * BUI_COL83)) * GRID_ELECTRICITY_emission_factor</t>
    </r>
    <r>
      <rPr>
        <vertAlign val="subscript"/>
        <sz val="10"/>
        <color theme="1"/>
        <rFont val="Albertus Medium"/>
        <family val="2"/>
      </rPr>
      <t>a</t>
    </r>
    <r>
      <rPr>
        <sz val="10"/>
        <color theme="1"/>
        <rFont val="Albertus Medium"/>
        <family val="2"/>
      </rPr>
      <t xml:space="preserve"> (from row4) / 1000000</t>
    </r>
  </si>
  <si>
    <r>
      <t>GHG_Electricity</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BUI_COL283) + (nrtA</t>
    </r>
    <r>
      <rPr>
        <vertAlign val="subscript"/>
        <sz val="10"/>
        <color theme="1"/>
        <rFont val="Albertus Medium"/>
        <family val="2"/>
      </rPr>
      <t>a</t>
    </r>
    <r>
      <rPr>
        <sz val="10"/>
        <color theme="1"/>
        <rFont val="Albertus Medium"/>
        <family val="2"/>
      </rPr>
      <t xml:space="preserve"> * BUI_COL59) + (nrtB</t>
    </r>
    <r>
      <rPr>
        <vertAlign val="subscript"/>
        <sz val="10"/>
        <color theme="1"/>
        <rFont val="Albertus Medium"/>
        <family val="2"/>
      </rPr>
      <t>a</t>
    </r>
    <r>
      <rPr>
        <sz val="10"/>
        <color theme="1"/>
        <rFont val="Albertus Medium"/>
        <family val="2"/>
      </rPr>
      <t xml:space="preserve"> * BUI_COL91))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</si>
  <si>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 xml:space="preserve">a </t>
    </r>
    <r>
      <rPr>
        <sz val="10"/>
        <color theme="1"/>
        <rFont val="Albertus Medium"/>
        <family val="2"/>
      </rPr>
      <t>* BUI_COL284) + (nrtA</t>
    </r>
    <r>
      <rPr>
        <vertAlign val="subscript"/>
        <sz val="10"/>
        <color theme="1"/>
        <rFont val="Albertus Medium"/>
        <family val="2"/>
      </rPr>
      <t>a</t>
    </r>
    <r>
      <rPr>
        <sz val="10"/>
        <color theme="1"/>
        <rFont val="Albertus Medium"/>
        <family val="2"/>
      </rPr>
      <t xml:space="preserve"> * BUI_COL60) + (nrtB</t>
    </r>
    <r>
      <rPr>
        <vertAlign val="subscript"/>
        <sz val="10"/>
        <color theme="1"/>
        <rFont val="Albertus Medium"/>
        <family val="2"/>
      </rPr>
      <t>a</t>
    </r>
    <r>
      <rPr>
        <sz val="10"/>
        <color theme="1"/>
        <rFont val="Albertus Medium"/>
        <family val="2"/>
      </rPr>
      <t xml:space="preserve"> * BUI_COL92)) * BUI_COL1 / 1000000</t>
    </r>
  </si>
  <si>
    <r>
      <t>GHG_Oil</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BUI_COL285) + (nrtA</t>
    </r>
    <r>
      <rPr>
        <vertAlign val="subscript"/>
        <sz val="10"/>
        <color theme="1"/>
        <rFont val="Albertus Medium"/>
        <family val="2"/>
      </rPr>
      <t>a</t>
    </r>
    <r>
      <rPr>
        <sz val="10"/>
        <color theme="1"/>
        <rFont val="Albertus Medium"/>
        <family val="2"/>
      </rPr>
      <t xml:space="preserve"> * BUI_COL61) + (nrtB</t>
    </r>
    <r>
      <rPr>
        <vertAlign val="subscript"/>
        <sz val="10"/>
        <color theme="1"/>
        <rFont val="Albertus Medium"/>
        <family val="2"/>
      </rPr>
      <t>a</t>
    </r>
    <r>
      <rPr>
        <sz val="10"/>
        <color theme="1"/>
        <rFont val="Albertus Medium"/>
        <family val="2"/>
      </rPr>
      <t xml:space="preserve"> * BUI_COL93)) * BUI_COL2 / 1000000</t>
    </r>
  </si>
  <si>
    <r>
      <t>GHG_Coa</t>
    </r>
    <r>
      <rPr>
        <vertAlign val="subscript"/>
        <sz val="10"/>
        <color theme="1"/>
        <rFont val="Albertus Medium"/>
        <family val="2"/>
      </rPr>
      <t>la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BUI_COL286) + (nrtA</t>
    </r>
    <r>
      <rPr>
        <vertAlign val="subscript"/>
        <sz val="10"/>
        <color theme="1"/>
        <rFont val="Albertus Medium"/>
        <family val="2"/>
      </rPr>
      <t>a</t>
    </r>
    <r>
      <rPr>
        <sz val="10"/>
        <color theme="1"/>
        <rFont val="Albertus Medium"/>
        <family val="2"/>
      </rPr>
      <t xml:space="preserve"> * BUI_COL62) + (nrtB</t>
    </r>
    <r>
      <rPr>
        <vertAlign val="subscript"/>
        <sz val="10"/>
        <color theme="1"/>
        <rFont val="Albertus Medium"/>
        <family val="2"/>
      </rPr>
      <t>a</t>
    </r>
    <r>
      <rPr>
        <sz val="10"/>
        <color theme="1"/>
        <rFont val="Albertus Medium"/>
        <family val="2"/>
      </rPr>
      <t xml:space="preserve"> * BUI_COL94)) * BUI_COL3 / 1000000</t>
    </r>
  </si>
  <si>
    <r>
      <t>GHG_Peat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BUI_COL287) + (nrtA</t>
    </r>
    <r>
      <rPr>
        <vertAlign val="subscript"/>
        <sz val="10"/>
        <color theme="1"/>
        <rFont val="Albertus Medium"/>
        <family val="2"/>
      </rPr>
      <t>a</t>
    </r>
    <r>
      <rPr>
        <sz val="10"/>
        <color theme="1"/>
        <rFont val="Albertus Medium"/>
        <family val="2"/>
      </rPr>
      <t xml:space="preserve"> * BUI_COL63) + (nrtB</t>
    </r>
    <r>
      <rPr>
        <vertAlign val="subscript"/>
        <sz val="10"/>
        <color theme="1"/>
        <rFont val="Albertus Medium"/>
        <family val="2"/>
      </rPr>
      <t>a</t>
    </r>
    <r>
      <rPr>
        <sz val="10"/>
        <color theme="1"/>
        <rFont val="Albertus Medium"/>
        <family val="2"/>
      </rPr>
      <t xml:space="preserve"> * BUI_COL95)) * BUI_COL4 / 1000000</t>
    </r>
  </si>
  <si>
    <r>
      <t>GHG_Wood</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BUI_COL288) + (nrtA</t>
    </r>
    <r>
      <rPr>
        <vertAlign val="subscript"/>
        <sz val="10"/>
        <color theme="1"/>
        <rFont val="Albertus Medium"/>
        <family val="2"/>
      </rPr>
      <t>a</t>
    </r>
    <r>
      <rPr>
        <sz val="10"/>
        <color theme="1"/>
        <rFont val="Albertus Medium"/>
        <family val="2"/>
      </rPr>
      <t xml:space="preserve"> * BUI_COL64) + (nrtB</t>
    </r>
    <r>
      <rPr>
        <vertAlign val="subscript"/>
        <sz val="10"/>
        <color theme="1"/>
        <rFont val="Albertus Medium"/>
        <family val="2"/>
      </rPr>
      <t>a</t>
    </r>
    <r>
      <rPr>
        <sz val="10"/>
        <color theme="1"/>
        <rFont val="Albertus Medium"/>
        <family val="2"/>
      </rPr>
      <t xml:space="preserve"> * BUI_COL96)) * BUI_COL5 / 1000000</t>
    </r>
  </si>
  <si>
    <r>
      <t>GHG_Renewable</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BUI_COL289) + (nrtA</t>
    </r>
    <r>
      <rPr>
        <vertAlign val="subscript"/>
        <sz val="10"/>
        <color theme="1"/>
        <rFont val="Albertus Medium"/>
        <family val="2"/>
      </rPr>
      <t>a</t>
    </r>
    <r>
      <rPr>
        <sz val="10"/>
        <color theme="1"/>
        <rFont val="Albertus Medium"/>
        <family val="2"/>
      </rPr>
      <t xml:space="preserve"> * BUI_COL65) + (nrtB</t>
    </r>
    <r>
      <rPr>
        <vertAlign val="subscript"/>
        <sz val="10"/>
        <color theme="1"/>
        <rFont val="Albertus Medium"/>
        <family val="2"/>
      </rPr>
      <t>a</t>
    </r>
    <r>
      <rPr>
        <sz val="10"/>
        <color theme="1"/>
        <rFont val="Albertus Medium"/>
        <family val="2"/>
      </rPr>
      <t xml:space="preserve"> * BUI_COL97)) * BUI_COL6 / 1000000</t>
    </r>
  </si>
  <si>
    <r>
      <t>GHG_Heat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BUI_COL290) + (nrtA</t>
    </r>
    <r>
      <rPr>
        <vertAlign val="subscript"/>
        <sz val="10"/>
        <color theme="1"/>
        <rFont val="Albertus Medium"/>
        <family val="2"/>
      </rPr>
      <t>a</t>
    </r>
    <r>
      <rPr>
        <sz val="10"/>
        <color theme="1"/>
        <rFont val="Albertus Medium"/>
        <family val="2"/>
      </rPr>
      <t xml:space="preserve"> * BUI_COL66) + (nrtB</t>
    </r>
    <r>
      <rPr>
        <vertAlign val="subscript"/>
        <sz val="10"/>
        <color theme="1"/>
        <rFont val="Albertus Medium"/>
        <family val="2"/>
      </rPr>
      <t>a</t>
    </r>
    <r>
      <rPr>
        <sz val="10"/>
        <color theme="1"/>
        <rFont val="Albertus Medium"/>
        <family val="2"/>
      </rPr>
      <t xml:space="preserve"> * BUI_COL98))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</si>
  <si>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BUI_COL291) + (nrsA</t>
    </r>
    <r>
      <rPr>
        <vertAlign val="subscript"/>
        <sz val="10"/>
        <color theme="1"/>
        <rFont val="Albertus Medium"/>
        <family val="2"/>
      </rPr>
      <t>a</t>
    </r>
    <r>
      <rPr>
        <sz val="10"/>
        <color theme="1"/>
        <rFont val="Albertus Medium"/>
        <family val="2"/>
      </rPr>
      <t xml:space="preserve"> * BUI_COL67) + (nrsB</t>
    </r>
    <r>
      <rPr>
        <vertAlign val="subscript"/>
        <sz val="10"/>
        <color theme="1"/>
        <rFont val="Albertus Medium"/>
        <family val="2"/>
      </rPr>
      <t>a</t>
    </r>
    <r>
      <rPr>
        <sz val="10"/>
        <color theme="1"/>
        <rFont val="Albertus Medium"/>
        <family val="2"/>
      </rPr>
      <t xml:space="preserve"> * BUI_COL99)) * GRID_ELECTRICITY_emission_facto</t>
    </r>
    <r>
      <rPr>
        <sz val="10"/>
        <color theme="1"/>
        <rFont val="Albertus Medium"/>
        <family val="2"/>
      </rPr>
      <t>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</si>
  <si>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BUI_COL292) + (nrsA</t>
    </r>
    <r>
      <rPr>
        <vertAlign val="subscript"/>
        <sz val="10"/>
        <color theme="1"/>
        <rFont val="Albertus Medium"/>
        <family val="2"/>
      </rPr>
      <t>a</t>
    </r>
    <r>
      <rPr>
        <sz val="10"/>
        <color theme="1"/>
        <rFont val="Albertus Medium"/>
        <family val="2"/>
      </rPr>
      <t xml:space="preserve"> * BUI_COL68) + (nrsB</t>
    </r>
    <r>
      <rPr>
        <vertAlign val="subscript"/>
        <sz val="10"/>
        <color theme="1"/>
        <rFont val="Albertus Medium"/>
        <family val="2"/>
      </rPr>
      <t>a</t>
    </r>
    <r>
      <rPr>
        <sz val="10"/>
        <color theme="1"/>
        <rFont val="Albertus Medium"/>
        <family val="2"/>
      </rPr>
      <t xml:space="preserve"> * BUI_COL100)) * BUI_COL1 / 1000000</t>
    </r>
  </si>
  <si>
    <r>
      <t>GHG_Oil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BUI_COL293) + (nrsA</t>
    </r>
    <r>
      <rPr>
        <vertAlign val="subscript"/>
        <sz val="10"/>
        <color theme="1"/>
        <rFont val="Albertus Medium"/>
        <family val="2"/>
      </rPr>
      <t>a</t>
    </r>
    <r>
      <rPr>
        <sz val="10"/>
        <color theme="1"/>
        <rFont val="Albertus Medium"/>
        <family val="2"/>
      </rPr>
      <t xml:space="preserve"> * BUI_COL69) + (nrsB</t>
    </r>
    <r>
      <rPr>
        <vertAlign val="subscript"/>
        <sz val="10"/>
        <color theme="1"/>
        <rFont val="Albertus Medium"/>
        <family val="2"/>
      </rPr>
      <t>a</t>
    </r>
    <r>
      <rPr>
        <sz val="10"/>
        <color theme="1"/>
        <rFont val="Albertus Medium"/>
        <family val="2"/>
      </rPr>
      <t xml:space="preserve"> * BUI_COL101)) * BUI_COL2 / 1000000</t>
    </r>
  </si>
  <si>
    <r>
      <t>GHG_Coal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BUI_COL294) + (nrsA</t>
    </r>
    <r>
      <rPr>
        <vertAlign val="subscript"/>
        <sz val="10"/>
        <color theme="1"/>
        <rFont val="Albertus Medium"/>
        <family val="2"/>
      </rPr>
      <t>a</t>
    </r>
    <r>
      <rPr>
        <sz val="10"/>
        <color theme="1"/>
        <rFont val="Albertus Medium"/>
        <family val="2"/>
      </rPr>
      <t xml:space="preserve"> * BUI_COL70) + (nrsB</t>
    </r>
    <r>
      <rPr>
        <vertAlign val="subscript"/>
        <sz val="10"/>
        <color theme="1"/>
        <rFont val="Albertus Medium"/>
        <family val="2"/>
      </rPr>
      <t>a</t>
    </r>
    <r>
      <rPr>
        <sz val="10"/>
        <color theme="1"/>
        <rFont val="Albertus Medium"/>
        <family val="2"/>
      </rPr>
      <t xml:space="preserve"> * BUI_COL102)) * BUI_COL3 / 1000000</t>
    </r>
  </si>
  <si>
    <r>
      <t>GHG_Peat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BUI_COL295) + (nrsA</t>
    </r>
    <r>
      <rPr>
        <vertAlign val="subscript"/>
        <sz val="10"/>
        <color theme="1"/>
        <rFont val="Albertus Medium"/>
        <family val="2"/>
      </rPr>
      <t>a</t>
    </r>
    <r>
      <rPr>
        <sz val="10"/>
        <color theme="1"/>
        <rFont val="Albertus Medium"/>
        <family val="2"/>
      </rPr>
      <t xml:space="preserve"> * BUI_COL71) + (nrsB</t>
    </r>
    <r>
      <rPr>
        <vertAlign val="subscript"/>
        <sz val="10"/>
        <color theme="1"/>
        <rFont val="Albertus Medium"/>
        <family val="2"/>
      </rPr>
      <t>a</t>
    </r>
    <r>
      <rPr>
        <sz val="10"/>
        <color theme="1"/>
        <rFont val="Albertus Medium"/>
        <family val="2"/>
      </rPr>
      <t xml:space="preserve"> * BUI_COL103)) * BUI_COL4 / 1000000</t>
    </r>
  </si>
  <si>
    <r>
      <t>GHG_Wood</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BUI_COL296) + (nrsA</t>
    </r>
    <r>
      <rPr>
        <vertAlign val="subscript"/>
        <sz val="10"/>
        <color theme="1"/>
        <rFont val="Albertus Medium"/>
        <family val="2"/>
      </rPr>
      <t>a</t>
    </r>
    <r>
      <rPr>
        <sz val="10"/>
        <color theme="1"/>
        <rFont val="Albertus Medium"/>
        <family val="2"/>
      </rPr>
      <t xml:space="preserve"> * BUI_COL72) + (nrsB</t>
    </r>
    <r>
      <rPr>
        <vertAlign val="subscript"/>
        <sz val="10"/>
        <color theme="1"/>
        <rFont val="Albertus Medium"/>
        <family val="2"/>
      </rPr>
      <t>a</t>
    </r>
    <r>
      <rPr>
        <sz val="10"/>
        <color theme="1"/>
        <rFont val="Albertus Medium"/>
        <family val="2"/>
      </rPr>
      <t xml:space="preserve"> * BUI_COL104)) * BUI_COL5 / 1000000</t>
    </r>
  </si>
  <si>
    <r>
      <t>GHG_Renewable</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BUI_COL297) + (nrsA</t>
    </r>
    <r>
      <rPr>
        <vertAlign val="subscript"/>
        <sz val="10"/>
        <color theme="1"/>
        <rFont val="Albertus Medium"/>
        <family val="2"/>
      </rPr>
      <t>a</t>
    </r>
    <r>
      <rPr>
        <sz val="10"/>
        <color theme="1"/>
        <rFont val="Albertus Medium"/>
        <family val="2"/>
      </rPr>
      <t xml:space="preserve"> * BUI_COL73) + (nrsB</t>
    </r>
    <r>
      <rPr>
        <vertAlign val="subscript"/>
        <sz val="10"/>
        <color theme="1"/>
        <rFont val="Albertus Medium"/>
        <family val="2"/>
      </rPr>
      <t>a</t>
    </r>
    <r>
      <rPr>
        <sz val="10"/>
        <color theme="1"/>
        <rFont val="Albertus Medium"/>
        <family val="2"/>
      </rPr>
      <t xml:space="preserve"> * BUI_COL105)) * BUI_COL6 / 1000000</t>
    </r>
  </si>
  <si>
    <r>
      <t>GHG_Heat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BUI_COL298) + (nrsA</t>
    </r>
    <r>
      <rPr>
        <vertAlign val="subscript"/>
        <sz val="10"/>
        <color theme="1"/>
        <rFont val="Albertus Medium"/>
        <family val="2"/>
      </rPr>
      <t>a</t>
    </r>
    <r>
      <rPr>
        <sz val="10"/>
        <color theme="1"/>
        <rFont val="Albertus Medium"/>
        <family val="2"/>
      </rPr>
      <t xml:space="preserve"> * BUI_COL74) + (nrsB</t>
    </r>
    <r>
      <rPr>
        <vertAlign val="subscript"/>
        <sz val="10"/>
        <color theme="1"/>
        <rFont val="Albertus Medium"/>
        <family val="2"/>
      </rPr>
      <t>a</t>
    </r>
    <r>
      <rPr>
        <sz val="10"/>
        <color theme="1"/>
        <rFont val="Albertus Medium"/>
        <family val="2"/>
      </rPr>
      <t xml:space="preserve"> * BUI_COL106)) * DISTRICT_HEATING_emission_factor</t>
    </r>
    <r>
      <rPr>
        <vertAlign val="subscript"/>
        <sz val="10"/>
        <color theme="1"/>
        <rFont val="Albertus Medium"/>
        <family val="2"/>
      </rPr>
      <t>a</t>
    </r>
    <r>
      <rPr>
        <sz val="10"/>
        <color theme="1"/>
        <rFont val="Albertus Medium"/>
        <family val="2"/>
      </rPr>
      <t xml:space="preserve"> (from row 5) / 1000000</t>
    </r>
  </si>
  <si>
    <t>DETACHED UNITS / GHG-EMISSSIONS</t>
  </si>
  <si>
    <t>detached</t>
  </si>
  <si>
    <r>
      <t>GHG_Electricity</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BUI_COL299) + (nrdA</t>
    </r>
    <r>
      <rPr>
        <vertAlign val="subscript"/>
        <sz val="10"/>
        <color theme="1"/>
        <rFont val="Albertus Medium"/>
        <family val="2"/>
      </rPr>
      <t>a</t>
    </r>
    <r>
      <rPr>
        <sz val="10"/>
        <color theme="1"/>
        <rFont val="Albertus Medium"/>
        <family val="2"/>
      </rPr>
      <t xml:space="preserve"> * BUI_COL75) + (nrdB</t>
    </r>
    <r>
      <rPr>
        <vertAlign val="subscript"/>
        <sz val="10"/>
        <color theme="1"/>
        <rFont val="Albertus Medium"/>
        <family val="2"/>
      </rPr>
      <t>a</t>
    </r>
    <r>
      <rPr>
        <sz val="10"/>
        <color theme="1"/>
        <rFont val="Albertus Medium"/>
        <family val="2"/>
      </rPr>
      <t xml:space="preserve"> * BUI_COL107))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</si>
  <si>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BUI_COL300) + (nrdA</t>
    </r>
    <r>
      <rPr>
        <vertAlign val="subscript"/>
        <sz val="10"/>
        <color theme="1"/>
        <rFont val="Albertus Medium"/>
        <family val="2"/>
      </rPr>
      <t>a</t>
    </r>
    <r>
      <rPr>
        <sz val="10"/>
        <color theme="1"/>
        <rFont val="Albertus Medium"/>
        <family val="2"/>
      </rPr>
      <t xml:space="preserve"> * BUI_COL76) + (nrdB</t>
    </r>
    <r>
      <rPr>
        <vertAlign val="subscript"/>
        <sz val="10"/>
        <color theme="1"/>
        <rFont val="Albertus Medium"/>
        <family val="2"/>
      </rPr>
      <t>a</t>
    </r>
    <r>
      <rPr>
        <sz val="10"/>
        <color theme="1"/>
        <rFont val="Albertus Medium"/>
        <family val="2"/>
      </rPr>
      <t xml:space="preserve"> * BUI_COL108)) * BUI_COL1 / 1000000</t>
    </r>
  </si>
  <si>
    <r>
      <t>GHG_Oil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BUI_COL301) + (nrdA</t>
    </r>
    <r>
      <rPr>
        <vertAlign val="subscript"/>
        <sz val="10"/>
        <color theme="1"/>
        <rFont val="Albertus Medium"/>
        <family val="2"/>
      </rPr>
      <t>a</t>
    </r>
    <r>
      <rPr>
        <sz val="10"/>
        <color theme="1"/>
        <rFont val="Albertus Medium"/>
        <family val="2"/>
      </rPr>
      <t xml:space="preserve"> * BUI_COL77) + (nrdB</t>
    </r>
    <r>
      <rPr>
        <vertAlign val="subscript"/>
        <sz val="10"/>
        <color theme="1"/>
        <rFont val="Albertus Medium"/>
        <family val="2"/>
      </rPr>
      <t>a</t>
    </r>
    <r>
      <rPr>
        <sz val="10"/>
        <color theme="1"/>
        <rFont val="Albertus Medium"/>
        <family val="2"/>
      </rPr>
      <t xml:space="preserve"> * BUI_COL109)) * BUI_COL2 / 1000000</t>
    </r>
  </si>
  <si>
    <r>
      <t>GHG_Coal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BUI_COL302) + (nrdA</t>
    </r>
    <r>
      <rPr>
        <vertAlign val="subscript"/>
        <sz val="10"/>
        <color theme="1"/>
        <rFont val="Albertus Medium"/>
        <family val="2"/>
      </rPr>
      <t>a</t>
    </r>
    <r>
      <rPr>
        <sz val="10"/>
        <color theme="1"/>
        <rFont val="Albertus Medium"/>
        <family val="2"/>
      </rPr>
      <t xml:space="preserve"> * BUI_COL78) + (nrdB</t>
    </r>
    <r>
      <rPr>
        <vertAlign val="subscript"/>
        <sz val="10"/>
        <color theme="1"/>
        <rFont val="Albertus Medium"/>
        <family val="2"/>
      </rPr>
      <t>a</t>
    </r>
    <r>
      <rPr>
        <sz val="10"/>
        <color theme="1"/>
        <rFont val="Albertus Medium"/>
        <family val="2"/>
      </rPr>
      <t xml:space="preserve"> * BUI_COL110)) * BUI_COL3 / 1000000</t>
    </r>
  </si>
  <si>
    <r>
      <t>GHG_Peat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BUI_COL303) + (nrdA</t>
    </r>
    <r>
      <rPr>
        <vertAlign val="subscript"/>
        <sz val="10"/>
        <color theme="1"/>
        <rFont val="Albertus Medium"/>
        <family val="2"/>
      </rPr>
      <t>a</t>
    </r>
    <r>
      <rPr>
        <sz val="10"/>
        <color theme="1"/>
        <rFont val="Albertus Medium"/>
        <family val="2"/>
      </rPr>
      <t xml:space="preserve"> * BUI_COL79) + (nrdB</t>
    </r>
    <r>
      <rPr>
        <vertAlign val="subscript"/>
        <sz val="10"/>
        <color theme="1"/>
        <rFont val="Albertus Medium"/>
        <family val="2"/>
      </rPr>
      <t>a</t>
    </r>
    <r>
      <rPr>
        <sz val="10"/>
        <color theme="1"/>
        <rFont val="Albertus Medium"/>
        <family val="2"/>
      </rPr>
      <t xml:space="preserve"> * BUI_COL111)) * BUI_COL4 / 1000000</t>
    </r>
  </si>
  <si>
    <r>
      <t>GHG_Wood</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BUI_COL304) + (nrdA</t>
    </r>
    <r>
      <rPr>
        <vertAlign val="subscript"/>
        <sz val="10"/>
        <color theme="1"/>
        <rFont val="Albertus Medium"/>
        <family val="2"/>
      </rPr>
      <t>a</t>
    </r>
    <r>
      <rPr>
        <sz val="10"/>
        <color theme="1"/>
        <rFont val="Albertus Medium"/>
        <family val="2"/>
      </rPr>
      <t xml:space="preserve"> * BUI_COL80) + (nrdB</t>
    </r>
    <r>
      <rPr>
        <vertAlign val="subscript"/>
        <sz val="10"/>
        <color theme="1"/>
        <rFont val="Albertus Medium"/>
        <family val="2"/>
      </rPr>
      <t>a</t>
    </r>
    <r>
      <rPr>
        <sz val="10"/>
        <color theme="1"/>
        <rFont val="Albertus Medium"/>
        <family val="2"/>
      </rPr>
      <t xml:space="preserve"> * BUI_COL112)) * BUI_COL5 / 1000000</t>
    </r>
  </si>
  <si>
    <r>
      <t>GHG_Renewable</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BUI_COL305) + (nrdA</t>
    </r>
    <r>
      <rPr>
        <vertAlign val="subscript"/>
        <sz val="10"/>
        <color theme="1"/>
        <rFont val="Albertus Medium"/>
        <family val="2"/>
      </rPr>
      <t>a</t>
    </r>
    <r>
      <rPr>
        <sz val="10"/>
        <color theme="1"/>
        <rFont val="Albertus Medium"/>
        <family val="2"/>
      </rPr>
      <t xml:space="preserve"> * BUI_COL81) + (nrdB</t>
    </r>
    <r>
      <rPr>
        <vertAlign val="subscript"/>
        <sz val="10"/>
        <color theme="1"/>
        <rFont val="Albertus Medium"/>
        <family val="2"/>
      </rPr>
      <t>a</t>
    </r>
    <r>
      <rPr>
        <sz val="10"/>
        <color theme="1"/>
        <rFont val="Albertus Medium"/>
        <family val="2"/>
      </rPr>
      <t xml:space="preserve"> * BUI_COL113)) * BUI_COL6 / 1000000</t>
    </r>
  </si>
  <si>
    <r>
      <t>GHG_Heat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BUI_COL306) + (nrdA</t>
    </r>
    <r>
      <rPr>
        <vertAlign val="subscript"/>
        <sz val="10"/>
        <color theme="1"/>
        <rFont val="Albertus Medium"/>
        <family val="2"/>
      </rPr>
      <t>a</t>
    </r>
    <r>
      <rPr>
        <sz val="10"/>
        <color theme="1"/>
        <rFont val="Albertus Medium"/>
        <family val="2"/>
      </rPr>
      <t xml:space="preserve"> * BUI_COL82) + (nrdB</t>
    </r>
    <r>
      <rPr>
        <vertAlign val="subscript"/>
        <sz val="10"/>
        <color theme="1"/>
        <rFont val="Albertus Medium"/>
        <family val="2"/>
      </rPr>
      <t>a</t>
    </r>
    <r>
      <rPr>
        <sz val="10"/>
        <color theme="1"/>
        <rFont val="Albertus Medium"/>
        <family val="2"/>
      </rPr>
      <t xml:space="preserve"> * BUI_COL114)) * DISTRICT_HEATING_emission_factor</t>
    </r>
    <r>
      <rPr>
        <vertAlign val="subscript"/>
        <sz val="10"/>
        <color theme="1"/>
        <rFont val="Albertus Medium"/>
        <family val="2"/>
      </rPr>
      <t>a</t>
    </r>
    <r>
      <rPr>
        <sz val="10"/>
        <color theme="1"/>
        <rFont val="Albertus Medium"/>
        <family val="2"/>
      </rPr>
      <t xml:space="preserve"> (from row 5) / 1000000</t>
    </r>
  </si>
  <si>
    <t>FLOOR AREA OF COMMERCIAL BUILDINGS</t>
  </si>
  <si>
    <r>
      <t>ARe</t>
    </r>
    <r>
      <rPr>
        <vertAlign val="subscript"/>
        <sz val="10"/>
        <color theme="1"/>
        <rFont val="Albertus Medium"/>
        <family val="2"/>
      </rPr>
      <t>a</t>
    </r>
  </si>
  <si>
    <r>
      <t>AHe</t>
    </r>
    <r>
      <rPr>
        <vertAlign val="subscript"/>
        <sz val="10"/>
        <color theme="1"/>
        <rFont val="Albertus Medium"/>
        <family val="2"/>
      </rPr>
      <t>a</t>
    </r>
  </si>
  <si>
    <r>
      <t>AHo</t>
    </r>
    <r>
      <rPr>
        <vertAlign val="subscript"/>
        <sz val="10"/>
        <color theme="1"/>
        <rFont val="Albertus Medium"/>
        <family val="2"/>
      </rPr>
      <t>a</t>
    </r>
  </si>
  <si>
    <r>
      <t>AOf</t>
    </r>
    <r>
      <rPr>
        <vertAlign val="subscript"/>
        <sz val="10"/>
        <color theme="1"/>
        <rFont val="Albertus Medium"/>
        <family val="2"/>
      </rPr>
      <t>a</t>
    </r>
  </si>
  <si>
    <r>
      <t>AIn</t>
    </r>
    <r>
      <rPr>
        <vertAlign val="subscript"/>
        <sz val="10"/>
        <color theme="1"/>
        <rFont val="Albertus Medium"/>
        <family val="2"/>
      </rPr>
      <t>a</t>
    </r>
  </si>
  <si>
    <r>
      <t>AWa</t>
    </r>
    <r>
      <rPr>
        <vertAlign val="subscript"/>
        <sz val="10"/>
        <color theme="1"/>
        <rFont val="Albertus Medium"/>
        <family val="2"/>
      </rPr>
      <t>a</t>
    </r>
  </si>
  <si>
    <t>Before the selected year</t>
  </si>
  <si>
    <t>On selected year</t>
  </si>
  <si>
    <t>After the selected year</t>
  </si>
  <si>
    <r>
      <t>ARe</t>
    </r>
    <r>
      <rPr>
        <vertAlign val="subscript"/>
        <sz val="10"/>
        <color theme="1"/>
        <rFont val="Albertus Medium"/>
        <family val="2"/>
      </rPr>
      <t>a</t>
    </r>
    <r>
      <rPr>
        <sz val="10"/>
        <color theme="1"/>
        <rFont val="Albertus Medium"/>
        <family val="2"/>
      </rPr>
      <t xml:space="preserve"> = 0</t>
    </r>
  </si>
  <si>
    <r>
      <t>ARe</t>
    </r>
    <r>
      <rPr>
        <vertAlign val="subscript"/>
        <sz val="10"/>
        <color theme="1"/>
        <rFont val="Albertus Medium"/>
        <family val="2"/>
      </rPr>
      <t>a</t>
    </r>
    <r>
      <rPr>
        <sz val="10"/>
        <color theme="1"/>
        <rFont val="Albertus Medium"/>
        <family val="2"/>
      </rPr>
      <t xml:space="preserve"> = User input from cell B82</t>
    </r>
  </si>
  <si>
    <r>
      <t>ARe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(a-1)</t>
    </r>
    <r>
      <rPr>
        <sz val="10"/>
        <color theme="1"/>
        <rFont val="Albertus Medium"/>
        <family val="2"/>
      </rPr>
      <t xml:space="preserve"> * (100 - demolition rate + increase rate) / 100</t>
    </r>
  </si>
  <si>
    <t>energy consumption</t>
  </si>
  <si>
    <t>RETAIL BUILDINGS / GHG-EMISSSIONS</t>
  </si>
  <si>
    <r>
      <t>kWh/m</t>
    </r>
    <r>
      <rPr>
        <vertAlign val="superscript"/>
        <sz val="8"/>
        <color theme="1"/>
        <rFont val="Albertus Medium"/>
        <family val="2"/>
      </rPr>
      <t>2</t>
    </r>
  </si>
  <si>
    <t>BUI_COL307</t>
  </si>
  <si>
    <t>BUI_COL308</t>
  </si>
  <si>
    <t>BUI_COL309</t>
  </si>
  <si>
    <t>BUI_COL310</t>
  </si>
  <si>
    <t>BUI_COL311</t>
  </si>
  <si>
    <t>BUI_COL312</t>
  </si>
  <si>
    <t>BUI_COL313</t>
  </si>
  <si>
    <t>BUI_COL314</t>
  </si>
  <si>
    <t>WAREHOUSES / GHG-EMISSSIONS</t>
  </si>
  <si>
    <t>HEALTH BUILDINGS / GHG-EMISSSIONS</t>
  </si>
  <si>
    <t>HOSPITALITY BUILDINGS / GHG-EMISSSIONS</t>
  </si>
  <si>
    <t>OFFICES / GHG-EMISSSIONS</t>
  </si>
  <si>
    <t>INDUSTRIAL BUILDINGS / GHG-EMISSSIONS</t>
  </si>
  <si>
    <t>BUI_COL315</t>
  </si>
  <si>
    <t>BUI_COL316</t>
  </si>
  <si>
    <t>BUI_COL317</t>
  </si>
  <si>
    <t>BUI_COL318</t>
  </si>
  <si>
    <t>BUI_COL319</t>
  </si>
  <si>
    <t>BUI_COL320</t>
  </si>
  <si>
    <t>BUI_COL321</t>
  </si>
  <si>
    <t>BUI_COL322</t>
  </si>
  <si>
    <t>BUI_COL323</t>
  </si>
  <si>
    <t>BUI_COL324</t>
  </si>
  <si>
    <t>BUI_COL325</t>
  </si>
  <si>
    <t>BUI_COL326</t>
  </si>
  <si>
    <t>BUI_COL327</t>
  </si>
  <si>
    <t>BUI_COL328</t>
  </si>
  <si>
    <t>BUI_COL329</t>
  </si>
  <si>
    <t>BUI_COL330</t>
  </si>
  <si>
    <t>BUI_COL331</t>
  </si>
  <si>
    <t>BUI_COL332</t>
  </si>
  <si>
    <t>BUI_COL333</t>
  </si>
  <si>
    <t>BUI_COL334</t>
  </si>
  <si>
    <t>BUI_COL335</t>
  </si>
  <si>
    <t>BUI_COL336</t>
  </si>
  <si>
    <t>BUI_COL337</t>
  </si>
  <si>
    <t>BUI_COL338</t>
  </si>
  <si>
    <t>BUI_COL339</t>
  </si>
  <si>
    <t>BUI_COL340</t>
  </si>
  <si>
    <t>BUI_COL341</t>
  </si>
  <si>
    <t>BUI_COL342</t>
  </si>
  <si>
    <t>BUI_COL343</t>
  </si>
  <si>
    <t>BUI_COL344</t>
  </si>
  <si>
    <t>BUI_COL345</t>
  </si>
  <si>
    <t>BUI_COL346</t>
  </si>
  <si>
    <t>BUI_COL347</t>
  </si>
  <si>
    <t>BUI_COL348</t>
  </si>
  <si>
    <t>BUI_COL349</t>
  </si>
  <si>
    <t>BUI_COL350</t>
  </si>
  <si>
    <t>BUI_COL351</t>
  </si>
  <si>
    <t>BUI_COL352</t>
  </si>
  <si>
    <t>BUI_COL353</t>
  </si>
  <si>
    <t>BUI_COL354</t>
  </si>
  <si>
    <r>
      <t>GHG_Gas</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BUI_COL308 * BUI_COL1 / 1000000</t>
    </r>
  </si>
  <si>
    <r>
      <t>GHG_Oil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BUI_COL309 * BUI_COL2 / 1000000</t>
    </r>
  </si>
  <si>
    <r>
      <t>GHG_Coal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BUI_COL310 * BUI_COL3 / 1000000</t>
    </r>
  </si>
  <si>
    <r>
      <t>GHG_Peat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BUI_COL311 * BUI_COL4 / 1000000</t>
    </r>
  </si>
  <si>
    <r>
      <t>GHG_Wood</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BUI_COL312 * BUI_COL5 / 1000000</t>
    </r>
  </si>
  <si>
    <r>
      <t>GHG_Renewable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BUI_COL313 * BUI_COL6 / 1000000</t>
    </r>
  </si>
  <si>
    <r>
      <t>GHG_Heat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BUI_COL314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</si>
  <si>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BUI_COL316 * BUI_COL1 / 1000000</t>
    </r>
  </si>
  <si>
    <r>
      <t>GHG_Oil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BUI_COL317 * BUI_COL2 / 1000000</t>
    </r>
  </si>
  <si>
    <r>
      <t>GHG_Coal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BUI_COL318 * BUI_COL3 / 1000000</t>
    </r>
  </si>
  <si>
    <r>
      <t>GHG_Peat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BUI_COL319 * BUI_COL4 / 1000000</t>
    </r>
  </si>
  <si>
    <r>
      <t>GHG_Wood</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BUI_COL320 * BUI_COL5 / 1000000</t>
    </r>
  </si>
  <si>
    <r>
      <t>GHG_Renewable</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BUI_COL321 * BUI_COL6 / 1000000</t>
    </r>
  </si>
  <si>
    <r>
      <t>GHG_Heat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BUI_COL322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</si>
  <si>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BUI_COL324 * BUI_COL1 / 1000000</t>
    </r>
  </si>
  <si>
    <r>
      <t>GHG_Oil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BUI_COL325 * BUI_COL2 / 1000000</t>
    </r>
  </si>
  <si>
    <r>
      <t>GHG_Coal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BUI_COL326 * BUI_COL3 / 1000000</t>
    </r>
  </si>
  <si>
    <r>
      <t>GHG_Peat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BUI_COL327 * BUI_COL4 / 1000000</t>
    </r>
  </si>
  <si>
    <r>
      <t>GHG_Wood</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BUI_COL328 * BUI_COL5 / 1000000</t>
    </r>
  </si>
  <si>
    <r>
      <t>GHG_Renewable</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BUI_COL329 * BUI_COL6 / 1000000</t>
    </r>
  </si>
  <si>
    <r>
      <t>GHG_Heat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BUI_COL330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</si>
  <si>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BUI_COL332 * BUI_COL1 / 1000000</t>
    </r>
  </si>
  <si>
    <r>
      <t>GHG_Oil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BUI_COL333 * BUI_COL2 / 1000000</t>
    </r>
  </si>
  <si>
    <r>
      <t>GHG_Coal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BUI_COL334 * BUI_COL3 / 1000000</t>
    </r>
  </si>
  <si>
    <r>
      <t>GHG_Peat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BUI_COL335 * BUI_COL4 / 1000000</t>
    </r>
  </si>
  <si>
    <r>
      <t>GHG_Wood</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BUI_COL336 * BUI_COL5 / 1000000</t>
    </r>
  </si>
  <si>
    <r>
      <t>GHG_Renewable</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BUI_COL337 * BUI_COL6 / 1000000</t>
    </r>
  </si>
  <si>
    <r>
      <t>GHG_Heat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BUI_COL338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</si>
  <si>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BUI_COL340 * BUI_COL1 / 1000000</t>
    </r>
  </si>
  <si>
    <r>
      <t>GHG_Oil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BUI_COL341 * BUI_COL2 / 1000000</t>
    </r>
  </si>
  <si>
    <r>
      <t>GHG_Coal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BUI_COL342 * BUI_COL3 / 1000000</t>
    </r>
  </si>
  <si>
    <r>
      <t>GHG_Peat</t>
    </r>
    <r>
      <rPr>
        <vertAlign val="subscript"/>
        <sz val="10"/>
        <color theme="1"/>
        <rFont val="Albertus Medium"/>
        <family val="2"/>
      </rPr>
      <t xml:space="preserve">a </t>
    </r>
    <r>
      <rPr>
        <sz val="10"/>
        <color theme="1"/>
        <rFont val="Albertus Medium"/>
        <family val="2"/>
      </rPr>
      <t>= AIn</t>
    </r>
    <r>
      <rPr>
        <vertAlign val="subscript"/>
        <sz val="10"/>
        <color theme="1"/>
        <rFont val="Albertus Medium"/>
        <family val="2"/>
      </rPr>
      <t>a</t>
    </r>
    <r>
      <rPr>
        <sz val="10"/>
        <color theme="1"/>
        <rFont val="Albertus Medium"/>
        <family val="2"/>
      </rPr>
      <t xml:space="preserve"> * BUI_COL343 * BUI_COL4 / 1000000</t>
    </r>
  </si>
  <si>
    <r>
      <t>GHG_Wood</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BUI_COL344 * BUI_COL5 / 1000000</t>
    </r>
  </si>
  <si>
    <r>
      <t>GHG_Renewable</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BUI_COL345 * BUI_COL6 / 1000000</t>
    </r>
  </si>
  <si>
    <r>
      <t>GHG_Heat</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 xml:space="preserve">a </t>
    </r>
    <r>
      <rPr>
        <sz val="10"/>
        <color theme="1"/>
        <rFont val="Albertus Medium"/>
        <family val="2"/>
      </rPr>
      <t>* BUI_COL346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</si>
  <si>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BUI_COL348 * BUI_COL1 / 1000000</t>
    </r>
  </si>
  <si>
    <r>
      <t>GHG_Oil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BUI_COL349 * BUI_COL2 / 1000000</t>
    </r>
  </si>
  <si>
    <r>
      <t>GHG_Coal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BUI_COL350 * BUI_COL3 / 1000000</t>
    </r>
  </si>
  <si>
    <r>
      <t>GHG_Peat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BUI_COL351 * BUI_COL4 / 1000000</t>
    </r>
  </si>
  <si>
    <r>
      <t>GHG_Wood</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BUI_COL352 * BUI_COL5 / 1000000</t>
    </r>
  </si>
  <si>
    <r>
      <t>GHG_Renewable</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BUI_COL353 * BUI_COL6 / 1000000</t>
    </r>
  </si>
  <si>
    <r>
      <t>GHG_Heat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BUI_COL354 * DISTRICT_HEATING_emission_factor</t>
    </r>
    <r>
      <rPr>
        <vertAlign val="subscript"/>
        <sz val="10"/>
        <color theme="1"/>
        <rFont val="Albertus Medium"/>
        <family val="2"/>
      </rPr>
      <t>a</t>
    </r>
    <r>
      <rPr>
        <sz val="10"/>
        <color theme="1"/>
        <rFont val="Albertus Medium"/>
        <family val="2"/>
      </rPr>
      <t xml:space="preserve"> (from row 5) / 1000000</t>
    </r>
  </si>
  <si>
    <t>GRID_ELECTRICITY_emission_factora (from row 4)</t>
  </si>
  <si>
    <r>
      <t>GHG_Electricity</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BUI_COL307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</si>
  <si>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BUI_COL315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</si>
  <si>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BUI_COL323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</si>
  <si>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BUI_COL331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</si>
  <si>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BUI_COL339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</si>
  <si>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BUI_COL347 * GRID_ELECTRICITY_emission_factor</t>
    </r>
    <r>
      <rPr>
        <vertAlign val="subscript"/>
        <sz val="10"/>
        <color theme="1"/>
        <rFont val="Albertus Medium"/>
        <family val="2"/>
      </rPr>
      <t>a</t>
    </r>
    <r>
      <rPr>
        <sz val="10"/>
        <color theme="1"/>
        <rFont val="Albertus Medium"/>
        <family val="2"/>
      </rPr>
      <t xml:space="preserve"> (from row 4) / 1000000</t>
    </r>
  </si>
  <si>
    <t>demolition rate comes from the database: 2021-30 BUI_COL11; 2031-40 BUI_COL12; 2041-50 BUI_COL13 (same rate for all commercial buildings)</t>
  </si>
  <si>
    <t>increase rate comes from the database: 2021-30 BUI_COL38; 2031-40 BUI_COL39; 2041-50 BUI_COL40 (same rate for all commercial buildings)</t>
  </si>
  <si>
    <r>
      <t>AHe</t>
    </r>
    <r>
      <rPr>
        <vertAlign val="subscript"/>
        <sz val="11"/>
        <color theme="1"/>
        <rFont val="Albertus Medium"/>
        <family val="2"/>
      </rPr>
      <t xml:space="preserve">a </t>
    </r>
    <r>
      <rPr>
        <sz val="11"/>
        <color theme="1"/>
        <rFont val="Albertus Medium"/>
        <family val="2"/>
      </rPr>
      <t>= floor area from the previous table</t>
    </r>
  </si>
  <si>
    <t>LAND USE CHANGE - RESULTS</t>
  </si>
  <si>
    <r>
      <t>tnCO</t>
    </r>
    <r>
      <rPr>
        <vertAlign val="subscript"/>
        <sz val="10"/>
        <color theme="1"/>
        <rFont val="Arial Unicode MS"/>
        <family val="2"/>
        <charset val="186"/>
      </rPr>
      <t>2</t>
    </r>
    <r>
      <rPr>
        <sz val="10"/>
        <color theme="1"/>
        <rFont val="Arial Unicode MS"/>
        <family val="2"/>
        <charset val="186"/>
      </rPr>
      <t xml:space="preserve"> /resident, a</t>
    </r>
  </si>
  <si>
    <r>
      <t>The first table calculates the number of existing apartment units (nraX</t>
    </r>
    <r>
      <rPr>
        <b/>
        <vertAlign val="subscript"/>
        <sz val="10"/>
        <color theme="1"/>
        <rFont val="Arial Unicode MS"/>
        <family val="2"/>
        <charset val="186"/>
      </rPr>
      <t>a</t>
    </r>
    <r>
      <rPr>
        <b/>
        <sz val="10"/>
        <color theme="1"/>
        <rFont val="Arial Unicode MS"/>
        <family val="2"/>
        <charset val="186"/>
      </rPr>
      <t>), new A-rated apartment units (nraA</t>
    </r>
    <r>
      <rPr>
        <b/>
        <vertAlign val="subscript"/>
        <sz val="10"/>
        <color theme="1"/>
        <rFont val="Arial Unicode MS"/>
        <family val="2"/>
        <charset val="186"/>
      </rPr>
      <t>a</t>
    </r>
    <r>
      <rPr>
        <b/>
        <sz val="10"/>
        <color theme="1"/>
        <rFont val="Arial Unicode MS"/>
        <family val="2"/>
        <charset val="186"/>
      </rPr>
      <t>) and new B-rated apartment units (nraB</t>
    </r>
    <r>
      <rPr>
        <b/>
        <vertAlign val="subscript"/>
        <sz val="10"/>
        <color theme="1"/>
        <rFont val="Arial Unicode MS"/>
        <family val="2"/>
        <charset val="186"/>
      </rPr>
      <t>a</t>
    </r>
    <r>
      <rPr>
        <b/>
        <sz val="10"/>
        <color theme="1"/>
        <rFont val="Arial Unicode MS"/>
        <family val="2"/>
        <charset val="186"/>
      </rPr>
      <t>).</t>
    </r>
  </si>
  <si>
    <t xml:space="preserve">EXAMPLE </t>
  </si>
  <si>
    <t>USER INPUT FROM CELLS B74, D74, E74 -&gt; 12 new apartment units constructed in 2030-2032</t>
  </si>
  <si>
    <r>
      <t>kWh/m</t>
    </r>
    <r>
      <rPr>
        <vertAlign val="superscript"/>
        <sz val="10"/>
        <color theme="1"/>
        <rFont val="Albertus Medium"/>
        <family val="2"/>
      </rPr>
      <t>2</t>
    </r>
  </si>
  <si>
    <r>
      <t>GRID_ELECTRICITY_emission_factor</t>
    </r>
    <r>
      <rPr>
        <vertAlign val="subscript"/>
        <sz val="9"/>
        <color theme="1"/>
        <rFont val="Arial Unicode MS"/>
        <family val="2"/>
        <charset val="186"/>
      </rPr>
      <t>a</t>
    </r>
    <r>
      <rPr>
        <sz val="9"/>
        <color theme="1"/>
        <rFont val="Arial Unicode MS"/>
        <family val="2"/>
        <charset val="186"/>
      </rPr>
      <t xml:space="preserve"> (from row4)</t>
    </r>
  </si>
  <si>
    <r>
      <t>DISTRICT_HEATING_emission_factor</t>
    </r>
    <r>
      <rPr>
        <vertAlign val="subscript"/>
        <sz val="9"/>
        <color theme="1"/>
        <rFont val="Arial Unicode MS"/>
        <family val="2"/>
        <charset val="186"/>
      </rPr>
      <t>a</t>
    </r>
    <r>
      <rPr>
        <sz val="9"/>
        <color theme="1"/>
        <rFont val="Arial Unicode MS"/>
        <family val="2"/>
        <charset val="186"/>
      </rPr>
      <t xml:space="preserve"> (from row 5)</t>
    </r>
  </si>
  <si>
    <t>annual increase = ROUND (B74 / (E74 - D74 + 1)) = 12 / (2032 - 2030 + 1) = 12 / 3 = 4</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</si>
  <si>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(B74 / (E74 - D74 + 1)) * BUI_COL51 * GRID_ELECTRICITY_emission_factor</t>
    </r>
    <r>
      <rPr>
        <vertAlign val="subscript"/>
        <sz val="10"/>
        <color theme="1"/>
        <rFont val="Arial Unicode MS"/>
        <family val="2"/>
        <charset val="186"/>
      </rPr>
      <t>a</t>
    </r>
    <r>
      <rPr>
        <sz val="10"/>
        <color theme="1"/>
        <rFont val="Arial Unicode MS"/>
        <family val="2"/>
        <charset val="186"/>
      </rPr>
      <t xml:space="preserve"> (from row 4) * ((100 - F74)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</si>
  <si>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(B74 / (E74 - D74 + 1)) * BUI_COL52 * BUI_COL1 * ((100 - F74)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</si>
  <si>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(B74 / (E74 - D74 + 1)) * BUI_COL58 * DISTRICT_HEAT_emission_factor</t>
    </r>
    <r>
      <rPr>
        <vertAlign val="subscript"/>
        <sz val="10"/>
        <color theme="1"/>
        <rFont val="Arial Unicode MS"/>
        <family val="2"/>
        <charset val="186"/>
      </rPr>
      <t>a</t>
    </r>
    <r>
      <rPr>
        <sz val="10"/>
        <color theme="1"/>
        <rFont val="Arial Unicode MS"/>
        <family val="2"/>
        <charset val="186"/>
      </rPr>
      <t xml:space="preserve"> (from row 5) * ((100 - F74)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</si>
  <si>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(B74 / (E74 - D74 + 1)) * BUI_COL53 * BUI_COL2 * ((100 - F74)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</si>
  <si>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(B74 / (E74 - D74 + 1)) * BUI_COL54 * BUI_COL3 * ((100 - F74)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</si>
  <si>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(B74 / (E74 - D74 + 1)) * BUI_COL55 * BUI_COL4 * ((100 - F74)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</si>
  <si>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(B74 / (E74 - D74 + 1)) * BUI_COL56 * BUI_COL5 * ((100 - F74)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</si>
  <si>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(B74 / (E74 - D74 + 1)) * BUI_COL57 * BUI_COL6 * ((100 - F74) / 100) / 1000000)</t>
    </r>
  </si>
  <si>
    <t>user input cells</t>
  </si>
  <si>
    <t>number of apartments</t>
  </si>
  <si>
    <t>D74</t>
  </si>
  <si>
    <t>start year</t>
  </si>
  <si>
    <t>E74</t>
  </si>
  <si>
    <t>end year</t>
  </si>
  <si>
    <t xml:space="preserve">F74 </t>
  </si>
  <si>
    <t>apartment</t>
  </si>
  <si>
    <t>semi-d</t>
  </si>
  <si>
    <t>B75</t>
  </si>
  <si>
    <t>D75</t>
  </si>
  <si>
    <t>E75</t>
  </si>
  <si>
    <t>F75</t>
  </si>
  <si>
    <t>B76</t>
  </si>
  <si>
    <t>B77</t>
  </si>
  <si>
    <t>D76</t>
  </si>
  <si>
    <t>D77</t>
  </si>
  <si>
    <t>E76</t>
  </si>
  <si>
    <t>E77</t>
  </si>
  <si>
    <t>F76</t>
  </si>
  <si>
    <t>F77</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</si>
  <si>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(B75 / (E75 - D75 + 1)) * BUI_COL59 * GRID_ELECTRICITY_emission_factor</t>
    </r>
    <r>
      <rPr>
        <vertAlign val="subscript"/>
        <sz val="10"/>
        <color theme="1"/>
        <rFont val="Arial Unicode MS"/>
        <family val="2"/>
        <charset val="186"/>
      </rPr>
      <t>a</t>
    </r>
    <r>
      <rPr>
        <sz val="10"/>
        <color theme="1"/>
        <rFont val="Arial Unicode MS"/>
        <family val="2"/>
        <charset val="186"/>
      </rPr>
      <t xml:space="preserve"> (from row 4) * ((100 - F75)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</si>
  <si>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(B75 / (E75 - D75 + 1)) * BUI_COL60 * BUI_COL1 * ((100 - F75)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</si>
  <si>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(B75 / (E75 - D75 + 1)) * BUI_COL61 * BUI_COL2 * ((100 - F75)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</si>
  <si>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(B75 / (E75 - D75 + 1)) * BUI_COL62 * BUI_COL3 * ((100 - F75)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</si>
  <si>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(B75 / (E75 - D75 + 1)) * BUI_COL63 * BUI_COL4 * ((100 - F75)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</si>
  <si>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(B75 / (E75 - D75 + 1)) * BUI_COL64 * BUI_COL5 * ((100 - F75)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</si>
  <si>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(B75 / (E75 - D75 + 1)) * BUI_COL65 * BUI_COL6 * ((100 - F75)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</si>
  <si>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(B75 / (E75 - D75 + 1)) * BUI_COL66 * DISTRICT_HEAT_emission_factor</t>
    </r>
    <r>
      <rPr>
        <vertAlign val="subscript"/>
        <sz val="10"/>
        <color theme="1"/>
        <rFont val="Arial Unicode MS"/>
        <family val="2"/>
        <charset val="186"/>
      </rPr>
      <t>a</t>
    </r>
    <r>
      <rPr>
        <sz val="10"/>
        <color theme="1"/>
        <rFont val="Arial Unicode MS"/>
        <family val="2"/>
        <charset val="186"/>
      </rPr>
      <t xml:space="preserve"> (from row 5) * ((100 - F75)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</si>
  <si>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(B76 / (E76 - D76 + 1)) * BUI_COL67 * GRID_ELECTRICITY_emission_factor</t>
    </r>
    <r>
      <rPr>
        <vertAlign val="subscript"/>
        <sz val="10"/>
        <color theme="1"/>
        <rFont val="Arial Unicode MS"/>
        <family val="2"/>
        <charset val="186"/>
      </rPr>
      <t>a</t>
    </r>
    <r>
      <rPr>
        <sz val="10"/>
        <color theme="1"/>
        <rFont val="Arial Unicode MS"/>
        <family val="2"/>
        <charset val="186"/>
      </rPr>
      <t xml:space="preserve"> (from row 4) * ((100 - F76)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</si>
  <si>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(B76 / (E76 - D76 + 1)) * BUI_COL68 * BUI_COL1 * ((100 - F76)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</si>
  <si>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(B76 / (E76 - D76 + 1)) * BUI_COL69 * BUI_COL2 * ((100 - F76)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</si>
  <si>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(B76 / (E76 - D76 + 1)) * BUI_COL70 * BUI_COL3 * ((100 - F76)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</si>
  <si>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(B76 / (E76 - D76 + 1)) * BUI_COL71 * BUI_COL4 * ((100 - F76)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</si>
  <si>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(B76 / (E76 - D76 + 1)) * BUI_COL72 * BUI_COL5 * ((100 - F76)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</si>
  <si>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(B76 / (E76 - D76 + 1)) * BUI_COL73 * BUI_COL6 * ((100 - F76)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</si>
  <si>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(B76 / (E76 - D76 + 1)) * BUI_COL74 * DISTRICT_HEAT_emission_factor</t>
    </r>
    <r>
      <rPr>
        <vertAlign val="subscript"/>
        <sz val="10"/>
        <color theme="1"/>
        <rFont val="Arial Unicode MS"/>
        <family val="2"/>
        <charset val="186"/>
      </rPr>
      <t>a</t>
    </r>
    <r>
      <rPr>
        <sz val="10"/>
        <color theme="1"/>
        <rFont val="Arial Unicode MS"/>
        <family val="2"/>
        <charset val="186"/>
      </rPr>
      <t xml:space="preserve"> (from row 5) * ((100 - F76)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</si>
  <si>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BUI_COL75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</si>
  <si>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BUI_COL76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</si>
  <si>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BUI_COL77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</si>
  <si>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BUI_COL78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</si>
  <si>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BUI_COL79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</si>
  <si>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BUI_COL80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</si>
  <si>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BUI_COL81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</si>
  <si>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BUI_COL82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</si>
  <si>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t>settlement type</t>
  </si>
  <si>
    <r>
      <t>CF</t>
    </r>
    <r>
      <rPr>
        <vertAlign val="subscript"/>
        <sz val="10"/>
        <color theme="1"/>
        <rFont val="Arial Unicode MS"/>
        <family val="2"/>
        <charset val="186"/>
      </rPr>
      <t>MODE</t>
    </r>
    <r>
      <rPr>
        <sz val="10"/>
        <color theme="1"/>
        <rFont val="Arial Unicode MS"/>
        <family val="2"/>
        <charset val="186"/>
      </rPr>
      <t xml:space="preserve"> weighted average</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</si>
  <si>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BUI_COL135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</si>
  <si>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BUI_COL316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</si>
  <si>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BUI_COL317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</si>
  <si>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BUI_COL318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</si>
  <si>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BUI_COL319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</si>
  <si>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</si>
  <si>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</si>
  <si>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BUI_COL322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</si>
  <si>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BUI_COL323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</si>
  <si>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BUI_COL324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</si>
  <si>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BUI_COL325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</si>
  <si>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BUI_COL326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</si>
  <si>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BUI_COL327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</si>
  <si>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BUI_COL328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</si>
  <si>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BUI_COL329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</si>
  <si>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BUI_COL330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</si>
  <si>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BUI_COL331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</si>
  <si>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BUI_COL332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</si>
  <si>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BUI_COL333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</si>
  <si>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BUI_COL334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</si>
  <si>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BUI_COL335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</si>
  <si>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BUI_COL336 * BUI_COL5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</si>
  <si>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BUI_COL338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</si>
  <si>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BUI_COL337 * BUI_COL6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</si>
  <si>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BUI_COL339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</si>
  <si>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BUI_COL340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</si>
  <si>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BUI_COL341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</si>
  <si>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BUI_COL342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</si>
  <si>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BUI_COL343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</si>
  <si>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BUI_COL344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</si>
  <si>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BUI_COL345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</si>
  <si>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BUI_COL346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</si>
  <si>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BUI_COL347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</si>
  <si>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BUI_COL349 * BUI_COL2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</si>
  <si>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BUI_COL348 * BUI_COL1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</si>
  <si>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BUI_COL350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</si>
  <si>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BUI_COL351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</si>
  <si>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BUI_COL352*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</si>
  <si>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BUI_COL353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</si>
  <si>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BUI_COL354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</si>
  <si>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(B82 / (E82 - D82 + 1)) * BUI_COL307 * GRID_ELECTRICITY_emission_factor</t>
    </r>
    <r>
      <rPr>
        <vertAlign val="subscript"/>
        <sz val="10"/>
        <color theme="1"/>
        <rFont val="Arial Unicode MS"/>
        <family val="2"/>
        <charset val="186"/>
      </rPr>
      <t>a</t>
    </r>
    <r>
      <rPr>
        <sz val="10"/>
        <color theme="1"/>
        <rFont val="Arial Unicode MS"/>
        <family val="2"/>
        <charset val="186"/>
      </rPr>
      <t xml:space="preserve"> (from row 4) * ((100 - F82)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</si>
  <si>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(B82 / (E82 - D82 + 1)) * BUI_COL308 * BUI_COL1 * ((100 - F82)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</si>
  <si>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(B82 / (E82 - D82 + 1)) * BUI_COL309 * BUI_COL2 * ((100 - F82)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</si>
  <si>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(B82 / (E82 - D82 + 1)) * BUI_COL310 * BUI_COL3 * ((100 - F82)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</si>
  <si>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(B82 / (E82 - D82 + 1)) * BUI_COL311 * BUI_COL4 * ((100 - F82)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</si>
  <si>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(B82 / (E82 - D82 + 1)) * BUI_COL312 * BUI_COL5 * ((100 - F82)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</si>
  <si>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(B82 / (E82 - D82 + 1)) * BUI_COL313 * BUI_COL6 * ((100 - F82)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</si>
  <si>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(B82 / (E82 - D82 + 1)) * BUI_COL314 * DISTRICT_HEAT_emission_factor</t>
    </r>
    <r>
      <rPr>
        <vertAlign val="subscript"/>
        <sz val="10"/>
        <color theme="1"/>
        <rFont val="Arial Unicode MS"/>
        <family val="2"/>
        <charset val="186"/>
      </rPr>
      <t>a</t>
    </r>
    <r>
      <rPr>
        <sz val="10"/>
        <color theme="1"/>
        <rFont val="Arial Unicode MS"/>
        <family val="2"/>
        <charset val="186"/>
      </rPr>
      <t xml:space="preserve"> (from row 5) * ((100 - F82) / 100) / 1000000)</t>
    </r>
  </si>
  <si>
    <t>NOT READY YET</t>
  </si>
  <si>
    <t>77 -&gt; 83</t>
  </si>
  <si>
    <t>AVERAGE FLOOR AREA PER DWELLING UNIT TYPE</t>
  </si>
  <si>
    <t>Parameter</t>
  </si>
  <si>
    <t>Specification</t>
  </si>
  <si>
    <t>Annual demolition rate of residential buildings</t>
  </si>
  <si>
    <t>Annual demolition of commercial buildings</t>
  </si>
  <si>
    <t>Annual increase in A-class apartments</t>
  </si>
  <si>
    <t>Annual increase in B-class apartments</t>
  </si>
  <si>
    <t>Annual increase in A-class terraced units</t>
  </si>
  <si>
    <t>Annual increase in B-class terraced units</t>
  </si>
  <si>
    <t>Annual increase in A-class semi-detached units</t>
  </si>
  <si>
    <t>Annual increase in B-class semi-detached units</t>
  </si>
  <si>
    <t>Annual increase in A-class detached units</t>
  </si>
  <si>
    <t>Annual increase in B-class detached units</t>
  </si>
  <si>
    <t>Annual increase in commercial buildings</t>
  </si>
  <si>
    <t>Floor area per residential unit</t>
  </si>
  <si>
    <t>EU Buildings database</t>
  </si>
  <si>
    <t>A-rated_Semi-Detached</t>
  </si>
  <si>
    <t>A-rated_Detached</t>
  </si>
  <si>
    <t>A-rated_Terraced</t>
  </si>
  <si>
    <t>A-rated_Apartment</t>
  </si>
  <si>
    <t>End_Use_of_Energy_Residential_buildings</t>
  </si>
  <si>
    <t>All_residential</t>
  </si>
  <si>
    <t>Average_Total_Energy_Use</t>
  </si>
  <si>
    <t>B-rated_Apartment</t>
  </si>
  <si>
    <t>B-rated_Terraced</t>
  </si>
  <si>
    <t>B-rated_Semi-Detached</t>
  </si>
  <si>
    <t>B-rated_Detached</t>
  </si>
  <si>
    <t>C-rated_Apartment</t>
  </si>
  <si>
    <t>C-rated_Terraced</t>
  </si>
  <si>
    <t>C-rated_Semi-Detached</t>
  </si>
  <si>
    <t>C-rated_Detached</t>
  </si>
  <si>
    <t>D-rated_Apartment</t>
  </si>
  <si>
    <t>Default_naming</t>
  </si>
  <si>
    <t>Commercial_1</t>
  </si>
  <si>
    <t>Residential_1</t>
  </si>
  <si>
    <t>Residential_2</t>
  </si>
  <si>
    <t>Residential_3</t>
  </si>
  <si>
    <t>Residential_4</t>
  </si>
  <si>
    <t>Commercial_2</t>
  </si>
  <si>
    <t>Commercial_3</t>
  </si>
  <si>
    <t>Commercial_4</t>
  </si>
  <si>
    <t>Commercial_5</t>
  </si>
  <si>
    <t>Commercial_6</t>
  </si>
  <si>
    <t>kWh/(m2 a)</t>
  </si>
  <si>
    <t>D-rated_Terraced</t>
  </si>
  <si>
    <t>D-rated_Semi-Detached</t>
  </si>
  <si>
    <t>D-rated_Detached</t>
  </si>
  <si>
    <t>E-rated_Apartment</t>
  </si>
  <si>
    <t>E-rated_Terraced</t>
  </si>
  <si>
    <t>E-rated_Semi-Detached</t>
  </si>
  <si>
    <t>E-rated_Detached</t>
  </si>
  <si>
    <t>F-rated_Apartment</t>
  </si>
  <si>
    <t>F-rated_Terraced</t>
  </si>
  <si>
    <t>F-rated_Semi-Detached</t>
  </si>
  <si>
    <t>F-rated_Detached</t>
  </si>
  <si>
    <t>G-rated_Apartment</t>
  </si>
  <si>
    <t>G-rated_Terraced</t>
  </si>
  <si>
    <t>G-rated_Semi-Detached</t>
  </si>
  <si>
    <t>G-rated_Detached</t>
  </si>
  <si>
    <t>vehicle-km/(capita, a)</t>
  </si>
  <si>
    <t>Annual_Change_Rail_Freight</t>
  </si>
  <si>
    <t>CF_Passenger_Train</t>
  </si>
  <si>
    <t>CF_Road_Freight</t>
  </si>
  <si>
    <t>CF_Bus</t>
  </si>
  <si>
    <t>CF_Car</t>
  </si>
  <si>
    <t>Annual_Change_Passenger_Train</t>
  </si>
  <si>
    <t>Annual_Change_Bus</t>
  </si>
  <si>
    <t>Annual_Change_Car</t>
  </si>
  <si>
    <t>CF_Rail_Freight</t>
  </si>
  <si>
    <t>Annual_Change_Road_Freight</t>
  </si>
  <si>
    <t>Annual_Change_Waterways_Transport</t>
  </si>
  <si>
    <t>CF_Waterways_Transport</t>
  </si>
  <si>
    <t>Annual_Change_Population</t>
  </si>
  <si>
    <t>Annual_Change_Grid_Electricity_EF</t>
  </si>
  <si>
    <t>Annual_Change_District_Heating_EF</t>
  </si>
  <si>
    <t>Passenger-km_per_capita_Bus</t>
  </si>
  <si>
    <t>Eurostat</t>
  </si>
  <si>
    <t>passengers/vehicle</t>
  </si>
  <si>
    <t>LPG</t>
  </si>
  <si>
    <t>CNG</t>
  </si>
  <si>
    <t>Propulsion_Share_Bus</t>
  </si>
  <si>
    <t>EF_Street_Driving_Bus</t>
  </si>
  <si>
    <t>kWh/vkm</t>
  </si>
  <si>
    <t>BUS_COL17</t>
  </si>
  <si>
    <t>BUS_COL18</t>
  </si>
  <si>
    <t>BUS_COL19</t>
  </si>
  <si>
    <t>BUS_COL20</t>
  </si>
  <si>
    <t>BUS_COL21</t>
  </si>
  <si>
    <t>BUS_COL22</t>
  </si>
  <si>
    <t>BUS_COL23</t>
  </si>
  <si>
    <t>BUS_COL24</t>
  </si>
  <si>
    <t>BUS_COL25</t>
  </si>
  <si>
    <t>EF_Road_Driving_Bus</t>
  </si>
  <si>
    <t>Electricity_Consumption_Road_Driving_Bus</t>
  </si>
  <si>
    <t>Electricity_Consumption_Street_Driving_Bus</t>
  </si>
  <si>
    <t>Passenger-km_per_capita_Car</t>
  </si>
  <si>
    <t>Propulsion_Share_Car</t>
  </si>
  <si>
    <t>NGV</t>
  </si>
  <si>
    <t>EF_Diesel_CAR</t>
  </si>
  <si>
    <t>Hybrid_electric-petrol</t>
  </si>
  <si>
    <t>petrol_PHEV</t>
  </si>
  <si>
    <t>Hybrid_electric-diesel</t>
  </si>
  <si>
    <t>diesel_PHEV</t>
  </si>
  <si>
    <t>Hydrogen_fuel-cell</t>
  </si>
  <si>
    <t>Bi-Fuel</t>
  </si>
  <si>
    <t xml:space="preserve">BEV </t>
  </si>
  <si>
    <t>EF_Street_Driving_Car</t>
  </si>
  <si>
    <t>EF_Road_Driving_Car</t>
  </si>
  <si>
    <t>CAR_COL29</t>
  </si>
  <si>
    <t>CAR_COL30</t>
  </si>
  <si>
    <t>CAR_COL31</t>
  </si>
  <si>
    <t>CAR_COL32</t>
  </si>
  <si>
    <t>CAR_COL33</t>
  </si>
  <si>
    <t>CAR_COL34</t>
  </si>
  <si>
    <t>CAR_COL35</t>
  </si>
  <si>
    <t>CAR_COL36</t>
  </si>
  <si>
    <t>CAR_COL37</t>
  </si>
  <si>
    <t>CAR_COL38</t>
  </si>
  <si>
    <t>CAR_COL39</t>
  </si>
  <si>
    <t>CAR_COL40</t>
  </si>
  <si>
    <t>CAR_COL41</t>
  </si>
  <si>
    <t>CAR_COL42</t>
  </si>
  <si>
    <t>CAR_COL43</t>
  </si>
  <si>
    <t>CAR_COL44</t>
  </si>
  <si>
    <t>CAR_COL45</t>
  </si>
  <si>
    <t>CAR_COL46</t>
  </si>
  <si>
    <t>CAR_COL47</t>
  </si>
  <si>
    <t>CAR_COL48</t>
  </si>
  <si>
    <t>CAR_COL49</t>
  </si>
  <si>
    <t>CAR_COL50</t>
  </si>
  <si>
    <t>CAR_COL51</t>
  </si>
  <si>
    <t>CAR_COL52</t>
  </si>
  <si>
    <t>CAR_COL53</t>
  </si>
  <si>
    <t>CAR_COL54</t>
  </si>
  <si>
    <t>CAR_COL55</t>
  </si>
  <si>
    <t>CAR_COL56</t>
  </si>
  <si>
    <t>CAR_COL57</t>
  </si>
  <si>
    <t>CAR_COL58</t>
  </si>
  <si>
    <t>pkm/(capita, a)</t>
  </si>
  <si>
    <t>Occupancy_Rate_Car</t>
  </si>
  <si>
    <t>Occupancy_Rate_Bus</t>
  </si>
  <si>
    <t>Passenger-km_per_capita_Metro</t>
  </si>
  <si>
    <t>Annual_Change_Metro</t>
  </si>
  <si>
    <t>Occupancy_Rate_Metro</t>
  </si>
  <si>
    <t>Electricity_Consumption_Metro</t>
  </si>
  <si>
    <t>Passenger-km_per_capita_Tram</t>
  </si>
  <si>
    <t>Occupancy_Rate_Tram</t>
  </si>
  <si>
    <t>EU refernce scenario 2016</t>
  </si>
  <si>
    <t>EU refernce scenario 2017</t>
  </si>
  <si>
    <t>EU refernce scenario 2018</t>
  </si>
  <si>
    <t>Electricity_Consumption_Tram</t>
  </si>
  <si>
    <t>Annual_Change_Tram</t>
  </si>
  <si>
    <t>Passenger-km_per_capita_Train</t>
  </si>
  <si>
    <t>Occupancy_Rate_Train</t>
  </si>
  <si>
    <t>EF_Diesel_Train</t>
  </si>
  <si>
    <t>Energy_Consumption_Electric_Train</t>
  </si>
  <si>
    <t>TRAIN_COL13</t>
  </si>
  <si>
    <t>Vehicle-km_per_capita_Rail_Freight</t>
  </si>
  <si>
    <t>Share_of_Electric_Engines</t>
  </si>
  <si>
    <t>Vehicle-km_per_capita_Road_Freight</t>
  </si>
  <si>
    <t>Vehicle-km_per_capita_Waterways_Transport</t>
  </si>
  <si>
    <t>EF_Inland_Waterways</t>
  </si>
  <si>
    <r>
      <t>gCO</t>
    </r>
    <r>
      <rPr>
        <vertAlign val="superscript"/>
        <sz val="10"/>
        <rFont val="Calibri"/>
        <family val="2"/>
        <charset val="186"/>
        <scheme val="minor"/>
      </rPr>
      <t>2</t>
    </r>
    <r>
      <rPr>
        <sz val="10"/>
        <rFont val="Calibri"/>
        <family val="2"/>
        <scheme val="minor"/>
      </rPr>
      <t>e/vkm</t>
    </r>
  </si>
  <si>
    <r>
      <t>gCO</t>
    </r>
    <r>
      <rPr>
        <vertAlign val="subscript"/>
        <sz val="10"/>
        <rFont val="Calibri"/>
        <family val="2"/>
        <charset val="186"/>
        <scheme val="minor"/>
      </rPr>
      <t>2</t>
    </r>
    <r>
      <rPr>
        <sz val="10"/>
        <rFont val="Calibri"/>
        <family val="2"/>
        <scheme val="minor"/>
      </rPr>
      <t>e/vkm</t>
    </r>
  </si>
  <si>
    <t>TECHNOLOGY DEVELOPMENT FACTOR</t>
  </si>
  <si>
    <t>Annual_Change_Vehicle_Efficiency</t>
  </si>
  <si>
    <t>with policy (%)</t>
  </si>
  <si>
    <t>all freight transport affected</t>
  </si>
  <si>
    <t>% of the area affected</t>
  </si>
  <si>
    <t>with policy %</t>
  </si>
  <si>
    <t>without policy  %</t>
  </si>
  <si>
    <t>U3.7 Transport electricity</t>
  </si>
  <si>
    <t>U3.6 Fuel shares in car transport</t>
  </si>
  <si>
    <r>
      <t>gCO</t>
    </r>
    <r>
      <rPr>
        <vertAlign val="subscript"/>
        <sz val="10"/>
        <color theme="1"/>
        <rFont val="Arial Unicode MS"/>
        <family val="2"/>
        <charset val="186"/>
      </rPr>
      <t>2</t>
    </r>
    <r>
      <rPr>
        <sz val="10"/>
        <color theme="1"/>
        <rFont val="Arial Unicode MS"/>
        <family val="2"/>
        <charset val="186"/>
      </rPr>
      <t>e/kWh without policy</t>
    </r>
  </si>
  <si>
    <t>ROAD FREIGHT</t>
  </si>
  <si>
    <t>FREIGHT ON RAILS</t>
  </si>
  <si>
    <t>Share</t>
  </si>
  <si>
    <t>TRACCS</t>
  </si>
  <si>
    <t>EF_Petrol_CAR</t>
  </si>
  <si>
    <t>END USE OF ENERGY RESIDENTIAL BUILDINGS</t>
  </si>
  <si>
    <t>ENERGY CONSUMPTION A-RATED RESIDENTIAL</t>
  </si>
  <si>
    <t>ENERGY CONSUMPTION B-RATED RESIDENTIAL</t>
  </si>
  <si>
    <t>ENERGY CONSUMPTION C-RATED RESIDENTIAL</t>
  </si>
  <si>
    <t>ENERGY CONSUMPTION D-RATED RESIDENTIAL</t>
  </si>
  <si>
    <t>ENERGY CONSUMPTION E-RATED RESIDENTIAL</t>
  </si>
  <si>
    <t>ENERGY CONSUMPTION F-RATED RESIDENTIAL</t>
  </si>
  <si>
    <t>ENERGY CONSUMPTION G-RATED RESIDENTIAL</t>
  </si>
  <si>
    <t>ENERGY CONSUMPTION EXISTING APARTMENTS</t>
  </si>
  <si>
    <t>ENERGY CONSUMPTION EXISTING TERRACED</t>
  </si>
  <si>
    <t>ENERGY CONSUMPTION DETACHED</t>
  </si>
  <si>
    <t>ENERGY CONSUMPTION SEMI-DETACHED</t>
  </si>
  <si>
    <t>ENERGY CONSUMPTION COMMERCIAL BUILDINGS</t>
  </si>
  <si>
    <t>BUILDING TYPES</t>
  </si>
  <si>
    <t>NIR 2021</t>
  </si>
  <si>
    <t>land_use_baseline_forestland_annual_change</t>
  </si>
  <si>
    <t>land_use_baseline_cropland_annual_change</t>
  </si>
  <si>
    <t>land_use_baseline_grassland_annual_change</t>
  </si>
  <si>
    <t>land_use_baseline_wetlands_annual_change</t>
  </si>
  <si>
    <t>land_use_baseline_settlements_annual_change</t>
  </si>
  <si>
    <t>land_use_baseline_other_land_annual_change</t>
  </si>
  <si>
    <t>FAO</t>
  </si>
  <si>
    <t>TECH_COL1</t>
  </si>
  <si>
    <t>TECH_COL2</t>
  </si>
  <si>
    <t>TECH_COL3</t>
  </si>
  <si>
    <t>BUI_COL7</t>
  </si>
  <si>
    <t>BUI_COL8</t>
  </si>
  <si>
    <t>BUI_COL9</t>
  </si>
  <si>
    <t>BUI_COL10</t>
  </si>
  <si>
    <t>BUI_COL11</t>
  </si>
  <si>
    <t>BUI_COL12</t>
  </si>
  <si>
    <t>BUI_COL13</t>
  </si>
  <si>
    <t>BUI_COL14</t>
  </si>
  <si>
    <t>BUI_COL15</t>
  </si>
  <si>
    <t>BUI_COL16</t>
  </si>
  <si>
    <t>BUI_COL17</t>
  </si>
  <si>
    <t>BUI_COL18</t>
  </si>
  <si>
    <t>BUI_COL19</t>
  </si>
  <si>
    <t>BUI_COL20</t>
  </si>
  <si>
    <t>BUI_COL21</t>
  </si>
  <si>
    <t>BUI_COL22</t>
  </si>
  <si>
    <t>BUI_COL23</t>
  </si>
  <si>
    <t>BUI_COL24</t>
  </si>
  <si>
    <t>BUI_COL25</t>
  </si>
  <si>
    <t>BUI_COL26</t>
  </si>
  <si>
    <t>BUI_COL27</t>
  </si>
  <si>
    <t>BUI_COL28</t>
  </si>
  <si>
    <t>BUI_COL29</t>
  </si>
  <si>
    <t>BUI_COL30</t>
  </si>
  <si>
    <t>BUI_COL31</t>
  </si>
  <si>
    <t>BUI_COL32</t>
  </si>
  <si>
    <t>BUI_COL33</t>
  </si>
  <si>
    <t>BUI_COL34</t>
  </si>
  <si>
    <t>BUI_COL35</t>
  </si>
  <si>
    <t>BUI_COL36</t>
  </si>
  <si>
    <t>BUI_COL37</t>
  </si>
  <si>
    <t>BUI_COL38</t>
  </si>
  <si>
    <t>BUI_COL39</t>
  </si>
  <si>
    <t>BUI_COL40</t>
  </si>
  <si>
    <t>BUI_COL41</t>
  </si>
  <si>
    <t>BUI_COL42</t>
  </si>
  <si>
    <t>BUI_COL43</t>
  </si>
  <si>
    <t>BUI_COL44</t>
  </si>
  <si>
    <t>BUI_COL45</t>
  </si>
  <si>
    <t>BUI_COL46</t>
  </si>
  <si>
    <t>BUI_COL47</t>
  </si>
  <si>
    <t>BUI_COL48</t>
  </si>
  <si>
    <t>BUI_COL49</t>
  </si>
  <si>
    <t>BUI_COL50</t>
  </si>
  <si>
    <t>BUI_COL115</t>
  </si>
  <si>
    <t>BUI_COL116</t>
  </si>
  <si>
    <t>BUI_COL117</t>
  </si>
  <si>
    <t>BUI_COL118</t>
  </si>
  <si>
    <t>BUI_COL119</t>
  </si>
  <si>
    <t>BUI_COL120</t>
  </si>
  <si>
    <t>BUI_COL121</t>
  </si>
  <si>
    <t>BUI_COL122</t>
  </si>
  <si>
    <t>BUI_COL123</t>
  </si>
  <si>
    <t>BUI_COL124</t>
  </si>
  <si>
    <t>BUI_COL125</t>
  </si>
  <si>
    <t>BUI_COL126</t>
  </si>
  <si>
    <t>BUI_COL127</t>
  </si>
  <si>
    <t>BUI_COL128</t>
  </si>
  <si>
    <t>BUI_COL129</t>
  </si>
  <si>
    <t>BUI_COL130</t>
  </si>
  <si>
    <t>BUI_COL131</t>
  </si>
  <si>
    <t>BUI_COL132</t>
  </si>
  <si>
    <t>BUI_COL133</t>
  </si>
  <si>
    <t>BUI_COL134</t>
  </si>
  <si>
    <t>BUI_COL135</t>
  </si>
  <si>
    <t>BUI_COL136</t>
  </si>
  <si>
    <t>BUI_COL137</t>
  </si>
  <si>
    <t>BUI_COL138</t>
  </si>
  <si>
    <t>BUI_COL139</t>
  </si>
  <si>
    <t>BUI_COL140</t>
  </si>
  <si>
    <t>BUI_COL141</t>
  </si>
  <si>
    <t>BUI_COL142</t>
  </si>
  <si>
    <t>BUI_COL143</t>
  </si>
  <si>
    <t>BUI_COL144</t>
  </si>
  <si>
    <t>BUI_COL145</t>
  </si>
  <si>
    <t>BUI_COL146</t>
  </si>
  <si>
    <t>BUI_COL147</t>
  </si>
  <si>
    <t>BUI_COL148</t>
  </si>
  <si>
    <t>BUI_COL149</t>
  </si>
  <si>
    <t>BUI_COL150</t>
  </si>
  <si>
    <t>BUI_COL151</t>
  </si>
  <si>
    <t>BUI_COL152</t>
  </si>
  <si>
    <t>BUI_COL153</t>
  </si>
  <si>
    <t>BUI_COL154</t>
  </si>
  <si>
    <t>BUI_COL155</t>
  </si>
  <si>
    <t>BUI_COL156</t>
  </si>
  <si>
    <t>BUI_COL157</t>
  </si>
  <si>
    <t>BUI_COL158</t>
  </si>
  <si>
    <t>BUI_COL159</t>
  </si>
  <si>
    <t>BUI_COL160</t>
  </si>
  <si>
    <t>BUI_COL161</t>
  </si>
  <si>
    <t>BUI_COL162</t>
  </si>
  <si>
    <t>BUI_COL163</t>
  </si>
  <si>
    <t>BUI_COL164</t>
  </si>
  <si>
    <t>BUI_COL165</t>
  </si>
  <si>
    <t>BUI_COL166</t>
  </si>
  <si>
    <t>BUI_COL167</t>
  </si>
  <si>
    <t>BUI_COL168</t>
  </si>
  <si>
    <t>BUI_COL169</t>
  </si>
  <si>
    <t>BUI_COL170</t>
  </si>
  <si>
    <t>BUI_COL171</t>
  </si>
  <si>
    <t>BUI_COL172</t>
  </si>
  <si>
    <t>BUI_COL173</t>
  </si>
  <si>
    <t>BUI_COL174</t>
  </si>
  <si>
    <t>BUI_COL175</t>
  </si>
  <si>
    <t>BUI_COL176</t>
  </si>
  <si>
    <t>BUI_COL177</t>
  </si>
  <si>
    <t>BUI_COL178</t>
  </si>
  <si>
    <t>BUI_COL179</t>
  </si>
  <si>
    <t>BUI_COL180</t>
  </si>
  <si>
    <t>BUI_COL181</t>
  </si>
  <si>
    <t>BUI_COL182</t>
  </si>
  <si>
    <t>BUI_COL183</t>
  </si>
  <si>
    <t>BUI_COL184</t>
  </si>
  <si>
    <t>BUI_COL185</t>
  </si>
  <si>
    <t>BUI_COL186</t>
  </si>
  <si>
    <t>BUI_COL187</t>
  </si>
  <si>
    <t>BUI_COL188</t>
  </si>
  <si>
    <t>BUI_COL189</t>
  </si>
  <si>
    <t>BUI_COL190</t>
  </si>
  <si>
    <t>BUI_COL191</t>
  </si>
  <si>
    <t>BUI_COL192</t>
  </si>
  <si>
    <t>BUI_COL193</t>
  </si>
  <si>
    <t>BUI_COL194</t>
  </si>
  <si>
    <t>BUI_COL195</t>
  </si>
  <si>
    <t>BUI_COL196</t>
  </si>
  <si>
    <t>BUI_COL197</t>
  </si>
  <si>
    <t>BUI_COL198</t>
  </si>
  <si>
    <t>BUI_COL199</t>
  </si>
  <si>
    <t>BUI_COL200</t>
  </si>
  <si>
    <t>BUI_COL201</t>
  </si>
  <si>
    <t>BUI_COL202</t>
  </si>
  <si>
    <t>BUI_COL203</t>
  </si>
  <si>
    <t>BUI_COL204</t>
  </si>
  <si>
    <t>BUI_COL205</t>
  </si>
  <si>
    <t>BUI_COL206</t>
  </si>
  <si>
    <t>BUI_COL207</t>
  </si>
  <si>
    <t>BUI_COL208</t>
  </si>
  <si>
    <t>BUI_COL209</t>
  </si>
  <si>
    <t>BUI_COL210</t>
  </si>
  <si>
    <t>BUI_COL211</t>
  </si>
  <si>
    <t>BUI_COL212</t>
  </si>
  <si>
    <t>BUI_COL213</t>
  </si>
  <si>
    <t>BUI_COL214</t>
  </si>
  <si>
    <t>BUI_COL215</t>
  </si>
  <si>
    <t>BUI_COL216</t>
  </si>
  <si>
    <t>BUI_COL217</t>
  </si>
  <si>
    <t>BUI_COL218</t>
  </si>
  <si>
    <t>BUI_COL219</t>
  </si>
  <si>
    <t>BUI_COL220</t>
  </si>
  <si>
    <t>BUI_COL221</t>
  </si>
  <si>
    <t>BUI_COL222</t>
  </si>
  <si>
    <t>BUI_COL223</t>
  </si>
  <si>
    <t>BUI_COL224</t>
  </si>
  <si>
    <t>BUI_COL225</t>
  </si>
  <si>
    <t>BUI_COL226</t>
  </si>
  <si>
    <t>BUI_COL227</t>
  </si>
  <si>
    <t>BUI_COL228</t>
  </si>
  <si>
    <t>BUI_COL229</t>
  </si>
  <si>
    <t>BUI_COL230</t>
  </si>
  <si>
    <t>BUI_COL231</t>
  </si>
  <si>
    <t>BUI_COL232</t>
  </si>
  <si>
    <t>BUI_COL233</t>
  </si>
  <si>
    <t>BUI_COL234</t>
  </si>
  <si>
    <t>BUI_COL235</t>
  </si>
  <si>
    <t>BUI_COL236</t>
  </si>
  <si>
    <t>BUI_COL237</t>
  </si>
  <si>
    <t>BUI_COL238</t>
  </si>
  <si>
    <t>BUI_COL239</t>
  </si>
  <si>
    <t>BUI_COL240</t>
  </si>
  <si>
    <t>BUI_COL241</t>
  </si>
  <si>
    <t>BUI_COL242</t>
  </si>
  <si>
    <t>BUI_COL243</t>
  </si>
  <si>
    <t>BUI_COL244</t>
  </si>
  <si>
    <t>BUI_COL245</t>
  </si>
  <si>
    <t>BUI_COL246</t>
  </si>
  <si>
    <t>BUI_COL247</t>
  </si>
  <si>
    <t>BUI_COL248</t>
  </si>
  <si>
    <t>BUI_COL249</t>
  </si>
  <si>
    <t>BUI_COL250</t>
  </si>
  <si>
    <t>BUI_COL251</t>
  </si>
  <si>
    <t>BUI_COL252</t>
  </si>
  <si>
    <t>BUI_COL253</t>
  </si>
  <si>
    <t>BUI_COL254</t>
  </si>
  <si>
    <t>BUI_COL255</t>
  </si>
  <si>
    <t>BUI_COL256</t>
  </si>
  <si>
    <t>BUI_COL257</t>
  </si>
  <si>
    <t>BUI_COL258</t>
  </si>
  <si>
    <t>BUI_COL259</t>
  </si>
  <si>
    <t>BUI_COL260</t>
  </si>
  <si>
    <t>BUI_COL261</t>
  </si>
  <si>
    <t>BUI_COL262</t>
  </si>
  <si>
    <t>BUI_COL263</t>
  </si>
  <si>
    <t>BUI_COL264</t>
  </si>
  <si>
    <t>BUI_COL265</t>
  </si>
  <si>
    <t>BUI_COL266</t>
  </si>
  <si>
    <t>BUI_COL267</t>
  </si>
  <si>
    <t>BUI_COL268</t>
  </si>
  <si>
    <t>BUI_COL269</t>
  </si>
  <si>
    <t>BUI_COL270</t>
  </si>
  <si>
    <t>BUI_COL271</t>
  </si>
  <si>
    <t>BUI_COL272</t>
  </si>
  <si>
    <t>BUI_COL273</t>
  </si>
  <si>
    <t>BUI_COL274</t>
  </si>
  <si>
    <t>BUI_COL355</t>
  </si>
  <si>
    <t>BUI_COL356</t>
  </si>
  <si>
    <t>BUI_COL357</t>
  </si>
  <si>
    <t>BUI_COL358</t>
  </si>
  <si>
    <t>BUI_COL359</t>
  </si>
  <si>
    <t>BUI_COL360</t>
  </si>
  <si>
    <t>BUI_COL361</t>
  </si>
  <si>
    <t>BUI_COL362</t>
  </si>
  <si>
    <t>BUI_COL363</t>
  </si>
  <si>
    <t>BUI_COL364</t>
  </si>
  <si>
    <r>
      <t>BASELINE EF</t>
    </r>
    <r>
      <rPr>
        <vertAlign val="subscript"/>
        <sz val="10"/>
        <rFont val="Arial Unicode MS"/>
        <family val="2"/>
        <charset val="186"/>
      </rPr>
      <t>bus_road</t>
    </r>
    <r>
      <rPr>
        <sz val="10"/>
        <rFont val="Arial Unicode MS"/>
        <family val="2"/>
        <charset val="186"/>
      </rPr>
      <t xml:space="preserve"> and EF</t>
    </r>
    <r>
      <rPr>
        <vertAlign val="subscript"/>
        <sz val="10"/>
        <rFont val="Arial Unicode MS"/>
        <family val="2"/>
        <charset val="186"/>
      </rPr>
      <t>bus_street</t>
    </r>
  </si>
  <si>
    <t>Emission factors by type of fuel and driving</t>
  </si>
  <si>
    <r>
      <t>EF</t>
    </r>
    <r>
      <rPr>
        <vertAlign val="subscript"/>
        <sz val="11"/>
        <color theme="1"/>
        <rFont val="Albertus Medium"/>
        <family val="2"/>
      </rPr>
      <t>bus_road</t>
    </r>
  </si>
  <si>
    <r>
      <t>EF</t>
    </r>
    <r>
      <rPr>
        <vertAlign val="subscript"/>
        <sz val="11"/>
        <color theme="1"/>
        <rFont val="Albertus Medium"/>
        <family val="2"/>
      </rPr>
      <t>bus_street</t>
    </r>
  </si>
  <si>
    <t>parameters from the dataset (row according to country selection)</t>
  </si>
  <si>
    <r>
      <t>EF</t>
    </r>
    <r>
      <rPr>
        <vertAlign val="subscript"/>
        <sz val="10"/>
        <color theme="1"/>
        <rFont val="Arial Unicode MS"/>
        <family val="2"/>
        <charset val="186"/>
      </rPr>
      <t>bus_road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</si>
  <si>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bus_street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</si>
  <si>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t>BUS_COL11-15</t>
  </si>
  <si>
    <t>always 1</t>
  </si>
  <si>
    <t>the results is per capita, as V is per capita</t>
  </si>
  <si>
    <r>
      <t>Area-specific EF</t>
    </r>
    <r>
      <rPr>
        <vertAlign val="subscript"/>
        <sz val="10"/>
        <color theme="1"/>
        <rFont val="Arial Unicode MS"/>
        <family val="2"/>
        <charset val="186"/>
      </rPr>
      <t>bus</t>
    </r>
  </si>
  <si>
    <t>explanatory note / equation</t>
  </si>
  <si>
    <r>
      <t>BUS: Area-specific emission factor EF</t>
    </r>
    <r>
      <rPr>
        <vertAlign val="subscript"/>
        <sz val="10"/>
        <color theme="1"/>
        <rFont val="Arial Unicode MS"/>
        <family val="2"/>
        <charset val="186"/>
      </rPr>
      <t>bus</t>
    </r>
    <r>
      <rPr>
        <sz val="10"/>
        <color theme="1"/>
        <rFont val="Arial Unicode MS"/>
        <family val="2"/>
        <charset val="186"/>
      </rPr>
      <t xml:space="preserve"> for baseline calculation</t>
    </r>
  </si>
  <si>
    <t>Bi-fuel</t>
  </si>
  <si>
    <t>KWh/vkm</t>
  </si>
  <si>
    <t>weighted average (this value is not used in the calculation)</t>
  </si>
  <si>
    <r>
      <t>average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</si>
  <si>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</si>
  <si>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</si>
  <si>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1"/>
        <color theme="1"/>
        <rFont val="Albertus Medium"/>
        <family val="2"/>
      </rPr>
      <t>car_road</t>
    </r>
  </si>
  <si>
    <r>
      <t>EF</t>
    </r>
    <r>
      <rPr>
        <vertAlign val="subscript"/>
        <sz val="11"/>
        <color theme="1"/>
        <rFont val="Albertus Medium"/>
        <family val="2"/>
      </rPr>
      <t>car_street</t>
    </r>
  </si>
  <si>
    <r>
      <t>CAR: Area-specific emission factor EF</t>
    </r>
    <r>
      <rPr>
        <vertAlign val="subscript"/>
        <sz val="10"/>
        <color theme="1"/>
        <rFont val="Arial Unicode MS"/>
        <family val="2"/>
        <charset val="186"/>
      </rPr>
      <t>CAR</t>
    </r>
    <r>
      <rPr>
        <sz val="10"/>
        <color theme="1"/>
        <rFont val="Arial Unicode MS"/>
        <family val="2"/>
        <charset val="186"/>
      </rPr>
      <t xml:space="preserve"> for baseline calculation</t>
    </r>
  </si>
  <si>
    <r>
      <t>EF</t>
    </r>
    <r>
      <rPr>
        <vertAlign val="subscript"/>
        <sz val="10"/>
        <color theme="1"/>
        <rFont val="Arial Unicode MS"/>
        <family val="2"/>
        <charset val="186"/>
      </rPr>
      <t>METRO</t>
    </r>
  </si>
  <si>
    <r>
      <t>EF</t>
    </r>
    <r>
      <rPr>
        <vertAlign val="subscript"/>
        <sz val="10"/>
        <color theme="1"/>
        <rFont val="Arial Unicode MS"/>
        <family val="2"/>
        <charset val="186"/>
      </rPr>
      <t>TRAM</t>
    </r>
  </si>
  <si>
    <r>
      <t>EF</t>
    </r>
    <r>
      <rPr>
        <vertAlign val="subscript"/>
        <sz val="10"/>
        <color theme="1"/>
        <rFont val="Arial Unicode MS"/>
        <family val="2"/>
        <charset val="186"/>
      </rPr>
      <t>TRAIN</t>
    </r>
  </si>
  <si>
    <r>
      <t>V</t>
    </r>
    <r>
      <rPr>
        <vertAlign val="subscript"/>
        <sz val="10"/>
        <color theme="1"/>
        <rFont val="Arial Unicode MS"/>
        <family val="2"/>
        <charset val="186"/>
      </rPr>
      <t>TRAIN</t>
    </r>
    <r>
      <rPr>
        <sz val="10"/>
        <color theme="1"/>
        <rFont val="Arial Unicode MS"/>
        <family val="2"/>
        <charset val="186"/>
      </rPr>
      <t xml:space="preserve"> * EF</t>
    </r>
    <r>
      <rPr>
        <vertAlign val="subscript"/>
        <sz val="10"/>
        <color theme="1"/>
        <rFont val="Arial Unicode MS"/>
        <family val="2"/>
        <charset val="186"/>
      </rPr>
      <t>TRAIN</t>
    </r>
    <r>
      <rPr>
        <sz val="10"/>
        <color theme="1"/>
        <rFont val="Arial Unicode MS"/>
        <family val="2"/>
        <charset val="186"/>
      </rPr>
      <t xml:space="preserve"> / 1000 (unit conversion from gCO2e to kgCO2e)</t>
    </r>
  </si>
  <si>
    <r>
      <t>V</t>
    </r>
    <r>
      <rPr>
        <vertAlign val="subscript"/>
        <sz val="10"/>
        <color theme="1"/>
        <rFont val="Arial Unicode MS"/>
        <family val="2"/>
        <charset val="186"/>
      </rPr>
      <t>CAR</t>
    </r>
    <r>
      <rPr>
        <sz val="10"/>
        <color theme="1"/>
        <rFont val="Arial Unicode MS"/>
        <family val="2"/>
        <charset val="186"/>
      </rPr>
      <t xml:space="preserve"> * EF</t>
    </r>
    <r>
      <rPr>
        <vertAlign val="subscript"/>
        <sz val="10"/>
        <color theme="1"/>
        <rFont val="Arial Unicode MS"/>
        <family val="2"/>
        <charset val="186"/>
      </rPr>
      <t>CAR</t>
    </r>
    <r>
      <rPr>
        <sz val="10"/>
        <color theme="1"/>
        <rFont val="Arial Unicode MS"/>
        <family val="2"/>
        <charset val="186"/>
      </rPr>
      <t xml:space="preserve"> / 1000 (unit conversion from gCO2e to kgCO2e)</t>
    </r>
  </si>
  <si>
    <t>ROAD-%  * road emission factor + STREET-% * street emission factor</t>
  </si>
  <si>
    <r>
      <t>V</t>
    </r>
    <r>
      <rPr>
        <vertAlign val="subscript"/>
        <sz val="10"/>
        <color theme="1"/>
        <rFont val="Arial Unicode MS"/>
        <family val="2"/>
        <charset val="186"/>
      </rPr>
      <t>BUS</t>
    </r>
    <r>
      <rPr>
        <sz val="10"/>
        <color theme="1"/>
        <rFont val="Arial Unicode MS"/>
        <family val="2"/>
        <charset val="186"/>
      </rPr>
      <t xml:space="preserve"> * EF</t>
    </r>
    <r>
      <rPr>
        <vertAlign val="subscript"/>
        <sz val="10"/>
        <color theme="1"/>
        <rFont val="Arial Unicode MS"/>
        <family val="2"/>
        <charset val="186"/>
      </rPr>
      <t>BUS</t>
    </r>
    <r>
      <rPr>
        <sz val="10"/>
        <color theme="1"/>
        <rFont val="Arial Unicode MS"/>
        <family val="2"/>
        <charset val="186"/>
      </rPr>
      <t xml:space="preserve"> / 1000 (conversion from gCO2e to kgCO2e)</t>
    </r>
  </si>
  <si>
    <t>METRO_COL3 * grid electricity emission factor from row 4</t>
  </si>
  <si>
    <t>TRAM_COL3 * grid electricity emission factor from row 4</t>
  </si>
  <si>
    <r>
      <t>V</t>
    </r>
    <r>
      <rPr>
        <vertAlign val="subscript"/>
        <sz val="10"/>
        <color theme="1"/>
        <rFont val="Arial Unicode MS"/>
        <family val="2"/>
        <charset val="186"/>
      </rPr>
      <t>RAILTRN_2021</t>
    </r>
    <r>
      <rPr>
        <sz val="10"/>
        <color theme="1"/>
        <rFont val="Arial Unicode MS"/>
        <family val="2"/>
        <charset val="186"/>
      </rPr>
      <t xml:space="preserve"> = RAILTRN_COL1  * CF</t>
    </r>
    <r>
      <rPr>
        <vertAlign val="subscript"/>
        <sz val="10"/>
        <color theme="1"/>
        <rFont val="Arial Unicode MS"/>
        <family val="2"/>
        <charset val="186"/>
      </rPr>
      <t>RAIL_TRN</t>
    </r>
  </si>
  <si>
    <r>
      <t>EF</t>
    </r>
    <r>
      <rPr>
        <vertAlign val="subscript"/>
        <sz val="10"/>
        <color theme="1"/>
        <rFont val="Arial Unicode MS"/>
        <family val="2"/>
        <charset val="186"/>
      </rPr>
      <t>RAILTRN</t>
    </r>
  </si>
  <si>
    <t>Grid electricity</t>
  </si>
  <si>
    <t>Emission factor 2021</t>
  </si>
  <si>
    <t>Emission factor 2022-50</t>
  </si>
  <si>
    <t>baseline bus</t>
  </si>
  <si>
    <r>
      <t>V</t>
    </r>
    <r>
      <rPr>
        <vertAlign val="subscript"/>
        <sz val="11"/>
        <color theme="1"/>
        <rFont val="Arial Unicode MS"/>
        <family val="2"/>
        <charset val="186"/>
      </rPr>
      <t>RAILTRN</t>
    </r>
  </si>
  <si>
    <t>RAILTRN BASELINE EMISSIONS</t>
  </si>
  <si>
    <r>
      <t>V</t>
    </r>
    <r>
      <rPr>
        <vertAlign val="subscript"/>
        <sz val="10"/>
        <color theme="1"/>
        <rFont val="Arial Unicode MS"/>
        <family val="2"/>
        <charset val="186"/>
      </rPr>
      <t>RAILTRN</t>
    </r>
    <r>
      <rPr>
        <sz val="10"/>
        <color theme="1"/>
        <rFont val="Arial Unicode MS"/>
        <family val="2"/>
        <charset val="186"/>
      </rPr>
      <t xml:space="preserve"> * EF</t>
    </r>
    <r>
      <rPr>
        <vertAlign val="subscript"/>
        <sz val="10"/>
        <color theme="1"/>
        <rFont val="Arial Unicode MS"/>
        <family val="2"/>
        <charset val="186"/>
      </rPr>
      <t>RAILTRN</t>
    </r>
    <r>
      <rPr>
        <sz val="10"/>
        <color theme="1"/>
        <rFont val="Arial Unicode MS"/>
        <family val="2"/>
        <charset val="186"/>
      </rPr>
      <t xml:space="preserve"> / 1000 (unit conversion from gCO2e to kgCO2e)</t>
    </r>
  </si>
  <si>
    <t>The equation  for calculating the right data column is</t>
  </si>
  <si>
    <t>If Energy rating selection is "A", the value of the cell D113 = 1</t>
  </si>
  <si>
    <t>BUI_COL (51 + ((A113 - 1) * 8) + ((D113 - 1) * 32))</t>
  </si>
  <si>
    <t>51 + ((1 - 1) * 8) + ((1 - 1) * 32)</t>
  </si>
  <si>
    <t>= 51 + 0 + 0</t>
  </si>
  <si>
    <t>-&gt; the right column is BUI_COL51</t>
  </si>
  <si>
    <t>where</t>
  </si>
  <si>
    <t xml:space="preserve">   energy consumption is collected from the database as explained above</t>
  </si>
  <si>
    <t xml:space="preserve">   emission factors are collected from row4 (grid electricity), row5 (district heating) and the database</t>
  </si>
  <si>
    <t xml:space="preserve">   years (calculated from user inputs) = 1 + J113 - I113</t>
  </si>
  <si>
    <t xml:space="preserve">   % of renewables = user input from cell F113</t>
  </si>
  <si>
    <t xml:space="preserve">   1 000 000 is the unit conversion</t>
  </si>
  <si>
    <t>If Energy rating selection is "D", the value of the cell D113 = 4</t>
  </si>
  <si>
    <t>51 + ((2 - 1) * 8) + ((4 - 1) * 32)</t>
  </si>
  <si>
    <t>= 51 + 8 + 96</t>
  </si>
  <si>
    <t>-&gt; the right column is BUI_COL155</t>
  </si>
  <si>
    <t>Thus the column number for electricity consumption is:</t>
  </si>
  <si>
    <t>Thus the column number for the electricity consumption is:</t>
  </si>
  <si>
    <t>reduction in energy demand (%)</t>
  </si>
  <si>
    <t>1) upgrade of energy efficiency, based on two numbers from the database: energy consumption before and after the retrofit (by type of energy).</t>
  </si>
  <si>
    <t>2) introduction of an on-site renewable energy system, based on the user input (% of energy consumption from renewables)</t>
  </si>
  <si>
    <t>The energy consumption before and after the retrofit is announced using the energy rating (A...E).</t>
  </si>
  <si>
    <t>The result for each cell is calculated as follows (electricity 2022 as example):</t>
  </si>
  <si>
    <t xml:space="preserve">   number of units is a user input from cell C113</t>
  </si>
  <si>
    <r>
      <t>energy cons</t>
    </r>
    <r>
      <rPr>
        <vertAlign val="subscript"/>
        <sz val="10"/>
        <color theme="1"/>
        <rFont val="Albertus Medium"/>
        <family val="2"/>
      </rPr>
      <t>BEFORE</t>
    </r>
  </si>
  <si>
    <r>
      <t>energy cons</t>
    </r>
    <r>
      <rPr>
        <vertAlign val="subscript"/>
        <sz val="10"/>
        <color theme="1"/>
        <rFont val="Albertus Medium"/>
        <family val="2"/>
      </rPr>
      <t>AFTER</t>
    </r>
  </si>
  <si>
    <t>BUI_COL(51+((A113-1)*8)+((D113-1)*32))</t>
  </si>
  <si>
    <t>BUI_COL(51+((A113-1)*8)+((E113-1)*32))</t>
  </si>
  <si>
    <t>BUI_COL(52+((A113-1)*8)+((D113-1)*32))</t>
  </si>
  <si>
    <t>BUI_COL(53+((A113-1)*8)+((D113-1)*32))</t>
  </si>
  <si>
    <t>BUI_COL(54+((A113-1)*8)+((D113-1)*32))</t>
  </si>
  <si>
    <t>BUI_COL(55+((A113-1)*8)+((D113-1)*32))</t>
  </si>
  <si>
    <t>BUI_COL(56+((A113-1)*8)+((D113-1)*32))</t>
  </si>
  <si>
    <t>BUI_COL(57+((A113-1)*8)+((D113-1)*32))</t>
  </si>
  <si>
    <t>BUI_COL(58+((A113-1)*8)+((D113-1)*32))</t>
  </si>
  <si>
    <t>BUI_COL(52+((A113-1)*8)+((E113-1)*32))</t>
  </si>
  <si>
    <t>BUI_COL(53+((A113-1)*8)+((E113-1)*32))</t>
  </si>
  <si>
    <t>BUI_COL(54+((A113-1)*8)+((E113-1)*32))</t>
  </si>
  <si>
    <t>BUI_COL(55+((A113-1)*8)+((E113-1)*32))</t>
  </si>
  <si>
    <t>BUI_COL(56+((A113-1)*8)+((E113-1)*32))</t>
  </si>
  <si>
    <t>BUI_COL(57+((A113-1)*8)+((E113-1)*32))</t>
  </si>
  <si>
    <t>BUI_COL(58+((A113-1)*8)+((E113-1)*32))</t>
  </si>
  <si>
    <t>BUI_COL(51+((A114-1)*8)+((D114-1)*32))</t>
  </si>
  <si>
    <t>BUI_COL(51+((A114-1)*8)+((E114-1)*32))</t>
  </si>
  <si>
    <t>BUI_COL(51+((A115-1)*8)+((D115-1)*32))</t>
  </si>
  <si>
    <t>BUI_COL(51+((A115-1)*8)+((E115-1)*32))</t>
  </si>
  <si>
    <t>BUI_COL(51+((A116-1)*8)+((D116-1)*32))</t>
  </si>
  <si>
    <t>BUI_COL(51+((A116-1)*8)+((E116-1)*32))</t>
  </si>
  <si>
    <t>BUI_COL(51+((A117-1)*8)+((D117-1)*32))</t>
  </si>
  <si>
    <t>BUI_COL(51+((A117-1)*8)+((E117-1)*32))</t>
  </si>
  <si>
    <t>BUI_COL(51+((A118-1)*8)+((D118-1)*32))</t>
  </si>
  <si>
    <t>BUI_COL(51+((A118-1)*8)+((E118-1)*32))</t>
  </si>
  <si>
    <t>1) upgrade of energy efficiency, based on the user input (reduction in %)</t>
  </si>
  <si>
    <t>retail</t>
  </si>
  <si>
    <t>health</t>
  </si>
  <si>
    <t>hospitality</t>
  </si>
  <si>
    <t>offices</t>
  </si>
  <si>
    <t xml:space="preserve">industrial </t>
  </si>
  <si>
    <t>warehouses</t>
  </si>
  <si>
    <t>BUI_COL (307 + ((A123 - 1) * 8)</t>
  </si>
  <si>
    <t>307 + ((5 - 1) * 8)</t>
  </si>
  <si>
    <t>= 307 + 32</t>
  </si>
  <si>
    <t>-&gt; the right column is BUI_COL339</t>
  </si>
  <si>
    <t xml:space="preserve">   floor area is a user input from cell C123</t>
  </si>
  <si>
    <t xml:space="preserve">   energy consBEFORE is collected from the database as explained above</t>
  </si>
  <si>
    <t xml:space="preserve">   energy consAFTER is energy consBEFORE * (100 - reduction percentage) / 100</t>
  </si>
  <si>
    <t xml:space="preserve">   years (calculated from user inputs) = 1 + J123 - I123</t>
  </si>
  <si>
    <t xml:space="preserve">   % of renewables = user input from cell F123</t>
  </si>
  <si>
    <t>1) the reduction in the building type category (conversion from) specified by the user</t>
  </si>
  <si>
    <t>2) the increase in the building type category (conversion to) specified by the user</t>
  </si>
  <si>
    <t xml:space="preserve">   these tables are labelled as 1a-6a below</t>
  </si>
  <si>
    <t xml:space="preserve">   these tables are labelled as 1b-6b below</t>
  </si>
  <si>
    <t>The section 8.3 calculates the impact of building conversions from one use to another. This is calculated in two parts</t>
  </si>
  <si>
    <t>BUI_COL (275 + ((A134 - 1) * 8)</t>
  </si>
  <si>
    <t>275 + ((9 - 1) * 8)</t>
  </si>
  <si>
    <t>= 275 + 64</t>
  </si>
  <si>
    <t>In the Excel equation we have "1" instead of "275" because the INDEX function collects the value from the given data range.</t>
  </si>
  <si>
    <t>In the Excel equation we have "1" instead of "307" because the INDEX function collects the value from the given data range.</t>
  </si>
  <si>
    <t>In the Excel equation we have "1" instead of "51" because the INDEX function collects the value from the given data range.</t>
  </si>
  <si>
    <r>
      <t xml:space="preserve">The section 8.1 calculates </t>
    </r>
    <r>
      <rPr>
        <b/>
        <sz val="10"/>
        <color theme="1"/>
        <rFont val="Arial Unicode MS"/>
        <family val="2"/>
        <charset val="186"/>
      </rPr>
      <t>annual reduction in energy consumption gained by retrofitting of residential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</si>
  <si>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BUI_COL51</t>
    </r>
  </si>
  <si>
    <r>
      <t xml:space="preserve">The right </t>
    </r>
    <r>
      <rPr>
        <b/>
        <sz val="10"/>
        <color theme="1"/>
        <rFont val="Arial Unicode MS"/>
        <family val="2"/>
        <charset val="186"/>
      </rPr>
      <t>data column</t>
    </r>
    <r>
      <rPr>
        <sz val="10"/>
        <color theme="1"/>
        <rFont val="Arial Unicode MS"/>
        <family val="2"/>
        <charset val="186"/>
      </rPr>
      <t xml:space="preserve"> is calculated based on the two user inputs</t>
    </r>
  </si>
  <si>
    <r>
      <rPr>
        <b/>
        <sz val="10"/>
        <color theme="1"/>
        <rFont val="Arial Unicode MS"/>
        <family val="2"/>
        <charset val="186"/>
      </rPr>
      <t xml:space="preserve">1) BUILDING TYPE </t>
    </r>
    <r>
      <rPr>
        <sz val="10"/>
        <color theme="1"/>
        <rFont val="Arial Unicode MS"/>
        <family val="2"/>
        <charset val="186"/>
      </rPr>
      <t>from cell A113, which has a numeric value according to the user selection as follows:</t>
    </r>
  </si>
  <si>
    <r>
      <rPr>
        <b/>
        <sz val="10"/>
        <color theme="1"/>
        <rFont val="Arial Unicode MS"/>
        <family val="2"/>
        <charset val="186"/>
      </rPr>
      <t xml:space="preserve">2) ENERGY RATING </t>
    </r>
    <r>
      <rPr>
        <sz val="10"/>
        <color theme="1"/>
        <rFont val="Arial Unicode MS"/>
        <family val="2"/>
        <charset val="186"/>
      </rPr>
      <t>from cell D113,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</si>
  <si>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"apartment", the value of the cell A113 = 1</t>
    </r>
  </si>
  <si>
    <r>
      <rPr>
        <b/>
        <sz val="10"/>
        <color theme="1"/>
        <rFont val="Arial Unicode MS"/>
        <family val="2"/>
        <charset val="186"/>
      </rPr>
      <t>EXAMPLE 2:</t>
    </r>
    <r>
      <rPr>
        <sz val="10"/>
        <color theme="1"/>
        <rFont val="Arial Unicode MS"/>
        <family val="2"/>
        <charset val="186"/>
      </rPr>
      <t xml:space="preserve"> If Building type selection is "terraced", the value of the cell A113 = 2</t>
    </r>
  </si>
  <si>
    <r>
      <t xml:space="preserve">The </t>
    </r>
    <r>
      <rPr>
        <b/>
        <sz val="10"/>
        <color theme="1"/>
        <rFont val="Arial Unicode MS"/>
        <family val="2"/>
        <charset val="186"/>
      </rPr>
      <t>data row</t>
    </r>
    <r>
      <rPr>
        <sz val="10"/>
        <color theme="1"/>
        <rFont val="Arial Unicode MS"/>
        <family val="2"/>
        <charset val="186"/>
      </rPr>
      <t xml:space="preserve"> is always according to the country selection on the Start page (cell B3).</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</si>
  <si>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(number of units * ((energy cons</t>
    </r>
    <r>
      <rPr>
        <b/>
        <vertAlign val="subscript"/>
        <sz val="10"/>
        <color theme="1"/>
        <rFont val="Arial Unicode MS"/>
        <family val="2"/>
        <charset val="186"/>
      </rPr>
      <t>BEFORE</t>
    </r>
    <r>
      <rPr>
        <b/>
        <sz val="10"/>
        <color theme="1"/>
        <rFont val="Arial Unicode MS"/>
        <family val="2"/>
        <charset val="186"/>
      </rPr>
      <t xml:space="preserve"> - energy cons</t>
    </r>
    <r>
      <rPr>
        <b/>
        <vertAlign val="subscript"/>
        <sz val="10"/>
        <color theme="1"/>
        <rFont val="Arial Unicode MS"/>
        <family val="2"/>
        <charset val="186"/>
      </rPr>
      <t>AFTER</t>
    </r>
    <r>
      <rPr>
        <b/>
        <sz val="10"/>
        <color theme="1"/>
        <rFont val="Arial Unicode MS"/>
        <family val="2"/>
        <charset val="186"/>
      </rPr>
      <t>)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</si>
  <si>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r>
      <t xml:space="preserve">The section 8.2 calculates </t>
    </r>
    <r>
      <rPr>
        <b/>
        <sz val="10"/>
        <color theme="1"/>
        <rFont val="Arial Unicode MS"/>
        <family val="2"/>
        <charset val="186"/>
      </rPr>
      <t>annual reduction in energy consumption gained by retrofitting of commercial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</si>
  <si>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BUI_COL307</t>
    </r>
  </si>
  <si>
    <r>
      <t xml:space="preserve">The right </t>
    </r>
    <r>
      <rPr>
        <b/>
        <sz val="10"/>
        <color theme="1"/>
        <rFont val="Arial Unicode MS"/>
        <family val="2"/>
        <charset val="186"/>
      </rPr>
      <t>data column</t>
    </r>
    <r>
      <rPr>
        <sz val="10"/>
        <color theme="1"/>
        <rFont val="Arial Unicode MS"/>
        <family val="2"/>
        <charset val="186"/>
      </rPr>
      <t xml:space="preserve"> is calculated based on a single user input:</t>
    </r>
  </si>
  <si>
    <r>
      <rPr>
        <b/>
        <sz val="10"/>
        <color theme="1"/>
        <rFont val="Arial Unicode MS"/>
        <family val="2"/>
        <charset val="186"/>
      </rPr>
      <t xml:space="preserve">BUILDING TYPE </t>
    </r>
    <r>
      <rPr>
        <sz val="10"/>
        <color theme="1"/>
        <rFont val="Arial Unicode MS"/>
        <family val="2"/>
        <charset val="186"/>
      </rPr>
      <t>from cell A123,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</si>
  <si>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"industrial", the value of the cell A123 = 5</t>
    </r>
  </si>
  <si>
    <t>If the selected building type is residential, then the floor area (user input from cell E134) has to be divided by average floor area per residential unit type to get the number of residential units.</t>
  </si>
  <si>
    <t>The average floor area per residential unit type is provided in the database columns BUI_COL42-BUI_COL45.</t>
  </si>
  <si>
    <t xml:space="preserve">   floor area is a user input from cell E134</t>
  </si>
  <si>
    <t xml:space="preserve">   emission factor (EF) is collected from row4 (grid electricity), row5 (district heating) or the database</t>
  </si>
  <si>
    <t xml:space="preserve">   years (calculated from user inputs) = 1 + J134 - I134</t>
  </si>
  <si>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consumption * emission factor / years / 1 000 000)</t>
    </r>
  </si>
  <si>
    <r>
      <t xml:space="preserve">The consumption data range starts from the database column </t>
    </r>
    <r>
      <rPr>
        <b/>
        <sz val="10"/>
        <color theme="1"/>
        <rFont val="Arial Unicode MS"/>
        <family val="2"/>
        <charset val="186"/>
      </rPr>
      <t>BUI_COL275</t>
    </r>
  </si>
  <si>
    <r>
      <rPr>
        <b/>
        <sz val="10"/>
        <color theme="1"/>
        <rFont val="Arial Unicode MS"/>
        <family val="2"/>
        <charset val="186"/>
      </rPr>
      <t>EXAMPLE 1:</t>
    </r>
    <r>
      <rPr>
        <sz val="10"/>
        <color theme="1"/>
        <rFont val="Arial Unicode MS"/>
        <family val="2"/>
        <charset val="186"/>
      </rPr>
      <t xml:space="preserve"> If Building type selection in A134 is "industrial", the value of the cell A134 = 9</t>
    </r>
  </si>
  <si>
    <r>
      <t>reduced cons./m</t>
    </r>
    <r>
      <rPr>
        <vertAlign val="superscript"/>
        <sz val="10"/>
        <color theme="1"/>
        <rFont val="Arial Unicode MS"/>
        <family val="2"/>
        <charset val="186"/>
      </rPr>
      <t>2</t>
    </r>
  </si>
  <si>
    <r>
      <t>increased cons./m</t>
    </r>
    <r>
      <rPr>
        <vertAlign val="superscript"/>
        <sz val="10"/>
        <color theme="1"/>
        <rFont val="Arial Unicode MS"/>
        <family val="2"/>
        <charset val="186"/>
      </rPr>
      <t>2</t>
    </r>
  </si>
  <si>
    <t>b-tables are calculated the same way than a-tables; but the selection of the building type comes from C134 instead of A134.</t>
  </si>
  <si>
    <t>GHG emissions from the energy use in buildings by unit type and source of heating energy</t>
  </si>
  <si>
    <t>policy period (years)</t>
  </si>
  <si>
    <t>J117-I117+1</t>
  </si>
  <si>
    <t>J118-I118+1</t>
  </si>
  <si>
    <t>J113-I113+1</t>
  </si>
  <si>
    <t>J114-I114+1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</si>
  <si>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(C113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(F113/100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</si>
  <si>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(C114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(F114/100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</si>
  <si>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(C115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(F115/100 * energy cons</t>
    </r>
    <r>
      <rPr>
        <vertAlign val="subscript"/>
        <sz val="10"/>
        <color theme="1"/>
        <rFont val="Arial Unicode MS"/>
        <family val="2"/>
        <charset val="186"/>
      </rPr>
      <t>AFTER</t>
    </r>
    <r>
      <rPr>
        <sz val="10"/>
        <color theme="1"/>
        <rFont val="Arial Unicode MS"/>
        <family val="2"/>
        <charset val="186"/>
      </rPr>
      <t>)) * EF / policy period / 1000000)</t>
    </r>
  </si>
  <si>
    <t>J115-I115+1</t>
  </si>
  <si>
    <t>J116-I116+1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</si>
  <si>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(C116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(F116/100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</si>
  <si>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(C117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(F117/100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</si>
  <si>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(C118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(F118/100 * energy cons</t>
    </r>
    <r>
      <rPr>
        <vertAlign val="subscript"/>
        <sz val="10"/>
        <color theme="1"/>
        <rFont val="Arial Unicode MS"/>
        <family val="2"/>
        <charset val="186"/>
      </rPr>
      <t>AFTER</t>
    </r>
    <r>
      <rPr>
        <sz val="10"/>
        <color theme="1"/>
        <rFont val="Arial Unicode MS"/>
        <family val="2"/>
        <charset val="186"/>
      </rPr>
      <t>)) * EF / policy period / 1000000)</t>
    </r>
  </si>
  <si>
    <r>
      <t xml:space="preserve">The right </t>
    </r>
    <r>
      <rPr>
        <b/>
        <sz val="10"/>
        <color theme="1"/>
        <rFont val="Arial Unicode MS"/>
        <family val="2"/>
        <charset val="186"/>
      </rPr>
      <t>data column for energy cons</t>
    </r>
    <r>
      <rPr>
        <b/>
        <vertAlign val="subscript"/>
        <sz val="10"/>
        <color theme="1"/>
        <rFont val="Arial Unicode MS"/>
        <family val="2"/>
        <charset val="186"/>
      </rPr>
      <t>BEFORE</t>
    </r>
    <r>
      <rPr>
        <sz val="10"/>
        <color theme="1"/>
        <rFont val="Arial Unicode MS"/>
        <family val="2"/>
        <charset val="186"/>
      </rPr>
      <t xml:space="preserve"> is calculated based on a single user input:</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</si>
  <si>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t>
    </r>
    <r>
      <rPr>
        <b/>
        <vertAlign val="subscript"/>
        <sz val="10"/>
        <color theme="1"/>
        <rFont val="Arial Unicode MS"/>
        <family val="2"/>
        <charset val="186"/>
      </rPr>
      <t xml:space="preserve">BEFORE </t>
    </r>
    <r>
      <rPr>
        <b/>
        <sz val="10"/>
        <color theme="1"/>
        <rFont val="Arial Unicode MS"/>
        <family val="2"/>
        <charset val="186"/>
      </rPr>
      <t>* reduction percentage / 100)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</si>
  <si>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t xml:space="preserve">   reduction percentage = the user input from cell E123</t>
  </si>
  <si>
    <t>BUI_COL (307 + ((A123 - 1) * 8) * (100 - E123) / 100</t>
  </si>
  <si>
    <t>J123-I123+1</t>
  </si>
  <si>
    <t>EQUATIONS</t>
  </si>
  <si>
    <t>BUI_COL (307 + ((A124 - 1) * 8)</t>
  </si>
  <si>
    <t>BUI_COL (307 + ((A124 - 1) * 8) * (100 - E124) / 100</t>
  </si>
  <si>
    <t>J124-I124+1</t>
  </si>
  <si>
    <t>BUI_COL (307 + ((A124 - 1) * 8) * (100 - E124) / 101</t>
  </si>
  <si>
    <t>BUI_COL (307 + ((A124 - 1) * 8) * (100 - E124) / 102</t>
  </si>
  <si>
    <t>BUI_COL (307 + ((A124 - 1) * 8) * (100 - E124) / 103</t>
  </si>
  <si>
    <t>BUI_COL (307 + ((A124 - 1) * 8) * (100 - E124) / 104</t>
  </si>
  <si>
    <t>BUI_COL (307 + ((A124 - 1) * 8) * (100 - E124) / 105</t>
  </si>
  <si>
    <t>BUI_COL (307 + ((A124 - 1) * 8) * (100 - E124) / 106</t>
  </si>
  <si>
    <t>BUI_COL (307 + ((A124 - 1) * 8) * (100 - E124) / 107</t>
  </si>
  <si>
    <r>
      <t>energy cons</t>
    </r>
    <r>
      <rPr>
        <vertAlign val="subscript"/>
        <sz val="10"/>
        <color theme="1"/>
        <rFont val="Arial Unicode MS"/>
        <family val="2"/>
        <charset val="186"/>
      </rPr>
      <t>BEFORE</t>
    </r>
  </si>
  <si>
    <r>
      <t>energy cons</t>
    </r>
    <r>
      <rPr>
        <vertAlign val="subscript"/>
        <sz val="10"/>
        <color theme="1"/>
        <rFont val="Arial Unicode MS"/>
        <family val="2"/>
        <charset val="186"/>
      </rPr>
      <t>AFTER</t>
    </r>
  </si>
  <si>
    <t>BUI_COL (307 + ((A125 - 1) * 8)</t>
  </si>
  <si>
    <t>BUI_COL (307 + ((A125 - 1) * 8) * (100 - E125) / 100</t>
  </si>
  <si>
    <t>J125-I125+1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</si>
  <si>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C123 * ((energy cons</t>
    </r>
    <r>
      <rPr>
        <vertAlign val="subscript"/>
        <sz val="10"/>
        <color theme="1"/>
        <rFont val="Arial Unicode MS"/>
        <family val="2"/>
        <charset val="186"/>
      </rPr>
      <t>BEFORE</t>
    </r>
    <r>
      <rPr>
        <sz val="10"/>
        <color theme="1"/>
        <rFont val="Arial Unicode MS"/>
        <family val="2"/>
        <charset val="186"/>
      </rPr>
      <t xml:space="preserve"> * reduction percentage E123 / 100) + (renewables percentage F123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</si>
  <si>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C124 * ((energy cons</t>
    </r>
    <r>
      <rPr>
        <vertAlign val="subscript"/>
        <sz val="10"/>
        <color theme="1"/>
        <rFont val="Arial Unicode MS"/>
        <family val="2"/>
        <charset val="186"/>
      </rPr>
      <t>BEFORE</t>
    </r>
    <r>
      <rPr>
        <sz val="10"/>
        <color theme="1"/>
        <rFont val="Arial Unicode MS"/>
        <family val="2"/>
        <charset val="186"/>
      </rPr>
      <t xml:space="preserve"> * reduction percentage E124 / 100) + (renewables percentage F124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</si>
  <si>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C125 * ((energy cons</t>
    </r>
    <r>
      <rPr>
        <vertAlign val="subscript"/>
        <sz val="10"/>
        <color theme="1"/>
        <rFont val="Arial Unicode MS"/>
        <family val="2"/>
        <charset val="186"/>
      </rPr>
      <t>BEFORE</t>
    </r>
    <r>
      <rPr>
        <sz val="10"/>
        <color theme="1"/>
        <rFont val="Arial Unicode MS"/>
        <family val="2"/>
        <charset val="186"/>
      </rPr>
      <t xml:space="preserve"> * reduction percentage E125 / 100) + (renewables percentage F125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</si>
  <si>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C126 * ((energy cons</t>
    </r>
    <r>
      <rPr>
        <vertAlign val="subscript"/>
        <sz val="10"/>
        <color theme="1"/>
        <rFont val="Arial Unicode MS"/>
        <family val="2"/>
        <charset val="186"/>
      </rPr>
      <t>BEFORE</t>
    </r>
    <r>
      <rPr>
        <sz val="10"/>
        <color theme="1"/>
        <rFont val="Arial Unicode MS"/>
        <family val="2"/>
        <charset val="186"/>
      </rPr>
      <t xml:space="preserve"> * reduction percentage E126 / 100) + (renewables percentage F126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</si>
  <si>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((A126 - 1) * 8)</t>
  </si>
  <si>
    <t>BUI_COL (307 + ((A126 - 1) * 8) * (100 - E126) / 100</t>
  </si>
  <si>
    <t>J126-I126+1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</si>
  <si>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C127 * ((energy cons</t>
    </r>
    <r>
      <rPr>
        <vertAlign val="subscript"/>
        <sz val="10"/>
        <color theme="1"/>
        <rFont val="Arial Unicode MS"/>
        <family val="2"/>
        <charset val="186"/>
      </rPr>
      <t>BEFORE</t>
    </r>
    <r>
      <rPr>
        <sz val="10"/>
        <color theme="1"/>
        <rFont val="Arial Unicode MS"/>
        <family val="2"/>
        <charset val="186"/>
      </rPr>
      <t xml:space="preserve"> * reduction percentage E127 / 100) + (renewables percentage F127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</si>
  <si>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((A127 - 1) * 8)</t>
  </si>
  <si>
    <t>BUI_COL (307 + ((A127 - 1) * 8) * (100 - E127) / 100</t>
  </si>
  <si>
    <t>J127-I127+1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</si>
  <si>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C128 * ((energy cons</t>
    </r>
    <r>
      <rPr>
        <vertAlign val="subscript"/>
        <sz val="10"/>
        <color theme="1"/>
        <rFont val="Arial Unicode MS"/>
        <family val="2"/>
        <charset val="186"/>
      </rPr>
      <t>BEFORE</t>
    </r>
    <r>
      <rPr>
        <sz val="10"/>
        <color theme="1"/>
        <rFont val="Arial Unicode MS"/>
        <family val="2"/>
        <charset val="186"/>
      </rPr>
      <t xml:space="preserve"> * reduction percentage E128 / 100) + (renewables percentage F128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</si>
  <si>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((A128 - 1) * 8)</t>
  </si>
  <si>
    <t>BUI_COL (307 + ((A128 - 1) * 8) * (100 - E128) / 100</t>
  </si>
  <si>
    <t>J128-I128+1</t>
  </si>
  <si>
    <r>
      <t>GRID_ELECTRICITY_emission_factor</t>
    </r>
    <r>
      <rPr>
        <vertAlign val="subscript"/>
        <sz val="10"/>
        <color theme="1"/>
        <rFont val="Arial Unicode MS"/>
        <family val="2"/>
        <charset val="186"/>
      </rPr>
      <t>a</t>
    </r>
    <r>
      <rPr>
        <sz val="10"/>
        <color theme="1"/>
        <rFont val="Arial Unicode MS"/>
        <family val="2"/>
        <charset val="186"/>
      </rPr>
      <t xml:space="preserve"> (from row4)</t>
    </r>
  </si>
  <si>
    <r>
      <t>DISTRICT_HEATING_emission_factor</t>
    </r>
    <r>
      <rPr>
        <vertAlign val="subscript"/>
        <sz val="10"/>
        <color theme="1"/>
        <rFont val="Arial Unicode MS"/>
        <family val="2"/>
        <charset val="186"/>
      </rPr>
      <t>a</t>
    </r>
    <r>
      <rPr>
        <sz val="10"/>
        <color theme="1"/>
        <rFont val="Arial Unicode MS"/>
        <family val="2"/>
        <charset val="186"/>
      </rPr>
      <t xml:space="preserve"> (from row 5)</t>
    </r>
  </si>
  <si>
    <t>BUI_COL (307 + ((A134 - 1) * 8)</t>
  </si>
  <si>
    <t>J134-I134+1</t>
  </si>
  <si>
    <t>BUI_COL (307 + ((A135 - 1) * 8)</t>
  </si>
  <si>
    <t>J135-I135+1</t>
  </si>
  <si>
    <t>BUI_COL (307 + ((A136 - 1) * 8)</t>
  </si>
  <si>
    <t>J136-I136+1</t>
  </si>
  <si>
    <t>BUI_COL (307 + ((A137 - 1) * 8)</t>
  </si>
  <si>
    <t>J137-I137+1</t>
  </si>
  <si>
    <t>BUI_COL (307 + ((A138 - 1) * 8)</t>
  </si>
  <si>
    <t>J138-I138+1</t>
  </si>
  <si>
    <t>BUI_COL (307 + ((A139 - 1) * 8)</t>
  </si>
  <si>
    <t>J139-I139+1</t>
  </si>
  <si>
    <t>BUI_COL (307 + ((C134 - 1) * 8)</t>
  </si>
  <si>
    <r>
      <rPr>
        <b/>
        <sz val="10"/>
        <color theme="1"/>
        <rFont val="Arial Unicode MS"/>
        <family val="2"/>
        <charset val="186"/>
      </rPr>
      <t xml:space="preserve">BUILDING TYPE </t>
    </r>
    <r>
      <rPr>
        <sz val="10"/>
        <color theme="1"/>
        <rFont val="Arial Unicode MS"/>
        <family val="2"/>
        <charset val="186"/>
      </rPr>
      <t>from cell A134, which has a numeric value according to the user selection as follows:</t>
    </r>
  </si>
  <si>
    <t>and in b-labelled tables</t>
  </si>
  <si>
    <t>BUI_COL (275 + ((C134 - 1) * 8)</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</si>
  <si>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E134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</si>
  <si>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E135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</si>
  <si>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E136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</si>
  <si>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E137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</si>
  <si>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E138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</si>
  <si>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E139 * energy consumption * EF / policy period / 1 000 000)</t>
    </r>
  </si>
  <si>
    <t>from cells A134-A139</t>
  </si>
  <si>
    <t>from cells C134-C139</t>
  </si>
  <si>
    <t>BUI_COL (307 + ((C135 - 1) * 8)</t>
  </si>
  <si>
    <t>BUI_COL (307 + ((C136 - 1) * 8)</t>
  </si>
  <si>
    <t>BUI_COL (307 + ((C137 - 1) * 8)</t>
  </si>
  <si>
    <t>BUI_COL (307 + ((C138 - 1) * 8)</t>
  </si>
  <si>
    <t>BUI_COL (307 + ((C139 - 1) * 8)</t>
  </si>
  <si>
    <t>Building type</t>
  </si>
  <si>
    <t>NEW SUMMARY TABLE</t>
  </si>
  <si>
    <t>Total with policy impacts</t>
  </si>
  <si>
    <t>total emissions (positive values)</t>
  </si>
  <si>
    <t>carbon sinks, total</t>
  </si>
  <si>
    <t>transport</t>
  </si>
  <si>
    <t>buildings</t>
  </si>
  <si>
    <t>TERRITORIAL APPROACH</t>
  </si>
  <si>
    <t>net balance</t>
  </si>
  <si>
    <t>RESULTS</t>
  </si>
  <si>
    <r>
      <t>ABSOLUTE CO</t>
    </r>
    <r>
      <rPr>
        <vertAlign val="subscript"/>
        <sz val="10"/>
        <color theme="1"/>
        <rFont val="Arial Unicode MS"/>
        <family val="2"/>
        <charset val="186"/>
      </rPr>
      <t>2</t>
    </r>
    <r>
      <rPr>
        <sz val="10"/>
        <color theme="1"/>
        <rFont val="Arial Unicode MS"/>
        <family val="2"/>
        <charset val="186"/>
      </rPr>
      <t>e EMISSIONS</t>
    </r>
  </si>
  <si>
    <r>
      <t>CO</t>
    </r>
    <r>
      <rPr>
        <vertAlign val="subscript"/>
        <sz val="10"/>
        <color theme="1"/>
        <rFont val="Arial Unicode MS"/>
        <family val="2"/>
        <charset val="186"/>
      </rPr>
      <t>2</t>
    </r>
    <r>
      <rPr>
        <sz val="10"/>
        <color theme="1"/>
        <rFont val="Arial Unicode MS"/>
        <family val="2"/>
        <charset val="186"/>
      </rPr>
      <t>e EMISSIONS PER CAPITA</t>
    </r>
  </si>
  <si>
    <t>population</t>
  </si>
  <si>
    <t>area</t>
  </si>
  <si>
    <t>LUC emissions</t>
  </si>
  <si>
    <t>Total emissions from energy use</t>
  </si>
  <si>
    <t>baseline scenario</t>
  </si>
  <si>
    <t>LUC CO2 removal</t>
  </si>
  <si>
    <t>CAR_COL54-58</t>
  </si>
  <si>
    <t>always 2</t>
  </si>
  <si>
    <t>TRAIN_COL9-13</t>
  </si>
  <si>
    <t>RAIL_TRN_COL8-12</t>
  </si>
  <si>
    <t>ROAD_TRN6-10</t>
  </si>
  <si>
    <t>WATER_TRN_COL6-10</t>
  </si>
  <si>
    <t>Share_of_electric_buses</t>
  </si>
  <si>
    <t>BUS_COL26</t>
  </si>
  <si>
    <t>BUS_COL27</t>
  </si>
  <si>
    <t>BUS_COL28</t>
  </si>
  <si>
    <t>BUS_COL29</t>
  </si>
  <si>
    <t>BUS_COL30</t>
  </si>
  <si>
    <t>BUS_COL31</t>
  </si>
  <si>
    <t>BUS_COL32</t>
  </si>
  <si>
    <t>see equation</t>
  </si>
  <si>
    <t>100 - others</t>
  </si>
  <si>
    <t>2020-25</t>
  </si>
  <si>
    <t>2031-35</t>
  </si>
  <si>
    <t>2036-40</t>
  </si>
  <si>
    <t>2041-45</t>
  </si>
  <si>
    <t>2046-50</t>
  </si>
  <si>
    <t>2026-30</t>
  </si>
  <si>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(BUS_COL27 - BUS_COL26)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</si>
  <si>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(BUS_COL28 - BUS_COL27)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</si>
  <si>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(BUS_COL29 - BUS_COL28)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</si>
  <si>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(BUS_COL30 - BUS_COL29)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</si>
  <si>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(BUS_COL31 - BUS_COL30)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</si>
  <si>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(BUS_COL32 - BUS_COL31) / 5</t>
    </r>
  </si>
  <si>
    <t>®</t>
  </si>
  <si>
    <t>SHARE OF ELECTRIC BUSES</t>
  </si>
  <si>
    <r>
      <t>share</t>
    </r>
    <r>
      <rPr>
        <vertAlign val="subscript"/>
        <sz val="10"/>
        <color theme="1"/>
        <rFont val="Arial Unicode MS"/>
        <family val="2"/>
        <charset val="186"/>
      </rPr>
      <t>2021</t>
    </r>
    <r>
      <rPr>
        <sz val="10"/>
        <color theme="1"/>
        <rFont val="Arial Unicode MS"/>
        <family val="2"/>
        <charset val="186"/>
      </rPr>
      <t xml:space="preserve"> = BUS_COL26 + (BUS_COL27 - BUS_COL26) / 5</t>
    </r>
  </si>
  <si>
    <t>BUS_COL33</t>
  </si>
  <si>
    <t>BUS_COL35</t>
  </si>
  <si>
    <t>BUS_COL37</t>
  </si>
  <si>
    <t>BUS_COL39</t>
  </si>
  <si>
    <t>METROPOLITAN_CENTER</t>
  </si>
  <si>
    <t>BUS_COL41</t>
  </si>
  <si>
    <r>
      <t>CO</t>
    </r>
    <r>
      <rPr>
        <vertAlign val="subscript"/>
        <sz val="11"/>
        <color theme="1"/>
        <rFont val="Arial Unicode MS"/>
        <family val="2"/>
        <charset val="186"/>
      </rPr>
      <t>2</t>
    </r>
    <r>
      <rPr>
        <sz val="11"/>
        <color theme="1"/>
        <rFont val="Arial Unicode MS"/>
        <family val="2"/>
        <charset val="186"/>
      </rPr>
      <t>e EMISSION CALCULATION</t>
    </r>
  </si>
  <si>
    <r>
      <t>RESULT = V</t>
    </r>
    <r>
      <rPr>
        <b/>
        <vertAlign val="subscript"/>
        <sz val="12"/>
        <color theme="1"/>
        <rFont val="Arial Unicode MS"/>
        <family val="2"/>
        <charset val="186"/>
      </rPr>
      <t>MODE</t>
    </r>
    <r>
      <rPr>
        <b/>
        <sz val="12"/>
        <color theme="1"/>
        <rFont val="Arial Unicode MS"/>
        <family val="2"/>
        <charset val="186"/>
      </rPr>
      <t xml:space="preserve"> x EF</t>
    </r>
    <r>
      <rPr>
        <b/>
        <vertAlign val="subscript"/>
        <sz val="12"/>
        <color theme="1"/>
        <rFont val="Arial Unicode MS"/>
        <family val="2"/>
        <charset val="186"/>
      </rPr>
      <t>MODE</t>
    </r>
  </si>
  <si>
    <r>
      <t>V</t>
    </r>
    <r>
      <rPr>
        <vertAlign val="subscript"/>
        <sz val="10"/>
        <color theme="1"/>
        <rFont val="Arial Unicode MS"/>
        <family val="2"/>
        <charset val="186"/>
      </rPr>
      <t>MODE</t>
    </r>
    <r>
      <rPr>
        <sz val="10"/>
        <color theme="1"/>
        <rFont val="Arial Unicode MS"/>
        <family val="2"/>
        <charset val="186"/>
      </rPr>
      <t xml:space="preserve"> = annual vehicle-kms per mode of transport [vkm/(resident/year)]</t>
    </r>
  </si>
  <si>
    <r>
      <t>EF</t>
    </r>
    <r>
      <rPr>
        <vertAlign val="subscript"/>
        <sz val="10"/>
        <color theme="1"/>
        <rFont val="Arial Unicode MS"/>
        <family val="2"/>
        <charset val="186"/>
      </rPr>
      <t>MODE</t>
    </r>
    <r>
      <rPr>
        <sz val="10"/>
        <color theme="1"/>
        <rFont val="Arial Unicode MS"/>
        <family val="2"/>
        <charset val="186"/>
      </rPr>
      <t xml:space="preserve"> = area-specific emission factor per mode of transport [gCO</t>
    </r>
    <r>
      <rPr>
        <vertAlign val="subscript"/>
        <sz val="10"/>
        <color theme="1"/>
        <rFont val="Arial Unicode MS"/>
        <family val="2"/>
        <charset val="186"/>
      </rPr>
      <t>2</t>
    </r>
    <r>
      <rPr>
        <sz val="10"/>
        <color theme="1"/>
        <rFont val="Arial Unicode MS"/>
        <family val="2"/>
        <charset val="186"/>
      </rPr>
      <t>e/km]</t>
    </r>
  </si>
  <si>
    <r>
      <t>CF</t>
    </r>
    <r>
      <rPr>
        <b/>
        <vertAlign val="subscript"/>
        <sz val="11"/>
        <color theme="1"/>
        <rFont val="Arial Unicode MS"/>
        <family val="2"/>
        <charset val="186"/>
      </rPr>
      <t>MODE</t>
    </r>
  </si>
  <si>
    <r>
      <t>EF</t>
    </r>
    <r>
      <rPr>
        <vertAlign val="subscript"/>
        <sz val="10"/>
        <color theme="1"/>
        <rFont val="Arial Unicode MS"/>
        <family val="2"/>
        <charset val="186"/>
      </rPr>
      <t>2021</t>
    </r>
    <r>
      <rPr>
        <sz val="10"/>
        <color theme="1"/>
        <rFont val="Arial Unicode MS"/>
        <family val="2"/>
        <charset val="186"/>
      </rPr>
      <t xml:space="preserve"> = ENE_COL1 by country selection</t>
    </r>
  </si>
  <si>
    <r>
      <t>EF</t>
    </r>
    <r>
      <rPr>
        <vertAlign val="subscript"/>
        <sz val="10"/>
        <color theme="1"/>
        <rFont val="Arial Unicode MS"/>
        <family val="2"/>
        <charset val="186"/>
      </rPr>
      <t>a</t>
    </r>
    <r>
      <rPr>
        <sz val="10"/>
        <color theme="1"/>
        <rFont val="Arial Unicode MS"/>
        <family val="2"/>
        <charset val="186"/>
      </rPr>
      <t xml:space="preserve"> = EF</t>
    </r>
    <r>
      <rPr>
        <vertAlign val="subscript"/>
        <sz val="10"/>
        <color theme="1"/>
        <rFont val="Arial Unicode MS"/>
        <family val="2"/>
        <charset val="186"/>
      </rPr>
      <t>a-1</t>
    </r>
    <r>
      <rPr>
        <sz val="10"/>
        <color theme="1"/>
        <rFont val="Arial Unicode MS"/>
        <family val="2"/>
        <charset val="186"/>
      </rPr>
      <t xml:space="preserve"> * (100+annual change ENE_COL2,3,4)/100 </t>
    </r>
  </si>
  <si>
    <r>
      <t>after year x: P</t>
    </r>
    <r>
      <rPr>
        <vertAlign val="subscript"/>
        <sz val="10"/>
        <color theme="1"/>
        <rFont val="Arial Unicode MS"/>
        <family val="2"/>
        <charset val="186"/>
      </rPr>
      <t>a</t>
    </r>
    <r>
      <rPr>
        <sz val="10"/>
        <color theme="1"/>
        <rFont val="Arial Unicode MS"/>
        <family val="2"/>
        <charset val="186"/>
      </rPr>
      <t xml:space="preserve"> = P</t>
    </r>
    <r>
      <rPr>
        <vertAlign val="subscript"/>
        <sz val="10"/>
        <color theme="1"/>
        <rFont val="Arial Unicode MS"/>
        <family val="2"/>
        <charset val="186"/>
      </rPr>
      <t>a-1</t>
    </r>
    <r>
      <rPr>
        <sz val="10"/>
        <color theme="1"/>
        <rFont val="Arial Unicode MS"/>
        <family val="2"/>
        <charset val="186"/>
      </rPr>
      <t xml:space="preserve"> * (100+annual change POP_COL1,2,3)/100 </t>
    </r>
  </si>
  <si>
    <r>
      <t>x=start year; P</t>
    </r>
    <r>
      <rPr>
        <vertAlign val="subscript"/>
        <sz val="10"/>
        <color theme="1"/>
        <rFont val="Arial Unicode MS"/>
        <family val="2"/>
        <charset val="186"/>
      </rPr>
      <t>x</t>
    </r>
    <r>
      <rPr>
        <sz val="10"/>
        <color theme="1"/>
        <rFont val="Arial Unicode MS"/>
        <family val="2"/>
        <charset val="186"/>
      </rPr>
      <t>=user input from Start page cell B4; before year x: P</t>
    </r>
    <r>
      <rPr>
        <vertAlign val="subscript"/>
        <sz val="10"/>
        <color theme="1"/>
        <rFont val="Arial Unicode MS"/>
        <family val="2"/>
        <charset val="186"/>
      </rPr>
      <t>a</t>
    </r>
    <r>
      <rPr>
        <sz val="10"/>
        <color theme="1"/>
        <rFont val="Arial Unicode MS"/>
        <family val="2"/>
        <charset val="186"/>
      </rPr>
      <t xml:space="preserve"> = 0</t>
    </r>
  </si>
  <si>
    <r>
      <t>after 2021: V</t>
    </r>
    <r>
      <rPr>
        <vertAlign val="subscript"/>
        <sz val="10"/>
        <rFont val="Arial Unicode MS"/>
        <family val="2"/>
        <charset val="186"/>
      </rPr>
      <t>CAR_a</t>
    </r>
    <r>
      <rPr>
        <sz val="10"/>
        <rFont val="Arial Unicode MS"/>
        <family val="2"/>
        <charset val="186"/>
      </rPr>
      <t xml:space="preserve"> = V</t>
    </r>
    <r>
      <rPr>
        <vertAlign val="subscript"/>
        <sz val="10"/>
        <rFont val="Arial Unicode MS"/>
        <family val="2"/>
        <charset val="186"/>
      </rPr>
      <t>CAR_a-1</t>
    </r>
    <r>
      <rPr>
        <sz val="10"/>
        <rFont val="Arial Unicode MS"/>
        <family val="2"/>
        <charset val="186"/>
      </rPr>
      <t xml:space="preserve"> * (100+CAR_COL4,5,6) / 100</t>
    </r>
  </si>
  <si>
    <r>
      <t>V</t>
    </r>
    <r>
      <rPr>
        <vertAlign val="subscript"/>
        <sz val="10"/>
        <rFont val="Arial Unicode MS"/>
        <family val="2"/>
        <charset val="186"/>
      </rPr>
      <t>CAR_2021</t>
    </r>
    <r>
      <rPr>
        <sz val="10"/>
        <rFont val="Arial Unicode MS"/>
        <family val="2"/>
        <charset val="186"/>
      </rPr>
      <t xml:space="preserve"> = CAR_COL1 / CAR_COL2 * CF</t>
    </r>
    <r>
      <rPr>
        <vertAlign val="subscript"/>
        <sz val="10"/>
        <rFont val="Arial Unicode MS"/>
        <family val="2"/>
        <charset val="186"/>
      </rPr>
      <t>CAR</t>
    </r>
    <r>
      <rPr>
        <sz val="10"/>
        <rFont val="Arial Unicode MS"/>
        <family val="2"/>
        <charset val="186"/>
      </rPr>
      <t xml:space="preserve"> (cell M20)</t>
    </r>
  </si>
  <si>
    <t>ROAD TRANSPORT EMISSIONS</t>
  </si>
  <si>
    <r>
      <t>V</t>
    </r>
    <r>
      <rPr>
        <vertAlign val="subscript"/>
        <sz val="11"/>
        <color theme="1"/>
        <rFont val="Arial Unicode MS"/>
        <family val="2"/>
        <charset val="186"/>
      </rPr>
      <t>WATERTRN</t>
    </r>
  </si>
  <si>
    <r>
      <t>EF</t>
    </r>
    <r>
      <rPr>
        <vertAlign val="subscript"/>
        <sz val="10"/>
        <color theme="1"/>
        <rFont val="Arial Unicode MS"/>
        <family val="2"/>
        <charset val="186"/>
      </rPr>
      <t>WATERTRN</t>
    </r>
  </si>
  <si>
    <r>
      <t>V</t>
    </r>
    <r>
      <rPr>
        <vertAlign val="subscript"/>
        <sz val="10"/>
        <color theme="1"/>
        <rFont val="Arial Unicode MS"/>
        <family val="2"/>
        <charset val="186"/>
      </rPr>
      <t>WATERTRN_2021</t>
    </r>
    <r>
      <rPr>
        <sz val="10"/>
        <color theme="1"/>
        <rFont val="Arial Unicode MS"/>
        <family val="2"/>
        <charset val="186"/>
      </rPr>
      <t xml:space="preserve"> = WATERTRN_COL1  * CF</t>
    </r>
    <r>
      <rPr>
        <vertAlign val="subscript"/>
        <sz val="10"/>
        <color theme="1"/>
        <rFont val="Arial Unicode MS"/>
        <family val="2"/>
        <charset val="186"/>
      </rPr>
      <t>WATER_TRN</t>
    </r>
  </si>
  <si>
    <t>=WATERTRN_COL2</t>
  </si>
  <si>
    <t>WATERTRN EMISSIONS</t>
  </si>
  <si>
    <r>
      <t>V</t>
    </r>
    <r>
      <rPr>
        <vertAlign val="subscript"/>
        <sz val="10"/>
        <color theme="1"/>
        <rFont val="Arial Unicode MS"/>
        <family val="2"/>
        <charset val="186"/>
      </rPr>
      <t>WATERTRN</t>
    </r>
    <r>
      <rPr>
        <sz val="10"/>
        <color theme="1"/>
        <rFont val="Arial Unicode MS"/>
        <family val="2"/>
        <charset val="186"/>
      </rPr>
      <t xml:space="preserve"> * EF</t>
    </r>
    <r>
      <rPr>
        <vertAlign val="subscript"/>
        <sz val="10"/>
        <color theme="1"/>
        <rFont val="Arial Unicode MS"/>
        <family val="2"/>
        <charset val="186"/>
      </rPr>
      <t>WATERTRN</t>
    </r>
    <r>
      <rPr>
        <sz val="10"/>
        <color theme="1"/>
        <rFont val="Arial Unicode MS"/>
        <family val="2"/>
        <charset val="186"/>
      </rPr>
      <t xml:space="preserve"> / 1000 (unit conversion from gCO2e to kgCO2e)</t>
    </r>
  </si>
  <si>
    <r>
      <t>otherwise: V</t>
    </r>
    <r>
      <rPr>
        <vertAlign val="subscript"/>
        <sz val="10"/>
        <rFont val="Arial Unicode MS"/>
        <family val="2"/>
        <charset val="186"/>
      </rPr>
      <t>WATERTRN_a</t>
    </r>
    <r>
      <rPr>
        <sz val="10"/>
        <rFont val="Arial Unicode MS"/>
        <family val="2"/>
        <charset val="186"/>
      </rPr>
      <t xml:space="preserve"> = V</t>
    </r>
    <r>
      <rPr>
        <vertAlign val="subscript"/>
        <sz val="10"/>
        <rFont val="Arial Unicode MS"/>
        <family val="2"/>
        <charset val="186"/>
      </rPr>
      <t>WATERTRN_a-1</t>
    </r>
    <r>
      <rPr>
        <sz val="10"/>
        <rFont val="Arial Unicode MS"/>
        <family val="2"/>
        <charset val="186"/>
      </rPr>
      <t xml:space="preserve"> * (100 + WATERTRN_COL3,4,5) / 100</t>
    </r>
  </si>
  <si>
    <t>ROAD_TRN_COL2</t>
  </si>
  <si>
    <t>ROAD_TRN_COL3</t>
  </si>
  <si>
    <t>ROAD_TRN_COL4</t>
  </si>
  <si>
    <t>ROAD_TRN_COL5</t>
  </si>
  <si>
    <t>ROAD_TRN_COL1</t>
  </si>
  <si>
    <t>ROAD_TRN_COL6</t>
  </si>
  <si>
    <t>ROAD_TRN_COL7</t>
  </si>
  <si>
    <t>ROAD_TRN_COL8</t>
  </si>
  <si>
    <t>ROAD_TRN_COL9</t>
  </si>
  <si>
    <t>ROAD_TRN_COL10</t>
  </si>
  <si>
    <t>WATER_TRN_COL1</t>
  </si>
  <si>
    <t>WATER_TRN_COL2</t>
  </si>
  <si>
    <t>WATER_TRN_COL3</t>
  </si>
  <si>
    <t>WATER_TRN_COL4</t>
  </si>
  <si>
    <t>WATER_TRN_COL5</t>
  </si>
  <si>
    <t>WATER_TRN_COL6</t>
  </si>
  <si>
    <t>WATER_TRN_COL7</t>
  </si>
  <si>
    <t>WATER_TRN_COL8</t>
  </si>
  <si>
    <t>WATER_TRN_COL9</t>
  </si>
  <si>
    <t>WATER_TRN_COL10</t>
  </si>
  <si>
    <r>
      <t>V</t>
    </r>
    <r>
      <rPr>
        <vertAlign val="subscript"/>
        <sz val="11"/>
        <color theme="1"/>
        <rFont val="Arial Unicode MS"/>
        <family val="2"/>
        <charset val="186"/>
      </rPr>
      <t>ROAD_TRN</t>
    </r>
  </si>
  <si>
    <r>
      <t>V</t>
    </r>
    <r>
      <rPr>
        <vertAlign val="subscript"/>
        <sz val="10"/>
        <color theme="1"/>
        <rFont val="Arial Unicode MS"/>
        <family val="2"/>
        <charset val="186"/>
      </rPr>
      <t>ROAD_TRN</t>
    </r>
    <r>
      <rPr>
        <sz val="10"/>
        <color theme="1"/>
        <rFont val="Arial Unicode MS"/>
        <family val="2"/>
        <charset val="186"/>
      </rPr>
      <t xml:space="preserve"> * EF</t>
    </r>
    <r>
      <rPr>
        <vertAlign val="subscript"/>
        <sz val="10"/>
        <color theme="1"/>
        <rFont val="Arial Unicode MS"/>
        <family val="2"/>
        <charset val="186"/>
      </rPr>
      <t>ROAD_TRN</t>
    </r>
    <r>
      <rPr>
        <sz val="10"/>
        <color theme="1"/>
        <rFont val="Arial Unicode MS"/>
        <family val="2"/>
        <charset val="186"/>
      </rPr>
      <t xml:space="preserve"> / 1000 (unit conversion from gCO2e to kgCO2e)</t>
    </r>
  </si>
  <si>
    <r>
      <t>V</t>
    </r>
    <r>
      <rPr>
        <vertAlign val="subscript"/>
        <sz val="10"/>
        <color theme="1"/>
        <rFont val="Arial Unicode MS"/>
        <family val="2"/>
        <charset val="186"/>
      </rPr>
      <t>ROAD_TRN_2021</t>
    </r>
    <r>
      <rPr>
        <sz val="10"/>
        <color theme="1"/>
        <rFont val="Arial Unicode MS"/>
        <family val="2"/>
        <charset val="186"/>
      </rPr>
      <t xml:space="preserve"> = ROAD_TRN_COL1  * CF</t>
    </r>
    <r>
      <rPr>
        <vertAlign val="subscript"/>
        <sz val="10"/>
        <color theme="1"/>
        <rFont val="Arial Unicode MS"/>
        <family val="2"/>
        <charset val="186"/>
      </rPr>
      <t>ROAD_TRN</t>
    </r>
    <r>
      <rPr>
        <sz val="10"/>
        <color theme="1"/>
        <rFont val="Arial Unicode MS"/>
        <family val="2"/>
        <charset val="186"/>
      </rPr>
      <t xml:space="preserve"> (cell R20)</t>
    </r>
  </si>
  <si>
    <r>
      <t>otherwise: V</t>
    </r>
    <r>
      <rPr>
        <vertAlign val="subscript"/>
        <sz val="10"/>
        <rFont val="Arial Unicode MS"/>
        <family val="2"/>
        <charset val="186"/>
      </rPr>
      <t>ROAD_TRN_a</t>
    </r>
    <r>
      <rPr>
        <sz val="10"/>
        <rFont val="Arial Unicode MS"/>
        <family val="2"/>
        <charset val="186"/>
      </rPr>
      <t xml:space="preserve"> = V</t>
    </r>
    <r>
      <rPr>
        <vertAlign val="subscript"/>
        <sz val="10"/>
        <rFont val="Arial Unicode MS"/>
        <family val="2"/>
        <charset val="186"/>
      </rPr>
      <t>ROAD_TRN_a-1</t>
    </r>
    <r>
      <rPr>
        <sz val="10"/>
        <rFont val="Arial Unicode MS"/>
        <family val="2"/>
        <charset val="186"/>
      </rPr>
      <t xml:space="preserve"> * (100 + ROAD_TRN_COL5,6,7) / 100</t>
    </r>
  </si>
  <si>
    <t>diesel engines</t>
  </si>
  <si>
    <t>electric engines</t>
  </si>
  <si>
    <t>EF total (weighted average)</t>
  </si>
  <si>
    <t>Metro</t>
  </si>
  <si>
    <t>Metro_2</t>
  </si>
  <si>
    <t>Metro_3</t>
  </si>
  <si>
    <t>Metro_4</t>
  </si>
  <si>
    <t>Metro_5</t>
  </si>
  <si>
    <t>Metro_6</t>
  </si>
  <si>
    <t>Metro_7</t>
  </si>
  <si>
    <t>METRO_COL7</t>
  </si>
  <si>
    <t>METRO_COL8</t>
  </si>
  <si>
    <t>METRO_COL9</t>
  </si>
  <si>
    <t>METRO_COL10</t>
  </si>
  <si>
    <t>METRO_COL11</t>
  </si>
  <si>
    <t>METRO_COL12</t>
  </si>
  <si>
    <t>METRO_COL13</t>
  </si>
  <si>
    <t>METRO_COL14</t>
  </si>
  <si>
    <t>METRO_COL15</t>
  </si>
  <si>
    <t>METRO_COL16</t>
  </si>
  <si>
    <t>METRO_COL17</t>
  </si>
  <si>
    <t>METRO_COL18</t>
  </si>
  <si>
    <t>METRO_COL19</t>
  </si>
  <si>
    <t>METRO_COL20</t>
  </si>
  <si>
    <t>TRAM_COL7</t>
  </si>
  <si>
    <t>TRAM_COL8</t>
  </si>
  <si>
    <t>TRAM_COL9</t>
  </si>
  <si>
    <t>TRAM_COL10</t>
  </si>
  <si>
    <t>TRAM_COL11</t>
  </si>
  <si>
    <t>TRAM_COL12</t>
  </si>
  <si>
    <t>TRAM_COL13</t>
  </si>
  <si>
    <t>TRAM_COL14</t>
  </si>
  <si>
    <t>TRAM_COL15</t>
  </si>
  <si>
    <t>TRAM_COL16</t>
  </si>
  <si>
    <t>TRAM_COL17</t>
  </si>
  <si>
    <t>TRAM_COL18</t>
  </si>
  <si>
    <t>TRAM_COL19</t>
  </si>
  <si>
    <t>TRAM_COL20</t>
  </si>
  <si>
    <t>TRAM_COL21</t>
  </si>
  <si>
    <t>TRAM_COL22</t>
  </si>
  <si>
    <t>TRAM_COL23</t>
  </si>
  <si>
    <t>TRAM_COL24</t>
  </si>
  <si>
    <t>TRAM_COL25</t>
  </si>
  <si>
    <t>TRAM_COL26</t>
  </si>
  <si>
    <t>TRAM_COL27</t>
  </si>
  <si>
    <t>TRAM_COL28</t>
  </si>
  <si>
    <t>TRAM_COL29</t>
  </si>
  <si>
    <t>TRAM_COL30</t>
  </si>
  <si>
    <t>TRAM_COL31</t>
  </si>
  <si>
    <t>TRAM_COL32</t>
  </si>
  <si>
    <t>TRAM_COL33</t>
  </si>
  <si>
    <t>TRAM_COL34</t>
  </si>
  <si>
    <t>TRAM_COL35</t>
  </si>
  <si>
    <t>TRAM_COL36</t>
  </si>
  <si>
    <t>TRAM_COL37</t>
  </si>
  <si>
    <t>TRAM_COL38</t>
  </si>
  <si>
    <t>TRAM_COL39</t>
  </si>
  <si>
    <t>TRAM_COL40</t>
  </si>
  <si>
    <t>TRAM_COL41</t>
  </si>
  <si>
    <t>TRAM_COL42</t>
  </si>
  <si>
    <t>TRAM_COL43</t>
  </si>
  <si>
    <t>TRAM_COL44</t>
  </si>
  <si>
    <t>TRAM_COL45</t>
  </si>
  <si>
    <t>TRAM_COL46</t>
  </si>
  <si>
    <t>TRAM_COL47</t>
  </si>
  <si>
    <t>TRAM_COL48</t>
  </si>
  <si>
    <t>TRAM_COL49</t>
  </si>
  <si>
    <t>TRAM_COL50</t>
  </si>
  <si>
    <t>TRAM_COL51</t>
  </si>
  <si>
    <t>TRAM_COL52</t>
  </si>
  <si>
    <t>TRAM_COL53</t>
  </si>
  <si>
    <t>TRAM_COL54</t>
  </si>
  <si>
    <t>TRAM_COL55</t>
  </si>
  <si>
    <t>TRAM_COL56</t>
  </si>
  <si>
    <t>TRAM_COL57</t>
  </si>
  <si>
    <t>TRAM_COL58</t>
  </si>
  <si>
    <t>TRAM_COL59</t>
  </si>
  <si>
    <t>TRAM_COL60</t>
  </si>
  <si>
    <t>TRAM_COL61</t>
  </si>
  <si>
    <t>TRAM_COL62</t>
  </si>
  <si>
    <t>TRAM_COL63</t>
  </si>
  <si>
    <t>TRAM_COL64</t>
  </si>
  <si>
    <t>TRAM_COL66</t>
  </si>
  <si>
    <t>TRAM_COL67</t>
  </si>
  <si>
    <t>TRAM_COL68</t>
  </si>
  <si>
    <t>TRAM_COL69</t>
  </si>
  <si>
    <t>TRAM_COL70</t>
  </si>
  <si>
    <t>TRAM_COL71</t>
  </si>
  <si>
    <t>TRAM_COL72</t>
  </si>
  <si>
    <t>TRAM_COL73</t>
  </si>
  <si>
    <t>TRAM_COL74</t>
  </si>
  <si>
    <t>TRAM_COL75</t>
  </si>
  <si>
    <t>TRAM_COL76</t>
  </si>
  <si>
    <t>TRAM_COL77</t>
  </si>
  <si>
    <t>TRAM_COL78</t>
  </si>
  <si>
    <t>TRAM_COL79</t>
  </si>
  <si>
    <t>TRAM_COL80</t>
  </si>
  <si>
    <t>TRAM_COL81</t>
  </si>
  <si>
    <t>TRAM_COL82</t>
  </si>
  <si>
    <t>TRAM_COL83</t>
  </si>
  <si>
    <t>TRAM_COL84</t>
  </si>
  <si>
    <t>TRAM_COL85</t>
  </si>
  <si>
    <t>TRAM_COL86</t>
  </si>
  <si>
    <t>TRAM_COL87</t>
  </si>
  <si>
    <t>TRAM_COL88</t>
  </si>
  <si>
    <t>TRAM_COL89</t>
  </si>
  <si>
    <t>TRAM_COL90</t>
  </si>
  <si>
    <t>TRAM_COL91</t>
  </si>
  <si>
    <t>TRAM_COL92</t>
  </si>
  <si>
    <t>TRAM_COL93</t>
  </si>
  <si>
    <t>TRAM_COL94</t>
  </si>
  <si>
    <t>TRAM_COL95</t>
  </si>
  <si>
    <t>TRAM_COL96</t>
  </si>
  <si>
    <t>TRAM_COL97</t>
  </si>
  <si>
    <t>TRAM_COL98</t>
  </si>
  <si>
    <t>TRAM_COL99</t>
  </si>
  <si>
    <t>TRAM_COL100</t>
  </si>
  <si>
    <t>TRAM_COL101</t>
  </si>
  <si>
    <t>TRAM_COL102</t>
  </si>
  <si>
    <t>TRAM_COL103</t>
  </si>
  <si>
    <t>TRAM_COL104</t>
  </si>
  <si>
    <t>TRAM_COL105</t>
  </si>
  <si>
    <t>TRAM_COL106</t>
  </si>
  <si>
    <t>TRAM_COL107</t>
  </si>
  <si>
    <t>TRAM_COL108</t>
  </si>
  <si>
    <t>TRAM_COL109</t>
  </si>
  <si>
    <t>TRAM_COL110</t>
  </si>
  <si>
    <t>TRAM_COL111</t>
  </si>
  <si>
    <t>TRAM_COL112</t>
  </si>
  <si>
    <t>TRAM_COL113</t>
  </si>
  <si>
    <t>TRAM_COL114</t>
  </si>
  <si>
    <t>TRAM_COL115</t>
  </si>
  <si>
    <t>TRAM_COL116</t>
  </si>
  <si>
    <t>TRAM_COL117</t>
  </si>
  <si>
    <t>TRAM_COL118</t>
  </si>
  <si>
    <t>TRAM_COL119</t>
  </si>
  <si>
    <t>TRAM_COL120</t>
  </si>
  <si>
    <t>TRAM_COL121</t>
  </si>
  <si>
    <t>TRAM_COL122</t>
  </si>
  <si>
    <t>Tram</t>
  </si>
  <si>
    <t>Tram_1</t>
  </si>
  <si>
    <t>Tram_2</t>
  </si>
  <si>
    <t>Tram_3</t>
  </si>
  <si>
    <t>Tram_4</t>
  </si>
  <si>
    <t>Tram_5</t>
  </si>
  <si>
    <t>Tram_6</t>
  </si>
  <si>
    <t>Tram_7</t>
  </si>
  <si>
    <t>Tram_8</t>
  </si>
  <si>
    <t>Tram_9</t>
  </si>
  <si>
    <t>Tram_10</t>
  </si>
  <si>
    <t>Tram_11</t>
  </si>
  <si>
    <t>Tram_12</t>
  </si>
  <si>
    <t>Tram_13</t>
  </si>
  <si>
    <t>Tram_14</t>
  </si>
  <si>
    <t>Tram_15</t>
  </si>
  <si>
    <t>Tram_16</t>
  </si>
  <si>
    <t>Tram_17</t>
  </si>
  <si>
    <t>Tram_18</t>
  </si>
  <si>
    <t>Tram_19</t>
  </si>
  <si>
    <t>Tram_20</t>
  </si>
  <si>
    <t>Tram_21</t>
  </si>
  <si>
    <t>Tram_22</t>
  </si>
  <si>
    <t>Tram_23</t>
  </si>
  <si>
    <t>Tram_24</t>
  </si>
  <si>
    <t>Tram_25</t>
  </si>
  <si>
    <t>Tram_26</t>
  </si>
  <si>
    <t>Tram_27</t>
  </si>
  <si>
    <t>Tram_28</t>
  </si>
  <si>
    <t>Tram_29</t>
  </si>
  <si>
    <t>Tram_30</t>
  </si>
  <si>
    <t>Tram_31</t>
  </si>
  <si>
    <t>Tram_32</t>
  </si>
  <si>
    <t>Tram_33</t>
  </si>
  <si>
    <t>Tram_34</t>
  </si>
  <si>
    <t>Tram_35</t>
  </si>
  <si>
    <t>Tram_36</t>
  </si>
  <si>
    <t>Tram_37</t>
  </si>
  <si>
    <t>Tram_38</t>
  </si>
  <si>
    <t>Tram_39</t>
  </si>
  <si>
    <t>Tram_40</t>
  </si>
  <si>
    <t>Tram_41</t>
  </si>
  <si>
    <t>Tram_42</t>
  </si>
  <si>
    <t>Tram_43</t>
  </si>
  <si>
    <t>Tram_44</t>
  </si>
  <si>
    <t>Tram_45</t>
  </si>
  <si>
    <t>Tram_46</t>
  </si>
  <si>
    <t>Tram_47</t>
  </si>
  <si>
    <t>Tram_48</t>
  </si>
  <si>
    <t>Tram_49</t>
  </si>
  <si>
    <t>Tram_50</t>
  </si>
  <si>
    <t>Tram_51</t>
  </si>
  <si>
    <t>Tram_52</t>
  </si>
  <si>
    <t>Tram_53</t>
  </si>
  <si>
    <t>Tram_54</t>
  </si>
  <si>
    <t>Tram_55</t>
  </si>
  <si>
    <t>Tram_56</t>
  </si>
  <si>
    <t>Tram_57</t>
  </si>
  <si>
    <t>Tram_58</t>
  </si>
  <si>
    <t>Share_road_driving_buses</t>
  </si>
  <si>
    <t>=(TRAIN_COL5 / 100 * row 4 * TRAIN_COL4 + ((100-TRAIN_COL5)/100) * TRAIN_COL5</t>
  </si>
  <si>
    <t>=(TRAIN_COL5 / 100 * row 4 * TRAIN_COL4</t>
  </si>
  <si>
    <t>=((100-TRAIN_COL5)/100) * TRAIN_COL4</t>
  </si>
  <si>
    <t>construction of the V2021 equation for trams</t>
  </si>
  <si>
    <t>to cell N99</t>
  </si>
  <si>
    <t>+</t>
  </si>
  <si>
    <t>million pkm/a</t>
  </si>
  <si>
    <t>=(F24/100*INDEX('DEFAULT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t>
  </si>
  <si>
    <t>cell N99</t>
  </si>
  <si>
    <t>user input (x) defines the percentage to be included in the calculation</t>
  </si>
  <si>
    <t>x</t>
  </si>
  <si>
    <t>passenger-km of the tram system</t>
  </si>
  <si>
    <t>range from TRAM_COL66 to TRAM_COL123</t>
  </si>
  <si>
    <t>occupancy rate</t>
  </si>
  <si>
    <t>always TRAM_COL2</t>
  </si>
  <si>
    <r>
      <t>Explanatory note to V</t>
    </r>
    <r>
      <rPr>
        <vertAlign val="subscript"/>
        <sz val="11"/>
        <color theme="1"/>
        <rFont val="Albertus Medium"/>
      </rPr>
      <t>TRAM_2021</t>
    </r>
    <r>
      <rPr>
        <sz val="11"/>
        <color theme="1"/>
        <rFont val="Albertus Medium"/>
        <family val="2"/>
      </rPr>
      <t xml:space="preserve"> (cell N99 equation)</t>
    </r>
  </si>
  <si>
    <r>
      <t>V</t>
    </r>
    <r>
      <rPr>
        <vertAlign val="subscript"/>
        <sz val="11"/>
        <color theme="1"/>
        <rFont val="Albertus Medium"/>
      </rPr>
      <t>TRAM_SYSTEM</t>
    </r>
  </si>
  <si>
    <t>= x / 100 * passenger-km of the tram system / occupancy rate</t>
  </si>
  <si>
    <r>
      <t>V</t>
    </r>
    <r>
      <rPr>
        <vertAlign val="subscript"/>
        <sz val="11"/>
        <color theme="1"/>
        <rFont val="Albertus Medium"/>
      </rPr>
      <t>TRAM_2021</t>
    </r>
  </si>
  <si>
    <r>
      <t>∑V</t>
    </r>
    <r>
      <rPr>
        <vertAlign val="subscript"/>
        <sz val="11"/>
        <color theme="1"/>
        <rFont val="Albertus Medium"/>
      </rPr>
      <t>TRAM_SYSTEMS</t>
    </r>
  </si>
  <si>
    <t>Bus</t>
  </si>
  <si>
    <t>Car</t>
  </si>
  <si>
    <t>Passenger train</t>
  </si>
  <si>
    <t>Freight on rails</t>
  </si>
  <si>
    <t>Freight on road</t>
  </si>
  <si>
    <t>baseline rail freight transport</t>
  </si>
  <si>
    <t>baseline road freight transport</t>
  </si>
  <si>
    <t>baseline inland waterways freight transport</t>
  </si>
  <si>
    <t>Freight on waterways</t>
  </si>
  <si>
    <t>Summary table, CO2e emissions per capita</t>
  </si>
  <si>
    <t>Summary table, Absolute CO2e emissions</t>
  </si>
  <si>
    <t>Baseline, kgCO2e/ capita, a</t>
  </si>
  <si>
    <t>Baseline, tCO2e/ a</t>
  </si>
  <si>
    <t>results needs to be divided by population  + converted from t to kg</t>
  </si>
  <si>
    <t>result is already in kilograms and announced per capita, a</t>
  </si>
  <si>
    <t>result needs to be multiplied by population + converted from kg to t</t>
  </si>
  <si>
    <t>result is already in tonnes and announced as total per annum</t>
  </si>
  <si>
    <t>Transport_activity_tram</t>
  </si>
  <si>
    <t>Transport_activity_metro</t>
  </si>
  <si>
    <t>million vkm/a</t>
  </si>
  <si>
    <t>kgCO2e/a</t>
  </si>
  <si>
    <r>
      <t>V</t>
    </r>
    <r>
      <rPr>
        <vertAlign val="subscript"/>
        <sz val="10"/>
        <rFont val="Albertus Medium"/>
        <family val="2"/>
      </rPr>
      <t>METRO_2021</t>
    </r>
    <r>
      <rPr>
        <sz val="10"/>
        <rFont val="Albertus Medium"/>
        <family val="2"/>
      </rPr>
      <t>=</t>
    </r>
    <r>
      <rPr>
        <sz val="10"/>
        <rFont val="Arial Unicode MS"/>
        <family val="2"/>
        <charset val="186"/>
      </rPr>
      <t>∑(User</t>
    </r>
    <r>
      <rPr>
        <sz val="10"/>
        <rFont val="Albertus Medium"/>
        <family val="2"/>
      </rPr>
      <t xml:space="preserve"> input / 100 x range of values METRO_COL14:20) / METRO_COL2</t>
    </r>
  </si>
  <si>
    <r>
      <t>otherwise: V</t>
    </r>
    <r>
      <rPr>
        <vertAlign val="subscript"/>
        <sz val="10"/>
        <color theme="1"/>
        <rFont val="Albertus Medium"/>
      </rPr>
      <t>METRO</t>
    </r>
    <r>
      <rPr>
        <sz val="10"/>
        <color theme="1"/>
        <rFont val="Albertus Medium"/>
        <family val="2"/>
      </rPr>
      <t>_</t>
    </r>
    <r>
      <rPr>
        <vertAlign val="subscript"/>
        <sz val="10"/>
        <color theme="1"/>
        <rFont val="Albertus Medium"/>
      </rPr>
      <t>a</t>
    </r>
    <r>
      <rPr>
        <sz val="10"/>
        <color theme="1"/>
        <rFont val="Albertus Medium"/>
        <family val="2"/>
      </rPr>
      <t xml:space="preserve"> = V</t>
    </r>
    <r>
      <rPr>
        <vertAlign val="subscript"/>
        <sz val="10"/>
        <color theme="1"/>
        <rFont val="Albertus Medium"/>
        <family val="2"/>
      </rPr>
      <t>METRO_a-1</t>
    </r>
    <r>
      <rPr>
        <sz val="10"/>
        <color theme="1"/>
        <rFont val="Albertus Medium"/>
        <family val="2"/>
      </rPr>
      <t xml:space="preserve"> * (100+METRO_COL4,5,6) / 100</t>
    </r>
  </si>
  <si>
    <r>
      <t>V</t>
    </r>
    <r>
      <rPr>
        <vertAlign val="subscript"/>
        <sz val="10"/>
        <color theme="1"/>
        <rFont val="Arial Unicode MS"/>
        <family val="2"/>
        <charset val="186"/>
      </rPr>
      <t>METRO_a</t>
    </r>
    <r>
      <rPr>
        <sz val="10"/>
        <color theme="1"/>
        <rFont val="Arial Unicode MS"/>
        <family val="2"/>
        <charset val="186"/>
      </rPr>
      <t xml:space="preserve"> x EF</t>
    </r>
    <r>
      <rPr>
        <vertAlign val="subscript"/>
        <sz val="10"/>
        <color theme="1"/>
        <rFont val="Arial Unicode MS"/>
        <family val="2"/>
        <charset val="186"/>
      </rPr>
      <t>METRO</t>
    </r>
    <r>
      <rPr>
        <sz val="10"/>
        <color theme="1"/>
        <rFont val="Arial Unicode MS"/>
        <family val="2"/>
        <charset val="186"/>
      </rPr>
      <t xml:space="preserve"> / 1000 (unit conversion from gCO2e to kgCO2e)</t>
    </r>
  </si>
  <si>
    <r>
      <t>V</t>
    </r>
    <r>
      <rPr>
        <vertAlign val="subscript"/>
        <sz val="10"/>
        <rFont val="Arial Unicode MS"/>
        <family val="2"/>
        <charset val="186"/>
      </rPr>
      <t>TRAM_2021</t>
    </r>
    <r>
      <rPr>
        <sz val="10"/>
        <rFont val="Arial Unicode MS"/>
        <family val="2"/>
        <charset val="186"/>
      </rPr>
      <t>=∑(user input / 100 x range of values TRAM_COL66:123) / TRAM_COL2</t>
    </r>
  </si>
  <si>
    <r>
      <t>otherwise: V</t>
    </r>
    <r>
      <rPr>
        <vertAlign val="subscript"/>
        <sz val="10"/>
        <color theme="1"/>
        <rFont val="Arial Unicode MS"/>
        <family val="2"/>
        <charset val="186"/>
      </rPr>
      <t>TRAM_a</t>
    </r>
    <r>
      <rPr>
        <sz val="10"/>
        <color theme="1"/>
        <rFont val="Arial Unicode MS"/>
        <family val="2"/>
        <charset val="186"/>
      </rPr>
      <t xml:space="preserve"> = V</t>
    </r>
    <r>
      <rPr>
        <vertAlign val="subscript"/>
        <sz val="10"/>
        <color theme="1"/>
        <rFont val="Arial Unicode MS"/>
        <family val="2"/>
        <charset val="186"/>
      </rPr>
      <t>TRAM_a-1</t>
    </r>
    <r>
      <rPr>
        <sz val="10"/>
        <color theme="1"/>
        <rFont val="Arial Unicode MS"/>
        <family val="2"/>
        <charset val="186"/>
      </rPr>
      <t xml:space="preserve"> * (100+TRAM_COL4,5,6) / 100</t>
    </r>
  </si>
  <si>
    <r>
      <t>V</t>
    </r>
    <r>
      <rPr>
        <vertAlign val="subscript"/>
        <sz val="10"/>
        <color theme="1"/>
        <rFont val="Arial Unicode MS"/>
        <family val="2"/>
        <charset val="186"/>
      </rPr>
      <t>TRAM_a</t>
    </r>
    <r>
      <rPr>
        <sz val="10"/>
        <color theme="1"/>
        <rFont val="Arial Unicode MS"/>
        <family val="2"/>
        <charset val="186"/>
      </rPr>
      <t xml:space="preserve"> * EF</t>
    </r>
    <r>
      <rPr>
        <vertAlign val="subscript"/>
        <sz val="10"/>
        <color theme="1"/>
        <rFont val="Arial Unicode MS"/>
        <family val="2"/>
        <charset val="186"/>
      </rPr>
      <t>TRAM</t>
    </r>
    <r>
      <rPr>
        <sz val="10"/>
        <color theme="1"/>
        <rFont val="Arial Unicode MS"/>
        <family val="2"/>
        <charset val="186"/>
      </rPr>
      <t xml:space="preserve"> / 1000 (unit conversion from gCO2e to kgCO2e)</t>
    </r>
  </si>
  <si>
    <t>The baseline results are multiplied with these factors to calculate the impact of U2.</t>
  </si>
  <si>
    <t>impact factor = after/before (=CF weighted average / CF baseline)</t>
  </si>
  <si>
    <t>total population</t>
  </si>
  <si>
    <t>baseline population</t>
  </si>
  <si>
    <r>
      <t>otherwise: V</t>
    </r>
    <r>
      <rPr>
        <vertAlign val="subscript"/>
        <sz val="10"/>
        <rFont val="Arial Unicode MS"/>
        <family val="2"/>
        <charset val="186"/>
      </rPr>
      <t>TRAIN_a</t>
    </r>
    <r>
      <rPr>
        <sz val="10"/>
        <rFont val="Arial Unicode MS"/>
        <family val="2"/>
        <charset val="186"/>
      </rPr>
      <t xml:space="preserve"> = V</t>
    </r>
    <r>
      <rPr>
        <vertAlign val="subscript"/>
        <sz val="10"/>
        <rFont val="Arial Unicode MS"/>
        <family val="2"/>
        <charset val="186"/>
      </rPr>
      <t>TRAIN_a-1</t>
    </r>
    <r>
      <rPr>
        <sz val="10"/>
        <rFont val="Arial Unicode MS"/>
        <family val="2"/>
        <charset val="186"/>
      </rPr>
      <t xml:space="preserve"> * (100+TRAIN_COL6,7,8) / 100</t>
    </r>
  </si>
  <si>
    <t>EU refernce scenario 2015</t>
  </si>
  <si>
    <t>kWh/train-km</t>
  </si>
  <si>
    <r>
      <t>=(share</t>
    </r>
    <r>
      <rPr>
        <vertAlign val="subscript"/>
        <sz val="10"/>
        <color theme="1"/>
        <rFont val="Arial Unicode MS"/>
        <family val="2"/>
        <charset val="186"/>
      </rPr>
      <t>electric engines</t>
    </r>
    <r>
      <rPr>
        <sz val="10"/>
        <color theme="1"/>
        <rFont val="Arial Unicode MS"/>
        <family val="2"/>
        <charset val="186"/>
      </rPr>
      <t xml:space="preserve"> * EF</t>
    </r>
    <r>
      <rPr>
        <vertAlign val="subscript"/>
        <sz val="10"/>
        <color theme="1"/>
        <rFont val="Arial Unicode MS"/>
        <family val="2"/>
        <charset val="186"/>
      </rPr>
      <t>electricity</t>
    </r>
    <r>
      <rPr>
        <sz val="10"/>
        <color theme="1"/>
        <rFont val="Arial Unicode MS"/>
        <family val="2"/>
        <charset val="186"/>
      </rPr>
      <t xml:space="preserve"> * consumption) + (share</t>
    </r>
    <r>
      <rPr>
        <vertAlign val="subscript"/>
        <sz val="10"/>
        <color theme="1"/>
        <rFont val="Arial Unicode MS"/>
        <family val="2"/>
        <charset val="186"/>
      </rPr>
      <t>diesel engines</t>
    </r>
    <r>
      <rPr>
        <sz val="10"/>
        <color theme="1"/>
        <rFont val="Arial Unicode MS"/>
        <family val="2"/>
        <charset val="186"/>
      </rPr>
      <t xml:space="preserve"> x EF</t>
    </r>
    <r>
      <rPr>
        <vertAlign val="subscript"/>
        <sz val="10"/>
        <color theme="1"/>
        <rFont val="Arial Unicode MS"/>
        <family val="2"/>
        <charset val="186"/>
      </rPr>
      <t>diesel</t>
    </r>
    <r>
      <rPr>
        <sz val="10"/>
        <color theme="1"/>
        <rFont val="Arial Unicode MS"/>
        <family val="2"/>
        <charset val="186"/>
      </rPr>
      <t>))</t>
    </r>
  </si>
  <si>
    <r>
      <t>otherwise: V</t>
    </r>
    <r>
      <rPr>
        <vertAlign val="subscript"/>
        <sz val="10"/>
        <rFont val="Arial Unicode MS"/>
        <family val="2"/>
        <charset val="186"/>
      </rPr>
      <t>RAILTRN_a</t>
    </r>
    <r>
      <rPr>
        <sz val="10"/>
        <rFont val="Arial Unicode MS"/>
        <family val="2"/>
        <charset val="186"/>
      </rPr>
      <t xml:space="preserve"> = V</t>
    </r>
    <r>
      <rPr>
        <vertAlign val="subscript"/>
        <sz val="10"/>
        <rFont val="Arial Unicode MS"/>
        <family val="2"/>
        <charset val="186"/>
      </rPr>
      <t>RAILTRN_a-1</t>
    </r>
    <r>
      <rPr>
        <sz val="10"/>
        <rFont val="Arial Unicode MS"/>
        <family val="2"/>
        <charset val="186"/>
      </rPr>
      <t xml:space="preserve"> * (100 + RAILTRN_COL5,6,7) / 100</t>
    </r>
  </si>
  <si>
    <t>=(RAILTRN_COL4 / 100 * row 4 * RAILTRN_COL3</t>
  </si>
  <si>
    <t>=((100-RAILTRN_COL4)/100) * RAILTRN_COL2</t>
  </si>
  <si>
    <t>=(RAILTRN_COL4 / 100 * row 4 * RAILTRN_COL3) + ((100-RAILTRN_COL4)/100) * RAILTRN_COL2)</t>
  </si>
  <si>
    <t>RAILTRN_COL12</t>
  </si>
  <si>
    <t>RAILTRN_COL11</t>
  </si>
  <si>
    <t>RAILTRN_COL10</t>
  </si>
  <si>
    <t>RAILTRN_COL9</t>
  </si>
  <si>
    <t>RAILTRN_COL8</t>
  </si>
  <si>
    <t>RAILTRN_COL7</t>
  </si>
  <si>
    <t>RAILTRN_COL6</t>
  </si>
  <si>
    <t>RAILTRN_COL5</t>
  </si>
  <si>
    <t>RAILTRN_COL4</t>
  </si>
  <si>
    <t>RAILTRN_COL3</t>
  </si>
  <si>
    <t>RAILTRN_COL2</t>
  </si>
  <si>
    <t>RAILTRN_COL1</t>
  </si>
  <si>
    <r>
      <t>BASELINE /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</si>
  <si>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r>
      <t>BASELINE / EF</t>
    </r>
    <r>
      <rPr>
        <vertAlign val="subscript"/>
        <sz val="10"/>
        <rFont val="Arial Unicode MS"/>
        <family val="2"/>
        <charset val="186"/>
      </rPr>
      <t>ROAD_TRN_road</t>
    </r>
    <r>
      <rPr>
        <sz val="10"/>
        <rFont val="Arial Unicode MS"/>
        <family val="2"/>
        <charset val="186"/>
      </rPr>
      <t xml:space="preserve"> and EF</t>
    </r>
    <r>
      <rPr>
        <vertAlign val="subscript"/>
        <sz val="10"/>
        <rFont val="Arial Unicode MS"/>
        <family val="2"/>
        <charset val="186"/>
      </rPr>
      <t>ROAD_TRN_street</t>
    </r>
  </si>
  <si>
    <t>Liquefied petroleum gases (LPG)</t>
  </si>
  <si>
    <t>Natural Gas</t>
  </si>
  <si>
    <t>Alternative Energy</t>
  </si>
  <si>
    <t>Compressed natural gas (CNG)  </t>
  </si>
  <si>
    <r>
      <t>EF</t>
    </r>
    <r>
      <rPr>
        <vertAlign val="subscript"/>
        <sz val="10"/>
        <color theme="1"/>
        <rFont val="Arial Unicode MS"/>
        <family val="2"/>
        <charset val="186"/>
      </rPr>
      <t>ROAD_TRN_road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</si>
  <si>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ROAD_TRN_street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</si>
  <si>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ROAD TRANSPORT: Area-specific emission factor EF</t>
    </r>
    <r>
      <rPr>
        <vertAlign val="subscript"/>
        <sz val="10"/>
        <color theme="1"/>
        <rFont val="Arial Unicode MS"/>
        <family val="2"/>
        <charset val="186"/>
      </rPr>
      <t>CAR</t>
    </r>
    <r>
      <rPr>
        <sz val="10"/>
        <color theme="1"/>
        <rFont val="Arial Unicode MS"/>
        <family val="2"/>
        <charset val="186"/>
      </rPr>
      <t xml:space="preserve"> for baseline calculation</t>
    </r>
  </si>
  <si>
    <r>
      <t>Average emission factor E</t>
    </r>
    <r>
      <rPr>
        <vertAlign val="subscript"/>
        <sz val="10"/>
        <color theme="1"/>
        <rFont val="Arial Unicode MS"/>
        <family val="2"/>
        <charset val="186"/>
      </rPr>
      <t>ROAD_TRN</t>
    </r>
  </si>
  <si>
    <t>Propulsion_Share_Road_freight</t>
  </si>
  <si>
    <t>ROAD_TRN_COL11</t>
  </si>
  <si>
    <t>ROAD_TRN_COL12</t>
  </si>
  <si>
    <t>ROAD_TRN_COL13</t>
  </si>
  <si>
    <t>ROAD_TRN_COL14</t>
  </si>
  <si>
    <t>ROAD_TRN_COL15</t>
  </si>
  <si>
    <t>ROAD_TRN_COL16</t>
  </si>
  <si>
    <t>ROAD_TRN_COL17</t>
  </si>
  <si>
    <t>ROAD_TRN_COL18</t>
  </si>
  <si>
    <t>ROAD_TRN_COL19</t>
  </si>
  <si>
    <t>ROAD_TRN_COL20</t>
  </si>
  <si>
    <t>ROAD_TRN_COL21</t>
  </si>
  <si>
    <t>ROAD_TRN_COL22</t>
  </si>
  <si>
    <t>ROAD_TRN_COL23</t>
  </si>
  <si>
    <t>ROAD_TRN_COL24</t>
  </si>
  <si>
    <t>ROAD_TRN_COL25</t>
  </si>
  <si>
    <t>ROAD_TRN_COL26</t>
  </si>
  <si>
    <r>
      <t>gCO</t>
    </r>
    <r>
      <rPr>
        <vertAlign val="superscript"/>
        <sz val="10"/>
        <rFont val="Arial Unicode MS"/>
        <family val="2"/>
        <charset val="186"/>
      </rPr>
      <t>2</t>
    </r>
    <r>
      <rPr>
        <sz val="10"/>
        <rFont val="Arial Unicode MS"/>
        <family val="2"/>
        <charset val="186"/>
      </rPr>
      <t>e/vkm</t>
    </r>
  </si>
  <si>
    <t>CAR_COL59</t>
  </si>
  <si>
    <t>CAR_COL60</t>
  </si>
  <si>
    <t>CAR_COL61</t>
  </si>
  <si>
    <t>CAR_COL62</t>
  </si>
  <si>
    <t>CAR_COL63</t>
  </si>
  <si>
    <t>Share_road_driving_Car</t>
  </si>
  <si>
    <t>road driving percentages from range CAR_COL59: CAR_COL63</t>
  </si>
  <si>
    <t>road driving percentages from range BUS_COL33: BUS_COL42</t>
  </si>
  <si>
    <t>Electricity BEV</t>
  </si>
  <si>
    <t>Electricity, Petrol PHEV</t>
  </si>
  <si>
    <t>Electricity, Diesel PHEV</t>
  </si>
  <si>
    <t>Petrol including hybrids</t>
  </si>
  <si>
    <t>Diesel including hybrids</t>
  </si>
  <si>
    <t>EF_Street_Driving_Road_freight</t>
  </si>
  <si>
    <t>ROAD_TRN_COL27</t>
  </si>
  <si>
    <t>ROAD_TRN_COL28</t>
  </si>
  <si>
    <t>ROAD_TRN_COL29</t>
  </si>
  <si>
    <t>ROAD_TRN_COL30</t>
  </si>
  <si>
    <t>ROAD_TRN_COL31</t>
  </si>
  <si>
    <t>ROAD_TRN_COL32</t>
  </si>
  <si>
    <t>ROAD_TRN_COL33</t>
  </si>
  <si>
    <t>ROAD_TRN_COL34</t>
  </si>
  <si>
    <t>ROAD_TRN_COL35</t>
  </si>
  <si>
    <t>ROAD_TRN_COL36</t>
  </si>
  <si>
    <t>ROAD_TRN_COL37</t>
  </si>
  <si>
    <r>
      <t>gCO</t>
    </r>
    <r>
      <rPr>
        <vertAlign val="subscript"/>
        <sz val="10"/>
        <rFont val="Arial Unicode MS"/>
        <family val="2"/>
        <charset val="186"/>
      </rPr>
      <t>2</t>
    </r>
    <r>
      <rPr>
        <sz val="10"/>
        <rFont val="Arial Unicode MS"/>
        <family val="2"/>
        <charset val="186"/>
      </rPr>
      <t>e/vkm</t>
    </r>
  </si>
  <si>
    <t>EF_Road_Driving_Road_freight</t>
  </si>
  <si>
    <t>Share_road_driving_Road_freight</t>
  </si>
  <si>
    <t>ROAD_TRN_COL38</t>
  </si>
  <si>
    <t>ROAD_TRN_COL39</t>
  </si>
  <si>
    <t>ROAD_TRN_COL40</t>
  </si>
  <si>
    <t>ROAD_TRN_COL41</t>
  </si>
  <si>
    <t>ROAD_TRN_COL42</t>
  </si>
  <si>
    <t>road driving percentages from range ROAD_TRN_COL38: CAR_COL42</t>
  </si>
  <si>
    <r>
      <t>after 2021: V</t>
    </r>
    <r>
      <rPr>
        <vertAlign val="subscript"/>
        <sz val="10"/>
        <rFont val="Arial Unicode MS"/>
        <family val="2"/>
        <charset val="186"/>
      </rPr>
      <t>BUS_a</t>
    </r>
    <r>
      <rPr>
        <sz val="10"/>
        <rFont val="Arial Unicode MS"/>
        <family val="2"/>
        <charset val="186"/>
      </rPr>
      <t xml:space="preserve"> = V</t>
    </r>
    <r>
      <rPr>
        <vertAlign val="subscript"/>
        <sz val="10"/>
        <rFont val="Arial Unicode MS"/>
        <family val="2"/>
        <charset val="186"/>
      </rPr>
      <t>BUS_a-1</t>
    </r>
    <r>
      <rPr>
        <sz val="10"/>
        <rFont val="Arial Unicode MS"/>
        <family val="2"/>
        <charset val="186"/>
      </rPr>
      <t xml:space="preserve"> * (100+BUS_COL3,4,5) / 100 </t>
    </r>
  </si>
  <si>
    <t>TRAM_COL65</t>
  </si>
  <si>
    <t>Policy impacts, Summary table, CO2e emissions per capita</t>
  </si>
  <si>
    <t>Policy impacts, Summary table, Absolute CO2e emissions</t>
  </si>
  <si>
    <t>Policy impacts total, kgCO2e/ capita, a</t>
  </si>
  <si>
    <t>Baseline total, kgCO2e/ capita, a</t>
  </si>
  <si>
    <t>Baseline total, tCO2e/a</t>
  </si>
  <si>
    <t>Policy impacts total, tCO2e/a</t>
  </si>
  <si>
    <t>POLICY IMPACT, SUMMARY</t>
  </si>
  <si>
    <r>
      <t>V</t>
    </r>
    <r>
      <rPr>
        <vertAlign val="subscript"/>
        <sz val="10"/>
        <color theme="1"/>
        <rFont val="Albertus Medium"/>
      </rPr>
      <t>BUS</t>
    </r>
    <r>
      <rPr>
        <sz val="10"/>
        <color theme="1"/>
        <rFont val="Albertus Medium"/>
        <family val="2"/>
      </rPr>
      <t xml:space="preserve"> (row 24) * occupancy rate BUS_COL2 * impact factor (row 253)</t>
    </r>
  </si>
  <si>
    <r>
      <t>V</t>
    </r>
    <r>
      <rPr>
        <vertAlign val="subscript"/>
        <sz val="10"/>
        <color theme="1"/>
        <rFont val="Albertus Medium"/>
      </rPr>
      <t>METRO</t>
    </r>
    <r>
      <rPr>
        <sz val="10"/>
        <color theme="1"/>
        <rFont val="Albertus Medium"/>
        <family val="2"/>
      </rPr>
      <t xml:space="preserve"> (row 91) * occupancy rate METRO_COL2 * impact factor (row 255)</t>
    </r>
  </si>
  <si>
    <r>
      <t>V</t>
    </r>
    <r>
      <rPr>
        <vertAlign val="subscript"/>
        <sz val="10"/>
        <color theme="1"/>
        <rFont val="Albertus Medium"/>
      </rPr>
      <t>TRAM</t>
    </r>
    <r>
      <rPr>
        <sz val="10"/>
        <color theme="1"/>
        <rFont val="Albertus Medium"/>
        <family val="2"/>
      </rPr>
      <t xml:space="preserve"> (row 101) * occupancy rate TRAM_COL2 * impact factor (row 256)</t>
    </r>
  </si>
  <si>
    <r>
      <t>V</t>
    </r>
    <r>
      <rPr>
        <vertAlign val="subscript"/>
        <sz val="10"/>
        <color theme="1"/>
        <rFont val="Albertus Medium"/>
      </rPr>
      <t>TRAIN</t>
    </r>
    <r>
      <rPr>
        <sz val="10"/>
        <color theme="1"/>
        <rFont val="Albertus Medium"/>
        <family val="2"/>
      </rPr>
      <t xml:space="preserve"> (row 111) * occupancy rate TRAIN_COL2 * impact factor (row 257)</t>
    </r>
  </si>
  <si>
    <r>
      <t>V</t>
    </r>
    <r>
      <rPr>
        <vertAlign val="subscript"/>
        <sz val="10"/>
        <color theme="1"/>
        <rFont val="Albertus Medium"/>
      </rPr>
      <t>CAR</t>
    </r>
    <r>
      <rPr>
        <sz val="10"/>
        <color theme="1"/>
        <rFont val="Albertus Medium"/>
        <family val="2"/>
      </rPr>
      <t xml:space="preserve"> (row 51) * occupancy rate CAR_COL2 * impact factor (row 254)</t>
    </r>
  </si>
  <si>
    <t>conversion to percentages, zero division prevented with IF function</t>
  </si>
  <si>
    <r>
      <t>=(100-reduction percentage)/100 x V</t>
    </r>
    <r>
      <rPr>
        <vertAlign val="subscript"/>
        <sz val="10"/>
        <color theme="1"/>
        <rFont val="Albertus Medium"/>
      </rPr>
      <t>BUS</t>
    </r>
    <r>
      <rPr>
        <sz val="10"/>
        <color theme="1"/>
        <rFont val="Albertus Medium"/>
        <family val="2"/>
      </rPr>
      <t xml:space="preserve"> (row 264)</t>
    </r>
  </si>
  <si>
    <r>
      <t>=(100-reduction percentage)/100 x V</t>
    </r>
    <r>
      <rPr>
        <vertAlign val="subscript"/>
        <sz val="10"/>
        <color theme="1"/>
        <rFont val="Albertus Medium"/>
      </rPr>
      <t>METRO</t>
    </r>
    <r>
      <rPr>
        <sz val="10"/>
        <color theme="1"/>
        <rFont val="Albertus Medium"/>
        <family val="2"/>
      </rPr>
      <t xml:space="preserve"> (row 265)</t>
    </r>
  </si>
  <si>
    <r>
      <t>=(100-reduction percentage)/100 x V</t>
    </r>
    <r>
      <rPr>
        <vertAlign val="subscript"/>
        <sz val="10"/>
        <color theme="1"/>
        <rFont val="Albertus Medium"/>
      </rPr>
      <t>TRAM</t>
    </r>
    <r>
      <rPr>
        <sz val="10"/>
        <color theme="1"/>
        <rFont val="Albertus Medium"/>
        <family val="2"/>
      </rPr>
      <t xml:space="preserve"> (row 266)</t>
    </r>
  </si>
  <si>
    <r>
      <t>=(100-reduction percentage)/100 x V</t>
    </r>
    <r>
      <rPr>
        <vertAlign val="subscript"/>
        <sz val="10"/>
        <color theme="1"/>
        <rFont val="Albertus Medium"/>
      </rPr>
      <t xml:space="preserve">TRAIN </t>
    </r>
    <r>
      <rPr>
        <sz val="10"/>
        <color theme="1"/>
        <rFont val="Albertus Medium"/>
        <family val="2"/>
      </rPr>
      <t>(row 267)</t>
    </r>
  </si>
  <si>
    <r>
      <t>=(100-reduction percentage)/100 x V</t>
    </r>
    <r>
      <rPr>
        <vertAlign val="subscript"/>
        <sz val="10"/>
        <color theme="1"/>
        <rFont val="Albertus Medium"/>
      </rPr>
      <t xml:space="preserve">CAR </t>
    </r>
    <r>
      <rPr>
        <sz val="10"/>
        <color theme="1"/>
        <rFont val="Albertus Medium"/>
        <family val="2"/>
      </rPr>
      <t>(row 268)</t>
    </r>
  </si>
  <si>
    <t>U3.1 IMPACT IN PASSENGER-KM (weighted average)</t>
  </si>
  <si>
    <t>MODAL SPLIT AS % WITH U3.1 IMPACT</t>
  </si>
  <si>
    <t>(100-H169) / 100 * without impact (row 289) + H169 / 100 * with impact (row 328)</t>
  </si>
  <si>
    <t>(100-H169) / 100 * without impact (row 290) + H169 / 100 * with impact (row 329)</t>
  </si>
  <si>
    <t>(100-H169) / 100 * without impact (row 291) + H169 / 100 * with impact (row 330)</t>
  </si>
  <si>
    <t>(100-H169) / 100 * without impact (row 292) + H169 / 100 * with impact (row 331)</t>
  </si>
  <si>
    <t>(100-H169) / 100 * without impact (row 293) + H169 / 100 * with impact (row 332)</t>
  </si>
  <si>
    <t>Modal split in freight transport with U2 impact (tonne-km/capita a)</t>
  </si>
  <si>
    <t>Modal split in passenger transport with U2 impact (passenger-km/capita a)</t>
  </si>
  <si>
    <t>Average load</t>
  </si>
  <si>
    <t>tonnes</t>
  </si>
  <si>
    <t>RAILTRN_COL13</t>
  </si>
  <si>
    <t>average load</t>
  </si>
  <si>
    <t>ROAD_TRN_COL43</t>
  </si>
  <si>
    <t>WATER_TRN_COL11</t>
  </si>
  <si>
    <r>
      <t>V</t>
    </r>
    <r>
      <rPr>
        <vertAlign val="subscript"/>
        <sz val="10"/>
        <color theme="1"/>
        <rFont val="Albertus Medium"/>
      </rPr>
      <t xml:space="preserve">RAIL_TRN </t>
    </r>
    <r>
      <rPr>
        <sz val="10"/>
        <color theme="1"/>
        <rFont val="Albertus Medium"/>
        <family val="2"/>
      </rPr>
      <t>(row 123) * average load RAIL_TRN_COL13 * impact factor (row 258)</t>
    </r>
  </si>
  <si>
    <r>
      <t>V</t>
    </r>
    <r>
      <rPr>
        <vertAlign val="subscript"/>
        <sz val="10"/>
        <color theme="1"/>
        <rFont val="Albertus Medium"/>
      </rPr>
      <t>ROAD_TRN</t>
    </r>
    <r>
      <rPr>
        <sz val="10"/>
        <color theme="1"/>
        <rFont val="Albertus Medium"/>
        <family val="2"/>
      </rPr>
      <t xml:space="preserve"> (row 135) * average load RAIL_TRN_COL43 * impact factor (row 259)</t>
    </r>
  </si>
  <si>
    <r>
      <t>V</t>
    </r>
    <r>
      <rPr>
        <vertAlign val="subscript"/>
        <sz val="10"/>
        <color theme="1"/>
        <rFont val="Albertus Medium"/>
      </rPr>
      <t>WATER_TRN</t>
    </r>
    <r>
      <rPr>
        <sz val="10"/>
        <color theme="1"/>
        <rFont val="Albertus Medium"/>
        <family val="2"/>
      </rPr>
      <t xml:space="preserve"> (row 166) * average load WATER_TRN_COL11 * impact factor (row 260)</t>
    </r>
  </si>
  <si>
    <t>=(100-reduction percentage, row 349) / 100 x tonne-km after U2 (row 280)</t>
  </si>
  <si>
    <t>=(100-reduction percentage, row 349) / 100 x tonne-km after U2 (row 281)</t>
  </si>
  <si>
    <t>modal share with the policy U3.4 impact (%)</t>
  </si>
  <si>
    <t>MODAL SHARES IN FREIGHT TRANSPORT, as tonne-km</t>
  </si>
  <si>
    <t>modal share without the policy U3.4 impact (%)</t>
  </si>
  <si>
    <t>Baseline: Tonne-kilometers per capita for each mode of freight transport</t>
  </si>
  <si>
    <t>Baseline: Modal split, freight transport (%)</t>
  </si>
  <si>
    <t>Modal split after U3.2 impact as %</t>
  </si>
  <si>
    <t>TOTAL, tonne-km</t>
  </si>
  <si>
    <t>TOTAL, %</t>
  </si>
  <si>
    <t>Annual change</t>
  </si>
  <si>
    <t>RAIL TRANSPORT without policy</t>
  </si>
  <si>
    <t>RAIL TRANSPORT with policy</t>
  </si>
  <si>
    <t>WATERWAYS without policy</t>
  </si>
  <si>
    <t>WATERWAYS with policy</t>
  </si>
  <si>
    <t>With U3.4 impact per mode of freight transport as tonne-km</t>
  </si>
  <si>
    <t>percentage with U3.5 impact</t>
  </si>
  <si>
    <t>Petroleum products with policy</t>
  </si>
  <si>
    <t>LPG with policy</t>
  </si>
  <si>
    <t>CNG with policy</t>
  </si>
  <si>
    <t>Electricity with policy</t>
  </si>
  <si>
    <t>Diesel, with policy</t>
  </si>
  <si>
    <t>impact on the shares of fuel types</t>
  </si>
  <si>
    <t>baseline percentage from row 28</t>
  </si>
  <si>
    <t>baseline percentage from row 29</t>
  </si>
  <si>
    <t>baseline percentage from row 31</t>
  </si>
  <si>
    <t>baseline percentage from row 32</t>
  </si>
  <si>
    <t>NATURAL GAS (CNG)</t>
  </si>
  <si>
    <t>average kgCO2e/vehicle-km</t>
  </si>
  <si>
    <t>EFbus_road, gCO2e/vehicle-km</t>
  </si>
  <si>
    <t>EFbus_street, gCO2e/vehicle-km</t>
  </si>
  <si>
    <t>Final V in vehicle-km</t>
  </si>
  <si>
    <t>U3.2 impact per mode of freight transport, tonne-km</t>
  </si>
  <si>
    <t>TOTAL, vehicle-km</t>
  </si>
  <si>
    <t>Baseline + U2 impact: Passenger-kilometers per capita for each mode of passenger transport</t>
  </si>
  <si>
    <t>Baseline + U2 impact: Modal split, passenger transport (%)</t>
  </si>
  <si>
    <t>same as above but in percentages</t>
  </si>
  <si>
    <t>baseline vkm converted to pkm and with U2 impact factor</t>
  </si>
  <si>
    <t>vkm to tonne-km and with U2 impact factor</t>
  </si>
  <si>
    <t>cell F148 / timing according to F150 and G150 = F148 / ( G150-F150+1)</t>
  </si>
  <si>
    <r>
      <t>=(100-G148)/100 * V</t>
    </r>
    <r>
      <rPr>
        <vertAlign val="subscript"/>
        <sz val="10"/>
        <color theme="1"/>
        <rFont val="Albertus Medium"/>
      </rPr>
      <t>BUS</t>
    </r>
    <r>
      <rPr>
        <sz val="10"/>
        <color theme="1"/>
        <rFont val="Albertus Medium"/>
        <family val="2"/>
      </rPr>
      <t xml:space="preserve"> before3.1 (row 264) + G148/100 * V</t>
    </r>
    <r>
      <rPr>
        <vertAlign val="subscript"/>
        <sz val="10"/>
        <color theme="1"/>
        <rFont val="Albertus Medium"/>
      </rPr>
      <t>BUS</t>
    </r>
    <r>
      <rPr>
        <sz val="10"/>
        <color theme="1"/>
        <rFont val="Albertus Medium"/>
        <family val="2"/>
      </rPr>
      <t xml:space="preserve"> after3.1 (row 295)</t>
    </r>
  </si>
  <si>
    <r>
      <t>=(100-G148F149)/100 * V</t>
    </r>
    <r>
      <rPr>
        <vertAlign val="subscript"/>
        <sz val="10"/>
        <color theme="1"/>
        <rFont val="Albertus Medium"/>
      </rPr>
      <t>METRO</t>
    </r>
    <r>
      <rPr>
        <sz val="10"/>
        <color theme="1"/>
        <rFont val="Albertus Medium"/>
        <family val="2"/>
      </rPr>
      <t xml:space="preserve"> before3.1 (row 265) + G148/100 * V</t>
    </r>
    <r>
      <rPr>
        <vertAlign val="subscript"/>
        <sz val="10"/>
        <color theme="1"/>
        <rFont val="Albertus Medium"/>
      </rPr>
      <t>METRO</t>
    </r>
    <r>
      <rPr>
        <sz val="10"/>
        <color theme="1"/>
        <rFont val="Albertus Medium"/>
        <family val="2"/>
      </rPr>
      <t xml:space="preserve"> after3.1 (row 296)</t>
    </r>
  </si>
  <si>
    <r>
      <t>=(100-G148)/100 * V</t>
    </r>
    <r>
      <rPr>
        <vertAlign val="subscript"/>
        <sz val="10"/>
        <color theme="1"/>
        <rFont val="Albertus Medium"/>
      </rPr>
      <t>TRAM</t>
    </r>
    <r>
      <rPr>
        <sz val="10"/>
        <color theme="1"/>
        <rFont val="Albertus Medium"/>
        <family val="2"/>
      </rPr>
      <t xml:space="preserve"> before3.1 (row 266) + G148/100 * V</t>
    </r>
    <r>
      <rPr>
        <vertAlign val="subscript"/>
        <sz val="10"/>
        <color theme="1"/>
        <rFont val="Albertus Medium"/>
      </rPr>
      <t>TRAM</t>
    </r>
    <r>
      <rPr>
        <sz val="10"/>
        <color theme="1"/>
        <rFont val="Albertus Medium"/>
        <family val="2"/>
      </rPr>
      <t xml:space="preserve"> after3.1 (row 297)</t>
    </r>
  </si>
  <si>
    <r>
      <t>=(100-G148)/100 * V</t>
    </r>
    <r>
      <rPr>
        <vertAlign val="subscript"/>
        <sz val="10"/>
        <color theme="1"/>
        <rFont val="Albertus Medium"/>
      </rPr>
      <t>TRAIN</t>
    </r>
    <r>
      <rPr>
        <sz val="10"/>
        <color theme="1"/>
        <rFont val="Albertus Medium"/>
        <family val="2"/>
      </rPr>
      <t xml:space="preserve"> before3.1 (row 267) + G148/100 * V</t>
    </r>
    <r>
      <rPr>
        <vertAlign val="subscript"/>
        <sz val="10"/>
        <color theme="1"/>
        <rFont val="Albertus Medium"/>
      </rPr>
      <t>TRAIN</t>
    </r>
    <r>
      <rPr>
        <sz val="10"/>
        <color theme="1"/>
        <rFont val="Albertus Medium"/>
        <family val="2"/>
      </rPr>
      <t xml:space="preserve"> after3.1 (row 298)</t>
    </r>
  </si>
  <si>
    <r>
      <t>=(100-G148)/100 * V</t>
    </r>
    <r>
      <rPr>
        <vertAlign val="subscript"/>
        <sz val="10"/>
        <color theme="1"/>
        <rFont val="Albertus Medium"/>
      </rPr>
      <t>CAR</t>
    </r>
    <r>
      <rPr>
        <sz val="10"/>
        <color theme="1"/>
        <rFont val="Albertus Medium"/>
        <family val="2"/>
      </rPr>
      <t xml:space="preserve"> before3.1 (row 268) + G148/100 * V</t>
    </r>
    <r>
      <rPr>
        <vertAlign val="subscript"/>
        <sz val="10"/>
        <color theme="1"/>
        <rFont val="Albertus Medium"/>
      </rPr>
      <t>CAR</t>
    </r>
    <r>
      <rPr>
        <sz val="10"/>
        <color theme="1"/>
        <rFont val="Albertus Medium"/>
        <family val="2"/>
      </rPr>
      <t xml:space="preserve"> after3.1 (row 299)</t>
    </r>
  </si>
  <si>
    <t>average of baseline-% and U2-%, weighted by population (rows 201, 202)</t>
  </si>
  <si>
    <t>area type % baseline + U2 impact</t>
  </si>
  <si>
    <t>from row 292</t>
  </si>
  <si>
    <t>from row 293</t>
  </si>
  <si>
    <t>from row 294</t>
  </si>
  <si>
    <t>from row 295</t>
  </si>
  <si>
    <t>from row 296</t>
  </si>
  <si>
    <t>Total with U3.3 impact, weighted average in passenger-km</t>
  </si>
  <si>
    <t>EFbus_road and EFbus_street with U3.5 impact</t>
  </si>
  <si>
    <r>
      <t>V</t>
    </r>
    <r>
      <rPr>
        <vertAlign val="subscript"/>
        <sz val="10"/>
        <color theme="1"/>
        <rFont val="Arial Unicode MS"/>
        <family val="2"/>
        <charset val="186"/>
      </rPr>
      <t>BUS</t>
    </r>
    <r>
      <rPr>
        <sz val="10"/>
        <color theme="1"/>
        <rFont val="Arial Unicode MS"/>
        <family val="2"/>
        <charset val="186"/>
      </rPr>
      <t xml:space="preserve"> (row350) / BUS_COL2 (occupancy rate) * EF</t>
    </r>
    <r>
      <rPr>
        <vertAlign val="subscript"/>
        <sz val="10"/>
        <color theme="1"/>
        <rFont val="Arial Unicode MS"/>
        <family val="2"/>
        <charset val="186"/>
      </rPr>
      <t>BUS</t>
    </r>
    <r>
      <rPr>
        <sz val="10"/>
        <color theme="1"/>
        <rFont val="Arial Unicode MS"/>
        <family val="2"/>
        <charset val="186"/>
      </rPr>
      <t xml:space="preserve"> from above</t>
    </r>
  </si>
  <si>
    <t>FINAL RESULT</t>
  </si>
  <si>
    <t>weighted average based on the shares of baseline and new population</t>
  </si>
  <si>
    <t>TRAIN</t>
  </si>
  <si>
    <t>RAIL</t>
  </si>
  <si>
    <t>WATERWAYS</t>
  </si>
  <si>
    <t>Natural gas (CNG)</t>
  </si>
  <si>
    <t>percentage with U3.6 impact</t>
  </si>
  <si>
    <t>NGV with policy</t>
  </si>
  <si>
    <t>Petrol with policy</t>
  </si>
  <si>
    <t>Petrol-electric hybrid with policy</t>
  </si>
  <si>
    <t>Petrol PHEV with policy</t>
  </si>
  <si>
    <t>Diesel with policy</t>
  </si>
  <si>
    <t>Diesel-electric hybrid with policy</t>
  </si>
  <si>
    <t>Diesel PHEV with policy</t>
  </si>
  <si>
    <t>Hydrogen+fuel cell with policy</t>
  </si>
  <si>
    <t>Biotethanol with policy</t>
  </si>
  <si>
    <t>Biodiesel with policy</t>
  </si>
  <si>
    <t>Bi-fuel with policy</t>
  </si>
  <si>
    <t>Other with policy</t>
  </si>
  <si>
    <t>BEV with policy</t>
  </si>
  <si>
    <r>
      <t>Policy impact on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</si>
  <si>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t>this share is included twice: 1) fuel consumption, 2) electricity use</t>
  </si>
  <si>
    <r>
      <t>Area-specific EF</t>
    </r>
    <r>
      <rPr>
        <vertAlign val="subscript"/>
        <sz val="10"/>
        <color theme="1"/>
        <rFont val="Arial Unicode MS"/>
        <family val="2"/>
        <charset val="186"/>
      </rPr>
      <t>CAR</t>
    </r>
  </si>
  <si>
    <t>CAR EMISSIONS</t>
  </si>
  <si>
    <r>
      <t>V</t>
    </r>
    <r>
      <rPr>
        <vertAlign val="subscript"/>
        <sz val="10"/>
        <color theme="1"/>
        <rFont val="Arial Unicode MS"/>
        <family val="2"/>
        <charset val="186"/>
      </rPr>
      <t>CAR</t>
    </r>
    <r>
      <rPr>
        <sz val="10"/>
        <color theme="1"/>
        <rFont val="Arial Unicode MS"/>
        <family val="2"/>
        <charset val="186"/>
      </rPr>
      <t xml:space="preserve"> (row354) / CAR_COL2 (occupancy rate) * EF</t>
    </r>
    <r>
      <rPr>
        <vertAlign val="subscript"/>
        <sz val="10"/>
        <color theme="1"/>
        <rFont val="Arial Unicode MS"/>
        <family val="2"/>
        <charset val="186"/>
      </rPr>
      <t>CAR</t>
    </r>
    <r>
      <rPr>
        <sz val="10"/>
        <color theme="1"/>
        <rFont val="Arial Unicode MS"/>
        <family val="2"/>
        <charset val="186"/>
      </rPr>
      <t xml:space="preserve"> from above</t>
    </r>
  </si>
  <si>
    <t>U3.7 IMPACT</t>
  </si>
  <si>
    <t>U3.6 IMPACT ON EF</t>
  </si>
  <si>
    <t>U3.5 IMPACT ON BUS EF</t>
  </si>
  <si>
    <t>U3.4 IMPACT ON FREIGHT TRANSPORT V</t>
  </si>
  <si>
    <t>U3.2 IMPACT ON FREIGHT TRANSPORT V</t>
  </si>
  <si>
    <t>U3.3 IMPACT ON PASSENGER TRANSPORT V</t>
  </si>
  <si>
    <t>U3.1 IMPACT ON PASSENGER TRANSPORT V</t>
  </si>
  <si>
    <t>U2 ON V AND EF</t>
  </si>
  <si>
    <t>BUS EMISSIONS WITH 3.5 IMPACT</t>
  </si>
  <si>
    <t>Emission factors (EF) from rows 419 and 420</t>
  </si>
  <si>
    <r>
      <t>Area-specific EF</t>
    </r>
    <r>
      <rPr>
        <vertAlign val="subscript"/>
        <sz val="10"/>
        <color theme="1"/>
        <rFont val="Arial Unicode MS"/>
        <family val="2"/>
        <charset val="186"/>
      </rPr>
      <t>BUS</t>
    </r>
    <r>
      <rPr>
        <sz val="10"/>
        <color theme="1"/>
        <rFont val="Arial Unicode MS"/>
        <family val="2"/>
        <charset val="186"/>
      </rPr>
      <t>with 3.5</t>
    </r>
  </si>
  <si>
    <t>Emission factors (EF) from rows 34 and 35</t>
  </si>
  <si>
    <r>
      <t>Area-specific EF</t>
    </r>
    <r>
      <rPr>
        <vertAlign val="subscript"/>
        <sz val="10"/>
        <color theme="1"/>
        <rFont val="Arial Unicode MS"/>
        <family val="2"/>
        <charset val="186"/>
      </rPr>
      <t>BUS</t>
    </r>
    <r>
      <rPr>
        <sz val="10"/>
        <color theme="1"/>
        <rFont val="Arial Unicode MS"/>
        <family val="2"/>
        <charset val="186"/>
      </rPr>
      <t>without 3.5</t>
    </r>
  </si>
  <si>
    <t>BUS: WEIGHTED AVERAGE (DEPENDING ON THE AREA AFFECTED BY THE POLICY, cell H190)</t>
  </si>
  <si>
    <r>
      <t>BUS: Area-specific emission factor EF</t>
    </r>
    <r>
      <rPr>
        <vertAlign val="subscript"/>
        <sz val="10"/>
        <color theme="1"/>
        <rFont val="Arial Unicode MS"/>
        <family val="2"/>
        <charset val="186"/>
      </rPr>
      <t>bus</t>
    </r>
    <r>
      <rPr>
        <sz val="10"/>
        <color theme="1"/>
        <rFont val="Arial Unicode MS"/>
        <family val="2"/>
        <charset val="186"/>
      </rPr>
      <t xml:space="preserve"> with U2,</t>
    </r>
    <r>
      <rPr>
        <b/>
        <sz val="10"/>
        <color theme="1"/>
        <rFont val="Arial Unicode MS"/>
        <family val="2"/>
        <charset val="186"/>
      </rPr>
      <t xml:space="preserve"> </t>
    </r>
    <r>
      <rPr>
        <sz val="10"/>
        <color theme="1"/>
        <rFont val="Arial Unicode MS"/>
        <family val="2"/>
        <charset val="186"/>
      </rPr>
      <t>U3.5 and U3.7 impact</t>
    </r>
  </si>
  <si>
    <r>
      <t>BUS: Area-specific emission factor EF</t>
    </r>
    <r>
      <rPr>
        <vertAlign val="subscript"/>
        <sz val="10"/>
        <color theme="1"/>
        <rFont val="Arial Unicode MS"/>
        <family val="2"/>
        <charset val="186"/>
      </rPr>
      <t>bus</t>
    </r>
    <r>
      <rPr>
        <sz val="10"/>
        <color theme="1"/>
        <rFont val="Arial Unicode MS"/>
        <family val="2"/>
        <charset val="186"/>
      </rPr>
      <t xml:space="preserve"> with U2 and U3.7 impact but </t>
    </r>
    <r>
      <rPr>
        <b/>
        <sz val="10"/>
        <color theme="1"/>
        <rFont val="Arial Unicode MS"/>
        <family val="2"/>
        <charset val="186"/>
      </rPr>
      <t>without</t>
    </r>
    <r>
      <rPr>
        <sz val="10"/>
        <color theme="1"/>
        <rFont val="Arial Unicode MS"/>
        <family val="2"/>
        <charset val="186"/>
      </rPr>
      <t xml:space="preserve"> U3.5 impact</t>
    </r>
  </si>
  <si>
    <r>
      <t>EF</t>
    </r>
    <r>
      <rPr>
        <vertAlign val="subscript"/>
        <sz val="10"/>
        <color theme="1"/>
        <rFont val="Arial Unicode MS"/>
        <family val="2"/>
        <charset val="186"/>
      </rPr>
      <t>ELECTRICITY</t>
    </r>
    <r>
      <rPr>
        <sz val="10"/>
        <color theme="1"/>
        <rFont val="Arial Unicode MS"/>
        <family val="2"/>
        <charset val="186"/>
      </rPr>
      <t xml:space="preserve"> without U3.7 (gCO2e/kWh)</t>
    </r>
  </si>
  <si>
    <r>
      <t>EF</t>
    </r>
    <r>
      <rPr>
        <vertAlign val="subscript"/>
        <sz val="10"/>
        <color theme="1"/>
        <rFont val="Arial Unicode MS"/>
        <family val="2"/>
        <charset val="186"/>
      </rPr>
      <t>ELECTRICITY</t>
    </r>
    <r>
      <rPr>
        <sz val="10"/>
        <color theme="1"/>
        <rFont val="Arial Unicode MS"/>
        <family val="2"/>
        <charset val="186"/>
      </rPr>
      <t xml:space="preserve"> with U3.7 (gCO2e/kWh)</t>
    </r>
  </si>
  <si>
    <t>Weighted average</t>
  </si>
  <si>
    <t>according to input value in cell H227</t>
  </si>
  <si>
    <t>the policy achieves the desired reduction-% by the end year</t>
  </si>
  <si>
    <t>weighted average, U3.7 included (this row not used in the calculation)</t>
  </si>
  <si>
    <t>weighted average, U3.7 included</t>
  </si>
  <si>
    <t>weighted average, U3.7 included (this value not used in the calculation)</t>
  </si>
  <si>
    <t>Emission factors (EF) from rows 523 and 524</t>
  </si>
  <si>
    <t>Emission factors (EF) from rows 73 and 74</t>
  </si>
  <si>
    <r>
      <t xml:space="preserve">CAR: Area-specific emission factor EFCAR with U2 and U3.7 impacts and </t>
    </r>
    <r>
      <rPr>
        <b/>
        <sz val="10"/>
        <color theme="1"/>
        <rFont val="Arial Unicode MS"/>
        <family val="2"/>
        <charset val="186"/>
      </rPr>
      <t xml:space="preserve">without </t>
    </r>
    <r>
      <rPr>
        <sz val="10"/>
        <color theme="1"/>
        <rFont val="Arial Unicode MS"/>
        <family val="2"/>
        <charset val="186"/>
      </rPr>
      <t>U3.6 impact</t>
    </r>
  </si>
  <si>
    <r>
      <t>CAR: Area-specific emission factor EFCAR with U2, U3.7 impacts and</t>
    </r>
    <r>
      <rPr>
        <b/>
        <sz val="10"/>
        <color theme="1"/>
        <rFont val="Arial Unicode MS"/>
        <family val="2"/>
        <charset val="186"/>
      </rPr>
      <t xml:space="preserve"> with</t>
    </r>
    <r>
      <rPr>
        <sz val="10"/>
        <color theme="1"/>
        <rFont val="Arial Unicode MS"/>
        <family val="2"/>
        <charset val="186"/>
      </rPr>
      <t xml:space="preserve"> U3.6 impact</t>
    </r>
  </si>
  <si>
    <t>CAR: WEIGHTED AVERAGE (DEPENDING ON THE AREA AFFECTED BY THE POLICY, cell H202)</t>
  </si>
  <si>
    <t>U2 impact on BUS driving profiles</t>
  </si>
  <si>
    <r>
      <t>V</t>
    </r>
    <r>
      <rPr>
        <vertAlign val="subscript"/>
        <sz val="11"/>
        <color theme="1"/>
        <rFont val="Arial Unicode MS"/>
        <family val="2"/>
        <charset val="186"/>
      </rPr>
      <t>BUS</t>
    </r>
    <r>
      <rPr>
        <sz val="11"/>
        <color theme="1"/>
        <rFont val="Arial Unicode MS"/>
        <family val="2"/>
        <charset val="186"/>
      </rPr>
      <t xml:space="preserve"> with U2 impact</t>
    </r>
  </si>
  <si>
    <r>
      <t>V</t>
    </r>
    <r>
      <rPr>
        <vertAlign val="subscript"/>
        <sz val="11"/>
        <color theme="1"/>
        <rFont val="Arial Unicode MS"/>
        <family val="2"/>
        <charset val="186"/>
      </rPr>
      <t>BUS_BASELINE</t>
    </r>
    <r>
      <rPr>
        <sz val="11"/>
        <color theme="1"/>
        <rFont val="Arial Unicode MS"/>
        <family val="2"/>
        <charset val="186"/>
      </rPr>
      <t xml:space="preserve"> (row 25) * impact factor (row 254)</t>
    </r>
  </si>
  <si>
    <r>
      <t>ROAD-% * EF</t>
    </r>
    <r>
      <rPr>
        <vertAlign val="subscript"/>
        <sz val="10"/>
        <color theme="1"/>
        <rFont val="Arial Unicode MS"/>
        <family val="2"/>
        <charset val="186"/>
      </rPr>
      <t>BUS ROAD</t>
    </r>
    <r>
      <rPr>
        <sz val="10"/>
        <color theme="1"/>
        <rFont val="Arial Unicode MS"/>
        <family val="2"/>
        <charset val="186"/>
      </rPr>
      <t xml:space="preserve"> (row 35) + STREET-% * EF</t>
    </r>
    <r>
      <rPr>
        <vertAlign val="subscript"/>
        <sz val="10"/>
        <color theme="1"/>
        <rFont val="Arial Unicode MS"/>
        <family val="2"/>
        <charset val="186"/>
      </rPr>
      <t>BUS_STREET</t>
    </r>
    <r>
      <rPr>
        <sz val="10"/>
        <color theme="1"/>
        <rFont val="Arial Unicode MS"/>
        <family val="2"/>
        <charset val="186"/>
      </rPr>
      <t xml:space="preserve"> (row 36)</t>
    </r>
  </si>
  <si>
    <t>Total with U2 impact, kgCO2e/ capita, a</t>
  </si>
  <si>
    <t>U2 Summary table, CO2e emissions per capita</t>
  </si>
  <si>
    <t>baseline result * impact factor</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</si>
</sst>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
    <numFmt numFmtId="165" formatCode="0.000"/>
    <numFmt numFmtId="166" formatCode="#,##0.0"/>
    <numFmt numFmtId="167" formatCode="0.0000"/>
    <numFmt numFmtId="168" formatCode="0.0000000000000"/>
    <numFmt numFmtId="169" formatCode="0.00000000000000000"/>
    <numFmt numFmtId="170" formatCode="#,##0.000"/>
  </numFmts>
  <fonts count="114">
    <font>
      <sz val="11"/>
      <color theme="1"/>
      <name val="Calibri"/>
      <family val="2"/>
      <scheme val="minor"/>
    </font>
    <font>
      <sz val="10"/>
      <name val="Calibri"/>
      <family val="2"/>
      <scheme val="minor"/>
    </font>
    <font>
      <sz val="10"/>
      <name val="Arial"/>
      <family val="2"/>
    </font>
    <font>
      <sz val="9"/>
      <color indexed="81"/>
      <name val="Tahoma"/>
      <family val="2"/>
    </font>
    <font>
      <b/>
      <sz val="9"/>
      <color indexed="81"/>
      <name val="Tahoma"/>
      <family val="2"/>
    </font>
    <font>
      <sz val="10"/>
      <color theme="1"/>
      <name val="Arial"/>
      <family val="2"/>
    </font>
    <font>
      <vertAlign val="subscript"/>
      <sz val="10"/>
      <name val="Calibri"/>
      <family val="2"/>
      <scheme val="minor"/>
    </font>
    <font>
      <sz val="10"/>
      <name val="Calibri"/>
      <family val="2"/>
      <charset val="186"/>
      <scheme val="minor"/>
    </font>
    <font>
      <sz val="10"/>
      <name val="Calibri"/>
      <family val="2"/>
      <charset val="186"/>
    </font>
    <font>
      <sz val="9"/>
      <color indexed="81"/>
      <name val="Tahoma"/>
      <family val="2"/>
      <charset val="186"/>
    </font>
    <font>
      <b/>
      <sz val="9"/>
      <color indexed="81"/>
      <name val="Tahoma"/>
      <family val="2"/>
      <charset val="186"/>
    </font>
    <font>
      <sz val="10"/>
      <name val="Calibri"/>
      <family val="2"/>
    </font>
    <font>
      <b/>
      <sz val="12"/>
      <color theme="0"/>
      <name val="Albertus Medium"/>
      <family val="2"/>
    </font>
    <font>
      <sz val="11"/>
      <name val="Albertus Medium"/>
      <family val="2"/>
    </font>
    <font>
      <sz val="10"/>
      <color theme="1"/>
      <name val="Albertus Medium"/>
      <family val="2"/>
    </font>
    <font>
      <sz val="11"/>
      <color theme="1"/>
      <name val="Albertus Medium"/>
      <family val="2"/>
    </font>
    <font>
      <b/>
      <sz val="14"/>
      <color theme="1"/>
      <name val="Albertus Medium"/>
      <family val="2"/>
    </font>
    <font>
      <sz val="10"/>
      <color theme="0" tint="-0.499984740745262"/>
      <name val="Albertus Medium"/>
      <family val="2"/>
    </font>
    <font>
      <sz val="12"/>
      <color theme="1"/>
      <name val="Albertus Medium"/>
      <family val="2"/>
    </font>
    <font>
      <vertAlign val="subscript"/>
      <sz val="10"/>
      <color theme="1"/>
      <name val="Albertus Medium"/>
      <family val="2"/>
    </font>
    <font>
      <b/>
      <sz val="11"/>
      <color theme="1"/>
      <name val="Albertus Medium"/>
      <family val="2"/>
    </font>
    <font>
      <b/>
      <sz val="10"/>
      <color theme="1"/>
      <name val="Albertus Medium"/>
      <family val="2"/>
    </font>
    <font>
      <sz val="10"/>
      <name val="Albertus Medium"/>
      <family val="2"/>
    </font>
    <font>
      <i/>
      <sz val="10"/>
      <color rgb="FFC00000"/>
      <name val="Albertus Medium"/>
      <family val="2"/>
    </font>
    <font>
      <b/>
      <sz val="12"/>
      <color theme="1"/>
      <name val="Albertus Medium"/>
      <family val="2"/>
    </font>
    <font>
      <i/>
      <sz val="10"/>
      <color rgb="FFFF0000"/>
      <name val="Albertus Medium"/>
      <family val="2"/>
    </font>
    <font>
      <sz val="9"/>
      <color theme="1"/>
      <name val="Albertus Medium"/>
      <family val="2"/>
    </font>
    <font>
      <sz val="9"/>
      <name val="Albertus Medium"/>
      <family val="2"/>
    </font>
    <font>
      <sz val="8"/>
      <color theme="1"/>
      <name val="Albertus Medium"/>
      <family val="2"/>
    </font>
    <font>
      <i/>
      <sz val="9"/>
      <color rgb="FFFF0000"/>
      <name val="Albertus Medium"/>
      <family val="2"/>
    </font>
    <font>
      <i/>
      <sz val="10"/>
      <color theme="1"/>
      <name val="Albertus Medium"/>
      <family val="2"/>
    </font>
    <font>
      <b/>
      <i/>
      <sz val="10"/>
      <color rgb="FFC00000"/>
      <name val="Albertus Medium"/>
      <family val="2"/>
    </font>
    <font>
      <sz val="10"/>
      <color theme="1"/>
      <name val="Arial Unicode MS"/>
      <family val="2"/>
      <charset val="186"/>
    </font>
    <font>
      <sz val="10"/>
      <color theme="1"/>
      <name val="Calibri"/>
      <family val="2"/>
      <scheme val="minor"/>
    </font>
    <font>
      <sz val="11"/>
      <color theme="0" tint="-0.499984740745262"/>
      <name val="Calibri"/>
      <family val="2"/>
      <scheme val="minor"/>
    </font>
    <font>
      <sz val="11"/>
      <color theme="0" tint="-4.9989318521683403E-2"/>
      <name val="Albertus Medium"/>
      <family val="2"/>
    </font>
    <font>
      <sz val="11"/>
      <color theme="0" tint="-4.9989318521683403E-2"/>
      <name val="Calibri"/>
      <family val="2"/>
      <scheme val="minor"/>
    </font>
    <font>
      <sz val="10"/>
      <color theme="1"/>
      <name val="Calibri"/>
      <family val="2"/>
      <charset val="186"/>
      <scheme val="minor"/>
    </font>
    <font>
      <sz val="11"/>
      <color theme="1"/>
      <name val="Calibri"/>
      <family val="2"/>
      <charset val="186"/>
      <scheme val="minor"/>
    </font>
    <font>
      <i/>
      <sz val="11"/>
      <color theme="1"/>
      <name val="Calibri"/>
      <family val="2"/>
      <charset val="186"/>
      <scheme val="minor"/>
    </font>
    <font>
      <b/>
      <sz val="10"/>
      <color theme="1"/>
      <name val="Calibri"/>
      <family val="2"/>
      <charset val="186"/>
      <scheme val="minor"/>
    </font>
    <font>
      <sz val="8"/>
      <color theme="1"/>
      <name val="Calibri"/>
      <family val="2"/>
      <charset val="186"/>
      <scheme val="minor"/>
    </font>
    <font>
      <b/>
      <sz val="10"/>
      <color theme="1"/>
      <name val="Calibri"/>
      <family val="2"/>
      <scheme val="minor"/>
    </font>
    <font>
      <vertAlign val="subscript"/>
      <sz val="11"/>
      <color theme="1"/>
      <name val="Albertus Medium"/>
      <family val="2"/>
    </font>
    <font>
      <sz val="10"/>
      <name val="Arial Unicode MS"/>
      <family val="2"/>
      <charset val="186"/>
    </font>
    <font>
      <vertAlign val="subscript"/>
      <sz val="10"/>
      <name val="Albertus Medium"/>
      <family val="2"/>
    </font>
    <font>
      <sz val="12"/>
      <color theme="1"/>
      <name val="Arial Unicode MS"/>
      <family val="2"/>
      <charset val="186"/>
    </font>
    <font>
      <vertAlign val="subscript"/>
      <sz val="10"/>
      <color theme="1"/>
      <name val="Arial Unicode MS"/>
      <family val="2"/>
      <charset val="186"/>
    </font>
    <font>
      <vertAlign val="subscript"/>
      <sz val="10"/>
      <name val="Arial Unicode MS"/>
      <family val="2"/>
      <charset val="186"/>
    </font>
    <font>
      <sz val="10"/>
      <color theme="0" tint="-0.499984740745262"/>
      <name val="Arial Unicode MS"/>
      <family val="2"/>
      <charset val="186"/>
    </font>
    <font>
      <b/>
      <sz val="10"/>
      <color theme="1"/>
      <name val="Arial Unicode MS"/>
      <family val="2"/>
      <charset val="186"/>
    </font>
    <font>
      <b/>
      <sz val="11"/>
      <color theme="1"/>
      <name val="Albertus Medium"/>
      <family val="2"/>
    </font>
    <font>
      <i/>
      <sz val="10"/>
      <name val="Arial Unicode MS"/>
      <family val="2"/>
      <charset val="186"/>
    </font>
    <font>
      <i/>
      <sz val="10"/>
      <color theme="1"/>
      <name val="Arial Unicode MS"/>
      <family val="2"/>
      <charset val="186"/>
    </font>
    <font>
      <i/>
      <sz val="10"/>
      <color theme="1"/>
      <name val="Albertus Medium"/>
      <family val="2"/>
    </font>
    <font>
      <i/>
      <sz val="10"/>
      <color theme="0" tint="-0.499984740745262"/>
      <name val="Arial Unicode MS"/>
      <family val="2"/>
      <charset val="186"/>
    </font>
    <font>
      <b/>
      <sz val="10"/>
      <name val="Arial Unicode MS"/>
      <family val="2"/>
      <charset val="186"/>
    </font>
    <font>
      <sz val="9"/>
      <color theme="1"/>
      <name val="Arial Unicode MS"/>
      <family val="2"/>
      <charset val="186"/>
    </font>
    <font>
      <i/>
      <sz val="10"/>
      <color rgb="FFC00000"/>
      <name val="Albertus Medium"/>
      <family val="2"/>
    </font>
    <font>
      <i/>
      <sz val="11"/>
      <color rgb="FFC00000"/>
      <name val="Albertus Medium"/>
      <family val="2"/>
    </font>
    <font>
      <i/>
      <sz val="10"/>
      <color theme="0" tint="-0.499984740745262"/>
      <name val="Calibri"/>
      <family val="2"/>
      <charset val="186"/>
      <scheme val="minor"/>
    </font>
    <font>
      <sz val="11"/>
      <color theme="1"/>
      <name val="Arial Unicode MS"/>
      <family val="2"/>
      <charset val="186"/>
    </font>
    <font>
      <sz val="10"/>
      <color theme="1"/>
      <name val="Calibri"/>
      <family val="2"/>
      <charset val="186"/>
    </font>
    <font>
      <sz val="11"/>
      <name val="Calibri"/>
      <family val="2"/>
      <scheme val="minor"/>
    </font>
    <font>
      <vertAlign val="subscript"/>
      <sz val="9"/>
      <color theme="1"/>
      <name val="Arial Unicode MS"/>
      <family val="2"/>
      <charset val="186"/>
    </font>
    <font>
      <sz val="11"/>
      <color theme="0" tint="-0.499984740745262"/>
      <name val="Albertus Medium"/>
      <family val="2"/>
    </font>
    <font>
      <sz val="11"/>
      <color theme="0" tint="-0.499984740745262"/>
      <name val="Arial Unicode MS"/>
      <family val="2"/>
      <charset val="186"/>
    </font>
    <font>
      <b/>
      <sz val="11"/>
      <color theme="0" tint="-0.499984740745262"/>
      <name val="Arial Unicode MS"/>
      <family val="2"/>
      <charset val="186"/>
    </font>
    <font>
      <sz val="28"/>
      <color theme="1"/>
      <name val="Albertus Medium"/>
      <family val="2"/>
    </font>
    <font>
      <i/>
      <sz val="10"/>
      <color rgb="FFC00000"/>
      <name val="Arial Unicode MS"/>
      <family val="2"/>
      <charset val="186"/>
    </font>
    <font>
      <vertAlign val="superscript"/>
      <sz val="10"/>
      <name val="Calibri"/>
      <family val="2"/>
      <charset val="186"/>
      <scheme val="minor"/>
    </font>
    <font>
      <b/>
      <vertAlign val="subscript"/>
      <sz val="10"/>
      <color theme="1"/>
      <name val="Arial Unicode MS"/>
      <family val="2"/>
      <charset val="186"/>
    </font>
    <font>
      <sz val="8"/>
      <color theme="1"/>
      <name val="Arial Unicode MS"/>
      <family val="2"/>
      <charset val="186"/>
    </font>
    <font>
      <vertAlign val="superscript"/>
      <sz val="8"/>
      <color theme="1"/>
      <name val="Albertus Medium"/>
      <family val="2"/>
    </font>
    <font>
      <sz val="11"/>
      <name val="Arial Unicode MS"/>
      <family val="2"/>
      <charset val="186"/>
    </font>
    <font>
      <i/>
      <sz val="11"/>
      <color rgb="FFFF0000"/>
      <name val="Arial Unicode MS"/>
      <family val="2"/>
      <charset val="186"/>
    </font>
    <font>
      <b/>
      <sz val="11"/>
      <color theme="1"/>
      <name val="Arial Unicode MS"/>
      <family val="2"/>
      <charset val="186"/>
    </font>
    <font>
      <b/>
      <sz val="9"/>
      <color theme="1"/>
      <name val="Arial Unicode MS"/>
      <family val="2"/>
      <charset val="186"/>
    </font>
    <font>
      <i/>
      <sz val="10"/>
      <color rgb="FFFF0066"/>
      <name val="Arial Unicode MS"/>
      <family val="2"/>
      <charset val="186"/>
    </font>
    <font>
      <vertAlign val="superscript"/>
      <sz val="10"/>
      <color theme="1"/>
      <name val="Albertus Medium"/>
      <family val="2"/>
    </font>
    <font>
      <sz val="11"/>
      <color rgb="FF000000"/>
      <name val="Calibri"/>
      <family val="2"/>
      <charset val="186"/>
    </font>
    <font>
      <sz val="12"/>
      <color theme="1"/>
      <name val="Calibri"/>
      <family val="2"/>
      <scheme val="minor"/>
    </font>
    <font>
      <vertAlign val="subscript"/>
      <sz val="10"/>
      <name val="Calibri"/>
      <family val="2"/>
      <charset val="186"/>
      <scheme val="minor"/>
    </font>
    <font>
      <sz val="14"/>
      <color theme="1"/>
      <name val="Albertus Medium"/>
      <family val="2"/>
    </font>
    <font>
      <b/>
      <i/>
      <sz val="10"/>
      <color rgb="FFFF0066"/>
      <name val="Arial Unicode MS"/>
      <family val="2"/>
      <charset val="186"/>
    </font>
    <font>
      <i/>
      <sz val="10"/>
      <color rgb="FFFF0000"/>
      <name val="Arial Unicode MS"/>
      <family val="2"/>
      <charset val="186"/>
    </font>
    <font>
      <i/>
      <sz val="11"/>
      <color rgb="FFFF0066"/>
      <name val="Arial Unicode MS"/>
      <family val="2"/>
      <charset val="186"/>
    </font>
    <font>
      <b/>
      <sz val="10"/>
      <color theme="0" tint="-0.499984740745262"/>
      <name val="Arial Unicode MS"/>
      <family val="2"/>
      <charset val="186"/>
    </font>
    <font>
      <b/>
      <i/>
      <sz val="11"/>
      <color rgb="FFFF0066"/>
      <name val="Arial Unicode MS"/>
      <family val="2"/>
      <charset val="186"/>
    </font>
    <font>
      <b/>
      <i/>
      <sz val="10"/>
      <color rgb="FFC00000"/>
      <name val="Arial Unicode MS"/>
      <family val="2"/>
      <charset val="186"/>
    </font>
    <font>
      <b/>
      <i/>
      <sz val="11"/>
      <color rgb="FFFF0000"/>
      <name val="Arial Unicode MS"/>
      <family val="2"/>
      <charset val="186"/>
    </font>
    <font>
      <vertAlign val="subscript"/>
      <sz val="11"/>
      <color theme="1"/>
      <name val="Arial Unicode MS"/>
      <family val="2"/>
      <charset val="186"/>
    </font>
    <font>
      <vertAlign val="superscript"/>
      <sz val="10"/>
      <color theme="1"/>
      <name val="Arial Unicode MS"/>
      <family val="2"/>
      <charset val="186"/>
    </font>
    <font>
      <b/>
      <sz val="8"/>
      <color theme="1"/>
      <name val="Arial Unicode MS"/>
      <family val="2"/>
      <charset val="186"/>
    </font>
    <font>
      <sz val="7"/>
      <color theme="1"/>
      <name val="Arial Unicode MS"/>
      <family val="2"/>
      <charset val="186"/>
    </font>
    <font>
      <sz val="6"/>
      <color theme="1"/>
      <name val="Arial Unicode MS"/>
      <family val="2"/>
      <charset val="186"/>
    </font>
    <font>
      <sz val="10"/>
      <color rgb="FFFF0000"/>
      <name val="Calibri"/>
      <family val="2"/>
      <scheme val="minor"/>
    </font>
    <font>
      <b/>
      <sz val="14"/>
      <color theme="1"/>
      <name val="Symbol"/>
      <family val="1"/>
      <charset val="2"/>
    </font>
    <font>
      <b/>
      <sz val="12"/>
      <color theme="1"/>
      <name val="Arial Unicode MS"/>
      <family val="2"/>
      <charset val="186"/>
    </font>
    <font>
      <b/>
      <vertAlign val="subscript"/>
      <sz val="12"/>
      <color theme="1"/>
      <name val="Arial Unicode MS"/>
      <family val="2"/>
      <charset val="186"/>
    </font>
    <font>
      <b/>
      <vertAlign val="subscript"/>
      <sz val="11"/>
      <color theme="1"/>
      <name val="Arial Unicode MS"/>
      <family val="2"/>
      <charset val="186"/>
    </font>
    <font>
      <sz val="12"/>
      <name val="Arial"/>
      <family val="2"/>
      <charset val="186"/>
    </font>
    <font>
      <sz val="10"/>
      <color rgb="FFFF0000"/>
      <name val="Arial Unicode MS"/>
      <family val="2"/>
      <charset val="186"/>
    </font>
    <font>
      <vertAlign val="subscript"/>
      <sz val="11"/>
      <color theme="1"/>
      <name val="Albertus Medium"/>
    </font>
    <font>
      <vertAlign val="subscript"/>
      <sz val="10"/>
      <color theme="1"/>
      <name val="Albertus Medium"/>
    </font>
    <font>
      <b/>
      <sz val="10"/>
      <color theme="1"/>
      <name val="Albertus Medium"/>
    </font>
    <font>
      <vertAlign val="superscript"/>
      <sz val="10"/>
      <name val="Arial Unicode MS"/>
      <family val="2"/>
      <charset val="186"/>
    </font>
    <font>
      <sz val="9"/>
      <name val="Arial Unicode MS"/>
      <family val="2"/>
      <charset val="186"/>
    </font>
    <font>
      <sz val="8"/>
      <name val="Arial Unicode MS"/>
      <family val="2"/>
      <charset val="186"/>
    </font>
    <font>
      <sz val="10"/>
      <color indexed="8"/>
      <name val="Calibri"/>
      <family val="2"/>
      <scheme val="minor"/>
    </font>
    <font>
      <sz val="10"/>
      <color indexed="8"/>
      <name val="Arial Unicode MS"/>
      <family val="2"/>
      <charset val="186"/>
    </font>
    <font>
      <sz val="11"/>
      <color theme="0" tint="-0.499984740745262"/>
      <name val="Albertus Medium"/>
    </font>
    <font>
      <sz val="10"/>
      <color theme="0" tint="-0.499984740745262"/>
      <name val="Arial Rounded MT Bold"/>
      <family val="2"/>
    </font>
    <font>
      <sz val="11"/>
      <color theme="0" tint="-0.499984740745262"/>
      <name val="Arial Rounded MT Bold"/>
      <family val="2"/>
    </font>
  </fonts>
  <fills count="1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FFEAD5"/>
        <bgColor indexed="64"/>
      </patternFill>
    </fill>
    <fill>
      <patternFill patternType="solid">
        <fgColor theme="5" tint="0.39997558519241921"/>
        <bgColor indexed="64"/>
      </patternFill>
    </fill>
    <fill>
      <patternFill patternType="solid">
        <fgColor theme="4"/>
        <bgColor indexed="64"/>
      </patternFill>
    </fill>
    <fill>
      <patternFill patternType="solid">
        <fgColor theme="7"/>
        <bgColor indexed="64"/>
      </patternFill>
    </fill>
    <fill>
      <patternFill patternType="solid">
        <fgColor theme="5"/>
        <bgColor indexed="64"/>
      </patternFill>
    </fill>
    <fill>
      <patternFill patternType="solid">
        <fgColor theme="5" tint="0.59999389629810485"/>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s>
  <cellStyleXfs count="3">
    <xf numFmtId="0" fontId="0" fillId="0" borderId="0"/>
    <xf numFmtId="0" fontId="2" fillId="0" borderId="0"/>
    <xf numFmtId="0" fontId="5" fillId="0" borderId="0"/>
  </cellStyleXfs>
  <cellXfs count="1608">
    <xf numFmtId="0" fontId="0" fillId="0" borderId="0" xfId="0"/>
    <xf numFmtId="1" fontId="1" fillId="0" borderId="1" xfId="0" applyNumberFormat="1" applyFont="1" applyFill="1" applyBorder="1" applyAlignment="1">
      <alignment horizontal="center"/>
    </xf>
    <xf numFmtId="164" fontId="1" fillId="0" borderId="1" xfId="0" applyNumberFormat="1" applyFont="1" applyFill="1" applyBorder="1" applyAlignment="1">
      <alignment horizontal="center"/>
    </xf>
    <xf numFmtId="2" fontId="1" fillId="0" borderId="1" xfId="0" applyNumberFormat="1" applyFont="1" applyFill="1" applyBorder="1" applyAlignment="1">
      <alignment horizontal="center"/>
    </xf>
    <xf numFmtId="0" fontId="1" fillId="0" borderId="1" xfId="0" applyFont="1" applyFill="1" applyBorder="1" applyAlignment="1">
      <alignment horizontal="center"/>
    </xf>
    <xf numFmtId="2" fontId="1" fillId="0" borderId="1" xfId="0" applyNumberFormat="1" applyFont="1" applyFill="1" applyBorder="1" applyAlignment="1">
      <alignment horizontal="center" shrinkToFit="1"/>
    </xf>
    <xf numFmtId="166" fontId="7" fillId="0" borderId="1" xfId="0" applyNumberFormat="1" applyFont="1" applyFill="1" applyBorder="1" applyAlignment="1">
      <alignment horizontal="center" shrinkToFit="1"/>
    </xf>
    <xf numFmtId="166" fontId="11" fillId="0" borderId="1" xfId="0" applyNumberFormat="1" applyFont="1" applyFill="1" applyBorder="1" applyAlignment="1">
      <alignment horizontal="center" shrinkToFit="1"/>
    </xf>
    <xf numFmtId="0" fontId="7" fillId="0" borderId="1" xfId="0" applyFont="1" applyFill="1" applyBorder="1" applyAlignment="1">
      <alignment horizontal="center"/>
    </xf>
    <xf numFmtId="2" fontId="7" fillId="0" borderId="1" xfId="0" applyNumberFormat="1" applyFont="1" applyFill="1" applyBorder="1" applyAlignment="1">
      <alignment horizontal="center"/>
    </xf>
    <xf numFmtId="164" fontId="7" fillId="0" borderId="1" xfId="0" applyNumberFormat="1" applyFont="1" applyFill="1" applyBorder="1" applyAlignment="1">
      <alignment horizontal="center"/>
    </xf>
    <xf numFmtId="164" fontId="11" fillId="0" borderId="1" xfId="0" applyNumberFormat="1" applyFont="1" applyFill="1" applyBorder="1" applyAlignment="1">
      <alignment horizontal="center" shrinkToFit="1"/>
    </xf>
    <xf numFmtId="0" fontId="12" fillId="4" borderId="0" xfId="0" applyFont="1" applyFill="1" applyBorder="1" applyAlignment="1">
      <alignment vertical="center"/>
    </xf>
    <xf numFmtId="0" fontId="13" fillId="4" borderId="0" xfId="0" applyFont="1" applyFill="1" applyBorder="1" applyAlignment="1">
      <alignment vertical="center"/>
    </xf>
    <xf numFmtId="0" fontId="15" fillId="3" borderId="0" xfId="0" applyFont="1" applyFill="1"/>
    <xf numFmtId="0" fontId="16" fillId="3" borderId="0" xfId="0" applyFont="1" applyFill="1" applyBorder="1" applyAlignment="1">
      <alignment horizontal="left"/>
    </xf>
    <xf numFmtId="0" fontId="14" fillId="3" borderId="0" xfId="0" applyFont="1" applyFill="1" applyBorder="1" applyAlignment="1">
      <alignment horizontal="left"/>
    </xf>
    <xf numFmtId="0" fontId="14" fillId="3" borderId="0" xfId="0" applyFont="1" applyFill="1"/>
    <xf numFmtId="3" fontId="14" fillId="3" borderId="0" xfId="0" applyNumberFormat="1" applyFont="1" applyFill="1" applyBorder="1" applyAlignment="1">
      <alignment horizontal="center" vertical="center"/>
    </xf>
    <xf numFmtId="0" fontId="15" fillId="4" borderId="0" xfId="0" applyFont="1" applyFill="1"/>
    <xf numFmtId="0" fontId="15" fillId="3" borderId="15" xfId="0" applyFont="1" applyFill="1" applyBorder="1"/>
    <xf numFmtId="0" fontId="15" fillId="3" borderId="21" xfId="0" applyFont="1" applyFill="1" applyBorder="1"/>
    <xf numFmtId="0" fontId="15" fillId="3" borderId="7" xfId="0" applyFont="1" applyFill="1" applyBorder="1"/>
    <xf numFmtId="3" fontId="14" fillId="2" borderId="1" xfId="0" applyNumberFormat="1" applyFont="1" applyFill="1" applyBorder="1" applyAlignment="1">
      <alignment horizontal="center"/>
    </xf>
    <xf numFmtId="0" fontId="14" fillId="0" borderId="1" xfId="0" applyFont="1" applyFill="1" applyBorder="1" applyAlignment="1">
      <alignment horizontal="center"/>
    </xf>
    <xf numFmtId="0" fontId="14" fillId="3" borderId="0" xfId="0" applyFont="1" applyFill="1" applyBorder="1"/>
    <xf numFmtId="0" fontId="21" fillId="3" borderId="2" xfId="0" applyFont="1" applyFill="1" applyBorder="1"/>
    <xf numFmtId="0" fontId="14" fillId="3" borderId="0" xfId="0" applyFont="1" applyFill="1" applyBorder="1" applyAlignment="1">
      <alignment horizontal="center"/>
    </xf>
    <xf numFmtId="0" fontId="15" fillId="3" borderId="4" xfId="0" applyFont="1" applyFill="1" applyBorder="1"/>
    <xf numFmtId="0" fontId="15" fillId="3" borderId="0" xfId="0" applyFont="1" applyFill="1" applyBorder="1"/>
    <xf numFmtId="0" fontId="15" fillId="3" borderId="2" xfId="0" applyFont="1" applyFill="1" applyBorder="1"/>
    <xf numFmtId="0" fontId="15" fillId="3" borderId="16" xfId="0" applyFont="1" applyFill="1" applyBorder="1"/>
    <xf numFmtId="0" fontId="15" fillId="3" borderId="10" xfId="0" applyFont="1" applyFill="1" applyBorder="1"/>
    <xf numFmtId="0" fontId="15" fillId="3" borderId="17" xfId="0" applyFont="1" applyFill="1" applyBorder="1"/>
    <xf numFmtId="0" fontId="15" fillId="2" borderId="0" xfId="0" applyFont="1" applyFill="1" applyBorder="1"/>
    <xf numFmtId="0" fontId="14" fillId="2" borderId="7" xfId="0" applyFont="1" applyFill="1" applyBorder="1"/>
    <xf numFmtId="0" fontId="14" fillId="2" borderId="7" xfId="0" applyFont="1" applyFill="1" applyBorder="1" applyAlignment="1">
      <alignment horizontal="left"/>
    </xf>
    <xf numFmtId="165" fontId="14" fillId="2" borderId="0" xfId="0" applyNumberFormat="1" applyFont="1" applyFill="1" applyBorder="1" applyAlignment="1">
      <alignment horizontal="center"/>
    </xf>
    <xf numFmtId="165" fontId="14" fillId="2" borderId="7" xfId="0" applyNumberFormat="1" applyFont="1" applyFill="1" applyBorder="1" applyAlignment="1">
      <alignment horizontal="center"/>
    </xf>
    <xf numFmtId="165" fontId="21" fillId="2" borderId="0" xfId="0" applyNumberFormat="1" applyFont="1" applyFill="1" applyBorder="1" applyAlignment="1">
      <alignment horizontal="center"/>
    </xf>
    <xf numFmtId="0" fontId="15" fillId="2" borderId="4" xfId="0" applyFont="1" applyFill="1" applyBorder="1"/>
    <xf numFmtId="0" fontId="15" fillId="2" borderId="7" xfId="0" applyFont="1" applyFill="1" applyBorder="1"/>
    <xf numFmtId="0" fontId="25" fillId="2" borderId="0" xfId="0" applyFont="1" applyFill="1" applyBorder="1"/>
    <xf numFmtId="0" fontId="14" fillId="2" borderId="0" xfId="0" applyFont="1" applyFill="1" applyBorder="1"/>
    <xf numFmtId="0" fontId="26" fillId="2" borderId="7" xfId="0" applyFont="1" applyFill="1" applyBorder="1"/>
    <xf numFmtId="0" fontId="27" fillId="2" borderId="7" xfId="0" quotePrefix="1" applyFont="1" applyFill="1" applyBorder="1" applyAlignment="1">
      <alignment horizontal="left"/>
    </xf>
    <xf numFmtId="0" fontId="29" fillId="2" borderId="7" xfId="0" applyFont="1" applyFill="1" applyBorder="1"/>
    <xf numFmtId="0" fontId="26" fillId="2" borderId="17" xfId="0" applyFont="1" applyFill="1" applyBorder="1"/>
    <xf numFmtId="0" fontId="15" fillId="3" borderId="13" xfId="0" applyFont="1" applyFill="1" applyBorder="1"/>
    <xf numFmtId="0" fontId="15" fillId="3" borderId="14" xfId="0" applyFont="1" applyFill="1" applyBorder="1"/>
    <xf numFmtId="0" fontId="17" fillId="3" borderId="0" xfId="0" applyFont="1" applyFill="1" applyBorder="1"/>
    <xf numFmtId="0" fontId="14" fillId="3" borderId="2" xfId="0" applyFont="1" applyFill="1" applyBorder="1" applyAlignment="1">
      <alignment horizontal="center"/>
    </xf>
    <xf numFmtId="164" fontId="14" fillId="0" borderId="1" xfId="0" applyNumberFormat="1" applyFont="1" applyFill="1" applyBorder="1" applyAlignment="1">
      <alignment horizontal="center"/>
    </xf>
    <xf numFmtId="0" fontId="12" fillId="4" borderId="0" xfId="0" applyFont="1" applyFill="1" applyAlignment="1">
      <alignment vertical="center"/>
    </xf>
    <xf numFmtId="0" fontId="14" fillId="2" borderId="1" xfId="0" applyFont="1" applyFill="1" applyBorder="1" applyAlignment="1">
      <alignment horizontal="center"/>
    </xf>
    <xf numFmtId="0" fontId="32" fillId="3" borderId="4" xfId="0" applyFont="1" applyFill="1" applyBorder="1"/>
    <xf numFmtId="0" fontId="14" fillId="2" borderId="14" xfId="0" applyFont="1" applyFill="1" applyBorder="1" applyAlignment="1">
      <alignment horizontal="center" wrapText="1"/>
    </xf>
    <xf numFmtId="0" fontId="15" fillId="2" borderId="14" xfId="0" applyFont="1" applyFill="1" applyBorder="1"/>
    <xf numFmtId="0" fontId="15" fillId="2" borderId="15" xfId="0" applyFont="1" applyFill="1" applyBorder="1"/>
    <xf numFmtId="0" fontId="15" fillId="2" borderId="16" xfId="0" applyFont="1" applyFill="1" applyBorder="1"/>
    <xf numFmtId="0" fontId="15" fillId="2" borderId="10" xfId="0" applyFont="1" applyFill="1" applyBorder="1"/>
    <xf numFmtId="0" fontId="15" fillId="2" borderId="17" xfId="0" applyFont="1" applyFill="1" applyBorder="1"/>
    <xf numFmtId="164" fontId="7" fillId="0" borderId="12" xfId="0" applyNumberFormat="1" applyFont="1" applyFill="1" applyBorder="1" applyAlignment="1">
      <alignment horizontal="center" shrinkToFit="1"/>
    </xf>
    <xf numFmtId="1" fontId="1" fillId="0" borderId="12" xfId="0" applyNumberFormat="1" applyFont="1" applyFill="1" applyBorder="1" applyAlignment="1">
      <alignment horizontal="center"/>
    </xf>
    <xf numFmtId="164" fontId="11" fillId="0" borderId="12" xfId="0" applyNumberFormat="1" applyFont="1" applyFill="1" applyBorder="1" applyAlignment="1">
      <alignment horizontal="center" shrinkToFit="1"/>
    </xf>
    <xf numFmtId="164" fontId="1" fillId="0" borderId="12" xfId="0" applyNumberFormat="1" applyFont="1" applyFill="1" applyBorder="1" applyAlignment="1">
      <alignment horizontal="center"/>
    </xf>
    <xf numFmtId="164" fontId="7" fillId="0" borderId="12" xfId="0" applyNumberFormat="1" applyFont="1" applyFill="1" applyBorder="1" applyAlignment="1">
      <alignment horizontal="center"/>
    </xf>
    <xf numFmtId="1" fontId="1" fillId="0" borderId="12" xfId="0" applyNumberFormat="1" applyFont="1" applyFill="1" applyBorder="1" applyAlignment="1">
      <alignment horizontal="center" shrinkToFit="1"/>
    </xf>
    <xf numFmtId="2" fontId="7" fillId="0" borderId="12" xfId="0" applyNumberFormat="1" applyFont="1" applyFill="1" applyBorder="1" applyAlignment="1">
      <alignment horizontal="center"/>
    </xf>
    <xf numFmtId="164" fontId="11" fillId="0" borderId="12" xfId="0" applyNumberFormat="1" applyFont="1" applyFill="1" applyBorder="1" applyAlignment="1">
      <alignment horizontal="center"/>
    </xf>
    <xf numFmtId="165" fontId="1" fillId="0" borderId="12" xfId="0" applyNumberFormat="1" applyFont="1" applyFill="1" applyBorder="1" applyAlignment="1">
      <alignment horizontal="center"/>
    </xf>
    <xf numFmtId="166" fontId="11" fillId="0" borderId="1" xfId="0" applyNumberFormat="1" applyFont="1" applyFill="1" applyBorder="1" applyAlignment="1">
      <alignment horizontal="center"/>
    </xf>
    <xf numFmtId="164" fontId="11" fillId="0" borderId="1" xfId="0" applyNumberFormat="1" applyFont="1" applyFill="1" applyBorder="1" applyAlignment="1">
      <alignment horizontal="center"/>
    </xf>
    <xf numFmtId="165" fontId="1" fillId="0" borderId="1" xfId="0" applyNumberFormat="1" applyFont="1" applyFill="1" applyBorder="1" applyAlignment="1">
      <alignment horizontal="center"/>
    </xf>
    <xf numFmtId="1" fontId="11" fillId="0" borderId="1" xfId="0" applyNumberFormat="1" applyFont="1" applyFill="1" applyBorder="1" applyAlignment="1">
      <alignment horizontal="center"/>
    </xf>
    <xf numFmtId="0" fontId="11" fillId="0" borderId="1" xfId="0" applyFont="1" applyFill="1" applyBorder="1" applyAlignment="1">
      <alignment horizontal="center"/>
    </xf>
    <xf numFmtId="164" fontId="14" fillId="2" borderId="1" xfId="0" applyNumberFormat="1" applyFont="1" applyFill="1" applyBorder="1" applyAlignment="1">
      <alignment horizontal="center"/>
    </xf>
    <xf numFmtId="0" fontId="0" fillId="4" borderId="0" xfId="0" applyFill="1" applyBorder="1"/>
    <xf numFmtId="0" fontId="0" fillId="3" borderId="0" xfId="0" applyFill="1" applyBorder="1"/>
    <xf numFmtId="0" fontId="0" fillId="3" borderId="0" xfId="0" applyFill="1" applyBorder="1" applyAlignment="1">
      <alignment horizontal="center"/>
    </xf>
    <xf numFmtId="0" fontId="1" fillId="3" borderId="0" xfId="0" applyFont="1" applyFill="1" applyBorder="1" applyAlignment="1">
      <alignment horizontal="center"/>
    </xf>
    <xf numFmtId="0" fontId="1" fillId="3" borderId="0" xfId="0" applyFont="1" applyFill="1" applyAlignment="1">
      <alignment horizontal="center"/>
    </xf>
    <xf numFmtId="0" fontId="33" fillId="3" borderId="0" xfId="0" applyFont="1" applyFill="1" applyBorder="1"/>
    <xf numFmtId="0" fontId="1" fillId="3" borderId="9" xfId="0" applyFont="1" applyFill="1" applyBorder="1" applyAlignment="1">
      <alignment horizontal="center" wrapText="1"/>
    </xf>
    <xf numFmtId="0" fontId="1" fillId="3" borderId="0" xfId="0" applyFont="1" applyFill="1" applyBorder="1" applyAlignment="1">
      <alignment horizontal="center" wrapText="1"/>
    </xf>
    <xf numFmtId="0" fontId="1" fillId="3" borderId="8" xfId="0" applyFont="1" applyFill="1" applyBorder="1" applyAlignment="1">
      <alignment horizontal="center" wrapText="1"/>
    </xf>
    <xf numFmtId="0" fontId="1" fillId="3" borderId="9" xfId="0" quotePrefix="1" applyFont="1" applyFill="1" applyBorder="1" applyAlignment="1">
      <alignment horizontal="center" wrapText="1"/>
    </xf>
    <xf numFmtId="0" fontId="1" fillId="3" borderId="0" xfId="0" quotePrefix="1" applyFont="1" applyFill="1" applyBorder="1" applyAlignment="1">
      <alignment horizontal="center" wrapText="1"/>
    </xf>
    <xf numFmtId="0" fontId="1" fillId="3" borderId="39" xfId="0" quotePrefix="1" applyFont="1" applyFill="1" applyBorder="1" applyAlignment="1">
      <alignment horizontal="center"/>
    </xf>
    <xf numFmtId="0" fontId="1" fillId="3" borderId="20" xfId="0" quotePrefix="1" applyFont="1" applyFill="1" applyBorder="1" applyAlignment="1">
      <alignment horizontal="center"/>
    </xf>
    <xf numFmtId="0" fontId="1" fillId="3" borderId="2" xfId="0" quotePrefix="1" applyFont="1" applyFill="1" applyBorder="1" applyAlignment="1">
      <alignment horizontal="center"/>
    </xf>
    <xf numFmtId="0" fontId="0" fillId="2" borderId="1" xfId="0" applyFill="1" applyBorder="1"/>
    <xf numFmtId="0" fontId="0" fillId="3" borderId="1" xfId="0" applyFill="1" applyBorder="1" applyAlignment="1">
      <alignment horizontal="center"/>
    </xf>
    <xf numFmtId="3" fontId="0" fillId="3" borderId="0" xfId="0" applyNumberFormat="1" applyFill="1" applyBorder="1" applyAlignment="1">
      <alignment horizontal="center"/>
    </xf>
    <xf numFmtId="3" fontId="0" fillId="3" borderId="1" xfId="0" applyNumberFormat="1" applyFill="1" applyBorder="1" applyAlignment="1">
      <alignment horizontal="center"/>
    </xf>
    <xf numFmtId="0" fontId="22" fillId="3" borderId="0" xfId="0" applyFont="1" applyFill="1" applyBorder="1"/>
    <xf numFmtId="164" fontId="17" fillId="2" borderId="1" xfId="0" applyNumberFormat="1" applyFont="1" applyFill="1" applyBorder="1" applyAlignment="1">
      <alignment horizontal="center"/>
    </xf>
    <xf numFmtId="0" fontId="34" fillId="2" borderId="1" xfId="0" applyFont="1" applyFill="1" applyBorder="1" applyAlignment="1">
      <alignment horizontal="center"/>
    </xf>
    <xf numFmtId="164" fontId="22" fillId="3" borderId="22" xfId="0" applyNumberFormat="1" applyFont="1" applyFill="1" applyBorder="1" applyAlignment="1">
      <alignment horizontal="center"/>
    </xf>
    <xf numFmtId="164" fontId="22" fillId="3" borderId="0" xfId="0" applyNumberFormat="1" applyFont="1" applyFill="1" applyBorder="1" applyAlignment="1">
      <alignment horizontal="center"/>
    </xf>
    <xf numFmtId="0" fontId="14" fillId="3" borderId="1" xfId="0" applyFont="1" applyFill="1" applyBorder="1" applyAlignment="1">
      <alignment horizontal="center"/>
    </xf>
    <xf numFmtId="164" fontId="17" fillId="2" borderId="19" xfId="0" applyNumberFormat="1" applyFont="1" applyFill="1" applyBorder="1" applyAlignment="1">
      <alignment horizontal="center"/>
    </xf>
    <xf numFmtId="0" fontId="17" fillId="2" borderId="1" xfId="0" applyFont="1" applyFill="1" applyBorder="1" applyAlignment="1">
      <alignment horizontal="center"/>
    </xf>
    <xf numFmtId="1" fontId="17" fillId="2" borderId="1" xfId="0" applyNumberFormat="1" applyFont="1" applyFill="1" applyBorder="1" applyAlignment="1">
      <alignment horizontal="center"/>
    </xf>
    <xf numFmtId="0" fontId="35" fillId="3" borderId="0" xfId="0" applyFont="1" applyFill="1" applyBorder="1" applyAlignment="1">
      <alignment vertical="center"/>
    </xf>
    <xf numFmtId="0" fontId="36" fillId="3" borderId="0" xfId="0" applyFont="1" applyFill="1" applyBorder="1"/>
    <xf numFmtId="0" fontId="22" fillId="3" borderId="0" xfId="0" applyFont="1" applyFill="1" applyBorder="1" applyAlignment="1">
      <alignment vertical="center"/>
    </xf>
    <xf numFmtId="0" fontId="14" fillId="2" borderId="12" xfId="0" applyFont="1" applyFill="1" applyBorder="1" applyAlignment="1">
      <alignment horizontal="center"/>
    </xf>
    <xf numFmtId="0" fontId="22" fillId="3" borderId="0" xfId="0" applyFont="1" applyFill="1" applyBorder="1" applyAlignment="1">
      <alignment horizontal="left" wrapText="1"/>
    </xf>
    <xf numFmtId="0" fontId="31" fillId="3" borderId="0" xfId="0" applyFont="1" applyFill="1" applyBorder="1"/>
    <xf numFmtId="0" fontId="0" fillId="3" borderId="2" xfId="0" applyFill="1" applyBorder="1"/>
    <xf numFmtId="0" fontId="33" fillId="3" borderId="2" xfId="0" applyFont="1" applyFill="1" applyBorder="1"/>
    <xf numFmtId="0" fontId="1" fillId="3" borderId="39" xfId="0" applyFont="1" applyFill="1" applyBorder="1" applyAlignment="1">
      <alignment horizontal="center"/>
    </xf>
    <xf numFmtId="0" fontId="1" fillId="3" borderId="2" xfId="0" applyFont="1" applyFill="1" applyBorder="1" applyAlignment="1">
      <alignment horizontal="center"/>
    </xf>
    <xf numFmtId="0" fontId="1" fillId="3" borderId="20" xfId="0" applyFont="1" applyFill="1" applyBorder="1" applyAlignment="1">
      <alignment horizontal="center"/>
    </xf>
    <xf numFmtId="0" fontId="14" fillId="2" borderId="1" xfId="0" applyFont="1" applyFill="1" applyBorder="1"/>
    <xf numFmtId="1" fontId="11" fillId="0" borderId="1" xfId="0" applyNumberFormat="1" applyFont="1" applyFill="1" applyBorder="1" applyAlignment="1">
      <alignment horizontal="center" shrinkToFit="1"/>
    </xf>
    <xf numFmtId="0" fontId="1" fillId="0" borderId="0" xfId="0" applyFont="1" applyFill="1" applyAlignment="1">
      <alignment horizontal="center"/>
    </xf>
    <xf numFmtId="0" fontId="1" fillId="0" borderId="0" xfId="0" applyFont="1" applyFill="1" applyAlignment="1"/>
    <xf numFmtId="164" fontId="22" fillId="0" borderId="1" xfId="0" applyNumberFormat="1" applyFont="1" applyFill="1" applyBorder="1" applyAlignment="1">
      <alignment horizontal="center"/>
    </xf>
    <xf numFmtId="0" fontId="22" fillId="0" borderId="1" xfId="0" applyFont="1" applyFill="1" applyBorder="1" applyAlignment="1">
      <alignment horizontal="center"/>
    </xf>
    <xf numFmtId="166" fontId="2" fillId="0" borderId="1" xfId="0" applyNumberFormat="1" applyFont="1" applyFill="1" applyBorder="1" applyAlignment="1">
      <alignment horizontal="center" shrinkToFit="1"/>
    </xf>
    <xf numFmtId="164" fontId="14" fillId="0" borderId="12" xfId="0" applyNumberFormat="1" applyFont="1" applyFill="1" applyBorder="1" applyAlignment="1">
      <alignment horizontal="center"/>
    </xf>
    <xf numFmtId="0" fontId="1" fillId="0" borderId="12" xfId="0" applyFont="1" applyFill="1" applyBorder="1" applyAlignment="1">
      <alignment horizontal="center"/>
    </xf>
    <xf numFmtId="166" fontId="7" fillId="0" borderId="12" xfId="0" applyNumberFormat="1" applyFont="1" applyFill="1" applyBorder="1" applyAlignment="1">
      <alignment horizontal="center" shrinkToFit="1"/>
    </xf>
    <xf numFmtId="166" fontId="11" fillId="0" borderId="12" xfId="0" applyNumberFormat="1" applyFont="1" applyFill="1" applyBorder="1" applyAlignment="1">
      <alignment horizontal="center" shrinkToFit="1"/>
    </xf>
    <xf numFmtId="0" fontId="7" fillId="0" borderId="12" xfId="0" applyFont="1" applyFill="1" applyBorder="1" applyAlignment="1">
      <alignment horizontal="center"/>
    </xf>
    <xf numFmtId="166" fontId="11" fillId="0" borderId="12" xfId="0" applyNumberFormat="1" applyFont="1" applyFill="1" applyBorder="1" applyAlignment="1">
      <alignment horizontal="center"/>
    </xf>
    <xf numFmtId="2" fontId="1" fillId="0" borderId="12" xfId="0" applyNumberFormat="1" applyFont="1" applyFill="1" applyBorder="1" applyAlignment="1">
      <alignment horizontal="center" shrinkToFit="1"/>
    </xf>
    <xf numFmtId="0" fontId="22" fillId="3" borderId="2" xfId="0" applyFont="1" applyFill="1" applyBorder="1"/>
    <xf numFmtId="0" fontId="33" fillId="3" borderId="0" xfId="0" applyFont="1" applyFill="1" applyBorder="1" applyAlignment="1">
      <alignment horizontal="left"/>
    </xf>
    <xf numFmtId="0" fontId="8" fillId="0" borderId="1" xfId="0" applyFont="1" applyFill="1" applyBorder="1" applyAlignment="1">
      <alignment horizontal="center"/>
    </xf>
    <xf numFmtId="164" fontId="1" fillId="0" borderId="29" xfId="0" applyNumberFormat="1" applyFont="1" applyFill="1" applyBorder="1" applyAlignment="1">
      <alignment horizontal="center"/>
    </xf>
    <xf numFmtId="0" fontId="1" fillId="0" borderId="12" xfId="0" applyFont="1" applyFill="1" applyBorder="1" applyAlignment="1"/>
    <xf numFmtId="0" fontId="1" fillId="0" borderId="1" xfId="0" applyFont="1" applyFill="1" applyBorder="1" applyAlignment="1"/>
    <xf numFmtId="1" fontId="11" fillId="0" borderId="12" xfId="0" applyNumberFormat="1" applyFont="1" applyFill="1" applyBorder="1" applyAlignment="1">
      <alignment horizontal="center"/>
    </xf>
    <xf numFmtId="0" fontId="11" fillId="0" borderId="12" xfId="0" applyFont="1" applyFill="1" applyBorder="1" applyAlignment="1">
      <alignment horizontal="center"/>
    </xf>
    <xf numFmtId="164" fontId="22" fillId="0" borderId="12" xfId="0" applyNumberFormat="1" applyFont="1" applyFill="1" applyBorder="1" applyAlignment="1">
      <alignment horizontal="center"/>
    </xf>
    <xf numFmtId="0" fontId="22" fillId="0" borderId="12" xfId="0" applyFont="1" applyFill="1" applyBorder="1" applyAlignment="1">
      <alignment horizontal="center"/>
    </xf>
    <xf numFmtId="2" fontId="1" fillId="0" borderId="12" xfId="0" applyNumberFormat="1" applyFont="1" applyFill="1" applyBorder="1" applyAlignment="1">
      <alignment horizontal="center"/>
    </xf>
    <xf numFmtId="0" fontId="14" fillId="0" borderId="12" xfId="0" applyFont="1" applyFill="1" applyBorder="1" applyAlignment="1">
      <alignment horizontal="center"/>
    </xf>
    <xf numFmtId="0" fontId="21" fillId="3" borderId="0" xfId="0" applyFont="1" applyFill="1" applyBorder="1"/>
    <xf numFmtId="0" fontId="38" fillId="2" borderId="1" xfId="0" applyFont="1" applyFill="1" applyBorder="1" applyAlignment="1">
      <alignment horizontal="center"/>
    </xf>
    <xf numFmtId="3" fontId="0" fillId="2" borderId="1" xfId="0" applyNumberFormat="1" applyFill="1" applyBorder="1" applyAlignment="1">
      <alignment horizontal="center"/>
    </xf>
    <xf numFmtId="0" fontId="0" fillId="2" borderId="1" xfId="0" applyFill="1" applyBorder="1" applyAlignment="1">
      <alignment horizontal="center"/>
    </xf>
    <xf numFmtId="0" fontId="37" fillId="3" borderId="0" xfId="0" applyFont="1" applyFill="1" applyBorder="1" applyAlignment="1">
      <alignment horizontal="center" wrapText="1"/>
    </xf>
    <xf numFmtId="0" fontId="1" fillId="3" borderId="0" xfId="0" quotePrefix="1" applyFont="1" applyFill="1" applyBorder="1" applyAlignment="1">
      <alignment horizontal="center"/>
    </xf>
    <xf numFmtId="0" fontId="37" fillId="3" borderId="0" xfId="0" applyFont="1" applyFill="1" applyBorder="1" applyAlignment="1">
      <alignment horizontal="center" vertical="center" wrapText="1"/>
    </xf>
    <xf numFmtId="0" fontId="37" fillId="3" borderId="0" xfId="0" applyFont="1" applyFill="1" applyBorder="1" applyAlignment="1">
      <alignment vertical="center"/>
    </xf>
    <xf numFmtId="0" fontId="37" fillId="3" borderId="0" xfId="0" applyFont="1" applyFill="1" applyBorder="1" applyAlignment="1">
      <alignment horizontal="center" vertical="center"/>
    </xf>
    <xf numFmtId="0" fontId="1" fillId="3" borderId="0" xfId="0" applyFont="1" applyFill="1" applyBorder="1" applyAlignment="1"/>
    <xf numFmtId="0" fontId="1" fillId="3" borderId="8" xfId="0" quotePrefix="1" applyFont="1" applyFill="1" applyBorder="1" applyAlignment="1">
      <alignment horizontal="center"/>
    </xf>
    <xf numFmtId="0" fontId="39" fillId="3" borderId="0" xfId="0" applyFont="1" applyFill="1" applyBorder="1"/>
    <xf numFmtId="165" fontId="0" fillId="3" borderId="0" xfId="0" applyNumberFormat="1" applyFill="1" applyBorder="1"/>
    <xf numFmtId="2" fontId="0" fillId="2" borderId="1" xfId="0" applyNumberFormat="1" applyFill="1" applyBorder="1" applyAlignment="1">
      <alignment horizontal="center"/>
    </xf>
    <xf numFmtId="1" fontId="0" fillId="3" borderId="0" xfId="0" applyNumberFormat="1" applyFill="1" applyBorder="1"/>
    <xf numFmtId="2" fontId="14" fillId="2" borderId="1" xfId="0" applyNumberFormat="1" applyFont="1" applyFill="1" applyBorder="1" applyAlignment="1">
      <alignment horizontal="center"/>
    </xf>
    <xf numFmtId="0" fontId="32" fillId="3" borderId="1" xfId="0" applyFont="1" applyFill="1" applyBorder="1" applyAlignment="1">
      <alignment horizontal="center"/>
    </xf>
    <xf numFmtId="0" fontId="32" fillId="3" borderId="29" xfId="0" applyFont="1" applyFill="1" applyBorder="1" applyAlignment="1">
      <alignment horizontal="center"/>
    </xf>
    <xf numFmtId="0" fontId="15" fillId="2" borderId="13" xfId="0" applyFont="1" applyFill="1" applyBorder="1"/>
    <xf numFmtId="0" fontId="14" fillId="3" borderId="14" xfId="0" applyFont="1" applyFill="1" applyBorder="1" applyAlignment="1">
      <alignment horizontal="center"/>
    </xf>
    <xf numFmtId="0" fontId="32" fillId="3" borderId="13" xfId="0" applyFont="1" applyFill="1" applyBorder="1"/>
    <xf numFmtId="2" fontId="37" fillId="0" borderId="12" xfId="0" applyNumberFormat="1" applyFont="1" applyFill="1" applyBorder="1" applyAlignment="1">
      <alignment horizontal="center" wrapText="1"/>
    </xf>
    <xf numFmtId="2" fontId="0" fillId="0" borderId="12" xfId="0" applyNumberFormat="1" applyFill="1" applyBorder="1" applyAlignment="1">
      <alignment horizontal="center"/>
    </xf>
    <xf numFmtId="2" fontId="14" fillId="0" borderId="12" xfId="0" applyNumberFormat="1" applyFont="1" applyFill="1" applyBorder="1" applyAlignment="1">
      <alignment horizontal="center"/>
    </xf>
    <xf numFmtId="2" fontId="14" fillId="0" borderId="1" xfId="0" applyNumberFormat="1" applyFont="1" applyFill="1" applyBorder="1" applyAlignment="1">
      <alignment horizontal="center"/>
    </xf>
    <xf numFmtId="2" fontId="0" fillId="0" borderId="1" xfId="0" applyNumberFormat="1" applyFill="1" applyBorder="1" applyAlignment="1">
      <alignment horizontal="center"/>
    </xf>
    <xf numFmtId="2" fontId="37" fillId="0" borderId="1" xfId="0" applyNumberFormat="1" applyFont="1" applyFill="1" applyBorder="1" applyAlignment="1">
      <alignment horizontal="center" wrapText="1"/>
    </xf>
    <xf numFmtId="0" fontId="0" fillId="3" borderId="0" xfId="0" applyFill="1"/>
    <xf numFmtId="0" fontId="37" fillId="2" borderId="13" xfId="0" applyFont="1" applyFill="1" applyBorder="1" applyAlignment="1">
      <alignment horizontal="left" vertical="center" wrapText="1"/>
    </xf>
    <xf numFmtId="0" fontId="37" fillId="2" borderId="4" xfId="0" applyFont="1" applyFill="1" applyBorder="1" applyAlignment="1">
      <alignment horizontal="left" vertical="center" wrapText="1"/>
    </xf>
    <xf numFmtId="0" fontId="37" fillId="2" borderId="16" xfId="0" applyFont="1" applyFill="1" applyBorder="1" applyAlignment="1">
      <alignment horizontal="left" vertical="center" wrapText="1"/>
    </xf>
    <xf numFmtId="0" fontId="37" fillId="2" borderId="13" xfId="0" applyFont="1" applyFill="1" applyBorder="1" applyAlignment="1">
      <alignment vertical="top" wrapText="1"/>
    </xf>
    <xf numFmtId="0" fontId="37" fillId="2" borderId="4" xfId="0" applyFont="1" applyFill="1" applyBorder="1" applyAlignment="1">
      <alignment vertical="top" wrapText="1"/>
    </xf>
    <xf numFmtId="0" fontId="37" fillId="2" borderId="16" xfId="0" applyFont="1" applyFill="1" applyBorder="1" applyAlignment="1">
      <alignment vertical="top" wrapText="1"/>
    </xf>
    <xf numFmtId="0" fontId="41" fillId="2" borderId="9" xfId="0" applyFont="1" applyFill="1" applyBorder="1" applyAlignment="1">
      <alignment horizontal="center" vertical="center" wrapText="1"/>
    </xf>
    <xf numFmtId="0" fontId="41" fillId="2" borderId="8" xfId="0" applyFont="1" applyFill="1" applyBorder="1" applyAlignment="1">
      <alignment horizontal="center" vertical="center" wrapText="1"/>
    </xf>
    <xf numFmtId="0" fontId="41" fillId="2" borderId="0" xfId="0" applyFont="1" applyFill="1" applyBorder="1" applyAlignment="1">
      <alignment vertical="center"/>
    </xf>
    <xf numFmtId="0" fontId="41" fillId="2" borderId="7" xfId="0" applyFont="1" applyFill="1" applyBorder="1" applyAlignment="1">
      <alignment vertical="center"/>
    </xf>
    <xf numFmtId="2" fontId="37" fillId="2" borderId="1" xfId="0" applyNumberFormat="1" applyFont="1" applyFill="1" applyBorder="1" applyAlignment="1">
      <alignment horizontal="center" wrapText="1"/>
    </xf>
    <xf numFmtId="0" fontId="37" fillId="2" borderId="24" xfId="0" applyFont="1" applyFill="1" applyBorder="1" applyAlignment="1">
      <alignment horizontal="center" wrapText="1"/>
    </xf>
    <xf numFmtId="0" fontId="37" fillId="2" borderId="25" xfId="0" applyFont="1" applyFill="1" applyBorder="1" applyAlignment="1">
      <alignment horizontal="center" wrapText="1"/>
    </xf>
    <xf numFmtId="2" fontId="37" fillId="2" borderId="27" xfId="0" applyNumberFormat="1" applyFont="1" applyFill="1" applyBorder="1" applyAlignment="1">
      <alignment horizontal="center" wrapText="1"/>
    </xf>
    <xf numFmtId="2" fontId="37" fillId="2" borderId="29" xfId="0" applyNumberFormat="1" applyFont="1" applyFill="1" applyBorder="1" applyAlignment="1">
      <alignment horizontal="center" wrapText="1"/>
    </xf>
    <xf numFmtId="2" fontId="37" fillId="2" borderId="30" xfId="0" applyNumberFormat="1" applyFont="1" applyFill="1" applyBorder="1" applyAlignment="1">
      <alignment horizontal="center" wrapText="1"/>
    </xf>
    <xf numFmtId="2" fontId="37" fillId="2" borderId="24" xfId="0" applyNumberFormat="1" applyFont="1" applyFill="1" applyBorder="1" applyAlignment="1">
      <alignment horizontal="center" wrapText="1"/>
    </xf>
    <xf numFmtId="2" fontId="37" fillId="2" borderId="25" xfId="0" applyNumberFormat="1" applyFont="1" applyFill="1" applyBorder="1" applyAlignment="1">
      <alignment horizontal="center" wrapText="1"/>
    </xf>
    <xf numFmtId="0" fontId="1" fillId="3" borderId="8" xfId="0" applyFont="1" applyFill="1" applyBorder="1" applyAlignment="1">
      <alignment horizontal="center"/>
    </xf>
    <xf numFmtId="0" fontId="33" fillId="0" borderId="1" xfId="0" applyFont="1" applyBorder="1" applyAlignment="1">
      <alignment horizontal="center"/>
    </xf>
    <xf numFmtId="2" fontId="33" fillId="0" borderId="1" xfId="0" applyNumberFormat="1" applyFont="1" applyBorder="1" applyAlignment="1">
      <alignment horizontal="center"/>
    </xf>
    <xf numFmtId="0" fontId="37" fillId="3" borderId="8" xfId="0" applyFont="1" applyFill="1" applyBorder="1" applyAlignment="1">
      <alignment horizontal="center" wrapText="1"/>
    </xf>
    <xf numFmtId="0" fontId="15" fillId="2" borderId="6" xfId="0" applyFont="1" applyFill="1" applyBorder="1" applyAlignment="1">
      <alignment horizontal="left" vertical="center"/>
    </xf>
    <xf numFmtId="0" fontId="15" fillId="2" borderId="38" xfId="0" applyFont="1" applyFill="1" applyBorder="1" applyAlignment="1">
      <alignment horizontal="left" vertical="center"/>
    </xf>
    <xf numFmtId="0" fontId="32" fillId="0" borderId="0" xfId="0" applyFont="1"/>
    <xf numFmtId="0" fontId="32" fillId="0" borderId="1" xfId="0" applyFont="1" applyBorder="1"/>
    <xf numFmtId="1" fontId="32" fillId="0" borderId="1" xfId="0" applyNumberFormat="1" applyFont="1" applyFill="1" applyBorder="1" applyAlignment="1">
      <alignment horizontal="center"/>
    </xf>
    <xf numFmtId="0" fontId="14" fillId="2" borderId="0" xfId="0" applyFont="1" applyFill="1" applyBorder="1" applyAlignment="1">
      <alignment horizontal="left"/>
    </xf>
    <xf numFmtId="0" fontId="14" fillId="2" borderId="0" xfId="0" applyFont="1" applyFill="1" applyBorder="1" applyAlignment="1">
      <alignment horizontal="center"/>
    </xf>
    <xf numFmtId="0" fontId="32" fillId="0" borderId="0" xfId="0" applyFont="1" applyFill="1" applyBorder="1"/>
    <xf numFmtId="0" fontId="26" fillId="2" borderId="0" xfId="0" applyFont="1" applyFill="1" applyBorder="1"/>
    <xf numFmtId="0" fontId="27" fillId="2" borderId="0" xfId="0" quotePrefix="1" applyFont="1" applyFill="1" applyBorder="1" applyAlignment="1">
      <alignment horizontal="left"/>
    </xf>
    <xf numFmtId="0" fontId="14" fillId="2" borderId="14" xfId="0" applyFont="1" applyFill="1" applyBorder="1"/>
    <xf numFmtId="0" fontId="14" fillId="2" borderId="15" xfId="0" applyFont="1" applyFill="1" applyBorder="1"/>
    <xf numFmtId="165" fontId="14" fillId="2" borderId="10" xfId="0" applyNumberFormat="1" applyFont="1" applyFill="1" applyBorder="1" applyAlignment="1">
      <alignment horizontal="center"/>
    </xf>
    <xf numFmtId="0" fontId="44" fillId="0" borderId="1" xfId="0" applyFont="1" applyFill="1" applyBorder="1" applyAlignment="1">
      <alignment horizontal="center"/>
    </xf>
    <xf numFmtId="0" fontId="44" fillId="0" borderId="0" xfId="0" applyFont="1" applyFill="1" applyBorder="1" applyAlignment="1">
      <alignment horizontal="center"/>
    </xf>
    <xf numFmtId="0" fontId="44" fillId="0" borderId="0" xfId="0" applyFont="1" applyFill="1" applyAlignment="1">
      <alignment horizontal="center"/>
    </xf>
    <xf numFmtId="164" fontId="44" fillId="0" borderId="1" xfId="0" applyNumberFormat="1" applyFont="1" applyFill="1" applyBorder="1" applyAlignment="1">
      <alignment horizontal="center"/>
    </xf>
    <xf numFmtId="0" fontId="44" fillId="0" borderId="1" xfId="0" applyFont="1" applyFill="1" applyBorder="1"/>
    <xf numFmtId="0" fontId="52" fillId="0" borderId="1" xfId="0" applyFont="1" applyFill="1" applyBorder="1"/>
    <xf numFmtId="0" fontId="44" fillId="0" borderId="1" xfId="0" applyFont="1" applyFill="1" applyBorder="1" applyAlignment="1">
      <alignment vertical="center" wrapText="1"/>
    </xf>
    <xf numFmtId="164" fontId="52" fillId="0" borderId="1" xfId="0" applyNumberFormat="1" applyFont="1" applyFill="1" applyBorder="1" applyAlignment="1">
      <alignment horizontal="left"/>
    </xf>
    <xf numFmtId="0" fontId="44" fillId="0" borderId="1" xfId="0" applyFont="1" applyFill="1" applyBorder="1" applyAlignment="1">
      <alignment vertical="center"/>
    </xf>
    <xf numFmtId="0" fontId="44" fillId="0" borderId="1" xfId="0" quotePrefix="1" applyFont="1" applyFill="1" applyBorder="1" applyAlignment="1">
      <alignment horizontal="center"/>
    </xf>
    <xf numFmtId="0" fontId="32" fillId="0" borderId="1" xfId="0" applyFont="1" applyFill="1" applyBorder="1" applyAlignment="1">
      <alignment horizontal="center"/>
    </xf>
    <xf numFmtId="1" fontId="44" fillId="0" borderId="1" xfId="0" applyNumberFormat="1" applyFont="1" applyFill="1" applyBorder="1" applyAlignment="1">
      <alignment horizontal="center"/>
    </xf>
    <xf numFmtId="164" fontId="32" fillId="0" borderId="1" xfId="0" applyNumberFormat="1" applyFont="1" applyFill="1" applyBorder="1" applyAlignment="1">
      <alignment horizontal="center"/>
    </xf>
    <xf numFmtId="0" fontId="15" fillId="2" borderId="2" xfId="0" applyFont="1" applyFill="1" applyBorder="1"/>
    <xf numFmtId="0" fontId="14" fillId="2" borderId="2" xfId="0" applyFont="1" applyFill="1" applyBorder="1" applyAlignment="1">
      <alignment horizontal="center"/>
    </xf>
    <xf numFmtId="0" fontId="14" fillId="2" borderId="21" xfId="0" applyFont="1" applyFill="1" applyBorder="1" applyAlignment="1">
      <alignment horizontal="center"/>
    </xf>
    <xf numFmtId="0" fontId="32" fillId="2" borderId="1" xfId="0" applyFont="1" applyFill="1" applyBorder="1" applyAlignment="1">
      <alignment horizontal="center"/>
    </xf>
    <xf numFmtId="164" fontId="44" fillId="0" borderId="12" xfId="0" applyNumberFormat="1" applyFont="1" applyFill="1" applyBorder="1" applyAlignment="1">
      <alignment horizontal="center"/>
    </xf>
    <xf numFmtId="0" fontId="32" fillId="3" borderId="0" xfId="0" applyFont="1" applyFill="1" applyBorder="1"/>
    <xf numFmtId="0" fontId="32" fillId="3" borderId="16" xfId="0" applyFont="1" applyFill="1" applyBorder="1"/>
    <xf numFmtId="0" fontId="44" fillId="3" borderId="3" xfId="0" applyFont="1" applyFill="1" applyBorder="1"/>
    <xf numFmtId="0" fontId="32" fillId="3" borderId="3" xfId="0" applyFont="1" applyFill="1" applyBorder="1"/>
    <xf numFmtId="0" fontId="32" fillId="2" borderId="4" xfId="0" applyFont="1" applyFill="1" applyBorder="1"/>
    <xf numFmtId="0" fontId="32" fillId="2" borderId="0" xfId="0" applyFont="1" applyFill="1" applyBorder="1" applyAlignment="1">
      <alignment horizontal="center"/>
    </xf>
    <xf numFmtId="0" fontId="32" fillId="2" borderId="3" xfId="0" applyFont="1" applyFill="1" applyBorder="1"/>
    <xf numFmtId="0" fontId="15" fillId="2" borderId="21" xfId="0" applyFont="1" applyFill="1" applyBorder="1"/>
    <xf numFmtId="0" fontId="44" fillId="2" borderId="3" xfId="0" applyFont="1" applyFill="1" applyBorder="1"/>
    <xf numFmtId="0" fontId="58" fillId="2" borderId="0" xfId="0" applyFont="1" applyFill="1" applyBorder="1" applyAlignment="1">
      <alignment horizontal="left"/>
    </xf>
    <xf numFmtId="3" fontId="14" fillId="3" borderId="0" xfId="0" applyNumberFormat="1" applyFont="1" applyFill="1" applyBorder="1" applyAlignment="1">
      <alignment horizontal="center"/>
    </xf>
    <xf numFmtId="0" fontId="46" fillId="2" borderId="16" xfId="0" applyFont="1" applyFill="1" applyBorder="1"/>
    <xf numFmtId="0" fontId="18" fillId="2" borderId="10" xfId="0" applyFont="1" applyFill="1" applyBorder="1" applyAlignment="1">
      <alignment horizontal="center"/>
    </xf>
    <xf numFmtId="0" fontId="18" fillId="2" borderId="10" xfId="0" applyFont="1" applyFill="1" applyBorder="1"/>
    <xf numFmtId="0" fontId="18" fillId="2" borderId="17" xfId="0" applyFont="1" applyFill="1" applyBorder="1"/>
    <xf numFmtId="0" fontId="32" fillId="2" borderId="13" xfId="0" applyFont="1" applyFill="1" applyBorder="1"/>
    <xf numFmtId="0" fontId="18" fillId="2" borderId="14" xfId="0" applyFont="1" applyFill="1" applyBorder="1" applyAlignment="1">
      <alignment horizontal="center"/>
    </xf>
    <xf numFmtId="0" fontId="18" fillId="2" borderId="14" xfId="0" applyFont="1" applyFill="1" applyBorder="1"/>
    <xf numFmtId="0" fontId="18" fillId="2" borderId="15" xfId="0" applyFont="1" applyFill="1" applyBorder="1"/>
    <xf numFmtId="0" fontId="32" fillId="2" borderId="26" xfId="0" applyFont="1" applyFill="1" applyBorder="1"/>
    <xf numFmtId="0" fontId="32" fillId="2" borderId="4" xfId="0" applyFont="1" applyFill="1" applyBorder="1" applyAlignment="1">
      <alignment horizontal="left"/>
    </xf>
    <xf numFmtId="0" fontId="32" fillId="2" borderId="16" xfId="0" applyFont="1" applyFill="1" applyBorder="1"/>
    <xf numFmtId="0" fontId="14" fillId="2" borderId="10" xfId="0" applyFont="1" applyFill="1" applyBorder="1" applyAlignment="1">
      <alignment horizontal="center"/>
    </xf>
    <xf numFmtId="0" fontId="46" fillId="2" borderId="5" xfId="0" applyFont="1" applyFill="1" applyBorder="1" applyAlignment="1">
      <alignment horizontal="left"/>
    </xf>
    <xf numFmtId="0" fontId="59" fillId="3" borderId="0" xfId="0" applyFont="1" applyFill="1" applyBorder="1"/>
    <xf numFmtId="1" fontId="0" fillId="0" borderId="1" xfId="0" applyNumberFormat="1" applyFill="1" applyBorder="1"/>
    <xf numFmtId="1" fontId="0" fillId="0" borderId="12" xfId="0" applyNumberFormat="1" applyFill="1" applyBorder="1"/>
    <xf numFmtId="0" fontId="0" fillId="0" borderId="1" xfId="0" applyFill="1" applyBorder="1" applyAlignment="1">
      <alignment horizontal="center"/>
    </xf>
    <xf numFmtId="0" fontId="0" fillId="0" borderId="12" xfId="0" applyFill="1" applyBorder="1" applyAlignment="1">
      <alignment horizontal="center"/>
    </xf>
    <xf numFmtId="0" fontId="32" fillId="0" borderId="1" xfId="0" applyFont="1" applyFill="1" applyBorder="1" applyAlignment="1">
      <alignment horizontal="left"/>
    </xf>
    <xf numFmtId="0" fontId="33" fillId="0" borderId="0" xfId="0" applyFont="1" applyFill="1" applyBorder="1"/>
    <xf numFmtId="0" fontId="42" fillId="0" borderId="0" xfId="0" applyFont="1" applyFill="1" applyBorder="1"/>
    <xf numFmtId="0" fontId="33" fillId="0" borderId="0" xfId="0" applyFont="1" applyFill="1" applyBorder="1" applyAlignment="1">
      <alignment horizontal="center"/>
    </xf>
    <xf numFmtId="2" fontId="33" fillId="0" borderId="0" xfId="0" applyNumberFormat="1" applyFont="1" applyFill="1" applyBorder="1" applyAlignment="1">
      <alignment horizontal="center"/>
    </xf>
    <xf numFmtId="0" fontId="32" fillId="0" borderId="0" xfId="0" applyFont="1" applyAlignment="1">
      <alignment horizontal="center"/>
    </xf>
    <xf numFmtId="164" fontId="0" fillId="0" borderId="12" xfId="0" applyNumberFormat="1" applyFill="1" applyBorder="1" applyAlignment="1">
      <alignment horizontal="center"/>
    </xf>
    <xf numFmtId="0" fontId="50" fillId="3" borderId="0" xfId="0" applyFont="1" applyFill="1" applyBorder="1" applyAlignment="1">
      <alignment horizontal="left"/>
    </xf>
    <xf numFmtId="0" fontId="32" fillId="3" borderId="0" xfId="0" applyFont="1" applyFill="1" applyBorder="1" applyAlignment="1">
      <alignment horizontal="left"/>
    </xf>
    <xf numFmtId="1" fontId="32" fillId="0" borderId="29" xfId="0" applyNumberFormat="1" applyFont="1" applyFill="1" applyBorder="1" applyAlignment="1">
      <alignment horizontal="center"/>
    </xf>
    <xf numFmtId="0" fontId="32" fillId="2" borderId="14" xfId="0" applyFont="1" applyFill="1" applyBorder="1" applyAlignment="1">
      <alignment horizontal="center"/>
    </xf>
    <xf numFmtId="1" fontId="32" fillId="2" borderId="1" xfId="0" applyNumberFormat="1" applyFont="1" applyFill="1" applyBorder="1" applyAlignment="1">
      <alignment horizontal="center"/>
    </xf>
    <xf numFmtId="1" fontId="14" fillId="2" borderId="0" xfId="0" applyNumberFormat="1" applyFont="1" applyFill="1" applyBorder="1" applyAlignment="1">
      <alignment horizontal="center"/>
    </xf>
    <xf numFmtId="1" fontId="15" fillId="2" borderId="0" xfId="0" applyNumberFormat="1" applyFont="1" applyFill="1" applyBorder="1"/>
    <xf numFmtId="1" fontId="32" fillId="2" borderId="0" xfId="0" applyNumberFormat="1" applyFont="1" applyFill="1" applyBorder="1" applyAlignment="1">
      <alignment horizontal="center"/>
    </xf>
    <xf numFmtId="3" fontId="11" fillId="0" borderId="12" xfId="0" applyNumberFormat="1" applyFont="1" applyFill="1" applyBorder="1" applyAlignment="1">
      <alignment horizontal="center" shrinkToFit="1"/>
    </xf>
    <xf numFmtId="1" fontId="0" fillId="0" borderId="12" xfId="0" applyNumberFormat="1" applyFill="1" applyBorder="1" applyAlignment="1">
      <alignment horizontal="center"/>
    </xf>
    <xf numFmtId="0" fontId="53" fillId="3" borderId="0" xfId="0" applyFont="1" applyFill="1"/>
    <xf numFmtId="0" fontId="32" fillId="2" borderId="1" xfId="0" applyFont="1" applyFill="1" applyBorder="1" applyAlignment="1">
      <alignment horizontal="left"/>
    </xf>
    <xf numFmtId="0" fontId="32" fillId="2" borderId="11" xfId="0" applyFont="1" applyFill="1" applyBorder="1" applyAlignment="1">
      <alignment horizontal="center"/>
    </xf>
    <xf numFmtId="0" fontId="65" fillId="3" borderId="0" xfId="0" applyFont="1" applyFill="1"/>
    <xf numFmtId="164" fontId="32" fillId="2" borderId="1" xfId="0" applyNumberFormat="1" applyFont="1" applyFill="1" applyBorder="1" applyAlignment="1">
      <alignment horizontal="center"/>
    </xf>
    <xf numFmtId="0" fontId="61" fillId="3" borderId="0" xfId="0" applyFont="1" applyFill="1" applyBorder="1"/>
    <xf numFmtId="0" fontId="32" fillId="3" borderId="2" xfId="0" applyFont="1" applyFill="1" applyBorder="1"/>
    <xf numFmtId="0" fontId="32" fillId="3" borderId="21" xfId="0" applyFont="1" applyFill="1" applyBorder="1"/>
    <xf numFmtId="0" fontId="32" fillId="3" borderId="7" xfId="0" applyFont="1" applyFill="1" applyBorder="1"/>
    <xf numFmtId="0" fontId="14" fillId="3" borderId="2" xfId="0" applyFont="1" applyFill="1" applyBorder="1"/>
    <xf numFmtId="0" fontId="14" fillId="3" borderId="21" xfId="0" applyFont="1" applyFill="1" applyBorder="1"/>
    <xf numFmtId="0" fontId="32" fillId="3" borderId="0" xfId="0" applyFont="1" applyFill="1"/>
    <xf numFmtId="0" fontId="32" fillId="2" borderId="1" xfId="0" applyFont="1" applyFill="1" applyBorder="1"/>
    <xf numFmtId="0" fontId="32" fillId="3" borderId="0" xfId="0" applyFont="1" applyFill="1" applyAlignment="1">
      <alignment horizontal="center"/>
    </xf>
    <xf numFmtId="3" fontId="32" fillId="2" borderId="1" xfId="0" applyNumberFormat="1" applyFont="1" applyFill="1" applyBorder="1" applyAlignment="1">
      <alignment horizontal="center"/>
    </xf>
    <xf numFmtId="0" fontId="32" fillId="3" borderId="4" xfId="0" applyFont="1" applyFill="1" applyBorder="1" applyAlignment="1">
      <alignment horizontal="center"/>
    </xf>
    <xf numFmtId="0" fontId="32" fillId="2" borderId="19" xfId="0" applyFont="1" applyFill="1" applyBorder="1" applyAlignment="1">
      <alignment horizontal="center"/>
    </xf>
    <xf numFmtId="0" fontId="32" fillId="2" borderId="12" xfId="0" applyFont="1" applyFill="1" applyBorder="1"/>
    <xf numFmtId="0" fontId="32" fillId="0" borderId="24" xfId="0" applyFont="1" applyFill="1" applyBorder="1" applyAlignment="1">
      <alignment horizontal="left"/>
    </xf>
    <xf numFmtId="0" fontId="32" fillId="2" borderId="24" xfId="0" applyFont="1" applyFill="1" applyBorder="1"/>
    <xf numFmtId="0" fontId="32" fillId="2" borderId="29" xfId="0" applyFont="1" applyFill="1" applyBorder="1"/>
    <xf numFmtId="0" fontId="32" fillId="2" borderId="12" xfId="0" applyFont="1" applyFill="1" applyBorder="1" applyAlignment="1">
      <alignment horizontal="left" vertical="top"/>
    </xf>
    <xf numFmtId="0" fontId="66" fillId="3" borderId="0" xfId="0" applyFont="1" applyFill="1"/>
    <xf numFmtId="0" fontId="32" fillId="9" borderId="60" xfId="0" applyFont="1" applyFill="1" applyBorder="1"/>
    <xf numFmtId="0" fontId="32" fillId="9" borderId="22" xfId="0" applyFont="1" applyFill="1" applyBorder="1"/>
    <xf numFmtId="0" fontId="15" fillId="9" borderId="22" xfId="0" applyFont="1" applyFill="1" applyBorder="1"/>
    <xf numFmtId="0" fontId="15" fillId="9" borderId="34" xfId="0" applyFont="1" applyFill="1" applyBorder="1"/>
    <xf numFmtId="0" fontId="32" fillId="9" borderId="9" xfId="0" quotePrefix="1" applyFont="1" applyFill="1" applyBorder="1"/>
    <xf numFmtId="0" fontId="32" fillId="9" borderId="0" xfId="0" applyFont="1" applyFill="1" applyBorder="1"/>
    <xf numFmtId="0" fontId="32" fillId="9" borderId="0" xfId="0" quotePrefix="1" applyFont="1" applyFill="1" applyBorder="1"/>
    <xf numFmtId="0" fontId="15" fillId="9" borderId="0" xfId="0" applyFont="1" applyFill="1" applyBorder="1"/>
    <xf numFmtId="0" fontId="15" fillId="9" borderId="8" xfId="0" applyFont="1" applyFill="1" applyBorder="1"/>
    <xf numFmtId="0" fontId="32" fillId="9" borderId="0" xfId="0" applyFont="1" applyFill="1" applyBorder="1" applyAlignment="1">
      <alignment horizontal="left"/>
    </xf>
    <xf numFmtId="0" fontId="32" fillId="9" borderId="9" xfId="0" applyFont="1" applyFill="1" applyBorder="1"/>
    <xf numFmtId="0" fontId="32" fillId="9" borderId="39" xfId="0" quotePrefix="1" applyFont="1" applyFill="1" applyBorder="1"/>
    <xf numFmtId="0" fontId="15" fillId="9" borderId="2" xfId="0" applyFont="1" applyFill="1" applyBorder="1"/>
    <xf numFmtId="0" fontId="15" fillId="9" borderId="20" xfId="0" applyFont="1" applyFill="1" applyBorder="1"/>
    <xf numFmtId="0" fontId="32" fillId="9" borderId="2" xfId="0" applyFont="1" applyFill="1" applyBorder="1"/>
    <xf numFmtId="0" fontId="32" fillId="2" borderId="60" xfId="0" applyFont="1" applyFill="1" applyBorder="1" applyAlignment="1">
      <alignment horizontal="left"/>
    </xf>
    <xf numFmtId="0" fontId="32" fillId="2" borderId="22" xfId="0" applyFont="1" applyFill="1" applyBorder="1" applyAlignment="1">
      <alignment horizontal="left"/>
    </xf>
    <xf numFmtId="0" fontId="14" fillId="2" borderId="12" xfId="0" applyFont="1" applyFill="1" applyBorder="1"/>
    <xf numFmtId="0" fontId="15" fillId="2" borderId="12" xfId="0" applyFont="1" applyFill="1" applyBorder="1"/>
    <xf numFmtId="0" fontId="32" fillId="0" borderId="29" xfId="0" applyFont="1" applyFill="1" applyBorder="1" applyAlignment="1">
      <alignment horizontal="left"/>
    </xf>
    <xf numFmtId="0" fontId="32" fillId="2" borderId="12" xfId="0" applyFont="1" applyFill="1" applyBorder="1" applyAlignment="1">
      <alignment horizontal="left" vertical="top"/>
    </xf>
    <xf numFmtId="0" fontId="32" fillId="9" borderId="0" xfId="0" applyFont="1" applyFill="1"/>
    <xf numFmtId="1" fontId="32" fillId="0" borderId="24" xfId="0" applyNumberFormat="1" applyFont="1" applyFill="1" applyBorder="1" applyAlignment="1">
      <alignment horizontal="center"/>
    </xf>
    <xf numFmtId="0" fontId="32" fillId="2" borderId="22" xfId="0" applyFont="1" applyFill="1" applyBorder="1" applyAlignment="1">
      <alignment horizontal="right"/>
    </xf>
    <xf numFmtId="0" fontId="32" fillId="2" borderId="12" xfId="0" applyFont="1" applyFill="1" applyBorder="1" applyAlignment="1">
      <alignment horizontal="left" vertical="top"/>
    </xf>
    <xf numFmtId="0" fontId="32" fillId="2" borderId="12" xfId="0" applyFont="1" applyFill="1" applyBorder="1" applyAlignment="1">
      <alignment horizontal="center"/>
    </xf>
    <xf numFmtId="0" fontId="32" fillId="2" borderId="24" xfId="0" applyFont="1" applyFill="1" applyBorder="1" applyAlignment="1">
      <alignment horizontal="center"/>
    </xf>
    <xf numFmtId="0" fontId="32" fillId="2" borderId="25" xfId="0" applyFont="1" applyFill="1" applyBorder="1" applyAlignment="1">
      <alignment horizontal="center"/>
    </xf>
    <xf numFmtId="0" fontId="32" fillId="2" borderId="27" xfId="0" applyFont="1" applyFill="1" applyBorder="1" applyAlignment="1">
      <alignment horizontal="center"/>
    </xf>
    <xf numFmtId="0" fontId="32" fillId="2" borderId="29" xfId="0" applyFont="1" applyFill="1" applyBorder="1" applyAlignment="1">
      <alignment horizontal="center"/>
    </xf>
    <xf numFmtId="0" fontId="32" fillId="2" borderId="30" xfId="0" applyFont="1" applyFill="1" applyBorder="1" applyAlignment="1">
      <alignment horizontal="center"/>
    </xf>
    <xf numFmtId="164" fontId="32" fillId="2" borderId="24" xfId="0" applyNumberFormat="1" applyFont="1" applyFill="1" applyBorder="1" applyAlignment="1">
      <alignment horizontal="center"/>
    </xf>
    <xf numFmtId="164" fontId="32" fillId="2" borderId="25" xfId="0" applyNumberFormat="1" applyFont="1" applyFill="1" applyBorder="1" applyAlignment="1">
      <alignment horizontal="center"/>
    </xf>
    <xf numFmtId="164" fontId="32" fillId="2" borderId="27" xfId="0" applyNumberFormat="1" applyFont="1" applyFill="1" applyBorder="1" applyAlignment="1">
      <alignment horizontal="center"/>
    </xf>
    <xf numFmtId="164" fontId="32" fillId="2" borderId="29" xfId="0" applyNumberFormat="1" applyFont="1" applyFill="1" applyBorder="1" applyAlignment="1">
      <alignment horizontal="center"/>
    </xf>
    <xf numFmtId="164" fontId="32" fillId="2" borderId="30" xfId="0" applyNumberFormat="1" applyFont="1" applyFill="1" applyBorder="1" applyAlignment="1">
      <alignment horizontal="center"/>
    </xf>
    <xf numFmtId="164" fontId="32" fillId="2" borderId="12" xfId="0" applyNumberFormat="1" applyFont="1" applyFill="1" applyBorder="1" applyAlignment="1">
      <alignment horizontal="center"/>
    </xf>
    <xf numFmtId="164" fontId="32" fillId="2" borderId="48" xfId="0" applyNumberFormat="1" applyFont="1" applyFill="1" applyBorder="1" applyAlignment="1">
      <alignment horizontal="center"/>
    </xf>
    <xf numFmtId="164" fontId="32" fillId="2" borderId="49" xfId="0" applyNumberFormat="1" applyFont="1" applyFill="1" applyBorder="1" applyAlignment="1">
      <alignment horizontal="center"/>
    </xf>
    <xf numFmtId="1" fontId="32" fillId="2" borderId="24" xfId="0" applyNumberFormat="1" applyFont="1" applyFill="1" applyBorder="1" applyAlignment="1">
      <alignment horizontal="center"/>
    </xf>
    <xf numFmtId="1" fontId="32" fillId="2" borderId="25" xfId="0" applyNumberFormat="1" applyFont="1" applyFill="1" applyBorder="1" applyAlignment="1">
      <alignment horizontal="center"/>
    </xf>
    <xf numFmtId="0" fontId="32" fillId="2" borderId="12" xfId="0" applyFont="1" applyFill="1" applyBorder="1" applyAlignment="1">
      <alignment horizontal="left" vertical="top"/>
    </xf>
    <xf numFmtId="0" fontId="32" fillId="2" borderId="19" xfId="0" applyFont="1" applyFill="1" applyBorder="1" applyAlignment="1">
      <alignment horizontal="left"/>
    </xf>
    <xf numFmtId="0" fontId="32" fillId="2" borderId="19" xfId="0" applyFont="1" applyFill="1" applyBorder="1" applyAlignment="1">
      <alignment horizontal="right"/>
    </xf>
    <xf numFmtId="1" fontId="32" fillId="2" borderId="29" xfId="0" applyNumberFormat="1" applyFont="1" applyFill="1" applyBorder="1" applyAlignment="1">
      <alignment horizontal="center"/>
    </xf>
    <xf numFmtId="0" fontId="15" fillId="3" borderId="37" xfId="0" applyFont="1" applyFill="1" applyBorder="1"/>
    <xf numFmtId="1" fontId="32" fillId="3" borderId="29" xfId="0" applyNumberFormat="1" applyFont="1" applyFill="1" applyBorder="1" applyAlignment="1">
      <alignment horizontal="center"/>
    </xf>
    <xf numFmtId="0" fontId="32" fillId="3" borderId="12" xfId="0" applyFont="1" applyFill="1" applyBorder="1" applyAlignment="1">
      <alignment horizontal="center"/>
    </xf>
    <xf numFmtId="0" fontId="32" fillId="3" borderId="32" xfId="0" applyFont="1" applyFill="1" applyBorder="1" applyAlignment="1">
      <alignment horizontal="left"/>
    </xf>
    <xf numFmtId="0" fontId="32" fillId="2" borderId="32" xfId="0" applyFont="1" applyFill="1" applyBorder="1" applyAlignment="1">
      <alignment horizontal="left"/>
    </xf>
    <xf numFmtId="0" fontId="32" fillId="3" borderId="34" xfId="0" applyFont="1" applyFill="1" applyBorder="1" applyAlignment="1">
      <alignment horizontal="center"/>
    </xf>
    <xf numFmtId="164" fontId="32" fillId="3" borderId="24" xfId="0" applyNumberFormat="1" applyFont="1" applyFill="1" applyBorder="1" applyAlignment="1">
      <alignment horizontal="center"/>
    </xf>
    <xf numFmtId="164" fontId="32" fillId="3" borderId="48" xfId="0" applyNumberFormat="1" applyFont="1" applyFill="1" applyBorder="1" applyAlignment="1">
      <alignment horizontal="center"/>
    </xf>
    <xf numFmtId="164" fontId="32" fillId="3" borderId="12" xfId="0" applyNumberFormat="1" applyFont="1" applyFill="1" applyBorder="1" applyAlignment="1">
      <alignment horizontal="center"/>
    </xf>
    <xf numFmtId="164" fontId="32" fillId="3" borderId="1" xfId="0" applyNumberFormat="1" applyFont="1" applyFill="1" applyBorder="1" applyAlignment="1">
      <alignment horizontal="center"/>
    </xf>
    <xf numFmtId="0" fontId="32" fillId="3" borderId="19" xfId="0" applyFont="1" applyFill="1" applyBorder="1" applyAlignment="1">
      <alignment horizontal="center"/>
    </xf>
    <xf numFmtId="0" fontId="68" fillId="3" borderId="0" xfId="0" applyFont="1" applyFill="1" applyAlignment="1">
      <alignment horizontal="left"/>
    </xf>
    <xf numFmtId="164" fontId="32" fillId="3" borderId="55" xfId="0" applyNumberFormat="1" applyFont="1" applyFill="1" applyBorder="1" applyAlignment="1">
      <alignment horizontal="center"/>
    </xf>
    <xf numFmtId="0" fontId="32" fillId="3" borderId="14" xfId="0" applyFont="1" applyFill="1" applyBorder="1"/>
    <xf numFmtId="0" fontId="32" fillId="3" borderId="15" xfId="0" applyFont="1" applyFill="1" applyBorder="1"/>
    <xf numFmtId="0" fontId="69" fillId="3" borderId="0" xfId="0" applyFont="1" applyFill="1" applyBorder="1"/>
    <xf numFmtId="0" fontId="52" fillId="3" borderId="0" xfId="0" applyFont="1" applyFill="1" applyBorder="1"/>
    <xf numFmtId="0" fontId="32" fillId="3" borderId="10" xfId="0" applyFont="1" applyFill="1" applyBorder="1"/>
    <xf numFmtId="0" fontId="32" fillId="3" borderId="17" xfId="0" applyFont="1" applyFill="1" applyBorder="1"/>
    <xf numFmtId="0" fontId="32" fillId="2" borderId="46" xfId="0" applyFont="1" applyFill="1" applyBorder="1" applyAlignment="1">
      <alignment horizontal="left" vertical="top"/>
    </xf>
    <xf numFmtId="0" fontId="32" fillId="2" borderId="51" xfId="0" applyFont="1" applyFill="1" applyBorder="1" applyAlignment="1">
      <alignment horizontal="left" vertical="top"/>
    </xf>
    <xf numFmtId="0" fontId="32" fillId="2" borderId="45" xfId="0" applyFont="1" applyFill="1" applyBorder="1" applyAlignment="1">
      <alignment horizontal="left" vertical="top"/>
    </xf>
    <xf numFmtId="0" fontId="32" fillId="2" borderId="46" xfId="0" applyFont="1" applyFill="1" applyBorder="1" applyAlignment="1">
      <alignment horizontal="left" vertical="top"/>
    </xf>
    <xf numFmtId="0" fontId="32" fillId="2" borderId="51" xfId="0" applyFont="1" applyFill="1" applyBorder="1" applyAlignment="1">
      <alignment horizontal="left" vertical="top"/>
    </xf>
    <xf numFmtId="165" fontId="32" fillId="2" borderId="1" xfId="0" applyNumberFormat="1" applyFont="1" applyFill="1" applyBorder="1" applyAlignment="1">
      <alignment horizontal="center"/>
    </xf>
    <xf numFmtId="165" fontId="32" fillId="2" borderId="24" xfId="0" applyNumberFormat="1" applyFont="1" applyFill="1" applyBorder="1" applyAlignment="1">
      <alignment horizontal="center"/>
    </xf>
    <xf numFmtId="165" fontId="32" fillId="2" borderId="29" xfId="0" applyNumberFormat="1" applyFont="1" applyFill="1" applyBorder="1" applyAlignment="1">
      <alignment horizontal="center"/>
    </xf>
    <xf numFmtId="165" fontId="15" fillId="2" borderId="12" xfId="0" applyNumberFormat="1" applyFont="1" applyFill="1" applyBorder="1"/>
    <xf numFmtId="165" fontId="15" fillId="3" borderId="0" xfId="0" applyNumberFormat="1" applyFont="1" applyFill="1"/>
    <xf numFmtId="165" fontId="32" fillId="2" borderId="19" xfId="0" applyNumberFormat="1" applyFont="1" applyFill="1" applyBorder="1" applyAlignment="1">
      <alignment horizontal="center"/>
    </xf>
    <xf numFmtId="0" fontId="15" fillId="2" borderId="1" xfId="0" applyFont="1" applyFill="1" applyBorder="1"/>
    <xf numFmtId="0" fontId="15" fillId="2" borderId="24" xfId="0" applyFont="1" applyFill="1" applyBorder="1"/>
    <xf numFmtId="0" fontId="15" fillId="2" borderId="29" xfId="0" applyFont="1" applyFill="1" applyBorder="1"/>
    <xf numFmtId="164" fontId="32" fillId="3" borderId="25" xfId="0" applyNumberFormat="1" applyFont="1" applyFill="1" applyBorder="1" applyAlignment="1">
      <alignment horizontal="center"/>
    </xf>
    <xf numFmtId="164" fontId="32" fillId="0" borderId="24" xfId="0" applyNumberFormat="1" applyFont="1" applyFill="1" applyBorder="1" applyAlignment="1">
      <alignment horizontal="center"/>
    </xf>
    <xf numFmtId="164" fontId="32" fillId="0" borderId="25" xfId="0" applyNumberFormat="1" applyFont="1" applyFill="1" applyBorder="1" applyAlignment="1">
      <alignment horizontal="center"/>
    </xf>
    <xf numFmtId="0" fontId="32" fillId="2" borderId="34" xfId="0" applyFont="1" applyFill="1" applyBorder="1" applyAlignment="1">
      <alignment horizontal="center"/>
    </xf>
    <xf numFmtId="0" fontId="32" fillId="2" borderId="12" xfId="0" applyFont="1" applyFill="1" applyBorder="1" applyAlignment="1">
      <alignment horizontal="left"/>
    </xf>
    <xf numFmtId="0" fontId="32" fillId="2" borderId="23" xfId="0" applyFont="1" applyFill="1" applyBorder="1" applyAlignment="1">
      <alignment horizontal="left"/>
    </xf>
    <xf numFmtId="0" fontId="32" fillId="2" borderId="31" xfId="0" applyFont="1" applyFill="1" applyBorder="1" applyAlignment="1">
      <alignment horizontal="center"/>
    </xf>
    <xf numFmtId="0" fontId="32" fillId="2" borderId="26" xfId="0" applyFont="1" applyFill="1" applyBorder="1" applyAlignment="1">
      <alignment horizontal="left"/>
    </xf>
    <xf numFmtId="0" fontId="32" fillId="2" borderId="28" xfId="0" applyFont="1" applyFill="1" applyBorder="1" applyAlignment="1">
      <alignment horizontal="left"/>
    </xf>
    <xf numFmtId="165" fontId="15" fillId="3" borderId="0" xfId="0" applyNumberFormat="1" applyFont="1" applyFill="1" applyAlignment="1">
      <alignment horizontal="center"/>
    </xf>
    <xf numFmtId="0" fontId="14" fillId="3" borderId="10" xfId="0" applyFont="1" applyFill="1" applyBorder="1" applyAlignment="1">
      <alignment horizontal="center"/>
    </xf>
    <xf numFmtId="0" fontId="32" fillId="3" borderId="0" xfId="0" applyFont="1" applyFill="1" applyBorder="1" applyAlignment="1">
      <alignment horizontal="center" wrapText="1"/>
    </xf>
    <xf numFmtId="0" fontId="32" fillId="3" borderId="0" xfId="0" applyFont="1" applyFill="1" applyBorder="1" applyAlignment="1">
      <alignment horizontal="center"/>
    </xf>
    <xf numFmtId="0" fontId="15" fillId="3" borderId="0" xfId="0" applyFont="1" applyFill="1" applyBorder="1" applyAlignment="1">
      <alignment horizontal="left" vertical="center"/>
    </xf>
    <xf numFmtId="0" fontId="61" fillId="3" borderId="14" xfId="0" applyFont="1" applyFill="1" applyBorder="1"/>
    <xf numFmtId="0" fontId="18" fillId="3" borderId="0" xfId="0" applyFont="1" applyFill="1" applyBorder="1"/>
    <xf numFmtId="0" fontId="46" fillId="3" borderId="0" xfId="0" applyFont="1" applyFill="1" applyBorder="1" applyAlignment="1">
      <alignment horizontal="left"/>
    </xf>
    <xf numFmtId="0" fontId="72" fillId="3" borderId="1" xfId="0" applyFont="1" applyFill="1" applyBorder="1" applyAlignment="1">
      <alignment horizontal="center" wrapText="1"/>
    </xf>
    <xf numFmtId="0" fontId="32" fillId="11" borderId="1" xfId="0" applyFont="1" applyFill="1" applyBorder="1" applyAlignment="1">
      <alignment horizontal="left"/>
    </xf>
    <xf numFmtId="0" fontId="32" fillId="11" borderId="1" xfId="0" applyFont="1" applyFill="1" applyBorder="1" applyAlignment="1">
      <alignment horizontal="center"/>
    </xf>
    <xf numFmtId="0" fontId="32" fillId="0" borderId="1" xfId="0" quotePrefix="1" applyFont="1" applyFill="1" applyBorder="1" applyAlignment="1">
      <alignment horizontal="left"/>
    </xf>
    <xf numFmtId="0" fontId="32" fillId="0" borderId="29" xfId="0" quotePrefix="1" applyFont="1" applyFill="1" applyBorder="1" applyAlignment="1">
      <alignment horizontal="left"/>
    </xf>
    <xf numFmtId="164" fontId="32" fillId="3" borderId="29" xfId="0" applyNumberFormat="1" applyFont="1" applyFill="1" applyBorder="1" applyAlignment="1">
      <alignment horizontal="center"/>
    </xf>
    <xf numFmtId="0" fontId="28"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0" fontId="28" fillId="3" borderId="0" xfId="0" applyFont="1" applyFill="1" applyAlignment="1">
      <alignment horizontal="left"/>
    </xf>
    <xf numFmtId="0" fontId="14" fillId="3" borderId="0" xfId="0" applyFont="1" applyFill="1" applyBorder="1" applyAlignment="1">
      <alignment horizontal="center" wrapText="1"/>
    </xf>
    <xf numFmtId="0" fontId="14" fillId="2" borderId="0" xfId="0" applyFont="1" applyFill="1" applyBorder="1" applyAlignment="1">
      <alignment horizontal="center" wrapText="1"/>
    </xf>
    <xf numFmtId="0" fontId="14" fillId="2" borderId="2" xfId="0" applyFont="1" applyFill="1" applyBorder="1" applyAlignment="1">
      <alignment horizontal="center" wrapText="1"/>
    </xf>
    <xf numFmtId="0" fontId="32" fillId="3" borderId="0" xfId="0" applyFont="1" applyFill="1" applyBorder="1" applyAlignment="1">
      <alignment horizontal="center"/>
    </xf>
    <xf numFmtId="3" fontId="14" fillId="0" borderId="1" xfId="0" applyNumberFormat="1" applyFont="1" applyFill="1" applyBorder="1" applyAlignment="1">
      <alignment horizontal="center"/>
    </xf>
    <xf numFmtId="0" fontId="15" fillId="3" borderId="0" xfId="0" applyFont="1" applyFill="1" applyAlignment="1">
      <alignment vertical="center"/>
    </xf>
    <xf numFmtId="0" fontId="50" fillId="3" borderId="0" xfId="0" applyFont="1" applyFill="1"/>
    <xf numFmtId="0" fontId="23" fillId="3" borderId="0" xfId="0" applyFont="1" applyFill="1"/>
    <xf numFmtId="0" fontId="51" fillId="3" borderId="0" xfId="0" applyFont="1" applyFill="1"/>
    <xf numFmtId="165" fontId="14" fillId="3" borderId="0" xfId="0" applyNumberFormat="1" applyFont="1" applyFill="1" applyBorder="1" applyAlignment="1">
      <alignment horizontal="center"/>
    </xf>
    <xf numFmtId="0" fontId="26" fillId="3" borderId="0" xfId="0" applyFont="1" applyFill="1" applyBorder="1"/>
    <xf numFmtId="0" fontId="27" fillId="3" borderId="0" xfId="0" quotePrefix="1" applyFont="1" applyFill="1" applyBorder="1" applyAlignment="1">
      <alignment horizontal="left"/>
    </xf>
    <xf numFmtId="0" fontId="32" fillId="3" borderId="2" xfId="0" applyFont="1" applyFill="1" applyBorder="1" applyAlignment="1">
      <alignment horizontal="center"/>
    </xf>
    <xf numFmtId="0" fontId="29" fillId="3" borderId="0" xfId="0" applyFont="1" applyFill="1" applyBorder="1"/>
    <xf numFmtId="0" fontId="16" fillId="3" borderId="0" xfId="0" applyFont="1" applyFill="1" applyBorder="1" applyAlignment="1">
      <alignment horizontal="left" vertical="center"/>
    </xf>
    <xf numFmtId="0" fontId="30" fillId="3" borderId="0" xfId="0" applyFont="1" applyFill="1" applyBorder="1" applyAlignment="1">
      <alignment horizontal="left"/>
    </xf>
    <xf numFmtId="0" fontId="15" fillId="3" borderId="0" xfId="0" applyFont="1" applyFill="1" applyAlignment="1">
      <alignment horizontal="center"/>
    </xf>
    <xf numFmtId="0" fontId="50" fillId="3" borderId="0" xfId="0" applyFont="1" applyFill="1" applyBorder="1"/>
    <xf numFmtId="0" fontId="60" fillId="3" borderId="0" xfId="0" applyFont="1" applyFill="1"/>
    <xf numFmtId="0" fontId="74" fillId="4" borderId="0" xfId="0" applyFont="1" applyFill="1" applyBorder="1" applyAlignment="1">
      <alignment vertical="center"/>
    </xf>
    <xf numFmtId="0" fontId="61" fillId="3" borderId="0" xfId="0" applyFont="1" applyFill="1" applyBorder="1" applyAlignment="1">
      <alignment horizontal="left" vertical="center"/>
    </xf>
    <xf numFmtId="0" fontId="61" fillId="3" borderId="0" xfId="0" applyFont="1" applyFill="1"/>
    <xf numFmtId="0" fontId="46" fillId="3" borderId="0" xfId="0" applyFont="1" applyFill="1"/>
    <xf numFmtId="0" fontId="61" fillId="2" borderId="1" xfId="0" applyFont="1" applyFill="1" applyBorder="1"/>
    <xf numFmtId="4" fontId="32" fillId="2" borderId="1" xfId="0" applyNumberFormat="1" applyFont="1" applyFill="1" applyBorder="1" applyAlignment="1">
      <alignment horizontal="center"/>
    </xf>
    <xf numFmtId="0" fontId="61" fillId="3" borderId="4" xfId="0" applyFont="1" applyFill="1" applyBorder="1"/>
    <xf numFmtId="0" fontId="32" fillId="2" borderId="14" xfId="0" applyFont="1" applyFill="1" applyBorder="1" applyAlignment="1">
      <alignment horizontal="center" wrapText="1"/>
    </xf>
    <xf numFmtId="0" fontId="61" fillId="2" borderId="14" xfId="0" applyFont="1" applyFill="1" applyBorder="1"/>
    <xf numFmtId="0" fontId="61" fillId="2" borderId="15" xfId="0" applyFont="1" applyFill="1" applyBorder="1"/>
    <xf numFmtId="0" fontId="61" fillId="2" borderId="0" xfId="0" applyFont="1" applyFill="1" applyBorder="1"/>
    <xf numFmtId="0" fontId="61" fillId="2" borderId="7" xfId="0" applyFont="1" applyFill="1" applyBorder="1"/>
    <xf numFmtId="165" fontId="32" fillId="2" borderId="0" xfId="0" applyNumberFormat="1" applyFont="1" applyFill="1" applyBorder="1" applyAlignment="1">
      <alignment horizontal="center"/>
    </xf>
    <xf numFmtId="0" fontId="46" fillId="3" borderId="2" xfId="0" applyFont="1" applyFill="1" applyBorder="1"/>
    <xf numFmtId="0" fontId="61" fillId="3" borderId="2" xfId="0" applyFont="1" applyFill="1" applyBorder="1"/>
    <xf numFmtId="165" fontId="32" fillId="2" borderId="2" xfId="0" applyNumberFormat="1" applyFont="1" applyFill="1" applyBorder="1" applyAlignment="1">
      <alignment horizontal="center"/>
    </xf>
    <xf numFmtId="165" fontId="50" fillId="2" borderId="0" xfId="0" applyNumberFormat="1" applyFont="1" applyFill="1" applyBorder="1" applyAlignment="1">
      <alignment horizontal="center"/>
    </xf>
    <xf numFmtId="0" fontId="61" fillId="2" borderId="4" xfId="0" applyFont="1" applyFill="1" applyBorder="1"/>
    <xf numFmtId="0" fontId="61" fillId="3" borderId="15" xfId="0" applyFont="1" applyFill="1" applyBorder="1"/>
    <xf numFmtId="0" fontId="32" fillId="0" borderId="57" xfId="0" applyFont="1" applyBorder="1" applyAlignment="1">
      <alignment horizontal="center"/>
    </xf>
    <xf numFmtId="0" fontId="32" fillId="0" borderId="56" xfId="0" applyFont="1" applyBorder="1" applyAlignment="1">
      <alignment horizontal="center"/>
    </xf>
    <xf numFmtId="0" fontId="32" fillId="0" borderId="47" xfId="0" applyFont="1" applyBorder="1" applyAlignment="1">
      <alignment horizontal="center"/>
    </xf>
    <xf numFmtId="0" fontId="32" fillId="0" borderId="38" xfId="0" applyFont="1" applyBorder="1" applyAlignment="1">
      <alignment horizontal="center"/>
    </xf>
    <xf numFmtId="164" fontId="32" fillId="0" borderId="12" xfId="0" applyNumberFormat="1" applyFont="1" applyFill="1" applyBorder="1" applyAlignment="1">
      <alignment horizontal="center"/>
    </xf>
    <xf numFmtId="164" fontId="32" fillId="0" borderId="54" xfId="0" applyNumberFormat="1" applyFont="1" applyFill="1" applyBorder="1" applyAlignment="1">
      <alignment horizontal="center"/>
    </xf>
    <xf numFmtId="164" fontId="32" fillId="0" borderId="29" xfId="0" applyNumberFormat="1" applyFont="1" applyFill="1" applyBorder="1" applyAlignment="1">
      <alignment horizontal="center"/>
    </xf>
    <xf numFmtId="164" fontId="32" fillId="0" borderId="55" xfId="0" applyNumberFormat="1" applyFont="1" applyFill="1" applyBorder="1" applyAlignment="1">
      <alignment horizontal="center"/>
    </xf>
    <xf numFmtId="164" fontId="32" fillId="0" borderId="58" xfId="0" applyNumberFormat="1" applyFont="1" applyFill="1" applyBorder="1" applyAlignment="1">
      <alignment horizontal="center"/>
    </xf>
    <xf numFmtId="164" fontId="32" fillId="0" borderId="27" xfId="0" applyNumberFormat="1" applyFont="1" applyFill="1" applyBorder="1" applyAlignment="1">
      <alignment horizontal="center"/>
    </xf>
    <xf numFmtId="169" fontId="61" fillId="3" borderId="0" xfId="0" applyNumberFormat="1" applyFont="1" applyFill="1"/>
    <xf numFmtId="0" fontId="61" fillId="2" borderId="16" xfId="0" applyFont="1" applyFill="1" applyBorder="1"/>
    <xf numFmtId="0" fontId="61" fillId="2" borderId="10" xfId="0" applyFont="1" applyFill="1" applyBorder="1"/>
    <xf numFmtId="0" fontId="61" fillId="2" borderId="17" xfId="0" applyFont="1" applyFill="1" applyBorder="1"/>
    <xf numFmtId="0" fontId="61" fillId="3" borderId="0" xfId="0" applyFont="1" applyFill="1" applyBorder="1" applyAlignment="1">
      <alignment horizontal="left"/>
    </xf>
    <xf numFmtId="0" fontId="61" fillId="3" borderId="13" xfId="0" applyFont="1" applyFill="1" applyBorder="1"/>
    <xf numFmtId="164" fontId="32" fillId="0" borderId="30" xfId="0" applyNumberFormat="1" applyFont="1" applyFill="1" applyBorder="1" applyAlignment="1">
      <alignment horizontal="center"/>
    </xf>
    <xf numFmtId="0" fontId="76" fillId="3" borderId="0" xfId="0" applyFont="1" applyFill="1"/>
    <xf numFmtId="0" fontId="77" fillId="3" borderId="0" xfId="0" applyFont="1" applyFill="1" applyBorder="1"/>
    <xf numFmtId="0" fontId="76" fillId="3" borderId="7" xfId="0" applyFont="1" applyFill="1" applyBorder="1"/>
    <xf numFmtId="0" fontId="76" fillId="3" borderId="0" xfId="0" applyFont="1" applyFill="1" applyBorder="1"/>
    <xf numFmtId="0" fontId="77" fillId="3" borderId="10" xfId="0" applyFont="1" applyFill="1" applyBorder="1"/>
    <xf numFmtId="0" fontId="77" fillId="3" borderId="10" xfId="0" applyFont="1" applyFill="1" applyBorder="1" applyAlignment="1">
      <alignment horizontal="center" wrapText="1"/>
    </xf>
    <xf numFmtId="0" fontId="77" fillId="3" borderId="10" xfId="0" applyFont="1" applyFill="1" applyBorder="1" applyAlignment="1">
      <alignment horizontal="center" vertical="center" wrapText="1"/>
    </xf>
    <xf numFmtId="0" fontId="76" fillId="3" borderId="17" xfId="0" applyFont="1" applyFill="1" applyBorder="1"/>
    <xf numFmtId="168" fontId="61" fillId="3" borderId="0" xfId="0" applyNumberFormat="1" applyFont="1" applyFill="1"/>
    <xf numFmtId="0" fontId="61" fillId="3" borderId="7" xfId="0" applyFont="1" applyFill="1" applyBorder="1"/>
    <xf numFmtId="0" fontId="61" fillId="3" borderId="10" xfId="0" applyFont="1" applyFill="1" applyBorder="1"/>
    <xf numFmtId="0" fontId="61" fillId="3" borderId="17" xfId="0" applyFont="1" applyFill="1" applyBorder="1"/>
    <xf numFmtId="164" fontId="32" fillId="3" borderId="0" xfId="0" applyNumberFormat="1" applyFont="1" applyFill="1" applyAlignment="1">
      <alignment horizontal="center"/>
    </xf>
    <xf numFmtId="0" fontId="32" fillId="2" borderId="45" xfId="0" applyFont="1" applyFill="1" applyBorder="1"/>
    <xf numFmtId="0" fontId="61" fillId="2" borderId="48" xfId="0" applyFont="1" applyFill="1" applyBorder="1" applyAlignment="1">
      <alignment horizontal="center"/>
    </xf>
    <xf numFmtId="0" fontId="32" fillId="2" borderId="48" xfId="0" applyFont="1" applyFill="1" applyBorder="1" applyAlignment="1">
      <alignment horizontal="center"/>
    </xf>
    <xf numFmtId="0" fontId="32" fillId="2" borderId="49" xfId="0" applyFont="1" applyFill="1" applyBorder="1" applyAlignment="1">
      <alignment horizontal="center"/>
    </xf>
    <xf numFmtId="0" fontId="32" fillId="2" borderId="23" xfId="0" applyFont="1" applyFill="1" applyBorder="1"/>
    <xf numFmtId="0" fontId="61" fillId="2" borderId="24" xfId="0" applyFont="1" applyFill="1" applyBorder="1"/>
    <xf numFmtId="0" fontId="32" fillId="2" borderId="28" xfId="0" applyFont="1" applyFill="1" applyBorder="1"/>
    <xf numFmtId="0" fontId="61" fillId="2" borderId="29" xfId="0" applyFont="1" applyFill="1" applyBorder="1"/>
    <xf numFmtId="0" fontId="61" fillId="2" borderId="13" xfId="0" applyFont="1" applyFill="1" applyBorder="1"/>
    <xf numFmtId="0" fontId="78" fillId="2" borderId="14" xfId="0" applyFont="1" applyFill="1" applyBorder="1" applyAlignment="1">
      <alignment horizontal="left"/>
    </xf>
    <xf numFmtId="2" fontId="61" fillId="3" borderId="0" xfId="0" applyNumberFormat="1" applyFont="1" applyFill="1"/>
    <xf numFmtId="0" fontId="32" fillId="2" borderId="23" xfId="0" applyFont="1" applyFill="1" applyBorder="1" applyAlignment="1">
      <alignment horizontal="center"/>
    </xf>
    <xf numFmtId="0" fontId="32" fillId="2" borderId="52" xfId="0" applyFont="1" applyFill="1" applyBorder="1"/>
    <xf numFmtId="1" fontId="32" fillId="2" borderId="52" xfId="0" applyNumberFormat="1" applyFont="1" applyFill="1" applyBorder="1" applyAlignment="1">
      <alignment horizontal="center"/>
    </xf>
    <xf numFmtId="0" fontId="32" fillId="2" borderId="50" xfId="0" applyFont="1" applyFill="1" applyBorder="1" applyAlignment="1">
      <alignment horizontal="center"/>
    </xf>
    <xf numFmtId="0" fontId="32" fillId="2" borderId="20" xfId="0" applyFont="1" applyFill="1" applyBorder="1" applyAlignment="1">
      <alignment horizontal="center"/>
    </xf>
    <xf numFmtId="0" fontId="32" fillId="2" borderId="40" xfId="0" applyFont="1" applyFill="1" applyBorder="1"/>
    <xf numFmtId="1" fontId="32" fillId="2" borderId="40" xfId="0" applyNumberFormat="1" applyFont="1" applyFill="1" applyBorder="1" applyAlignment="1">
      <alignment horizontal="center"/>
    </xf>
    <xf numFmtId="0" fontId="32" fillId="2" borderId="51" xfId="0" applyFont="1" applyFill="1" applyBorder="1" applyAlignment="1">
      <alignment horizontal="center"/>
    </xf>
    <xf numFmtId="0" fontId="32" fillId="2" borderId="44" xfId="0" applyFont="1" applyFill="1" applyBorder="1" applyAlignment="1">
      <alignment horizontal="center"/>
    </xf>
    <xf numFmtId="0" fontId="32" fillId="2" borderId="53" xfId="0" applyFont="1" applyFill="1" applyBorder="1"/>
    <xf numFmtId="1" fontId="32" fillId="2" borderId="53" xfId="0" applyNumberFormat="1" applyFont="1" applyFill="1" applyBorder="1" applyAlignment="1">
      <alignment horizontal="center"/>
    </xf>
    <xf numFmtId="0" fontId="32" fillId="2" borderId="41" xfId="0" applyFont="1" applyFill="1" applyBorder="1" applyAlignment="1">
      <alignment horizontal="left"/>
    </xf>
    <xf numFmtId="0" fontId="32" fillId="2" borderId="11" xfId="0" applyFont="1" applyFill="1" applyBorder="1" applyAlignment="1">
      <alignment horizontal="left"/>
    </xf>
    <xf numFmtId="0" fontId="32" fillId="2" borderId="19" xfId="0" applyFont="1" applyFill="1" applyBorder="1"/>
    <xf numFmtId="1" fontId="32" fillId="2" borderId="19" xfId="0" applyNumberFormat="1" applyFont="1" applyFill="1" applyBorder="1" applyAlignment="1">
      <alignment horizontal="center"/>
    </xf>
    <xf numFmtId="3" fontId="32" fillId="2" borderId="31" xfId="0" applyNumberFormat="1" applyFont="1" applyFill="1" applyBorder="1" applyAlignment="1">
      <alignment horizontal="center"/>
    </xf>
    <xf numFmtId="3" fontId="32" fillId="2" borderId="11" xfId="0" applyNumberFormat="1" applyFont="1" applyFill="1" applyBorder="1" applyAlignment="1">
      <alignment horizontal="center"/>
    </xf>
    <xf numFmtId="1" fontId="32" fillId="2" borderId="27" xfId="0" applyNumberFormat="1" applyFont="1" applyFill="1" applyBorder="1" applyAlignment="1">
      <alignment horizontal="center"/>
    </xf>
    <xf numFmtId="3" fontId="32" fillId="2" borderId="32" xfId="0" applyNumberFormat="1" applyFont="1" applyFill="1" applyBorder="1" applyAlignment="1">
      <alignment horizontal="center"/>
    </xf>
    <xf numFmtId="1" fontId="32" fillId="2" borderId="30" xfId="0" applyNumberFormat="1" applyFont="1" applyFill="1" applyBorder="1" applyAlignment="1">
      <alignment horizontal="center"/>
    </xf>
    <xf numFmtId="3" fontId="32" fillId="2" borderId="12" xfId="0" applyNumberFormat="1" applyFont="1" applyFill="1" applyBorder="1" applyAlignment="1">
      <alignment horizontal="center"/>
    </xf>
    <xf numFmtId="0" fontId="32" fillId="2" borderId="24" xfId="0" applyFont="1" applyFill="1" applyBorder="1" applyAlignment="1">
      <alignment horizontal="left" vertical="top"/>
    </xf>
    <xf numFmtId="1" fontId="32" fillId="2" borderId="12" xfId="0" applyNumberFormat="1" applyFont="1" applyFill="1" applyBorder="1" applyAlignment="1">
      <alignment horizontal="center"/>
    </xf>
    <xf numFmtId="0" fontId="32" fillId="2" borderId="53" xfId="0" applyFont="1" applyFill="1" applyBorder="1" applyAlignment="1">
      <alignment horizontal="left"/>
    </xf>
    <xf numFmtId="0" fontId="32" fillId="2" borderId="37" xfId="0" applyFont="1" applyFill="1" applyBorder="1" applyAlignment="1">
      <alignment horizontal="left"/>
    </xf>
    <xf numFmtId="164" fontId="57" fillId="2" borderId="1" xfId="0" applyNumberFormat="1" applyFont="1" applyFill="1" applyBorder="1" applyAlignment="1">
      <alignment horizontal="center"/>
    </xf>
    <xf numFmtId="164" fontId="57" fillId="2" borderId="29" xfId="0" applyNumberFormat="1" applyFont="1" applyFill="1" applyBorder="1" applyAlignment="1">
      <alignment horizontal="center"/>
    </xf>
    <xf numFmtId="0" fontId="32" fillId="2" borderId="60" xfId="0" applyFont="1" applyFill="1" applyBorder="1" applyAlignment="1"/>
    <xf numFmtId="0" fontId="32" fillId="2" borderId="22" xfId="0" applyFont="1" applyFill="1" applyBorder="1" applyAlignment="1"/>
    <xf numFmtId="0" fontId="32" fillId="2" borderId="34" xfId="0" applyFont="1" applyFill="1" applyBorder="1" applyAlignment="1"/>
    <xf numFmtId="0" fontId="32" fillId="2" borderId="52" xfId="0" applyFont="1" applyFill="1" applyBorder="1" applyAlignment="1">
      <alignment horizontal="left"/>
    </xf>
    <xf numFmtId="0" fontId="32" fillId="2" borderId="35" xfId="0" applyFont="1" applyFill="1" applyBorder="1" applyAlignment="1">
      <alignment horizontal="left"/>
    </xf>
    <xf numFmtId="0" fontId="32" fillId="2" borderId="31" xfId="0" applyFont="1" applyFill="1" applyBorder="1" applyAlignment="1">
      <alignment horizontal="left"/>
    </xf>
    <xf numFmtId="0" fontId="32" fillId="2" borderId="40" xfId="0" applyFont="1" applyFill="1" applyBorder="1" applyAlignment="1">
      <alignment horizontal="left"/>
    </xf>
    <xf numFmtId="0" fontId="32" fillId="2" borderId="39" xfId="0" applyFont="1" applyFill="1" applyBorder="1" applyAlignment="1">
      <alignment horizontal="left"/>
    </xf>
    <xf numFmtId="0" fontId="32" fillId="2" borderId="2" xfId="0" applyFont="1" applyFill="1" applyBorder="1" applyAlignment="1">
      <alignment horizontal="left"/>
    </xf>
    <xf numFmtId="0" fontId="32" fillId="2" borderId="20" xfId="0" applyFont="1" applyFill="1" applyBorder="1" applyAlignment="1">
      <alignment horizontal="left"/>
    </xf>
    <xf numFmtId="0" fontId="32" fillId="2" borderId="29" xfId="0" applyFont="1" applyFill="1" applyBorder="1" applyAlignment="1">
      <alignment horizontal="left"/>
    </xf>
    <xf numFmtId="1" fontId="32" fillId="2" borderId="11" xfId="0" applyNumberFormat="1" applyFont="1" applyFill="1" applyBorder="1" applyAlignment="1">
      <alignment horizontal="center"/>
    </xf>
    <xf numFmtId="164" fontId="32" fillId="2" borderId="11" xfId="0" applyNumberFormat="1" applyFont="1" applyFill="1" applyBorder="1" applyAlignment="1">
      <alignment horizontal="center"/>
    </xf>
    <xf numFmtId="0" fontId="32" fillId="8" borderId="40" xfId="0" quotePrefix="1" applyFont="1" applyFill="1" applyBorder="1" applyAlignment="1">
      <alignment horizontal="left"/>
    </xf>
    <xf numFmtId="0" fontId="32" fillId="8" borderId="41" xfId="0" quotePrefix="1" applyFont="1" applyFill="1" applyBorder="1" applyAlignment="1">
      <alignment horizontal="left"/>
    </xf>
    <xf numFmtId="0" fontId="32" fillId="8" borderId="11" xfId="0" quotePrefix="1" applyFont="1" applyFill="1" applyBorder="1" applyAlignment="1">
      <alignment horizontal="left"/>
    </xf>
    <xf numFmtId="0" fontId="47" fillId="8" borderId="40" xfId="0" quotePrefix="1" applyFont="1" applyFill="1" applyBorder="1" applyAlignment="1">
      <alignment horizontal="left"/>
    </xf>
    <xf numFmtId="0" fontId="47" fillId="8" borderId="41" xfId="0" quotePrefix="1" applyFont="1" applyFill="1" applyBorder="1" applyAlignment="1">
      <alignment horizontal="left"/>
    </xf>
    <xf numFmtId="0" fontId="47" fillId="8" borderId="11" xfId="0" quotePrefix="1" applyFont="1" applyFill="1" applyBorder="1" applyAlignment="1">
      <alignment horizontal="left"/>
    </xf>
    <xf numFmtId="0" fontId="14" fillId="8" borderId="1" xfId="0" applyFont="1" applyFill="1" applyBorder="1"/>
    <xf numFmtId="0" fontId="14" fillId="8" borderId="60" xfId="0" applyFont="1" applyFill="1" applyBorder="1"/>
    <xf numFmtId="0" fontId="14" fillId="8" borderId="34" xfId="0" applyFont="1" applyFill="1" applyBorder="1" applyAlignment="1">
      <alignment horizontal="center"/>
    </xf>
    <xf numFmtId="0" fontId="14" fillId="8" borderId="9" xfId="0" applyFont="1" applyFill="1" applyBorder="1"/>
    <xf numFmtId="0" fontId="14" fillId="8" borderId="39" xfId="0" applyFont="1" applyFill="1" applyBorder="1"/>
    <xf numFmtId="0" fontId="14" fillId="8" borderId="22" xfId="0" applyFont="1" applyFill="1" applyBorder="1"/>
    <xf numFmtId="0" fontId="15" fillId="8" borderId="22" xfId="0" applyFont="1" applyFill="1" applyBorder="1"/>
    <xf numFmtId="0" fontId="15" fillId="8" borderId="34" xfId="0" applyFont="1" applyFill="1" applyBorder="1"/>
    <xf numFmtId="0" fontId="28" fillId="8" borderId="1" xfId="0" applyFont="1" applyFill="1" applyBorder="1"/>
    <xf numFmtId="0" fontId="14" fillId="8" borderId="0" xfId="0" applyFont="1" applyFill="1" applyBorder="1"/>
    <xf numFmtId="0" fontId="15" fillId="8" borderId="0" xfId="0" applyFont="1" applyFill="1" applyBorder="1"/>
    <xf numFmtId="0" fontId="15" fillId="8" borderId="8" xfId="0" applyFont="1" applyFill="1" applyBorder="1"/>
    <xf numFmtId="0" fontId="14" fillId="8" borderId="2" xfId="0" applyFont="1" applyFill="1" applyBorder="1"/>
    <xf numFmtId="0" fontId="15" fillId="8" borderId="2" xfId="0" applyFont="1" applyFill="1" applyBorder="1"/>
    <xf numFmtId="0" fontId="15" fillId="8" borderId="20" xfId="0" applyFont="1" applyFill="1" applyBorder="1"/>
    <xf numFmtId="0" fontId="32" fillId="8" borderId="1" xfId="0" applyFont="1" applyFill="1" applyBorder="1"/>
    <xf numFmtId="0" fontId="32" fillId="8" borderId="1" xfId="0" applyFont="1" applyFill="1" applyBorder="1" applyAlignment="1">
      <alignment horizontal="left"/>
    </xf>
    <xf numFmtId="3" fontId="32" fillId="2" borderId="29" xfId="0" applyNumberFormat="1" applyFont="1" applyFill="1" applyBorder="1" applyAlignment="1">
      <alignment horizontal="center"/>
    </xf>
    <xf numFmtId="0" fontId="14" fillId="6" borderId="60" xfId="0" applyFont="1" applyFill="1" applyBorder="1"/>
    <xf numFmtId="0" fontId="14" fillId="6" borderId="22" xfId="0" applyFont="1" applyFill="1" applyBorder="1"/>
    <xf numFmtId="0" fontId="15" fillId="6" borderId="22" xfId="0" applyFont="1" applyFill="1" applyBorder="1"/>
    <xf numFmtId="0" fontId="15" fillId="6" borderId="34" xfId="0" applyFont="1" applyFill="1" applyBorder="1"/>
    <xf numFmtId="0" fontId="28" fillId="6" borderId="1" xfId="0" applyFont="1" applyFill="1" applyBorder="1"/>
    <xf numFmtId="0" fontId="14" fillId="6" borderId="9" xfId="0" applyFont="1" applyFill="1" applyBorder="1"/>
    <xf numFmtId="0" fontId="14" fillId="6" borderId="0" xfId="0" applyFont="1" applyFill="1" applyBorder="1"/>
    <xf numFmtId="0" fontId="15" fillId="6" borderId="0" xfId="0" applyFont="1" applyFill="1" applyBorder="1"/>
    <xf numFmtId="0" fontId="15" fillId="6" borderId="8" xfId="0" applyFont="1" applyFill="1" applyBorder="1"/>
    <xf numFmtId="0" fontId="14" fillId="6" borderId="39" xfId="0" applyFont="1" applyFill="1" applyBorder="1"/>
    <xf numFmtId="0" fontId="14" fillId="6" borderId="2" xfId="0" applyFont="1" applyFill="1" applyBorder="1"/>
    <xf numFmtId="0" fontId="15" fillId="6" borderId="2" xfId="0" applyFont="1" applyFill="1" applyBorder="1"/>
    <xf numFmtId="0" fontId="15" fillId="6" borderId="20" xfId="0" applyFont="1" applyFill="1" applyBorder="1"/>
    <xf numFmtId="0" fontId="32" fillId="6" borderId="1" xfId="0" applyFont="1" applyFill="1" applyBorder="1"/>
    <xf numFmtId="0" fontId="32" fillId="6" borderId="1" xfId="0" applyFont="1" applyFill="1" applyBorder="1" applyAlignment="1">
      <alignment horizontal="center"/>
    </xf>
    <xf numFmtId="0" fontId="57" fillId="6" borderId="1" xfId="0" applyFont="1" applyFill="1" applyBorder="1"/>
    <xf numFmtId="0" fontId="14" fillId="3" borderId="0" xfId="0" applyFont="1" applyFill="1" applyAlignment="1">
      <alignment horizontal="left"/>
    </xf>
    <xf numFmtId="0" fontId="50" fillId="6" borderId="1" xfId="0" applyFont="1" applyFill="1" applyBorder="1" applyAlignment="1">
      <alignment horizontal="center"/>
    </xf>
    <xf numFmtId="0" fontId="32" fillId="3" borderId="0" xfId="0" applyFont="1" applyFill="1" applyBorder="1" applyAlignment="1">
      <alignment horizontal="right"/>
    </xf>
    <xf numFmtId="0" fontId="44" fillId="2" borderId="1" xfId="0" applyFont="1" applyFill="1" applyBorder="1" applyAlignment="1">
      <alignment horizontal="center"/>
    </xf>
    <xf numFmtId="1" fontId="44" fillId="2" borderId="1" xfId="0" applyNumberFormat="1" applyFont="1" applyFill="1" applyBorder="1" applyAlignment="1">
      <alignment horizontal="center"/>
    </xf>
    <xf numFmtId="0" fontId="50" fillId="2" borderId="12" xfId="0" applyFont="1" applyFill="1" applyBorder="1"/>
    <xf numFmtId="0" fontId="50" fillId="2" borderId="1" xfId="0" applyFont="1" applyFill="1" applyBorder="1"/>
    <xf numFmtId="164" fontId="49" fillId="2" borderId="1" xfId="0" applyNumberFormat="1" applyFont="1" applyFill="1" applyBorder="1" applyAlignment="1">
      <alignment horizontal="center"/>
    </xf>
    <xf numFmtId="0" fontId="15" fillId="2" borderId="0" xfId="0" quotePrefix="1" applyFont="1" applyFill="1" applyBorder="1"/>
    <xf numFmtId="0" fontId="32" fillId="2" borderId="1" xfId="0" applyFont="1" applyFill="1" applyBorder="1" applyAlignment="1">
      <alignment horizontal="right"/>
    </xf>
    <xf numFmtId="0" fontId="57" fillId="6" borderId="1" xfId="0" applyFont="1" applyFill="1" applyBorder="1" applyAlignment="1">
      <alignment horizontal="center"/>
    </xf>
    <xf numFmtId="0" fontId="1" fillId="10" borderId="0" xfId="0" applyFont="1" applyFill="1" applyBorder="1" applyAlignment="1">
      <alignment horizontal="center" wrapText="1"/>
    </xf>
    <xf numFmtId="0" fontId="1" fillId="10" borderId="7" xfId="0" applyFont="1" applyFill="1" applyBorder="1" applyAlignment="1">
      <alignment horizontal="center" wrapText="1"/>
    </xf>
    <xf numFmtId="0" fontId="1" fillId="10" borderId="4" xfId="0" applyFont="1" applyFill="1" applyBorder="1" applyAlignment="1">
      <alignment horizontal="center" wrapText="1"/>
    </xf>
    <xf numFmtId="0" fontId="1" fillId="10" borderId="16" xfId="0" applyFont="1" applyFill="1" applyBorder="1" applyAlignment="1">
      <alignment horizontal="center"/>
    </xf>
    <xf numFmtId="0" fontId="1" fillId="10" borderId="10" xfId="0" applyFont="1" applyFill="1" applyBorder="1" applyAlignment="1">
      <alignment horizontal="center"/>
    </xf>
    <xf numFmtId="0" fontId="1" fillId="10" borderId="17" xfId="0" applyFont="1" applyFill="1" applyBorder="1" applyAlignment="1">
      <alignment horizontal="center"/>
    </xf>
    <xf numFmtId="1" fontId="0" fillId="0" borderId="1" xfId="0" applyNumberFormat="1" applyFill="1" applyBorder="1" applyAlignment="1">
      <alignment horizontal="center"/>
    </xf>
    <xf numFmtId="0" fontId="1" fillId="12" borderId="9" xfId="0" applyFont="1" applyFill="1" applyBorder="1" applyAlignment="1">
      <alignment horizontal="center"/>
    </xf>
    <xf numFmtId="0" fontId="1" fillId="12" borderId="0" xfId="0" applyFont="1" applyFill="1" applyBorder="1" applyAlignment="1">
      <alignment horizontal="center"/>
    </xf>
    <xf numFmtId="0" fontId="1" fillId="12" borderId="4" xfId="0" applyFont="1" applyFill="1" applyBorder="1" applyAlignment="1">
      <alignment horizontal="center" wrapText="1"/>
    </xf>
    <xf numFmtId="0" fontId="1" fillId="12" borderId="0" xfId="0" applyFont="1" applyFill="1" applyBorder="1" applyAlignment="1">
      <alignment horizontal="center" wrapText="1"/>
    </xf>
    <xf numFmtId="0" fontId="1" fillId="12" borderId="7" xfId="0" applyFont="1" applyFill="1" applyBorder="1" applyAlignment="1">
      <alignment horizontal="center" wrapText="1"/>
    </xf>
    <xf numFmtId="0" fontId="1" fillId="12" borderId="16" xfId="0" applyFont="1" applyFill="1" applyBorder="1" applyAlignment="1">
      <alignment horizontal="center"/>
    </xf>
    <xf numFmtId="0" fontId="1" fillId="12" borderId="10" xfId="0" applyFont="1" applyFill="1" applyBorder="1" applyAlignment="1">
      <alignment horizontal="center"/>
    </xf>
    <xf numFmtId="0" fontId="1" fillId="12" borderId="17" xfId="0" applyFont="1" applyFill="1" applyBorder="1" applyAlignment="1">
      <alignment horizontal="center"/>
    </xf>
    <xf numFmtId="0" fontId="1" fillId="6" borderId="0" xfId="0" applyFont="1" applyFill="1" applyBorder="1" applyAlignment="1">
      <alignment horizontal="center"/>
    </xf>
    <xf numFmtId="0" fontId="1" fillId="6" borderId="4" xfId="0" quotePrefix="1" applyFont="1" applyFill="1" applyBorder="1" applyAlignment="1">
      <alignment horizontal="center" wrapText="1"/>
    </xf>
    <xf numFmtId="0" fontId="1" fillId="6" borderId="0" xfId="0" applyFont="1" applyFill="1" applyBorder="1" applyAlignment="1">
      <alignment horizontal="center" wrapText="1"/>
    </xf>
    <xf numFmtId="0" fontId="1" fillId="6" borderId="7" xfId="0" applyFont="1" applyFill="1" applyBorder="1" applyAlignment="1">
      <alignment horizontal="center" wrapText="1"/>
    </xf>
    <xf numFmtId="0" fontId="1" fillId="6" borderId="16" xfId="0" quotePrefix="1" applyFont="1" applyFill="1" applyBorder="1" applyAlignment="1">
      <alignment horizontal="center"/>
    </xf>
    <xf numFmtId="0" fontId="1" fillId="6" borderId="10" xfId="0" quotePrefix="1" applyFont="1" applyFill="1" applyBorder="1" applyAlignment="1">
      <alignment horizontal="center"/>
    </xf>
    <xf numFmtId="0" fontId="1" fillId="6" borderId="17" xfId="0" quotePrefix="1" applyFont="1" applyFill="1" applyBorder="1" applyAlignment="1">
      <alignment horizontal="center"/>
    </xf>
    <xf numFmtId="0" fontId="1" fillId="6" borderId="4" xfId="0" applyFont="1" applyFill="1" applyBorder="1" applyAlignment="1">
      <alignment horizontal="center" wrapText="1"/>
    </xf>
    <xf numFmtId="0" fontId="0" fillId="6" borderId="0" xfId="0" applyFill="1" applyBorder="1" applyAlignment="1">
      <alignment horizontal="center"/>
    </xf>
    <xf numFmtId="0" fontId="1" fillId="6" borderId="0" xfId="0" quotePrefix="1" applyFont="1" applyFill="1" applyBorder="1" applyAlignment="1">
      <alignment horizontal="center" wrapText="1"/>
    </xf>
    <xf numFmtId="0" fontId="1" fillId="6" borderId="0" xfId="0" applyFont="1" applyFill="1" applyBorder="1" applyAlignment="1">
      <alignment horizontal="center" vertical="center"/>
    </xf>
    <xf numFmtId="0" fontId="1" fillId="7" borderId="0" xfId="0" applyFont="1" applyFill="1" applyBorder="1" applyAlignment="1">
      <alignment horizontal="center"/>
    </xf>
    <xf numFmtId="0" fontId="1" fillId="7" borderId="4" xfId="0" applyFont="1" applyFill="1" applyBorder="1" applyAlignment="1">
      <alignment horizontal="center" wrapText="1"/>
    </xf>
    <xf numFmtId="0" fontId="1" fillId="7" borderId="0" xfId="0" applyFont="1" applyFill="1" applyBorder="1" applyAlignment="1">
      <alignment horizontal="center" wrapText="1"/>
    </xf>
    <xf numFmtId="0" fontId="1" fillId="7" borderId="7" xfId="0" applyFont="1" applyFill="1" applyBorder="1" applyAlignment="1">
      <alignment horizontal="center" wrapText="1"/>
    </xf>
    <xf numFmtId="0" fontId="37" fillId="7" borderId="0" xfId="0" applyFont="1" applyFill="1" applyBorder="1" applyAlignment="1">
      <alignment horizontal="center" wrapText="1"/>
    </xf>
    <xf numFmtId="0" fontId="37" fillId="7" borderId="8" xfId="0" applyFont="1" applyFill="1" applyBorder="1" applyAlignment="1">
      <alignment horizontal="center" wrapText="1"/>
    </xf>
    <xf numFmtId="0" fontId="1" fillId="7" borderId="8" xfId="0" applyFont="1" applyFill="1" applyBorder="1" applyAlignment="1">
      <alignment horizontal="center" wrapText="1"/>
    </xf>
    <xf numFmtId="0" fontId="1" fillId="7" borderId="16" xfId="0" quotePrefix="1" applyFont="1" applyFill="1" applyBorder="1" applyAlignment="1">
      <alignment horizontal="center"/>
    </xf>
    <xf numFmtId="0" fontId="1" fillId="7" borderId="10" xfId="0" quotePrefix="1" applyFont="1" applyFill="1" applyBorder="1" applyAlignment="1">
      <alignment horizontal="center"/>
    </xf>
    <xf numFmtId="0" fontId="1" fillId="7" borderId="17" xfId="0" quotePrefix="1" applyFont="1" applyFill="1" applyBorder="1" applyAlignment="1">
      <alignment horizontal="center"/>
    </xf>
    <xf numFmtId="0" fontId="1" fillId="7" borderId="44" xfId="0" quotePrefix="1" applyFont="1" applyFill="1" applyBorder="1" applyAlignment="1">
      <alignment horizontal="center"/>
    </xf>
    <xf numFmtId="0" fontId="0" fillId="12" borderId="4" xfId="0" applyFill="1" applyBorder="1" applyAlignment="1">
      <alignment horizontal="center"/>
    </xf>
    <xf numFmtId="0" fontId="0" fillId="12" borderId="0" xfId="0" applyFill="1" applyBorder="1" applyAlignment="1">
      <alignment horizontal="center"/>
    </xf>
    <xf numFmtId="0" fontId="0" fillId="12" borderId="0" xfId="0" applyFill="1" applyBorder="1" applyAlignment="1">
      <alignment horizontal="center" wrapText="1"/>
    </xf>
    <xf numFmtId="0" fontId="32" fillId="12" borderId="0" xfId="0" quotePrefix="1" applyFont="1" applyFill="1" applyBorder="1" applyAlignment="1">
      <alignment horizontal="center" wrapText="1"/>
    </xf>
    <xf numFmtId="0" fontId="32" fillId="12" borderId="8" xfId="0" quotePrefix="1" applyFont="1" applyFill="1" applyBorder="1" applyAlignment="1">
      <alignment horizontal="center" wrapText="1"/>
    </xf>
    <xf numFmtId="0" fontId="32" fillId="12" borderId="9" xfId="0" quotePrefix="1" applyFont="1" applyFill="1" applyBorder="1" applyAlignment="1">
      <alignment horizontal="center" wrapText="1"/>
    </xf>
    <xf numFmtId="0" fontId="0" fillId="12" borderId="13" xfId="0" applyFill="1" applyBorder="1" applyAlignment="1">
      <alignment horizontal="center" wrapText="1"/>
    </xf>
    <xf numFmtId="0" fontId="0" fillId="12" borderId="4" xfId="0" applyFill="1" applyBorder="1" applyAlignment="1">
      <alignment horizontal="center" wrapText="1"/>
    </xf>
    <xf numFmtId="0" fontId="0" fillId="12" borderId="14" xfId="0" applyFill="1" applyBorder="1" applyAlignment="1">
      <alignment horizontal="center" wrapText="1"/>
    </xf>
    <xf numFmtId="0" fontId="1" fillId="12" borderId="4" xfId="0" applyFont="1" applyFill="1" applyBorder="1" applyAlignment="1">
      <alignment horizontal="center"/>
    </xf>
    <xf numFmtId="0" fontId="1" fillId="12" borderId="8" xfId="0" applyFont="1" applyFill="1" applyBorder="1" applyAlignment="1">
      <alignment horizontal="center"/>
    </xf>
    <xf numFmtId="0" fontId="1" fillId="12" borderId="7" xfId="0" applyFont="1" applyFill="1" applyBorder="1" applyAlignment="1">
      <alignment horizontal="center"/>
    </xf>
    <xf numFmtId="0" fontId="1" fillId="12" borderId="8" xfId="0" applyFont="1" applyFill="1" applyBorder="1" applyAlignment="1">
      <alignment horizontal="center" wrapText="1"/>
    </xf>
    <xf numFmtId="0" fontId="1" fillId="12" borderId="9" xfId="0" applyFont="1" applyFill="1" applyBorder="1" applyAlignment="1">
      <alignment horizontal="center" wrapText="1"/>
    </xf>
    <xf numFmtId="0" fontId="1" fillId="12" borderId="44" xfId="0" applyFont="1" applyFill="1" applyBorder="1" applyAlignment="1">
      <alignment horizontal="center"/>
    </xf>
    <xf numFmtId="0" fontId="1" fillId="12" borderId="63" xfId="0" applyFont="1" applyFill="1" applyBorder="1" applyAlignment="1">
      <alignment horizontal="center"/>
    </xf>
    <xf numFmtId="0" fontId="1" fillId="10" borderId="5" xfId="0" applyFont="1" applyFill="1" applyBorder="1" applyAlignment="1">
      <alignment horizontal="center"/>
    </xf>
    <xf numFmtId="0" fontId="1" fillId="10" borderId="6" xfId="0" applyFont="1" applyFill="1" applyBorder="1" applyAlignment="1">
      <alignment horizontal="center"/>
    </xf>
    <xf numFmtId="0" fontId="1" fillId="10" borderId="38" xfId="0" applyFont="1" applyFill="1" applyBorder="1" applyAlignment="1">
      <alignment horizontal="center"/>
    </xf>
    <xf numFmtId="165" fontId="44" fillId="2" borderId="19" xfId="0" applyNumberFormat="1" applyFont="1" applyFill="1" applyBorder="1" applyAlignment="1">
      <alignment horizontal="center"/>
    </xf>
    <xf numFmtId="0" fontId="1" fillId="6" borderId="4" xfId="0" applyFont="1" applyFill="1" applyBorder="1" applyAlignment="1">
      <alignment horizontal="center"/>
    </xf>
    <xf numFmtId="0" fontId="1" fillId="6" borderId="0" xfId="0" applyFont="1" applyFill="1" applyBorder="1" applyAlignment="1">
      <alignment horizontal="center" vertical="center" wrapText="1"/>
    </xf>
    <xf numFmtId="0" fontId="0" fillId="12" borderId="14" xfId="0" applyFill="1" applyBorder="1" applyAlignment="1">
      <alignment horizontal="center"/>
    </xf>
    <xf numFmtId="0" fontId="0" fillId="12" borderId="15" xfId="0" applyFill="1" applyBorder="1" applyAlignment="1">
      <alignment horizontal="center"/>
    </xf>
    <xf numFmtId="0" fontId="1" fillId="6" borderId="4" xfId="0" applyFont="1" applyFill="1" applyBorder="1" applyAlignment="1">
      <alignment horizontal="center" vertical="center" wrapText="1"/>
    </xf>
    <xf numFmtId="164" fontId="44" fillId="2" borderId="1" xfId="0" applyNumberFormat="1" applyFont="1" applyFill="1" applyBorder="1" applyAlignment="1">
      <alignment horizontal="center"/>
    </xf>
    <xf numFmtId="164" fontId="44" fillId="2" borderId="29" xfId="0" applyNumberFormat="1" applyFont="1" applyFill="1" applyBorder="1" applyAlignment="1">
      <alignment horizontal="center"/>
    </xf>
    <xf numFmtId="0" fontId="15" fillId="3" borderId="6" xfId="0" applyFont="1" applyFill="1" applyBorder="1" applyAlignment="1">
      <alignment horizontal="left" vertical="center"/>
    </xf>
    <xf numFmtId="0" fontId="15" fillId="3" borderId="38" xfId="0" applyFont="1" applyFill="1" applyBorder="1" applyAlignment="1">
      <alignment horizontal="left" vertical="center"/>
    </xf>
    <xf numFmtId="0" fontId="56" fillId="3" borderId="14" xfId="0" applyFont="1" applyFill="1" applyBorder="1"/>
    <xf numFmtId="0" fontId="56" fillId="3" borderId="14" xfId="0" applyFont="1" applyFill="1" applyBorder="1" applyAlignment="1">
      <alignment horizontal="center"/>
    </xf>
    <xf numFmtId="0" fontId="49" fillId="3" borderId="14" xfId="0" applyFont="1" applyFill="1" applyBorder="1" applyAlignment="1">
      <alignment horizontal="center"/>
    </xf>
    <xf numFmtId="0" fontId="49" fillId="3" borderId="0" xfId="0" applyFont="1" applyFill="1" applyBorder="1"/>
    <xf numFmtId="0" fontId="49" fillId="3" borderId="0" xfId="0" applyFont="1" applyFill="1" applyBorder="1" applyAlignment="1">
      <alignment horizontal="center"/>
    </xf>
    <xf numFmtId="0" fontId="56" fillId="3" borderId="0" xfId="0" applyFont="1" applyFill="1" applyBorder="1"/>
    <xf numFmtId="3" fontId="32" fillId="3" borderId="2" xfId="0" applyNumberFormat="1" applyFont="1" applyFill="1" applyBorder="1" applyAlignment="1">
      <alignment horizontal="center" vertical="center"/>
    </xf>
    <xf numFmtId="0" fontId="61" fillId="3" borderId="21" xfId="0" applyFont="1" applyFill="1" applyBorder="1"/>
    <xf numFmtId="3" fontId="32" fillId="3" borderId="0" xfId="0" applyNumberFormat="1" applyFont="1" applyFill="1" applyBorder="1" applyAlignment="1">
      <alignment horizontal="center" vertical="center"/>
    </xf>
    <xf numFmtId="0" fontId="50" fillId="3" borderId="2" xfId="0" applyFont="1" applyFill="1" applyBorder="1"/>
    <xf numFmtId="0" fontId="61" fillId="3" borderId="2" xfId="0" applyFont="1" applyFill="1" applyBorder="1" applyAlignment="1">
      <alignment horizontal="center"/>
    </xf>
    <xf numFmtId="0" fontId="85" fillId="3" borderId="2" xfId="0" applyFont="1" applyFill="1" applyBorder="1"/>
    <xf numFmtId="0" fontId="49" fillId="3" borderId="7" xfId="0" applyFont="1" applyFill="1" applyBorder="1"/>
    <xf numFmtId="0" fontId="86" fillId="3" borderId="0" xfId="0" applyFont="1" applyFill="1" applyBorder="1" applyAlignment="1">
      <alignment horizontal="left"/>
    </xf>
    <xf numFmtId="0" fontId="56" fillId="3" borderId="2" xfId="0" applyFont="1" applyFill="1" applyBorder="1"/>
    <xf numFmtId="3" fontId="32" fillId="3" borderId="2" xfId="0" applyNumberFormat="1" applyFont="1" applyFill="1" applyBorder="1" applyAlignment="1">
      <alignment horizontal="center"/>
    </xf>
    <xf numFmtId="3" fontId="32" fillId="2" borderId="12" xfId="0" applyNumberFormat="1" applyFont="1" applyFill="1" applyBorder="1" applyAlignment="1">
      <alignment horizontal="center" vertical="center"/>
    </xf>
    <xf numFmtId="0" fontId="53" fillId="3" borderId="0" xfId="0" applyFont="1" applyFill="1" applyBorder="1"/>
    <xf numFmtId="0" fontId="78" fillId="3" borderId="0" xfId="0" applyFont="1" applyFill="1" applyBorder="1" applyAlignment="1">
      <alignment horizontal="left"/>
    </xf>
    <xf numFmtId="0" fontId="32" fillId="2" borderId="1" xfId="0" applyFont="1" applyFill="1" applyBorder="1" applyAlignment="1">
      <alignment horizontal="center" vertical="center"/>
    </xf>
    <xf numFmtId="167" fontId="49" fillId="3" borderId="0" xfId="0" applyNumberFormat="1" applyFont="1" applyFill="1" applyBorder="1" applyAlignment="1">
      <alignment horizontal="center"/>
    </xf>
    <xf numFmtId="164" fontId="49" fillId="3" borderId="0" xfId="0" applyNumberFormat="1" applyFont="1" applyFill="1" applyBorder="1" applyAlignment="1">
      <alignment horizontal="center"/>
    </xf>
    <xf numFmtId="0" fontId="61" fillId="3" borderId="0" xfId="0" applyFont="1" applyFill="1" applyBorder="1" applyAlignment="1">
      <alignment horizontal="center"/>
    </xf>
    <xf numFmtId="164" fontId="49" fillId="3" borderId="2" xfId="0" applyNumberFormat="1" applyFont="1" applyFill="1" applyBorder="1" applyAlignment="1">
      <alignment horizontal="center"/>
    </xf>
    <xf numFmtId="164" fontId="49" fillId="3" borderId="0" xfId="0" applyNumberFormat="1" applyFont="1" applyFill="1" applyBorder="1" applyAlignment="1">
      <alignment horizontal="center" vertical="center"/>
    </xf>
    <xf numFmtId="164" fontId="32" fillId="2" borderId="1" xfId="0" applyNumberFormat="1" applyFont="1" applyFill="1" applyBorder="1" applyAlignment="1">
      <alignment horizontal="center" vertical="center"/>
    </xf>
    <xf numFmtId="164" fontId="49" fillId="3" borderId="2" xfId="0" applyNumberFormat="1" applyFont="1" applyFill="1" applyBorder="1" applyAlignment="1">
      <alignment horizontal="center" vertical="center"/>
    </xf>
    <xf numFmtId="1" fontId="32" fillId="3" borderId="2" xfId="0" applyNumberFormat="1" applyFont="1" applyFill="1" applyBorder="1" applyAlignment="1">
      <alignment horizontal="center"/>
    </xf>
    <xf numFmtId="2" fontId="32" fillId="2" borderId="1" xfId="0" applyNumberFormat="1" applyFont="1" applyFill="1" applyBorder="1" applyAlignment="1">
      <alignment horizontal="center"/>
    </xf>
    <xf numFmtId="1" fontId="49" fillId="3" borderId="0" xfId="0" applyNumberFormat="1" applyFont="1" applyFill="1" applyBorder="1" applyAlignment="1">
      <alignment horizontal="center"/>
    </xf>
    <xf numFmtId="0" fontId="53" fillId="3" borderId="7" xfId="0" applyFont="1" applyFill="1" applyBorder="1"/>
    <xf numFmtId="0" fontId="1" fillId="3" borderId="0" xfId="0" applyFont="1" applyFill="1" applyBorder="1" applyAlignment="1">
      <alignment horizontal="left"/>
    </xf>
    <xf numFmtId="0" fontId="1" fillId="3" borderId="1" xfId="0" applyFont="1" applyFill="1" applyBorder="1" applyAlignment="1">
      <alignment horizontal="left"/>
    </xf>
    <xf numFmtId="0" fontId="1" fillId="3" borderId="29" xfId="0" applyFont="1" applyFill="1" applyBorder="1" applyAlignment="1"/>
    <xf numFmtId="0" fontId="1" fillId="3" borderId="12" xfId="0" applyFont="1" applyFill="1" applyBorder="1" applyAlignment="1"/>
    <xf numFmtId="0" fontId="1" fillId="3" borderId="1" xfId="0" applyFont="1" applyFill="1" applyBorder="1" applyAlignment="1"/>
    <xf numFmtId="166" fontId="7" fillId="0" borderId="20" xfId="0" applyNumberFormat="1" applyFont="1" applyFill="1" applyBorder="1" applyAlignment="1">
      <alignment horizontal="center" shrinkToFit="1"/>
    </xf>
    <xf numFmtId="166" fontId="7" fillId="0" borderId="11" xfId="0" applyNumberFormat="1" applyFont="1" applyFill="1" applyBorder="1" applyAlignment="1">
      <alignment horizontal="center" shrinkToFit="1"/>
    </xf>
    <xf numFmtId="0" fontId="7" fillId="0" borderId="11" xfId="0" applyFont="1" applyFill="1" applyBorder="1" applyAlignment="1">
      <alignment horizontal="center"/>
    </xf>
    <xf numFmtId="164" fontId="1" fillId="0" borderId="32" xfId="0" applyNumberFormat="1" applyFont="1" applyFill="1" applyBorder="1" applyAlignment="1">
      <alignment horizontal="center"/>
    </xf>
    <xf numFmtId="164" fontId="7" fillId="0" borderId="20" xfId="0" applyNumberFormat="1" applyFont="1" applyFill="1" applyBorder="1" applyAlignment="1">
      <alignment horizontal="center" shrinkToFit="1"/>
    </xf>
    <xf numFmtId="0" fontId="1" fillId="3" borderId="8" xfId="0" applyFont="1" applyFill="1" applyBorder="1" applyAlignment="1"/>
    <xf numFmtId="0" fontId="32" fillId="3" borderId="50" xfId="0" applyFont="1" applyFill="1" applyBorder="1"/>
    <xf numFmtId="0" fontId="1" fillId="6" borderId="6" xfId="0" applyFont="1" applyFill="1" applyBorder="1" applyAlignment="1">
      <alignment horizontal="center"/>
    </xf>
    <xf numFmtId="0" fontId="1" fillId="7" borderId="5" xfId="0" applyFont="1" applyFill="1" applyBorder="1" applyAlignment="1">
      <alignment horizontal="center"/>
    </xf>
    <xf numFmtId="0" fontId="1" fillId="7" borderId="6" xfId="0" applyFont="1" applyFill="1" applyBorder="1" applyAlignment="1">
      <alignment horizontal="center"/>
    </xf>
    <xf numFmtId="0" fontId="1" fillId="7" borderId="38" xfId="0" applyFont="1" applyFill="1" applyBorder="1" applyAlignment="1">
      <alignment horizontal="center"/>
    </xf>
    <xf numFmtId="0" fontId="1" fillId="12" borderId="5" xfId="0" applyFont="1" applyFill="1" applyBorder="1" applyAlignment="1">
      <alignment horizontal="center"/>
    </xf>
    <xf numFmtId="0" fontId="1" fillId="12" borderId="6" xfId="0" applyFont="1" applyFill="1" applyBorder="1" applyAlignment="1">
      <alignment horizontal="center"/>
    </xf>
    <xf numFmtId="0" fontId="1" fillId="12" borderId="38" xfId="0" applyFont="1" applyFill="1" applyBorder="1" applyAlignment="1">
      <alignment horizontal="center"/>
    </xf>
    <xf numFmtId="0" fontId="1" fillId="12" borderId="13" xfId="0" applyFont="1" applyFill="1" applyBorder="1" applyAlignment="1">
      <alignment horizontal="center" vertical="center" wrapText="1"/>
    </xf>
    <xf numFmtId="0" fontId="1" fillId="12" borderId="14" xfId="0" applyFont="1" applyFill="1" applyBorder="1" applyAlignment="1">
      <alignment horizontal="center" vertical="center" wrapText="1"/>
    </xf>
    <xf numFmtId="0" fontId="1" fillId="12" borderId="14" xfId="0" applyFont="1" applyFill="1" applyBorder="1" applyAlignment="1">
      <alignment horizontal="center"/>
    </xf>
    <xf numFmtId="0" fontId="1" fillId="12" borderId="5" xfId="0" applyFont="1" applyFill="1" applyBorder="1" applyAlignment="1">
      <alignment horizontal="center" vertical="center" wrapText="1"/>
    </xf>
    <xf numFmtId="0" fontId="1" fillId="12" borderId="6" xfId="0" applyFont="1" applyFill="1" applyBorder="1" applyAlignment="1">
      <alignment horizontal="center" vertical="center" wrapText="1"/>
    </xf>
    <xf numFmtId="0" fontId="1" fillId="12" borderId="38" xfId="0" applyFont="1" applyFill="1" applyBorder="1" applyAlignment="1">
      <alignment horizontal="center" vertical="center" wrapText="1"/>
    </xf>
    <xf numFmtId="0" fontId="63" fillId="3" borderId="8" xfId="0" applyFont="1" applyFill="1" applyBorder="1" applyAlignment="1">
      <alignment horizontal="center" vertical="center"/>
    </xf>
    <xf numFmtId="0" fontId="63" fillId="12" borderId="61" xfId="0" applyFont="1" applyFill="1" applyBorder="1" applyAlignment="1">
      <alignment horizontal="center" vertical="center"/>
    </xf>
    <xf numFmtId="0" fontId="63" fillId="0" borderId="0" xfId="0" applyFont="1" applyFill="1" applyAlignment="1">
      <alignment horizontal="center" vertical="center"/>
    </xf>
    <xf numFmtId="0" fontId="37" fillId="7" borderId="0" xfId="0" applyFont="1" applyFill="1" applyBorder="1" applyAlignment="1">
      <alignment horizontal="center" vertical="center" wrapText="1"/>
    </xf>
    <xf numFmtId="0" fontId="37" fillId="7" borderId="42" xfId="0" applyFont="1" applyFill="1" applyBorder="1" applyAlignment="1">
      <alignment horizontal="center" vertical="center" wrapText="1"/>
    </xf>
    <xf numFmtId="0" fontId="37" fillId="7" borderId="8" xfId="0" applyFont="1" applyFill="1" applyBorder="1" applyAlignment="1">
      <alignment horizontal="center" vertical="center" wrapText="1"/>
    </xf>
    <xf numFmtId="0" fontId="37" fillId="7" borderId="13" xfId="0" applyFont="1" applyFill="1" applyBorder="1" applyAlignment="1">
      <alignment horizontal="center" vertical="center" wrapText="1"/>
    </xf>
    <xf numFmtId="0" fontId="37" fillId="7" borderId="14" xfId="0" applyFont="1" applyFill="1" applyBorder="1" applyAlignment="1">
      <alignment horizontal="center" vertical="center" wrapText="1"/>
    </xf>
    <xf numFmtId="0" fontId="37" fillId="7" borderId="15" xfId="0" applyFont="1" applyFill="1" applyBorder="1" applyAlignment="1">
      <alignment horizontal="center" vertical="center" wrapText="1"/>
    </xf>
    <xf numFmtId="0" fontId="37" fillId="7" borderId="4" xfId="0" applyFont="1" applyFill="1" applyBorder="1" applyAlignment="1">
      <alignment horizontal="center" wrapText="1"/>
    </xf>
    <xf numFmtId="0" fontId="37" fillId="7" borderId="7" xfId="0" applyFont="1" applyFill="1" applyBorder="1" applyAlignment="1">
      <alignment horizontal="center" vertical="center" wrapText="1"/>
    </xf>
    <xf numFmtId="0" fontId="37" fillId="7" borderId="7" xfId="0" applyFont="1" applyFill="1" applyBorder="1" applyAlignment="1">
      <alignment horizontal="center" wrapText="1"/>
    </xf>
    <xf numFmtId="0" fontId="37" fillId="7" borderId="4" xfId="0" applyFont="1" applyFill="1" applyBorder="1" applyAlignment="1">
      <alignment horizontal="center" vertical="center" wrapText="1"/>
    </xf>
    <xf numFmtId="0" fontId="1" fillId="7" borderId="9" xfId="0" applyFont="1" applyFill="1" applyBorder="1" applyAlignment="1">
      <alignment horizontal="center"/>
    </xf>
    <xf numFmtId="0" fontId="1" fillId="7" borderId="8" xfId="0" applyFont="1" applyFill="1" applyBorder="1" applyAlignment="1">
      <alignment horizontal="center"/>
    </xf>
    <xf numFmtId="0" fontId="1" fillId="7" borderId="4" xfId="0" applyFont="1" applyFill="1" applyBorder="1" applyAlignment="1">
      <alignment horizontal="center"/>
    </xf>
    <xf numFmtId="0" fontId="37" fillId="7" borderId="43" xfId="0" applyFont="1" applyFill="1" applyBorder="1" applyAlignment="1">
      <alignment horizontal="center" vertical="center" wrapText="1"/>
    </xf>
    <xf numFmtId="0" fontId="1" fillId="7" borderId="7" xfId="0" applyFont="1" applyFill="1" applyBorder="1" applyAlignment="1">
      <alignment horizontal="center"/>
    </xf>
    <xf numFmtId="0" fontId="1" fillId="10" borderId="14" xfId="0" applyFont="1" applyFill="1" applyBorder="1" applyAlignment="1">
      <alignment horizontal="center" vertical="center" wrapText="1"/>
    </xf>
    <xf numFmtId="0" fontId="1" fillId="10" borderId="15" xfId="0" applyFont="1" applyFill="1" applyBorder="1" applyAlignment="1">
      <alignment horizontal="center" vertical="center" wrapText="1"/>
    </xf>
    <xf numFmtId="0" fontId="1" fillId="10" borderId="13" xfId="0" applyFont="1" applyFill="1" applyBorder="1" applyAlignment="1">
      <alignment horizontal="center" vertical="center" wrapText="1"/>
    </xf>
    <xf numFmtId="0" fontId="1" fillId="6" borderId="13" xfId="0" quotePrefix="1" applyFont="1" applyFill="1" applyBorder="1" applyAlignment="1">
      <alignment horizontal="center" vertical="center" wrapText="1"/>
    </xf>
    <xf numFmtId="0" fontId="1" fillId="6" borderId="14" xfId="0" applyFont="1" applyFill="1" applyBorder="1" applyAlignment="1">
      <alignment horizontal="center" vertical="center" wrapText="1"/>
    </xf>
    <xf numFmtId="0" fontId="1" fillId="6" borderId="13" xfId="0" applyFont="1" applyFill="1" applyBorder="1" applyAlignment="1">
      <alignment horizontal="center" vertical="center" wrapText="1"/>
    </xf>
    <xf numFmtId="0" fontId="1" fillId="6" borderId="15"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1" fillId="7" borderId="14" xfId="0" applyFont="1" applyFill="1" applyBorder="1" applyAlignment="1">
      <alignment horizontal="center" vertical="center" wrapText="1"/>
    </xf>
    <xf numFmtId="0" fontId="1" fillId="7" borderId="15" xfId="0" applyFont="1" applyFill="1" applyBorder="1" applyAlignment="1">
      <alignment horizontal="center" vertical="center" wrapText="1"/>
    </xf>
    <xf numFmtId="0" fontId="1" fillId="7" borderId="0" xfId="0" applyFont="1" applyFill="1" applyBorder="1" applyAlignment="1">
      <alignment horizontal="center" vertical="center" wrapText="1"/>
    </xf>
    <xf numFmtId="0" fontId="32" fillId="12" borderId="14" xfId="0" applyFont="1" applyFill="1" applyBorder="1" applyAlignment="1">
      <alignment horizontal="center" vertical="center" wrapText="1"/>
    </xf>
    <xf numFmtId="0" fontId="32" fillId="12" borderId="42" xfId="0" applyFont="1" applyFill="1" applyBorder="1" applyAlignment="1">
      <alignment horizontal="center" vertical="center" wrapText="1"/>
    </xf>
    <xf numFmtId="0" fontId="32" fillId="12" borderId="43" xfId="0" applyFont="1" applyFill="1" applyBorder="1" applyAlignment="1">
      <alignment horizontal="center" vertical="center" wrapText="1"/>
    </xf>
    <xf numFmtId="0" fontId="44" fillId="12" borderId="14" xfId="0" applyFont="1" applyFill="1" applyBorder="1" applyAlignment="1">
      <alignment horizontal="center" vertical="center" wrapText="1"/>
    </xf>
    <xf numFmtId="0" fontId="0" fillId="12" borderId="4" xfId="0" applyFill="1" applyBorder="1" applyAlignment="1">
      <alignment horizontal="center" vertical="center" wrapText="1"/>
    </xf>
    <xf numFmtId="0" fontId="0" fillId="12" borderId="5" xfId="0" applyFont="1" applyFill="1" applyBorder="1" applyAlignment="1">
      <alignment horizontal="center" vertical="center" wrapText="1"/>
    </xf>
    <xf numFmtId="0" fontId="0" fillId="12" borderId="6" xfId="0" applyFont="1" applyFill="1" applyBorder="1" applyAlignment="1">
      <alignment horizontal="center" vertical="center" wrapText="1"/>
    </xf>
    <xf numFmtId="0" fontId="0" fillId="12" borderId="38" xfId="0" applyFont="1" applyFill="1" applyBorder="1" applyAlignment="1">
      <alignment horizontal="center" vertical="center" wrapText="1"/>
    </xf>
    <xf numFmtId="0" fontId="0" fillId="12" borderId="5" xfId="0" quotePrefix="1" applyFont="1" applyFill="1" applyBorder="1" applyAlignment="1">
      <alignment horizontal="center" vertical="center" wrapText="1"/>
    </xf>
    <xf numFmtId="0" fontId="0" fillId="12" borderId="6" xfId="0" quotePrefix="1" applyFont="1" applyFill="1" applyBorder="1" applyAlignment="1">
      <alignment horizontal="center" vertical="center" wrapText="1"/>
    </xf>
    <xf numFmtId="0" fontId="81" fillId="12" borderId="5" xfId="0" applyFont="1" applyFill="1" applyBorder="1" applyAlignment="1">
      <alignment horizontal="center" vertical="center" wrapText="1"/>
    </xf>
    <xf numFmtId="0" fontId="81" fillId="12" borderId="6" xfId="0" applyFont="1" applyFill="1" applyBorder="1" applyAlignment="1">
      <alignment horizontal="center" vertical="center" wrapText="1"/>
    </xf>
    <xf numFmtId="0" fontId="81" fillId="12" borderId="38" xfId="0" applyFont="1" applyFill="1" applyBorder="1" applyAlignment="1">
      <alignment horizontal="center" vertical="center" wrapText="1"/>
    </xf>
    <xf numFmtId="0" fontId="0" fillId="12" borderId="14" xfId="0" applyFill="1" applyBorder="1" applyAlignment="1">
      <alignment horizontal="center" vertical="center" wrapText="1"/>
    </xf>
    <xf numFmtId="0" fontId="0" fillId="12" borderId="15" xfId="0" applyFill="1" applyBorder="1" applyAlignment="1">
      <alignment horizontal="center" vertical="center" wrapText="1"/>
    </xf>
    <xf numFmtId="0" fontId="0" fillId="12" borderId="0" xfId="0" applyFill="1" applyBorder="1" applyAlignment="1">
      <alignment horizontal="center" vertical="center" wrapText="1"/>
    </xf>
    <xf numFmtId="0" fontId="0" fillId="12" borderId="7" xfId="0" applyFill="1" applyBorder="1" applyAlignment="1">
      <alignment horizontal="center" vertical="center" wrapText="1"/>
    </xf>
    <xf numFmtId="0" fontId="0" fillId="12" borderId="13" xfId="0" applyFill="1" applyBorder="1" applyAlignment="1">
      <alignment horizontal="center" vertical="center" wrapText="1"/>
    </xf>
    <xf numFmtId="0" fontId="1" fillId="0" borderId="0" xfId="0" applyFont="1" applyFill="1" applyAlignment="1">
      <alignment horizontal="center" vertical="center" wrapText="1"/>
    </xf>
    <xf numFmtId="0" fontId="1" fillId="10" borderId="4" xfId="0" applyFont="1" applyFill="1" applyBorder="1" applyAlignment="1">
      <alignment horizontal="center"/>
    </xf>
    <xf numFmtId="0" fontId="32" fillId="12" borderId="0" xfId="0" applyFont="1" applyFill="1" applyBorder="1" applyAlignment="1">
      <alignment horizontal="center"/>
    </xf>
    <xf numFmtId="0" fontId="0" fillId="12" borderId="62" xfId="0" applyFill="1" applyBorder="1" applyAlignment="1">
      <alignment horizontal="center" wrapText="1"/>
    </xf>
    <xf numFmtId="0" fontId="0" fillId="12" borderId="7" xfId="0" applyFill="1" applyBorder="1" applyAlignment="1">
      <alignment horizontal="center"/>
    </xf>
    <xf numFmtId="0" fontId="1" fillId="12" borderId="13" xfId="0" applyFont="1" applyFill="1" applyBorder="1" applyAlignment="1">
      <alignment horizontal="center"/>
    </xf>
    <xf numFmtId="0" fontId="1" fillId="12" borderId="15" xfId="0" applyFont="1" applyFill="1" applyBorder="1" applyAlignment="1">
      <alignment horizontal="center"/>
    </xf>
    <xf numFmtId="0" fontId="1" fillId="7" borderId="0" xfId="0" applyFont="1" applyFill="1" applyBorder="1" applyAlignment="1">
      <alignment horizontal="center" vertical="center"/>
    </xf>
    <xf numFmtId="0" fontId="1" fillId="7" borderId="8" xfId="0" applyFont="1" applyFill="1" applyBorder="1" applyAlignment="1">
      <alignment horizontal="center" vertical="center"/>
    </xf>
    <xf numFmtId="0" fontId="0" fillId="6" borderId="4" xfId="0" applyFill="1" applyBorder="1" applyAlignment="1">
      <alignment horizontal="center"/>
    </xf>
    <xf numFmtId="0" fontId="0" fillId="7" borderId="4" xfId="0" applyFill="1" applyBorder="1" applyAlignment="1">
      <alignment horizontal="center"/>
    </xf>
    <xf numFmtId="0" fontId="0" fillId="7" borderId="0" xfId="0" applyFill="1" applyBorder="1" applyAlignment="1">
      <alignment horizontal="center"/>
    </xf>
    <xf numFmtId="0" fontId="0" fillId="7" borderId="7" xfId="0" applyFill="1" applyBorder="1" applyAlignment="1">
      <alignment horizontal="center"/>
    </xf>
    <xf numFmtId="0" fontId="1" fillId="12" borderId="62" xfId="0" applyFont="1" applyFill="1" applyBorder="1" applyAlignment="1">
      <alignment horizontal="center"/>
    </xf>
    <xf numFmtId="0" fontId="0" fillId="12" borderId="7" xfId="0" applyFill="1" applyBorder="1" applyAlignment="1">
      <alignment horizontal="center" wrapText="1"/>
    </xf>
    <xf numFmtId="0" fontId="1" fillId="13" borderId="5" xfId="0" applyFont="1" applyFill="1" applyBorder="1" applyAlignment="1">
      <alignment horizontal="center"/>
    </xf>
    <xf numFmtId="0" fontId="1" fillId="13" borderId="6" xfId="0" applyFont="1" applyFill="1" applyBorder="1" applyAlignment="1">
      <alignment horizontal="center"/>
    </xf>
    <xf numFmtId="0" fontId="1" fillId="13" borderId="14" xfId="0" applyFont="1" applyFill="1" applyBorder="1" applyAlignment="1">
      <alignment horizontal="center" vertical="center" wrapText="1"/>
    </xf>
    <xf numFmtId="0" fontId="1" fillId="13" borderId="15" xfId="0" applyFont="1" applyFill="1" applyBorder="1" applyAlignment="1">
      <alignment horizontal="center" vertical="center" wrapText="1"/>
    </xf>
    <xf numFmtId="0" fontId="1" fillId="13" borderId="0" xfId="0" applyFont="1" applyFill="1" applyBorder="1" applyAlignment="1">
      <alignment horizontal="center" wrapText="1"/>
    </xf>
    <xf numFmtId="0" fontId="1" fillId="13" borderId="7" xfId="0" applyFont="1" applyFill="1" applyBorder="1" applyAlignment="1">
      <alignment horizontal="center" wrapText="1"/>
    </xf>
    <xf numFmtId="0" fontId="1" fillId="13" borderId="0" xfId="0" quotePrefix="1" applyFont="1" applyFill="1" applyBorder="1" applyAlignment="1">
      <alignment horizontal="center" wrapText="1"/>
    </xf>
    <xf numFmtId="0" fontId="1" fillId="13" borderId="7" xfId="0" quotePrefix="1" applyFont="1" applyFill="1" applyBorder="1" applyAlignment="1">
      <alignment horizontal="center" wrapText="1"/>
    </xf>
    <xf numFmtId="0" fontId="1" fillId="13" borderId="10" xfId="0" applyFont="1" applyFill="1" applyBorder="1" applyAlignment="1">
      <alignment horizontal="center"/>
    </xf>
    <xf numFmtId="0" fontId="1" fillId="13" borderId="17" xfId="0" applyFont="1" applyFill="1" applyBorder="1" applyAlignment="1">
      <alignment horizontal="center"/>
    </xf>
    <xf numFmtId="0" fontId="1" fillId="3" borderId="0" xfId="0" applyFont="1" applyFill="1" applyBorder="1" applyAlignment="1">
      <alignment horizontal="center" vertical="center" wrapText="1"/>
    </xf>
    <xf numFmtId="0" fontId="1" fillId="13" borderId="13" xfId="0" applyFont="1" applyFill="1" applyBorder="1" applyAlignment="1">
      <alignment horizontal="center" vertical="center" wrapText="1"/>
    </xf>
    <xf numFmtId="0" fontId="1" fillId="13" borderId="4" xfId="0" applyFont="1" applyFill="1" applyBorder="1" applyAlignment="1">
      <alignment horizontal="center" wrapText="1"/>
    </xf>
    <xf numFmtId="0" fontId="1" fillId="13" borderId="4" xfId="0" quotePrefix="1" applyFont="1" applyFill="1" applyBorder="1" applyAlignment="1">
      <alignment horizontal="center" wrapText="1"/>
    </xf>
    <xf numFmtId="0" fontId="1" fillId="13" borderId="16" xfId="0" applyFont="1" applyFill="1" applyBorder="1" applyAlignment="1">
      <alignment horizontal="center"/>
    </xf>
    <xf numFmtId="0" fontId="1" fillId="13" borderId="38" xfId="0" applyFont="1" applyFill="1" applyBorder="1" applyAlignment="1">
      <alignment horizontal="center"/>
    </xf>
    <xf numFmtId="0" fontId="0" fillId="12" borderId="15" xfId="0" applyFill="1" applyBorder="1" applyAlignment="1">
      <alignment horizontal="center" wrapText="1"/>
    </xf>
    <xf numFmtId="0" fontId="0" fillId="12" borderId="62" xfId="0" applyFill="1" applyBorder="1" applyAlignment="1">
      <alignment horizontal="center" vertical="center" wrapText="1"/>
    </xf>
    <xf numFmtId="0" fontId="44" fillId="12" borderId="13" xfId="0" applyFont="1" applyFill="1" applyBorder="1" applyAlignment="1">
      <alignment horizontal="center" vertical="center" wrapText="1"/>
    </xf>
    <xf numFmtId="0" fontId="44" fillId="12" borderId="15" xfId="0" applyFont="1" applyFill="1" applyBorder="1" applyAlignment="1">
      <alignment horizontal="center" vertical="center" wrapText="1"/>
    </xf>
    <xf numFmtId="0" fontId="32" fillId="12" borderId="4" xfId="0" applyFont="1" applyFill="1" applyBorder="1" applyAlignment="1">
      <alignment horizontal="center"/>
    </xf>
    <xf numFmtId="0" fontId="32" fillId="12" borderId="7" xfId="0" applyFont="1" applyFill="1" applyBorder="1" applyAlignment="1">
      <alignment horizontal="center"/>
    </xf>
    <xf numFmtId="0" fontId="1" fillId="12" borderId="15" xfId="0" applyFont="1" applyFill="1" applyBorder="1" applyAlignment="1">
      <alignment horizontal="center" vertical="center" wrapText="1"/>
    </xf>
    <xf numFmtId="0" fontId="37" fillId="12" borderId="7" xfId="0" applyFont="1" applyFill="1" applyBorder="1" applyAlignment="1">
      <alignment horizontal="center" wrapText="1"/>
    </xf>
    <xf numFmtId="0" fontId="1" fillId="6" borderId="42" xfId="0" applyFont="1" applyFill="1" applyBorder="1" applyAlignment="1">
      <alignment horizontal="center" vertical="center" wrapText="1"/>
    </xf>
    <xf numFmtId="0" fontId="1" fillId="6" borderId="8" xfId="0" applyFont="1" applyFill="1" applyBorder="1" applyAlignment="1">
      <alignment horizontal="center" wrapText="1"/>
    </xf>
    <xf numFmtId="0" fontId="1" fillId="6" borderId="44" xfId="0" quotePrefix="1" applyFont="1" applyFill="1" applyBorder="1" applyAlignment="1">
      <alignment horizontal="center"/>
    </xf>
    <xf numFmtId="0" fontId="32" fillId="2" borderId="1" xfId="0" applyFont="1" applyFill="1" applyBorder="1" applyAlignment="1">
      <alignment horizontal="center"/>
    </xf>
    <xf numFmtId="0" fontId="32" fillId="2" borderId="29" xfId="0" applyFont="1" applyFill="1" applyBorder="1" applyAlignment="1">
      <alignment horizontal="right"/>
    </xf>
    <xf numFmtId="164" fontId="14" fillId="2" borderId="29" xfId="0" applyNumberFormat="1" applyFont="1" applyFill="1" applyBorder="1" applyAlignment="1">
      <alignment horizontal="center"/>
    </xf>
    <xf numFmtId="0" fontId="1" fillId="6" borderId="8" xfId="0" applyFont="1" applyFill="1" applyBorder="1" applyAlignment="1">
      <alignment horizontal="center" vertical="center"/>
    </xf>
    <xf numFmtId="0" fontId="1" fillId="6" borderId="8" xfId="0" quotePrefix="1" applyFont="1" applyFill="1" applyBorder="1" applyAlignment="1">
      <alignment horizontal="center" wrapText="1"/>
    </xf>
    <xf numFmtId="0" fontId="32" fillId="6" borderId="29" xfId="0" applyFont="1" applyFill="1" applyBorder="1"/>
    <xf numFmtId="0" fontId="57" fillId="3" borderId="0" xfId="0" applyFont="1" applyFill="1" applyBorder="1" applyAlignment="1">
      <alignment horizontal="left" vertical="center"/>
    </xf>
    <xf numFmtId="0" fontId="32" fillId="6" borderId="12" xfId="0" applyFont="1" applyFill="1" applyBorder="1"/>
    <xf numFmtId="1" fontId="7" fillId="0" borderId="12" xfId="0" applyNumberFormat="1" applyFont="1" applyFill="1" applyBorder="1" applyAlignment="1">
      <alignment horizontal="center"/>
    </xf>
    <xf numFmtId="2" fontId="32" fillId="2" borderId="29" xfId="0" applyNumberFormat="1" applyFont="1" applyFill="1" applyBorder="1" applyAlignment="1">
      <alignment horizontal="center"/>
    </xf>
    <xf numFmtId="0" fontId="15" fillId="6" borderId="1" xfId="0" applyFont="1" applyFill="1" applyBorder="1"/>
    <xf numFmtId="0" fontId="14" fillId="6" borderId="1" xfId="0" applyFont="1" applyFill="1" applyBorder="1"/>
    <xf numFmtId="0" fontId="14" fillId="2" borderId="1" xfId="0" quotePrefix="1" applyFont="1" applyFill="1" applyBorder="1"/>
    <xf numFmtId="0" fontId="14" fillId="2" borderId="1" xfId="0" applyFont="1" applyFill="1" applyBorder="1" applyAlignment="1">
      <alignment horizontal="right"/>
    </xf>
    <xf numFmtId="0" fontId="14" fillId="6" borderId="1" xfId="0" quotePrefix="1" applyFont="1" applyFill="1" applyBorder="1"/>
    <xf numFmtId="0" fontId="14" fillId="2" borderId="24" xfId="0" applyFont="1" applyFill="1" applyBorder="1"/>
    <xf numFmtId="164" fontId="14" fillId="2" borderId="24" xfId="0" applyNumberFormat="1" applyFont="1" applyFill="1" applyBorder="1" applyAlignment="1">
      <alignment horizontal="center"/>
    </xf>
    <xf numFmtId="164" fontId="14" fillId="2" borderId="25" xfId="0" applyNumberFormat="1" applyFont="1" applyFill="1" applyBorder="1" applyAlignment="1">
      <alignment horizontal="center"/>
    </xf>
    <xf numFmtId="164" fontId="14" fillId="2" borderId="27" xfId="0" applyNumberFormat="1" applyFont="1" applyFill="1" applyBorder="1" applyAlignment="1">
      <alignment horizontal="center"/>
    </xf>
    <xf numFmtId="0" fontId="14" fillId="2" borderId="29" xfId="0" applyFont="1" applyFill="1" applyBorder="1"/>
    <xf numFmtId="164" fontId="14" fillId="2" borderId="30" xfId="0" applyNumberFormat="1" applyFont="1" applyFill="1" applyBorder="1" applyAlignment="1">
      <alignment horizontal="center"/>
    </xf>
    <xf numFmtId="0" fontId="14" fillId="2" borderId="24" xfId="0" applyFont="1" applyFill="1" applyBorder="1" applyAlignment="1">
      <alignment horizontal="center"/>
    </xf>
    <xf numFmtId="0" fontId="14" fillId="2" borderId="25" xfId="0" applyFont="1" applyFill="1" applyBorder="1" applyAlignment="1">
      <alignment horizontal="center"/>
    </xf>
    <xf numFmtId="0" fontId="14" fillId="2" borderId="29" xfId="0" applyFont="1" applyFill="1" applyBorder="1" applyAlignment="1">
      <alignment horizontal="center"/>
    </xf>
    <xf numFmtId="0" fontId="14" fillId="2" borderId="65" xfId="0" applyFont="1" applyFill="1" applyBorder="1" applyAlignment="1">
      <alignment horizontal="left"/>
    </xf>
    <xf numFmtId="0" fontId="14" fillId="2" borderId="26" xfId="0" applyFont="1" applyFill="1" applyBorder="1"/>
    <xf numFmtId="0" fontId="14" fillId="2" borderId="28" xfId="0" applyFont="1" applyFill="1" applyBorder="1"/>
    <xf numFmtId="0" fontId="14" fillId="2" borderId="23" xfId="0" applyFont="1" applyFill="1" applyBorder="1"/>
    <xf numFmtId="0" fontId="21" fillId="2" borderId="5" xfId="0" applyFont="1" applyFill="1" applyBorder="1" applyAlignment="1">
      <alignment horizontal="left"/>
    </xf>
    <xf numFmtId="0" fontId="21" fillId="2" borderId="66" xfId="0" applyFont="1" applyFill="1" applyBorder="1" applyAlignment="1">
      <alignment horizontal="left"/>
    </xf>
    <xf numFmtId="0" fontId="21" fillId="2" borderId="42" xfId="0" applyFont="1" applyFill="1" applyBorder="1" applyAlignment="1">
      <alignment horizontal="left"/>
    </xf>
    <xf numFmtId="0" fontId="14" fillId="2" borderId="48" xfId="0" applyFont="1" applyFill="1" applyBorder="1" applyAlignment="1">
      <alignment horizontal="center"/>
    </xf>
    <xf numFmtId="0" fontId="14" fillId="2" borderId="49" xfId="0" applyFont="1" applyFill="1" applyBorder="1" applyAlignment="1">
      <alignment horizontal="center"/>
    </xf>
    <xf numFmtId="0" fontId="21" fillId="2" borderId="23" xfId="0" applyFont="1" applyFill="1" applyBorder="1" applyAlignment="1">
      <alignment horizontal="right"/>
    </xf>
    <xf numFmtId="0" fontId="21" fillId="2" borderId="26" xfId="0" applyFont="1" applyFill="1" applyBorder="1" applyAlignment="1">
      <alignment horizontal="right" vertical="top"/>
    </xf>
    <xf numFmtId="0" fontId="21" fillId="2" borderId="28" xfId="0" applyFont="1" applyFill="1" applyBorder="1" applyAlignment="1">
      <alignment horizontal="right" vertical="top"/>
    </xf>
    <xf numFmtId="0" fontId="21" fillId="2" borderId="23" xfId="0" applyFont="1" applyFill="1" applyBorder="1" applyAlignment="1">
      <alignment horizontal="right" wrapText="1"/>
    </xf>
    <xf numFmtId="0" fontId="21" fillId="2" borderId="26" xfId="0" applyFont="1" applyFill="1" applyBorder="1" applyAlignment="1">
      <alignment horizontal="right" vertical="top" wrapText="1"/>
    </xf>
    <xf numFmtId="0" fontId="21" fillId="2" borderId="28" xfId="0" applyFont="1" applyFill="1" applyBorder="1" applyAlignment="1">
      <alignment horizontal="right" vertical="top" wrapText="1"/>
    </xf>
    <xf numFmtId="0" fontId="14" fillId="2" borderId="29" xfId="0" applyFont="1" applyFill="1" applyBorder="1" applyAlignment="1">
      <alignment horizontal="left"/>
    </xf>
    <xf numFmtId="0" fontId="15" fillId="2" borderId="29" xfId="0" applyFont="1" applyFill="1" applyBorder="1" applyAlignment="1">
      <alignment horizontal="center"/>
    </xf>
    <xf numFmtId="0" fontId="14" fillId="2" borderId="19" xfId="0" applyFont="1" applyFill="1" applyBorder="1"/>
    <xf numFmtId="0" fontId="15" fillId="2" borderId="19" xfId="0" applyFont="1" applyFill="1" applyBorder="1"/>
    <xf numFmtId="164" fontId="14" fillId="2" borderId="19" xfId="0" applyNumberFormat="1" applyFont="1" applyFill="1" applyBorder="1" applyAlignment="1">
      <alignment horizontal="center"/>
    </xf>
    <xf numFmtId="164" fontId="14" fillId="2" borderId="36" xfId="0" applyNumberFormat="1" applyFont="1" applyFill="1" applyBorder="1" applyAlignment="1">
      <alignment horizontal="center"/>
    </xf>
    <xf numFmtId="0" fontId="14" fillId="2" borderId="24" xfId="0" applyFont="1" applyFill="1" applyBorder="1" applyAlignment="1">
      <alignment horizontal="left"/>
    </xf>
    <xf numFmtId="0" fontId="24" fillId="2" borderId="23" xfId="0" applyFont="1" applyFill="1" applyBorder="1"/>
    <xf numFmtId="0" fontId="14" fillId="2" borderId="28" xfId="0" applyFont="1" applyFill="1" applyBorder="1" applyAlignment="1">
      <alignment horizontal="left"/>
    </xf>
    <xf numFmtId="0" fontId="14" fillId="2" borderId="26" xfId="0" applyFont="1" applyFill="1" applyBorder="1" applyAlignment="1">
      <alignment horizontal="left"/>
    </xf>
    <xf numFmtId="0" fontId="14" fillId="2" borderId="33" xfId="0" applyFont="1" applyFill="1" applyBorder="1" applyAlignment="1">
      <alignment horizontal="left"/>
    </xf>
    <xf numFmtId="0" fontId="14" fillId="2" borderId="23" xfId="0" applyFont="1" applyFill="1" applyBorder="1" applyAlignment="1">
      <alignment horizontal="left"/>
    </xf>
    <xf numFmtId="0" fontId="15" fillId="6" borderId="24" xfId="0" applyFont="1" applyFill="1" applyBorder="1"/>
    <xf numFmtId="0" fontId="14" fillId="6" borderId="29" xfId="0" applyFont="1" applyFill="1" applyBorder="1" applyAlignment="1">
      <alignment horizontal="left"/>
    </xf>
    <xf numFmtId="0" fontId="14" fillId="6" borderId="19" xfId="0" applyFont="1" applyFill="1" applyBorder="1"/>
    <xf numFmtId="0" fontId="14" fillId="6" borderId="24" xfId="0" applyFont="1" applyFill="1" applyBorder="1" applyAlignment="1">
      <alignment horizontal="left"/>
    </xf>
    <xf numFmtId="0" fontId="14" fillId="6" borderId="29" xfId="0" applyFont="1" applyFill="1" applyBorder="1"/>
    <xf numFmtId="1" fontId="14" fillId="2" borderId="24" xfId="0" applyNumberFormat="1" applyFont="1" applyFill="1" applyBorder="1" applyAlignment="1">
      <alignment horizontal="center"/>
    </xf>
    <xf numFmtId="1" fontId="14" fillId="2" borderId="25" xfId="0" applyNumberFormat="1" applyFont="1" applyFill="1" applyBorder="1" applyAlignment="1">
      <alignment horizontal="center"/>
    </xf>
    <xf numFmtId="0" fontId="14" fillId="2" borderId="29" xfId="0" quotePrefix="1" applyFont="1" applyFill="1" applyBorder="1"/>
    <xf numFmtId="0" fontId="15" fillId="6" borderId="19" xfId="0" applyFont="1" applyFill="1" applyBorder="1"/>
    <xf numFmtId="0" fontId="14" fillId="6" borderId="29" xfId="0" quotePrefix="1" applyFont="1" applyFill="1" applyBorder="1"/>
    <xf numFmtId="0" fontId="21" fillId="2" borderId="23" xfId="0" applyFont="1" applyFill="1" applyBorder="1" applyAlignment="1">
      <alignment horizontal="left"/>
    </xf>
    <xf numFmtId="0" fontId="20" fillId="2" borderId="24" xfId="0" applyFont="1" applyFill="1" applyBorder="1" applyAlignment="1">
      <alignment horizontal="left"/>
    </xf>
    <xf numFmtId="0" fontId="14" fillId="2" borderId="26" xfId="0" applyFont="1" applyFill="1" applyBorder="1" applyAlignment="1">
      <alignment horizontal="left" vertical="center"/>
    </xf>
    <xf numFmtId="0" fontId="14" fillId="2" borderId="28" xfId="0" applyFont="1" applyFill="1" applyBorder="1" applyAlignment="1">
      <alignment horizontal="left" vertical="center"/>
    </xf>
    <xf numFmtId="0" fontId="21" fillId="2" borderId="23" xfId="0" applyFont="1" applyFill="1" applyBorder="1"/>
    <xf numFmtId="0" fontId="14" fillId="2" borderId="33" xfId="0" applyFont="1" applyFill="1" applyBorder="1"/>
    <xf numFmtId="0" fontId="15" fillId="2" borderId="26" xfId="0" applyFont="1" applyFill="1" applyBorder="1"/>
    <xf numFmtId="0" fontId="15" fillId="2" borderId="28" xfId="0" applyFont="1" applyFill="1" applyBorder="1"/>
    <xf numFmtId="0" fontId="50" fillId="2" borderId="23" xfId="0" applyFont="1" applyFill="1" applyBorder="1"/>
    <xf numFmtId="0" fontId="33" fillId="2" borderId="24" xfId="0" applyFont="1" applyFill="1" applyBorder="1" applyAlignment="1">
      <alignment horizontal="center"/>
    </xf>
    <xf numFmtId="0" fontId="33" fillId="2" borderId="25" xfId="0" applyFont="1" applyFill="1" applyBorder="1" applyAlignment="1">
      <alignment horizontal="center"/>
    </xf>
    <xf numFmtId="0" fontId="20" fillId="3" borderId="0" xfId="0" applyFont="1" applyFill="1"/>
    <xf numFmtId="0" fontId="61" fillId="6" borderId="29" xfId="0" applyFont="1" applyFill="1" applyBorder="1"/>
    <xf numFmtId="0" fontId="15" fillId="6" borderId="29" xfId="0" applyFont="1" applyFill="1" applyBorder="1"/>
    <xf numFmtId="0" fontId="20" fillId="6" borderId="24" xfId="0" applyFont="1" applyFill="1" applyBorder="1" applyAlignment="1">
      <alignment horizontal="left"/>
    </xf>
    <xf numFmtId="0" fontId="20" fillId="3" borderId="0" xfId="0" applyFont="1" applyFill="1" applyAlignment="1"/>
    <xf numFmtId="0" fontId="32" fillId="3" borderId="0" xfId="0" quotePrefix="1" applyFont="1" applyFill="1" applyBorder="1"/>
    <xf numFmtId="0" fontId="14" fillId="2" borderId="24" xfId="0" applyFont="1" applyFill="1" applyBorder="1" applyAlignment="1">
      <alignment horizontal="right"/>
    </xf>
    <xf numFmtId="3" fontId="14" fillId="2" borderId="24" xfId="0" applyNumberFormat="1" applyFont="1" applyFill="1" applyBorder="1" applyAlignment="1">
      <alignment horizontal="center"/>
    </xf>
    <xf numFmtId="0" fontId="21" fillId="2" borderId="29" xfId="0" applyFont="1" applyFill="1" applyBorder="1" applyAlignment="1">
      <alignment horizontal="right"/>
    </xf>
    <xf numFmtId="0" fontId="14" fillId="6" borderId="24" xfId="0" applyFont="1" applyFill="1" applyBorder="1"/>
    <xf numFmtId="0" fontId="24" fillId="2" borderId="26" xfId="0" applyFont="1" applyFill="1" applyBorder="1"/>
    <xf numFmtId="0" fontId="14" fillId="2" borderId="27" xfId="0" applyFont="1" applyFill="1" applyBorder="1" applyAlignment="1">
      <alignment horizontal="center"/>
    </xf>
    <xf numFmtId="0" fontId="21" fillId="2" borderId="26" xfId="0" applyFont="1" applyFill="1" applyBorder="1" applyAlignment="1">
      <alignment horizontal="right"/>
    </xf>
    <xf numFmtId="0" fontId="14" fillId="2" borderId="26" xfId="0" applyFont="1" applyFill="1" applyBorder="1" applyAlignment="1">
      <alignment horizontal="right"/>
    </xf>
    <xf numFmtId="0" fontId="21" fillId="2" borderId="28" xfId="0" applyFont="1" applyFill="1" applyBorder="1" applyAlignment="1">
      <alignment horizontal="right"/>
    </xf>
    <xf numFmtId="0" fontId="14" fillId="2" borderId="30" xfId="0" applyFont="1" applyFill="1" applyBorder="1" applyAlignment="1">
      <alignment horizontal="center"/>
    </xf>
    <xf numFmtId="0" fontId="32" fillId="0" borderId="23" xfId="0" applyFont="1" applyFill="1" applyBorder="1"/>
    <xf numFmtId="0" fontId="32" fillId="6" borderId="24" xfId="0" quotePrefix="1" applyFont="1" applyFill="1" applyBorder="1"/>
    <xf numFmtId="0" fontId="32" fillId="0" borderId="24" xfId="0" applyFont="1" applyFill="1" applyBorder="1"/>
    <xf numFmtId="1" fontId="32" fillId="0" borderId="25" xfId="0" applyNumberFormat="1" applyFont="1" applyFill="1" applyBorder="1" applyAlignment="1">
      <alignment horizontal="center"/>
    </xf>
    <xf numFmtId="0" fontId="32" fillId="0" borderId="28" xfId="0" applyFont="1" applyFill="1" applyBorder="1"/>
    <xf numFmtId="0" fontId="32" fillId="6" borderId="29" xfId="0" quotePrefix="1" applyFont="1" applyFill="1" applyBorder="1"/>
    <xf numFmtId="0" fontId="32" fillId="0" borderId="29" xfId="0" applyFont="1" applyFill="1" applyBorder="1"/>
    <xf numFmtId="0" fontId="15" fillId="2" borderId="23" xfId="0" applyFont="1" applyFill="1" applyBorder="1"/>
    <xf numFmtId="0" fontId="50" fillId="2" borderId="24" xfId="0" applyFont="1" applyFill="1" applyBorder="1" applyAlignment="1">
      <alignment horizontal="right"/>
    </xf>
    <xf numFmtId="0" fontId="32" fillId="2" borderId="55" xfId="0" applyFont="1" applyFill="1" applyBorder="1" applyAlignment="1">
      <alignment horizontal="right"/>
    </xf>
    <xf numFmtId="0" fontId="32" fillId="2" borderId="24" xfId="0" applyFont="1" applyFill="1" applyBorder="1" applyAlignment="1">
      <alignment horizontal="left"/>
    </xf>
    <xf numFmtId="0" fontId="44" fillId="6" borderId="29" xfId="0" quotePrefix="1" applyFont="1" applyFill="1" applyBorder="1" applyAlignment="1">
      <alignment horizontal="left"/>
    </xf>
    <xf numFmtId="165" fontId="32" fillId="2" borderId="28" xfId="0" applyNumberFormat="1" applyFont="1" applyFill="1" applyBorder="1" applyAlignment="1">
      <alignment horizontal="left" vertical="center"/>
    </xf>
    <xf numFmtId="0" fontId="44" fillId="6" borderId="24" xfId="0" quotePrefix="1" applyFont="1" applyFill="1" applyBorder="1" applyAlignment="1">
      <alignment horizontal="left"/>
    </xf>
    <xf numFmtId="0" fontId="44" fillId="2" borderId="29" xfId="0" quotePrefix="1" applyFont="1" applyFill="1" applyBorder="1" applyAlignment="1">
      <alignment horizontal="left"/>
    </xf>
    <xf numFmtId="165" fontId="32" fillId="6" borderId="24" xfId="0" applyNumberFormat="1" applyFont="1" applyFill="1" applyBorder="1" applyAlignment="1">
      <alignment horizontal="left"/>
    </xf>
    <xf numFmtId="0" fontId="44" fillId="2" borderId="26" xfId="0" applyFont="1" applyFill="1" applyBorder="1"/>
    <xf numFmtId="0" fontId="44" fillId="2" borderId="27" xfId="0" applyFont="1" applyFill="1" applyBorder="1" applyAlignment="1">
      <alignment horizontal="center"/>
    </xf>
    <xf numFmtId="0" fontId="44" fillId="2" borderId="28" xfId="0" applyFont="1" applyFill="1" applyBorder="1"/>
    <xf numFmtId="0" fontId="32" fillId="2" borderId="50" xfId="0" applyFont="1" applyFill="1" applyBorder="1"/>
    <xf numFmtId="164" fontId="32" fillId="2" borderId="54" xfId="0" applyNumberFormat="1" applyFont="1" applyFill="1" applyBorder="1" applyAlignment="1">
      <alignment horizontal="center"/>
    </xf>
    <xf numFmtId="0" fontId="32" fillId="6" borderId="55" xfId="0" applyFont="1" applyFill="1" applyBorder="1"/>
    <xf numFmtId="0" fontId="50" fillId="2" borderId="29" xfId="0" applyFont="1" applyFill="1" applyBorder="1"/>
    <xf numFmtId="164" fontId="49" fillId="2" borderId="29" xfId="0" applyNumberFormat="1" applyFont="1" applyFill="1" applyBorder="1" applyAlignment="1">
      <alignment horizontal="center"/>
    </xf>
    <xf numFmtId="0" fontId="15" fillId="6" borderId="23" xfId="0" applyFont="1" applyFill="1" applyBorder="1"/>
    <xf numFmtId="0" fontId="15" fillId="6" borderId="25" xfId="0" applyFont="1" applyFill="1" applyBorder="1"/>
    <xf numFmtId="0" fontId="32" fillId="6" borderId="26" xfId="0" applyFont="1" applyFill="1" applyBorder="1"/>
    <xf numFmtId="0" fontId="32" fillId="6" borderId="27" xfId="0" applyFont="1" applyFill="1" applyBorder="1"/>
    <xf numFmtId="0" fontId="32" fillId="6" borderId="28" xfId="0" applyFont="1" applyFill="1" applyBorder="1"/>
    <xf numFmtId="0" fontId="32" fillId="6" borderId="30" xfId="0" applyFont="1" applyFill="1" applyBorder="1"/>
    <xf numFmtId="0" fontId="32" fillId="2" borderId="25" xfId="0" applyFont="1" applyFill="1" applyBorder="1"/>
    <xf numFmtId="0" fontId="32" fillId="2" borderId="51" xfId="0" applyFont="1" applyFill="1" applyBorder="1"/>
    <xf numFmtId="0" fontId="32" fillId="2" borderId="55" xfId="0" applyFont="1" applyFill="1" applyBorder="1"/>
    <xf numFmtId="0" fontId="32" fillId="2" borderId="55" xfId="0" applyFont="1" applyFill="1" applyBorder="1" applyAlignment="1">
      <alignment horizontal="center"/>
    </xf>
    <xf numFmtId="164" fontId="32" fillId="2" borderId="55" xfId="0" applyNumberFormat="1" applyFont="1" applyFill="1" applyBorder="1" applyAlignment="1">
      <alignment horizontal="center"/>
    </xf>
    <xf numFmtId="164" fontId="32" fillId="2" borderId="58" xfId="0" applyNumberFormat="1" applyFont="1" applyFill="1" applyBorder="1" applyAlignment="1">
      <alignment horizontal="center"/>
    </xf>
    <xf numFmtId="165" fontId="32" fillId="3" borderId="0" xfId="0" applyNumberFormat="1" applyFont="1" applyFill="1" applyBorder="1" applyAlignment="1">
      <alignment horizontal="left" vertical="center"/>
    </xf>
    <xf numFmtId="164" fontId="44" fillId="2" borderId="27" xfId="0" applyNumberFormat="1" applyFont="1" applyFill="1" applyBorder="1" applyAlignment="1">
      <alignment horizontal="center"/>
    </xf>
    <xf numFmtId="164" fontId="44" fillId="2" borderId="30" xfId="0" applyNumberFormat="1" applyFont="1" applyFill="1" applyBorder="1" applyAlignment="1">
      <alignment horizontal="center"/>
    </xf>
    <xf numFmtId="0" fontId="54" fillId="2" borderId="28" xfId="0" applyFont="1" applyFill="1" applyBorder="1"/>
    <xf numFmtId="165" fontId="32" fillId="2" borderId="30" xfId="0" applyNumberFormat="1" applyFont="1" applyFill="1" applyBorder="1" applyAlignment="1">
      <alignment horizontal="center"/>
    </xf>
    <xf numFmtId="0" fontId="61" fillId="2" borderId="23" xfId="0" applyFont="1" applyFill="1" applyBorder="1"/>
    <xf numFmtId="0" fontId="61" fillId="2" borderId="28" xfId="0" applyFont="1" applyFill="1" applyBorder="1"/>
    <xf numFmtId="0" fontId="52" fillId="6" borderId="35" xfId="0" applyFont="1" applyFill="1" applyBorder="1" applyAlignment="1">
      <alignment horizontal="left"/>
    </xf>
    <xf numFmtId="0" fontId="32" fillId="6" borderId="53" xfId="0" applyFont="1" applyFill="1" applyBorder="1" applyAlignment="1">
      <alignment horizontal="left"/>
    </xf>
    <xf numFmtId="0" fontId="44" fillId="6" borderId="53" xfId="0" quotePrefix="1" applyFont="1" applyFill="1" applyBorder="1" applyAlignment="1">
      <alignment horizontal="left"/>
    </xf>
    <xf numFmtId="0" fontId="15" fillId="3" borderId="0" xfId="0" applyFont="1" applyFill="1" applyAlignment="1">
      <alignment horizontal="right"/>
    </xf>
    <xf numFmtId="0" fontId="15" fillId="3" borderId="0" xfId="0" quotePrefix="1" applyFont="1" applyFill="1"/>
    <xf numFmtId="0" fontId="32" fillId="2" borderId="24" xfId="0" applyFont="1" applyFill="1" applyBorder="1" applyAlignment="1">
      <alignment horizontal="center"/>
    </xf>
    <xf numFmtId="0" fontId="32" fillId="2" borderId="31" xfId="0" applyFont="1" applyFill="1" applyBorder="1" applyAlignment="1">
      <alignment horizontal="center"/>
    </xf>
    <xf numFmtId="0" fontId="32" fillId="8" borderId="1" xfId="0" applyFont="1" applyFill="1" applyBorder="1" applyAlignment="1">
      <alignment horizontal="left"/>
    </xf>
    <xf numFmtId="0" fontId="32" fillId="8" borderId="0" xfId="0" quotePrefix="1" applyFont="1" applyFill="1" applyBorder="1" applyAlignment="1">
      <alignment horizontal="left"/>
    </xf>
    <xf numFmtId="0" fontId="32" fillId="8" borderId="1" xfId="0" applyFont="1" applyFill="1" applyBorder="1" applyAlignment="1">
      <alignment horizontal="left"/>
    </xf>
    <xf numFmtId="0" fontId="57" fillId="8" borderId="1" xfId="0" applyFont="1" applyFill="1" applyBorder="1"/>
    <xf numFmtId="0" fontId="15" fillId="8" borderId="1" xfId="0" applyFont="1" applyFill="1" applyBorder="1"/>
    <xf numFmtId="0" fontId="15" fillId="3" borderId="0" xfId="0" quotePrefix="1" applyFont="1" applyFill="1" applyBorder="1"/>
    <xf numFmtId="0" fontId="32" fillId="8" borderId="60" xfId="0" applyFont="1" applyFill="1" applyBorder="1"/>
    <xf numFmtId="0" fontId="32" fillId="8" borderId="22" xfId="0" applyFont="1" applyFill="1" applyBorder="1"/>
    <xf numFmtId="0" fontId="32" fillId="8" borderId="34" xfId="0" applyFont="1" applyFill="1" applyBorder="1"/>
    <xf numFmtId="0" fontId="50" fillId="8" borderId="9" xfId="0" applyFont="1" applyFill="1" applyBorder="1"/>
    <xf numFmtId="0" fontId="32" fillId="8" borderId="0" xfId="0" applyFont="1" applyFill="1" applyBorder="1"/>
    <xf numFmtId="0" fontId="32" fillId="8" borderId="8" xfId="0" applyFont="1" applyFill="1" applyBorder="1"/>
    <xf numFmtId="0" fontId="32" fillId="8" borderId="9" xfId="0" applyFont="1" applyFill="1" applyBorder="1"/>
    <xf numFmtId="0" fontId="32" fillId="8" borderId="1" xfId="0" applyFont="1" applyFill="1" applyBorder="1" applyAlignment="1">
      <alignment horizontal="right"/>
    </xf>
    <xf numFmtId="0" fontId="32" fillId="8" borderId="1" xfId="0" applyFont="1" applyFill="1" applyBorder="1" applyAlignment="1">
      <alignment horizontal="center"/>
    </xf>
    <xf numFmtId="0" fontId="32" fillId="8" borderId="0" xfId="0" applyFont="1" applyFill="1" applyBorder="1" applyAlignment="1">
      <alignment horizontal="left"/>
    </xf>
    <xf numFmtId="0" fontId="32" fillId="8" borderId="9" xfId="0" applyFont="1" applyFill="1" applyBorder="1" applyAlignment="1">
      <alignment horizontal="left"/>
    </xf>
    <xf numFmtId="0" fontId="50" fillId="8" borderId="0" xfId="0" applyFont="1" applyFill="1" applyBorder="1" applyAlignment="1">
      <alignment horizontal="left"/>
    </xf>
    <xf numFmtId="0" fontId="32" fillId="8" borderId="9" xfId="0" applyFont="1" applyFill="1" applyBorder="1" applyAlignment="1">
      <alignment horizontal="right"/>
    </xf>
    <xf numFmtId="0" fontId="32" fillId="8" borderId="9" xfId="0" quotePrefix="1" applyFont="1" applyFill="1" applyBorder="1" applyAlignment="1">
      <alignment horizontal="right"/>
    </xf>
    <xf numFmtId="0" fontId="50" fillId="8" borderId="0" xfId="0" applyFont="1" applyFill="1" applyBorder="1"/>
    <xf numFmtId="0" fontId="32" fillId="8" borderId="9" xfId="0" quotePrefix="1" applyFont="1" applyFill="1" applyBorder="1"/>
    <xf numFmtId="0" fontId="32" fillId="8" borderId="39" xfId="0" quotePrefix="1" applyFont="1" applyFill="1" applyBorder="1"/>
    <xf numFmtId="0" fontId="32" fillId="8" borderId="2" xfId="0" applyFont="1" applyFill="1" applyBorder="1"/>
    <xf numFmtId="0" fontId="32" fillId="8" borderId="20" xfId="0" applyFont="1" applyFill="1" applyBorder="1"/>
    <xf numFmtId="0" fontId="32" fillId="8" borderId="0" xfId="0" applyFont="1" applyFill="1" applyBorder="1" applyAlignment="1">
      <alignment horizontal="center"/>
    </xf>
    <xf numFmtId="2" fontId="32" fillId="2" borderId="24" xfId="0" applyNumberFormat="1" applyFont="1" applyFill="1" applyBorder="1" applyAlignment="1">
      <alignment horizontal="center"/>
    </xf>
    <xf numFmtId="0" fontId="50" fillId="8" borderId="39" xfId="0" quotePrefix="1" applyFont="1" applyFill="1" applyBorder="1"/>
    <xf numFmtId="164" fontId="15" fillId="3" borderId="0" xfId="0" applyNumberFormat="1" applyFont="1" applyFill="1"/>
    <xf numFmtId="0" fontId="32" fillId="3" borderId="0" xfId="0" applyFont="1" applyFill="1" applyAlignment="1">
      <alignment horizontal="left"/>
    </xf>
    <xf numFmtId="0" fontId="61" fillId="3" borderId="0" xfId="0" applyFont="1" applyFill="1" applyAlignment="1">
      <alignment horizontal="center"/>
    </xf>
    <xf numFmtId="0" fontId="61" fillId="2" borderId="19" xfId="0" applyFont="1" applyFill="1" applyBorder="1"/>
    <xf numFmtId="164" fontId="50" fillId="2" borderId="12" xfId="0" applyNumberFormat="1" applyFont="1" applyFill="1" applyBorder="1" applyAlignment="1">
      <alignment horizontal="center"/>
    </xf>
    <xf numFmtId="164" fontId="44" fillId="2" borderId="24" xfId="0" applyNumberFormat="1" applyFont="1" applyFill="1" applyBorder="1" applyAlignment="1">
      <alignment horizontal="center"/>
    </xf>
    <xf numFmtId="164" fontId="44" fillId="2" borderId="25" xfId="0" applyNumberFormat="1" applyFont="1" applyFill="1" applyBorder="1" applyAlignment="1">
      <alignment horizontal="center"/>
    </xf>
    <xf numFmtId="0" fontId="61" fillId="2" borderId="12" xfId="0" applyFont="1" applyFill="1" applyBorder="1"/>
    <xf numFmtId="3" fontId="32" fillId="0" borderId="24" xfId="0" applyNumberFormat="1" applyFont="1" applyBorder="1" applyAlignment="1">
      <alignment horizontal="center" wrapText="1"/>
    </xf>
    <xf numFmtId="3" fontId="32" fillId="0" borderId="24" xfId="0" applyNumberFormat="1" applyFont="1" applyBorder="1" applyAlignment="1">
      <alignment horizontal="center" vertical="center" wrapText="1"/>
    </xf>
    <xf numFmtId="3" fontId="32" fillId="0" borderId="1" xfId="0" applyNumberFormat="1" applyFont="1" applyFill="1" applyBorder="1" applyAlignment="1">
      <alignment horizontal="center" wrapText="1"/>
    </xf>
    <xf numFmtId="3" fontId="32" fillId="0" borderId="1" xfId="0" applyNumberFormat="1" applyFont="1" applyFill="1" applyBorder="1" applyAlignment="1">
      <alignment horizontal="center" vertical="center" wrapText="1"/>
    </xf>
    <xf numFmtId="3" fontId="32" fillId="0" borderId="1" xfId="0" applyNumberFormat="1" applyFont="1" applyBorder="1" applyAlignment="1">
      <alignment horizontal="center" wrapText="1"/>
    </xf>
    <xf numFmtId="3" fontId="32" fillId="0" borderId="1" xfId="0" applyNumberFormat="1" applyFont="1" applyBorder="1" applyAlignment="1">
      <alignment horizontal="center" vertical="center" wrapText="1"/>
    </xf>
    <xf numFmtId="3" fontId="32" fillId="0" borderId="29" xfId="0" applyNumberFormat="1" applyFont="1" applyBorder="1" applyAlignment="1">
      <alignment horizontal="center" wrapText="1"/>
    </xf>
    <xf numFmtId="3" fontId="32" fillId="0" borderId="29" xfId="0" applyNumberFormat="1" applyFont="1" applyFill="1" applyBorder="1" applyAlignment="1">
      <alignment horizontal="center" wrapText="1"/>
    </xf>
    <xf numFmtId="3" fontId="32" fillId="0" borderId="29" xfId="0" applyNumberFormat="1" applyFont="1" applyBorder="1" applyAlignment="1">
      <alignment horizontal="center" vertical="center" wrapText="1"/>
    </xf>
    <xf numFmtId="3" fontId="32" fillId="0" borderId="24" xfId="0" applyNumberFormat="1" applyFont="1" applyFill="1" applyBorder="1" applyAlignment="1">
      <alignment horizontal="center" wrapText="1"/>
    </xf>
    <xf numFmtId="0" fontId="32" fillId="0" borderId="0" xfId="0" applyFont="1" applyAlignment="1">
      <alignment horizontal="left"/>
    </xf>
    <xf numFmtId="0" fontId="93" fillId="0" borderId="1" xfId="0" applyFont="1" applyBorder="1"/>
    <xf numFmtId="0" fontId="72" fillId="0" borderId="1" xfId="0" applyFont="1" applyBorder="1" applyAlignment="1">
      <alignment horizontal="center"/>
    </xf>
    <xf numFmtId="0" fontId="72" fillId="0" borderId="1" xfId="0" applyFont="1" applyBorder="1"/>
    <xf numFmtId="0" fontId="72" fillId="0" borderId="1" xfId="0" applyFont="1" applyBorder="1" applyAlignment="1">
      <alignment horizontal="left"/>
    </xf>
    <xf numFmtId="0" fontId="94" fillId="0" borderId="1" xfId="0" applyFont="1" applyBorder="1" applyAlignment="1">
      <alignment horizontal="center"/>
    </xf>
    <xf numFmtId="170" fontId="94" fillId="0" borderId="1" xfId="0" applyNumberFormat="1" applyFont="1" applyBorder="1" applyAlignment="1">
      <alignment horizontal="center"/>
    </xf>
    <xf numFmtId="0" fontId="15" fillId="3" borderId="0" xfId="0" applyFont="1" applyFill="1" applyBorder="1"/>
    <xf numFmtId="0" fontId="32" fillId="4" borderId="0" xfId="0" applyFont="1" applyFill="1"/>
    <xf numFmtId="3" fontId="95" fillId="0" borderId="1" xfId="0" applyNumberFormat="1" applyFont="1" applyBorder="1" applyAlignment="1">
      <alignment horizontal="center"/>
    </xf>
    <xf numFmtId="0" fontId="15" fillId="3" borderId="0" xfId="0" applyFont="1" applyFill="1" applyBorder="1"/>
    <xf numFmtId="0" fontId="32" fillId="8" borderId="41" xfId="0" applyFont="1" applyFill="1" applyBorder="1" applyAlignment="1">
      <alignment horizontal="left"/>
    </xf>
    <xf numFmtId="0" fontId="32" fillId="8" borderId="0" xfId="0" quotePrefix="1" applyFont="1" applyFill="1" applyBorder="1" applyAlignment="1">
      <alignment horizontal="left"/>
    </xf>
    <xf numFmtId="0" fontId="32" fillId="14" borderId="26" xfId="0" applyFont="1" applyFill="1" applyBorder="1"/>
    <xf numFmtId="0" fontId="32" fillId="14" borderId="1" xfId="0" applyFont="1" applyFill="1" applyBorder="1" applyAlignment="1">
      <alignment horizontal="center"/>
    </xf>
    <xf numFmtId="1" fontId="32" fillId="14" borderId="1" xfId="0" applyNumberFormat="1" applyFont="1" applyFill="1" applyBorder="1" applyAlignment="1">
      <alignment horizontal="center"/>
    </xf>
    <xf numFmtId="0" fontId="15" fillId="3" borderId="9" xfId="0" applyFont="1" applyFill="1" applyBorder="1"/>
    <xf numFmtId="0" fontId="15" fillId="8" borderId="41" xfId="0" applyFont="1" applyFill="1" applyBorder="1"/>
    <xf numFmtId="0" fontId="12" fillId="2" borderId="0" xfId="0" applyFont="1" applyFill="1" applyBorder="1" applyAlignment="1">
      <alignment vertical="center"/>
    </xf>
    <xf numFmtId="0" fontId="13" fillId="2" borderId="0" xfId="0" applyFont="1" applyFill="1" applyBorder="1" applyAlignment="1">
      <alignment vertical="center"/>
    </xf>
    <xf numFmtId="0" fontId="94" fillId="2" borderId="1" xfId="0" applyFont="1" applyFill="1" applyBorder="1" applyAlignment="1">
      <alignment horizontal="center"/>
    </xf>
    <xf numFmtId="165" fontId="44" fillId="2" borderId="23" xfId="0" applyNumberFormat="1" applyFont="1" applyFill="1" applyBorder="1" applyAlignment="1">
      <alignment horizontal="left"/>
    </xf>
    <xf numFmtId="0" fontId="32" fillId="2" borderId="24" xfId="0" applyFont="1" applyFill="1" applyBorder="1" applyAlignment="1">
      <alignment horizontal="center"/>
    </xf>
    <xf numFmtId="0" fontId="0" fillId="6" borderId="8" xfId="0" applyFill="1" applyBorder="1" applyAlignment="1">
      <alignment horizontal="center"/>
    </xf>
    <xf numFmtId="0" fontId="1" fillId="6" borderId="43" xfId="0" applyFont="1" applyFill="1" applyBorder="1" applyAlignment="1">
      <alignment horizontal="center" vertical="center" wrapText="1"/>
    </xf>
    <xf numFmtId="0" fontId="1" fillId="6" borderId="9" xfId="0" applyFont="1" applyFill="1" applyBorder="1" applyAlignment="1">
      <alignment horizontal="center" wrapText="1"/>
    </xf>
    <xf numFmtId="0" fontId="1" fillId="6" borderId="9" xfId="0" applyFont="1" applyFill="1" applyBorder="1" applyAlignment="1">
      <alignment horizontal="center" vertical="center"/>
    </xf>
    <xf numFmtId="0" fontId="1" fillId="6" borderId="68" xfId="0" quotePrefix="1" applyFont="1" applyFill="1" applyBorder="1" applyAlignment="1">
      <alignment horizontal="center"/>
    </xf>
    <xf numFmtId="0" fontId="72" fillId="8" borderId="1" xfId="0" applyFont="1" applyFill="1" applyBorder="1" applyAlignment="1">
      <alignment horizontal="center" vertical="center"/>
    </xf>
    <xf numFmtId="0" fontId="94" fillId="8" borderId="1" xfId="0" applyFont="1" applyFill="1" applyBorder="1" applyAlignment="1">
      <alignment horizontal="center" vertical="center"/>
    </xf>
    <xf numFmtId="0" fontId="0" fillId="6" borderId="9" xfId="0" applyFill="1" applyBorder="1" applyAlignment="1">
      <alignment horizontal="center"/>
    </xf>
    <xf numFmtId="0" fontId="1" fillId="6" borderId="4" xfId="0" quotePrefix="1" applyFont="1" applyFill="1" applyBorder="1" applyAlignment="1">
      <alignment horizontal="center" vertical="center" wrapText="1"/>
    </xf>
    <xf numFmtId="0" fontId="1" fillId="6" borderId="8" xfId="0" applyFont="1" applyFill="1" applyBorder="1" applyAlignment="1">
      <alignment horizontal="center" vertical="center" wrapText="1"/>
    </xf>
    <xf numFmtId="0" fontId="63" fillId="6" borderId="6" xfId="0" quotePrefix="1" applyFont="1" applyFill="1" applyBorder="1" applyAlignment="1">
      <alignment horizontal="center" vertical="center"/>
    </xf>
    <xf numFmtId="164" fontId="33" fillId="0" borderId="1" xfId="0" applyNumberFormat="1" applyFont="1" applyFill="1" applyBorder="1" applyAlignment="1">
      <alignment horizontal="center"/>
    </xf>
    <xf numFmtId="164" fontId="96" fillId="0" borderId="1" xfId="0" applyNumberFormat="1" applyFont="1" applyFill="1" applyBorder="1" applyAlignment="1">
      <alignment horizontal="center"/>
    </xf>
    <xf numFmtId="164" fontId="33" fillId="0" borderId="12" xfId="0" applyNumberFormat="1" applyFont="1" applyFill="1" applyBorder="1" applyAlignment="1">
      <alignment horizontal="center"/>
    </xf>
    <xf numFmtId="0" fontId="50" fillId="6" borderId="27" xfId="0" applyFont="1" applyFill="1" applyBorder="1"/>
    <xf numFmtId="0" fontId="97" fillId="3" borderId="0" xfId="0" applyFont="1" applyFill="1" applyAlignment="1">
      <alignment horizontal="center"/>
    </xf>
    <xf numFmtId="0" fontId="32" fillId="8" borderId="23" xfId="0" applyFont="1" applyFill="1" applyBorder="1" applyAlignment="1">
      <alignment horizontal="center"/>
    </xf>
    <xf numFmtId="0" fontId="32" fillId="8" borderId="26" xfId="0" applyFont="1" applyFill="1" applyBorder="1" applyAlignment="1">
      <alignment horizontal="center"/>
    </xf>
    <xf numFmtId="0" fontId="32" fillId="8" borderId="28" xfId="0" applyFont="1" applyFill="1" applyBorder="1" applyAlignment="1">
      <alignment horizontal="center"/>
    </xf>
    <xf numFmtId="0" fontId="50" fillId="6" borderId="30" xfId="0" applyFont="1" applyFill="1" applyBorder="1"/>
    <xf numFmtId="0" fontId="1" fillId="6" borderId="9" xfId="0" applyFont="1" applyFill="1" applyBorder="1" applyAlignment="1">
      <alignment horizontal="center" vertical="center" wrapText="1"/>
    </xf>
    <xf numFmtId="1" fontId="33" fillId="0" borderId="12" xfId="0" applyNumberFormat="1" applyFont="1" applyFill="1" applyBorder="1" applyAlignment="1">
      <alignment horizontal="center"/>
    </xf>
    <xf numFmtId="0" fontId="61" fillId="6" borderId="13" xfId="0" applyFont="1" applyFill="1" applyBorder="1" applyAlignment="1">
      <alignment horizontal="left" vertical="center"/>
    </xf>
    <xf numFmtId="0" fontId="61" fillId="6" borderId="15" xfId="0" applyFont="1" applyFill="1" applyBorder="1" applyAlignment="1">
      <alignment horizontal="left" vertical="center"/>
    </xf>
    <xf numFmtId="0" fontId="98" fillId="6" borderId="4" xfId="0" applyFont="1" applyFill="1" applyBorder="1"/>
    <xf numFmtId="0" fontId="61" fillId="6" borderId="7" xfId="0" applyFont="1" applyFill="1" applyBorder="1"/>
    <xf numFmtId="0" fontId="32" fillId="6" borderId="4" xfId="0" quotePrefix="1" applyFont="1" applyFill="1" applyBorder="1" applyAlignment="1"/>
    <xf numFmtId="0" fontId="32" fillId="6" borderId="16" xfId="0" quotePrefix="1" applyFont="1" applyFill="1" applyBorder="1" applyAlignment="1"/>
    <xf numFmtId="0" fontId="61" fillId="6" borderId="17" xfId="0" applyFont="1" applyFill="1" applyBorder="1"/>
    <xf numFmtId="0" fontId="32" fillId="2" borderId="54" xfId="0" applyFont="1" applyFill="1" applyBorder="1" applyAlignment="1">
      <alignment horizontal="center" wrapText="1"/>
    </xf>
    <xf numFmtId="0" fontId="61" fillId="2" borderId="26" xfId="0" applyFont="1" applyFill="1" applyBorder="1"/>
    <xf numFmtId="0" fontId="61" fillId="2" borderId="51" xfId="0" applyFont="1" applyFill="1" applyBorder="1"/>
    <xf numFmtId="0" fontId="61" fillId="2" borderId="55" xfId="0" applyFont="1" applyFill="1" applyBorder="1"/>
    <xf numFmtId="0" fontId="15" fillId="8" borderId="24" xfId="0" applyFont="1" applyFill="1" applyBorder="1"/>
    <xf numFmtId="0" fontId="32" fillId="0" borderId="29" xfId="0" applyFont="1" applyFill="1" applyBorder="1" applyAlignment="1">
      <alignment horizontal="center"/>
    </xf>
    <xf numFmtId="0" fontId="32" fillId="0" borderId="30" xfId="0" applyFont="1" applyFill="1" applyBorder="1" applyAlignment="1">
      <alignment horizontal="center"/>
    </xf>
    <xf numFmtId="0" fontId="32" fillId="2" borderId="24" xfId="0" applyFont="1" applyFill="1" applyBorder="1" applyAlignment="1">
      <alignment horizontal="center"/>
    </xf>
    <xf numFmtId="167" fontId="15" fillId="3" borderId="0" xfId="0" applyNumberFormat="1" applyFont="1" applyFill="1"/>
    <xf numFmtId="0" fontId="32" fillId="2" borderId="24" xfId="0" applyFont="1" applyFill="1" applyBorder="1" applyAlignment="1">
      <alignment horizontal="center"/>
    </xf>
    <xf numFmtId="0" fontId="32" fillId="6" borderId="52" xfId="0" applyFont="1" applyFill="1" applyBorder="1" applyAlignment="1">
      <alignment horizontal="left"/>
    </xf>
    <xf numFmtId="0" fontId="61" fillId="3" borderId="0" xfId="0" applyFont="1" applyFill="1" applyBorder="1"/>
    <xf numFmtId="0" fontId="15" fillId="3" borderId="0" xfId="0" applyFont="1" applyFill="1" applyBorder="1"/>
    <xf numFmtId="0" fontId="101" fillId="3" borderId="0" xfId="0" applyFont="1" applyFill="1"/>
    <xf numFmtId="0" fontId="44" fillId="0" borderId="29" xfId="0" applyFont="1" applyFill="1" applyBorder="1" applyAlignment="1">
      <alignment horizontal="center"/>
    </xf>
    <xf numFmtId="2" fontId="44" fillId="0" borderId="29" xfId="0" applyNumberFormat="1" applyFont="1" applyFill="1" applyBorder="1" applyAlignment="1">
      <alignment horizontal="center"/>
    </xf>
    <xf numFmtId="0" fontId="44" fillId="0" borderId="30" xfId="0" applyFont="1" applyFill="1" applyBorder="1" applyAlignment="1">
      <alignment horizontal="center"/>
    </xf>
    <xf numFmtId="0" fontId="44" fillId="0" borderId="1" xfId="0" applyFont="1" applyFill="1" applyBorder="1" applyAlignment="1">
      <alignment horizontal="left"/>
    </xf>
    <xf numFmtId="0" fontId="52" fillId="0" borderId="1" xfId="0" applyFont="1" applyFill="1" applyBorder="1" applyAlignment="1">
      <alignment horizontal="left"/>
    </xf>
    <xf numFmtId="0" fontId="44" fillId="0" borderId="12" xfId="0" applyFont="1" applyFill="1" applyBorder="1" applyAlignment="1">
      <alignment horizontal="left"/>
    </xf>
    <xf numFmtId="0" fontId="1" fillId="6" borderId="9" xfId="0" quotePrefix="1" applyFont="1" applyFill="1" applyBorder="1" applyAlignment="1">
      <alignment horizontal="center" wrapText="1"/>
    </xf>
    <xf numFmtId="0" fontId="1" fillId="6" borderId="9" xfId="0" applyFont="1" applyFill="1" applyBorder="1" applyAlignment="1">
      <alignment horizontal="center"/>
    </xf>
    <xf numFmtId="0" fontId="32" fillId="0" borderId="0" xfId="0" applyFont="1" applyAlignment="1">
      <alignment horizontal="right"/>
    </xf>
    <xf numFmtId="0" fontId="32" fillId="6" borderId="29" xfId="0" applyFont="1" applyFill="1" applyBorder="1" applyAlignment="1">
      <alignment horizontal="left"/>
    </xf>
    <xf numFmtId="0" fontId="0" fillId="0" borderId="1" xfId="0" applyFill="1" applyBorder="1"/>
    <xf numFmtId="0" fontId="102" fillId="0" borderId="1" xfId="0" applyFont="1" applyFill="1" applyBorder="1" applyAlignment="1">
      <alignment horizontal="center"/>
    </xf>
    <xf numFmtId="0" fontId="32" fillId="8" borderId="26" xfId="0" applyFont="1" applyFill="1" applyBorder="1"/>
    <xf numFmtId="0" fontId="32" fillId="8" borderId="29" xfId="0" applyFont="1" applyFill="1" applyBorder="1"/>
    <xf numFmtId="0" fontId="50" fillId="8" borderId="28" xfId="0" applyFont="1" applyFill="1" applyBorder="1"/>
    <xf numFmtId="0" fontId="32" fillId="8" borderId="40" xfId="0" applyFont="1" applyFill="1" applyBorder="1"/>
    <xf numFmtId="0" fontId="32" fillId="8" borderId="53" xfId="0" applyFont="1" applyFill="1" applyBorder="1"/>
    <xf numFmtId="0" fontId="15" fillId="8" borderId="11" xfId="0" applyFont="1" applyFill="1" applyBorder="1"/>
    <xf numFmtId="0" fontId="15" fillId="8" borderId="25" xfId="0" applyFont="1" applyFill="1" applyBorder="1"/>
    <xf numFmtId="0" fontId="15" fillId="8" borderId="69" xfId="0" applyFont="1" applyFill="1" applyBorder="1"/>
    <xf numFmtId="0" fontId="15" fillId="8" borderId="27" xfId="0" applyFont="1" applyFill="1" applyBorder="1"/>
    <xf numFmtId="0" fontId="15" fillId="8" borderId="30" xfId="0" applyFont="1" applyFill="1" applyBorder="1"/>
    <xf numFmtId="0" fontId="15" fillId="3" borderId="0" xfId="0" applyFont="1" applyFill="1" applyAlignment="1">
      <alignment horizontal="left"/>
    </xf>
    <xf numFmtId="0" fontId="15" fillId="3" borderId="0" xfId="0" applyFont="1" applyFill="1" applyBorder="1" applyAlignment="1">
      <alignment horizontal="left"/>
    </xf>
    <xf numFmtId="0" fontId="0" fillId="0" borderId="1" xfId="0" applyBorder="1" applyAlignment="1">
      <alignment horizontal="center"/>
    </xf>
    <xf numFmtId="0" fontId="32" fillId="8" borderId="65" xfId="0" applyFont="1" applyFill="1" applyBorder="1"/>
    <xf numFmtId="0" fontId="32" fillId="8" borderId="35" xfId="0" applyFont="1" applyFill="1" applyBorder="1"/>
    <xf numFmtId="0" fontId="32" fillId="8" borderId="18" xfId="0" applyFont="1" applyFill="1" applyBorder="1"/>
    <xf numFmtId="0" fontId="32" fillId="8" borderId="11" xfId="0" applyFont="1" applyFill="1" applyBorder="1"/>
    <xf numFmtId="0" fontId="32" fillId="8" borderId="41" xfId="0" applyFont="1" applyFill="1" applyBorder="1"/>
    <xf numFmtId="0" fontId="50" fillId="8" borderId="43" xfId="0" applyFont="1" applyFill="1" applyBorder="1" applyAlignment="1">
      <alignment horizontal="left"/>
    </xf>
    <xf numFmtId="0" fontId="50" fillId="8" borderId="14" xfId="0" applyFont="1" applyFill="1" applyBorder="1" applyAlignment="1">
      <alignment horizontal="left"/>
    </xf>
    <xf numFmtId="0" fontId="15" fillId="8" borderId="14" xfId="0" applyFont="1" applyFill="1" applyBorder="1"/>
    <xf numFmtId="0" fontId="15" fillId="8" borderId="42" xfId="0" applyFont="1" applyFill="1" applyBorder="1"/>
    <xf numFmtId="0" fontId="15" fillId="8" borderId="10" xfId="0" applyFont="1" applyFill="1" applyBorder="1"/>
    <xf numFmtId="0" fontId="15" fillId="8" borderId="17" xfId="0" applyFont="1" applyFill="1" applyBorder="1"/>
    <xf numFmtId="0" fontId="15" fillId="8" borderId="13" xfId="0" applyFont="1" applyFill="1" applyBorder="1"/>
    <xf numFmtId="0" fontId="15" fillId="8" borderId="15" xfId="0" applyFont="1" applyFill="1" applyBorder="1"/>
    <xf numFmtId="0" fontId="15" fillId="8" borderId="4" xfId="0" applyFont="1" applyFill="1" applyBorder="1"/>
    <xf numFmtId="0" fontId="15" fillId="8" borderId="7" xfId="0" applyFont="1" applyFill="1" applyBorder="1"/>
    <xf numFmtId="0" fontId="15" fillId="8" borderId="0" xfId="0" quotePrefix="1" applyFont="1" applyFill="1" applyBorder="1"/>
    <xf numFmtId="0" fontId="15" fillId="8" borderId="16" xfId="0" applyFont="1" applyFill="1" applyBorder="1"/>
    <xf numFmtId="0" fontId="32" fillId="6" borderId="31" xfId="0" applyFont="1" applyFill="1" applyBorder="1" applyAlignment="1">
      <alignment horizontal="left"/>
    </xf>
    <xf numFmtId="165" fontId="32" fillId="2" borderId="27" xfId="0" applyNumberFormat="1" applyFont="1" applyFill="1" applyBorder="1" applyAlignment="1">
      <alignment horizontal="center"/>
    </xf>
    <xf numFmtId="0" fontId="15" fillId="2" borderId="51" xfId="0" applyFont="1" applyFill="1" applyBorder="1"/>
    <xf numFmtId="0" fontId="15" fillId="2" borderId="55" xfId="0" applyFont="1" applyFill="1" applyBorder="1"/>
    <xf numFmtId="165" fontId="32" fillId="2" borderId="55" xfId="0" applyNumberFormat="1" applyFont="1" applyFill="1" applyBorder="1" applyAlignment="1">
      <alignment horizontal="center"/>
    </xf>
    <xf numFmtId="165" fontId="32" fillId="2" borderId="58" xfId="0" applyNumberFormat="1" applyFont="1" applyFill="1" applyBorder="1" applyAlignment="1">
      <alignment horizontal="center"/>
    </xf>
    <xf numFmtId="165" fontId="32" fillId="2" borderId="56" xfId="0" applyNumberFormat="1" applyFont="1" applyFill="1" applyBorder="1" applyAlignment="1">
      <alignment horizontal="center"/>
    </xf>
    <xf numFmtId="0" fontId="15" fillId="2" borderId="70" xfId="0" applyFont="1" applyFill="1" applyBorder="1"/>
    <xf numFmtId="0" fontId="15" fillId="2" borderId="32" xfId="0" applyFont="1" applyFill="1" applyBorder="1"/>
    <xf numFmtId="0" fontId="15" fillId="3" borderId="0" xfId="0" applyFont="1" applyFill="1" applyBorder="1"/>
    <xf numFmtId="0" fontId="32" fillId="6" borderId="52" xfId="0" quotePrefix="1" applyFont="1" applyFill="1" applyBorder="1" applyAlignment="1">
      <alignment horizontal="left"/>
    </xf>
    <xf numFmtId="0" fontId="32" fillId="6" borderId="31" xfId="0" quotePrefix="1" applyFont="1" applyFill="1" applyBorder="1" applyAlignment="1">
      <alignment horizontal="left"/>
    </xf>
    <xf numFmtId="0" fontId="44" fillId="6" borderId="52" xfId="0" quotePrefix="1" applyFont="1" applyFill="1" applyBorder="1" applyAlignment="1">
      <alignment horizontal="left"/>
    </xf>
    <xf numFmtId="0" fontId="44" fillId="6" borderId="31" xfId="0" quotePrefix="1" applyFont="1" applyFill="1" applyBorder="1" applyAlignment="1">
      <alignment horizontal="left"/>
    </xf>
    <xf numFmtId="0" fontId="83" fillId="3" borderId="6" xfId="0" applyFont="1" applyFill="1" applyBorder="1" applyAlignment="1">
      <alignment horizontal="left" vertical="center"/>
    </xf>
    <xf numFmtId="0" fontId="32" fillId="2" borderId="24" xfId="0" applyFont="1" applyFill="1" applyBorder="1" applyAlignment="1">
      <alignment horizontal="center"/>
    </xf>
    <xf numFmtId="0" fontId="15" fillId="2" borderId="23" xfId="0" applyFont="1" applyFill="1" applyBorder="1" applyAlignment="1">
      <alignment horizontal="left"/>
    </xf>
    <xf numFmtId="0" fontId="15" fillId="2" borderId="28" xfId="0" applyFont="1" applyFill="1" applyBorder="1" applyAlignment="1">
      <alignment horizontal="left"/>
    </xf>
    <xf numFmtId="0" fontId="22" fillId="6" borderId="52" xfId="0" quotePrefix="1" applyFont="1" applyFill="1" applyBorder="1" applyAlignment="1">
      <alignment horizontal="left"/>
    </xf>
    <xf numFmtId="0" fontId="22" fillId="6" borderId="31" xfId="0" quotePrefix="1" applyFont="1" applyFill="1" applyBorder="1" applyAlignment="1">
      <alignment horizontal="left"/>
    </xf>
    <xf numFmtId="0" fontId="55" fillId="6" borderId="52" xfId="0" applyFont="1" applyFill="1" applyBorder="1" applyAlignment="1">
      <alignment horizontal="left"/>
    </xf>
    <xf numFmtId="0" fontId="55" fillId="6" borderId="31" xfId="0" applyFont="1" applyFill="1" applyBorder="1" applyAlignment="1">
      <alignment horizontal="left"/>
    </xf>
    <xf numFmtId="0" fontId="32" fillId="8" borderId="24" xfId="0" applyFont="1" applyFill="1" applyBorder="1" applyAlignment="1">
      <alignment horizontal="left"/>
    </xf>
    <xf numFmtId="0" fontId="32" fillId="2" borderId="53" xfId="0" applyFont="1" applyFill="1" applyBorder="1" applyAlignment="1">
      <alignment horizontal="left"/>
    </xf>
    <xf numFmtId="0" fontId="32" fillId="3" borderId="0" xfId="0" applyFont="1" applyFill="1" applyBorder="1" applyAlignment="1">
      <alignment horizontal="center"/>
    </xf>
    <xf numFmtId="0" fontId="44" fillId="8" borderId="52" xfId="0" quotePrefix="1" applyFont="1" applyFill="1" applyBorder="1" applyAlignment="1">
      <alignment horizontal="left"/>
    </xf>
    <xf numFmtId="0" fontId="44" fillId="8" borderId="31" xfId="0" quotePrefix="1" applyFont="1" applyFill="1" applyBorder="1" applyAlignment="1">
      <alignment horizontal="left"/>
    </xf>
    <xf numFmtId="0" fontId="55" fillId="6" borderId="24" xfId="0" applyFont="1" applyFill="1" applyBorder="1"/>
    <xf numFmtId="0" fontId="0" fillId="0" borderId="1" xfId="0" applyBorder="1"/>
    <xf numFmtId="0" fontId="1" fillId="6" borderId="7" xfId="0" quotePrefix="1" applyFont="1" applyFill="1" applyBorder="1" applyAlignment="1">
      <alignment horizontal="center" wrapText="1"/>
    </xf>
    <xf numFmtId="0" fontId="1" fillId="6" borderId="7" xfId="0" applyFont="1" applyFill="1" applyBorder="1" applyAlignment="1">
      <alignment horizontal="center"/>
    </xf>
    <xf numFmtId="0" fontId="1" fillId="6" borderId="0" xfId="0" quotePrefix="1" applyFont="1" applyFill="1" applyBorder="1" applyAlignment="1">
      <alignment horizontal="center" vertical="center" wrapText="1"/>
    </xf>
    <xf numFmtId="0" fontId="32" fillId="2" borderId="24" xfId="0" applyFont="1" applyFill="1" applyBorder="1" applyAlignment="1">
      <alignment horizontal="center"/>
    </xf>
    <xf numFmtId="0" fontId="29" fillId="2" borderId="0" xfId="0" applyFont="1" applyFill="1" applyBorder="1"/>
    <xf numFmtId="0" fontId="32" fillId="2" borderId="27" xfId="0" applyFont="1" applyFill="1" applyBorder="1"/>
    <xf numFmtId="164" fontId="105" fillId="2" borderId="29" xfId="0" applyNumberFormat="1" applyFont="1" applyFill="1" applyBorder="1" applyAlignment="1">
      <alignment horizontal="center"/>
    </xf>
    <xf numFmtId="164" fontId="105" fillId="2" borderId="30" xfId="0" applyNumberFormat="1" applyFont="1" applyFill="1" applyBorder="1" applyAlignment="1">
      <alignment horizontal="center"/>
    </xf>
    <xf numFmtId="0" fontId="53" fillId="8" borderId="26" xfId="0" applyFont="1" applyFill="1" applyBorder="1"/>
    <xf numFmtId="0" fontId="26" fillId="2" borderId="10" xfId="0" applyFont="1" applyFill="1" applyBorder="1"/>
    <xf numFmtId="0" fontId="55" fillId="3" borderId="0" xfId="0" applyFont="1" applyFill="1" applyBorder="1"/>
    <xf numFmtId="0" fontId="44" fillId="3" borderId="0" xfId="0" applyFont="1" applyFill="1" applyBorder="1"/>
    <xf numFmtId="3" fontId="84" fillId="3" borderId="0" xfId="0" applyNumberFormat="1" applyFont="1" applyFill="1" applyBorder="1" applyAlignment="1">
      <alignment horizontal="left" vertical="center"/>
    </xf>
    <xf numFmtId="0" fontId="16" fillId="2" borderId="14" xfId="0" applyFont="1" applyFill="1" applyBorder="1"/>
    <xf numFmtId="0" fontId="21" fillId="2" borderId="0" xfId="0" applyFont="1" applyFill="1" applyBorder="1" applyAlignment="1">
      <alignment horizontal="left"/>
    </xf>
    <xf numFmtId="0" fontId="14" fillId="2" borderId="2" xfId="0" applyFont="1" applyFill="1" applyBorder="1"/>
    <xf numFmtId="0" fontId="87" fillId="3" borderId="0" xfId="0" applyFont="1" applyFill="1" applyBorder="1"/>
    <xf numFmtId="0" fontId="44" fillId="3" borderId="2" xfId="0" applyFont="1" applyFill="1" applyBorder="1"/>
    <xf numFmtId="0" fontId="88" fillId="3" borderId="0" xfId="0" applyFont="1" applyFill="1" applyBorder="1"/>
    <xf numFmtId="0" fontId="61" fillId="3" borderId="14" xfId="0" quotePrefix="1" applyFont="1" applyFill="1" applyBorder="1"/>
    <xf numFmtId="0" fontId="89" fillId="3" borderId="0" xfId="0" applyFont="1" applyFill="1" applyBorder="1" applyAlignment="1">
      <alignment horizontal="left"/>
    </xf>
    <xf numFmtId="0" fontId="32" fillId="3" borderId="2" xfId="0" applyFont="1" applyFill="1" applyBorder="1" applyAlignment="1">
      <alignment horizontal="right"/>
    </xf>
    <xf numFmtId="0" fontId="90" fillId="3" borderId="0" xfId="0" applyFont="1" applyFill="1" applyBorder="1"/>
    <xf numFmtId="0" fontId="50" fillId="3" borderId="21" xfId="0" applyFont="1" applyFill="1" applyBorder="1"/>
    <xf numFmtId="0" fontId="32" fillId="6" borderId="24" xfId="0" applyFont="1" applyFill="1" applyBorder="1" applyAlignment="1">
      <alignment horizontal="left"/>
    </xf>
    <xf numFmtId="0" fontId="32" fillId="6" borderId="68" xfId="0" applyFont="1" applyFill="1" applyBorder="1" applyAlignment="1">
      <alignment horizontal="left"/>
    </xf>
    <xf numFmtId="164" fontId="33" fillId="2" borderId="1" xfId="0" applyNumberFormat="1" applyFont="1" applyFill="1" applyBorder="1" applyAlignment="1">
      <alignment horizontal="center"/>
    </xf>
    <xf numFmtId="164" fontId="32" fillId="0" borderId="0" xfId="0" applyNumberFormat="1" applyFont="1" applyFill="1" applyBorder="1" applyAlignment="1">
      <alignment horizontal="center"/>
    </xf>
    <xf numFmtId="164" fontId="32" fillId="2" borderId="19" xfId="0" applyNumberFormat="1" applyFont="1" applyFill="1" applyBorder="1" applyAlignment="1">
      <alignment horizontal="center"/>
    </xf>
    <xf numFmtId="1" fontId="44" fillId="0" borderId="12" xfId="0" applyNumberFormat="1" applyFont="1" applyFill="1" applyBorder="1" applyAlignment="1">
      <alignment horizontal="center"/>
    </xf>
    <xf numFmtId="0" fontId="63" fillId="0" borderId="1" xfId="0" applyFont="1" applyFill="1" applyBorder="1"/>
    <xf numFmtId="0" fontId="0" fillId="0" borderId="12" xfId="0" applyFill="1" applyBorder="1"/>
    <xf numFmtId="0" fontId="1" fillId="6" borderId="5" xfId="0" applyFont="1" applyFill="1" applyBorder="1" applyAlignment="1">
      <alignment horizontal="center"/>
    </xf>
    <xf numFmtId="0" fontId="15" fillId="3" borderId="5" xfId="0" applyFont="1" applyFill="1" applyBorder="1" applyAlignment="1">
      <alignment vertical="center"/>
    </xf>
    <xf numFmtId="0" fontId="15" fillId="3" borderId="3" xfId="0" applyFont="1" applyFill="1" applyBorder="1"/>
    <xf numFmtId="0" fontId="15" fillId="3" borderId="5" xfId="0" applyFont="1" applyFill="1" applyBorder="1"/>
    <xf numFmtId="0" fontId="15" fillId="2" borderId="3" xfId="0" applyFont="1" applyFill="1" applyBorder="1"/>
    <xf numFmtId="0" fontId="52" fillId="6" borderId="52" xfId="0" applyFont="1" applyFill="1" applyBorder="1" applyAlignment="1">
      <alignment horizontal="left"/>
    </xf>
    <xf numFmtId="0" fontId="52" fillId="6" borderId="31" xfId="0" applyFont="1" applyFill="1" applyBorder="1" applyAlignment="1">
      <alignment horizontal="left"/>
    </xf>
    <xf numFmtId="0" fontId="32" fillId="2" borderId="52" xfId="0" applyFont="1" applyFill="1" applyBorder="1" applyAlignment="1">
      <alignment horizontal="left"/>
    </xf>
    <xf numFmtId="0" fontId="32" fillId="2" borderId="35" xfId="0" applyFont="1" applyFill="1" applyBorder="1" applyAlignment="1">
      <alignment horizontal="left"/>
    </xf>
    <xf numFmtId="0" fontId="32" fillId="2" borderId="67" xfId="0" applyFont="1" applyFill="1" applyBorder="1" applyAlignment="1">
      <alignment horizontal="left"/>
    </xf>
    <xf numFmtId="165" fontId="44" fillId="2" borderId="23" xfId="0" applyNumberFormat="1" applyFont="1" applyFill="1" applyBorder="1" applyAlignment="1">
      <alignment horizontal="left"/>
    </xf>
    <xf numFmtId="165" fontId="44" fillId="2" borderId="24" xfId="0" applyNumberFormat="1" applyFont="1" applyFill="1" applyBorder="1" applyAlignment="1">
      <alignment horizontal="left"/>
    </xf>
    <xf numFmtId="0" fontId="32" fillId="2" borderId="24" xfId="0" applyFont="1" applyFill="1" applyBorder="1" applyAlignment="1">
      <alignment horizontal="center"/>
    </xf>
    <xf numFmtId="165" fontId="32" fillId="2" borderId="24" xfId="0" applyNumberFormat="1" applyFont="1" applyFill="1" applyBorder="1" applyAlignment="1">
      <alignment horizontal="center"/>
    </xf>
    <xf numFmtId="0" fontId="63" fillId="6" borderId="6" xfId="0" quotePrefix="1" applyFont="1" applyFill="1" applyBorder="1" applyAlignment="1">
      <alignment horizontal="center" vertical="center"/>
    </xf>
    <xf numFmtId="0" fontId="44" fillId="2" borderId="34" xfId="0" quotePrefix="1" applyFont="1" applyFill="1" applyBorder="1" applyAlignment="1">
      <alignment horizontal="left"/>
    </xf>
    <xf numFmtId="0" fontId="44" fillId="2" borderId="19" xfId="0" quotePrefix="1" applyFont="1" applyFill="1" applyBorder="1" applyAlignment="1">
      <alignment horizontal="left"/>
    </xf>
    <xf numFmtId="164" fontId="32" fillId="2" borderId="36" xfId="0" applyNumberFormat="1" applyFont="1" applyFill="1" applyBorder="1" applyAlignment="1">
      <alignment horizontal="center"/>
    </xf>
    <xf numFmtId="0" fontId="32" fillId="6" borderId="41" xfId="0" applyFont="1" applyFill="1" applyBorder="1"/>
    <xf numFmtId="164" fontId="44" fillId="2" borderId="11" xfId="0" applyNumberFormat="1" applyFont="1" applyFill="1" applyBorder="1" applyAlignment="1">
      <alignment horizontal="center"/>
    </xf>
    <xf numFmtId="0" fontId="44" fillId="6" borderId="4" xfId="0" applyFont="1" applyFill="1" applyBorder="1" applyAlignment="1">
      <alignment horizontal="center" wrapText="1"/>
    </xf>
    <xf numFmtId="0" fontId="44" fillId="6" borderId="0" xfId="0" applyFont="1" applyFill="1" applyBorder="1" applyAlignment="1">
      <alignment horizontal="center" wrapText="1"/>
    </xf>
    <xf numFmtId="0" fontId="44" fillId="6" borderId="9" xfId="0" applyFont="1" applyFill="1" applyBorder="1" applyAlignment="1">
      <alignment horizontal="center" wrapText="1"/>
    </xf>
    <xf numFmtId="0" fontId="32" fillId="0" borderId="12" xfId="0" applyFont="1" applyFill="1" applyBorder="1" applyAlignment="1">
      <alignment horizontal="center"/>
    </xf>
    <xf numFmtId="164" fontId="44" fillId="0" borderId="29" xfId="0" applyNumberFormat="1" applyFont="1" applyFill="1" applyBorder="1" applyAlignment="1">
      <alignment horizontal="center"/>
    </xf>
    <xf numFmtId="0" fontId="32" fillId="6" borderId="0" xfId="0" applyFont="1" applyFill="1" applyBorder="1" applyAlignment="1">
      <alignment horizontal="center"/>
    </xf>
    <xf numFmtId="0" fontId="32" fillId="6" borderId="9" xfId="0" applyFont="1" applyFill="1" applyBorder="1" applyAlignment="1">
      <alignment horizontal="center" vertical="center"/>
    </xf>
    <xf numFmtId="0" fontId="32" fillId="6" borderId="0" xfId="0" applyFont="1" applyFill="1" applyBorder="1" applyAlignment="1">
      <alignment horizontal="center" vertical="center"/>
    </xf>
    <xf numFmtId="0" fontId="32" fillId="6" borderId="9" xfId="0" applyFont="1" applyFill="1" applyBorder="1" applyAlignment="1">
      <alignment horizontal="center"/>
    </xf>
    <xf numFmtId="0" fontId="44" fillId="5" borderId="1" xfId="0" applyFont="1" applyFill="1" applyBorder="1" applyAlignment="1">
      <alignment horizontal="center"/>
    </xf>
    <xf numFmtId="0" fontId="44" fillId="5" borderId="1" xfId="0" applyFont="1" applyFill="1" applyBorder="1" applyAlignment="1">
      <alignment horizontal="left"/>
    </xf>
    <xf numFmtId="0" fontId="44" fillId="6" borderId="1" xfId="0" applyFont="1" applyFill="1" applyBorder="1" applyAlignment="1">
      <alignment horizontal="center"/>
    </xf>
    <xf numFmtId="1" fontId="32" fillId="6" borderId="1" xfId="0" applyNumberFormat="1" applyFont="1" applyFill="1" applyBorder="1" applyAlignment="1">
      <alignment horizontal="center"/>
    </xf>
    <xf numFmtId="0" fontId="50" fillId="6" borderId="12" xfId="0" applyFont="1" applyFill="1" applyBorder="1"/>
    <xf numFmtId="0" fontId="50" fillId="6" borderId="1" xfId="0" applyFont="1" applyFill="1" applyBorder="1"/>
    <xf numFmtId="0" fontId="50" fillId="6" borderId="29" xfId="0" applyFont="1" applyFill="1" applyBorder="1"/>
    <xf numFmtId="0" fontId="32" fillId="6" borderId="50" xfId="0" applyFont="1" applyFill="1" applyBorder="1"/>
    <xf numFmtId="164" fontId="32" fillId="6" borderId="12" xfId="0" applyNumberFormat="1" applyFont="1" applyFill="1" applyBorder="1" applyAlignment="1">
      <alignment horizontal="center"/>
    </xf>
    <xf numFmtId="164" fontId="32" fillId="6" borderId="54" xfId="0" applyNumberFormat="1" applyFont="1" applyFill="1" applyBorder="1" applyAlignment="1">
      <alignment horizontal="center"/>
    </xf>
    <xf numFmtId="0" fontId="107" fillId="6" borderId="10" xfId="0" quotePrefix="1" applyFont="1" applyFill="1" applyBorder="1" applyAlignment="1">
      <alignment horizontal="center"/>
    </xf>
    <xf numFmtId="0" fontId="108" fillId="6" borderId="68" xfId="0" quotePrefix="1" applyFont="1" applyFill="1" applyBorder="1" applyAlignment="1">
      <alignment horizontal="center"/>
    </xf>
    <xf numFmtId="0" fontId="108" fillId="6" borderId="10" xfId="0" quotePrefix="1" applyFont="1" applyFill="1" applyBorder="1" applyAlignment="1">
      <alignment horizontal="center"/>
    </xf>
    <xf numFmtId="0" fontId="107" fillId="6" borderId="16" xfId="0" quotePrefix="1" applyFont="1" applyFill="1" applyBorder="1" applyAlignment="1">
      <alignment horizontal="center"/>
    </xf>
    <xf numFmtId="0" fontId="44" fillId="6" borderId="4" xfId="0" applyFont="1" applyFill="1" applyBorder="1" applyAlignment="1">
      <alignment horizontal="center" vertical="center" wrapText="1"/>
    </xf>
    <xf numFmtId="0" fontId="44" fillId="6" borderId="0" xfId="0" applyFont="1" applyFill="1" applyBorder="1" applyAlignment="1">
      <alignment horizontal="center" vertical="center" wrapText="1"/>
    </xf>
    <xf numFmtId="0" fontId="44" fillId="6" borderId="9" xfId="0" applyFont="1" applyFill="1" applyBorder="1" applyAlignment="1">
      <alignment horizontal="center" vertical="center" wrapText="1"/>
    </xf>
    <xf numFmtId="0" fontId="32" fillId="6" borderId="9" xfId="0" applyFont="1" applyFill="1" applyBorder="1" applyAlignment="1">
      <alignment wrapText="1"/>
    </xf>
    <xf numFmtId="0" fontId="32" fillId="6" borderId="0" xfId="0" applyFont="1" applyFill="1" applyAlignment="1">
      <alignment wrapText="1"/>
    </xf>
    <xf numFmtId="0" fontId="109" fillId="0" borderId="26" xfId="0" applyFont="1" applyBorder="1"/>
    <xf numFmtId="0" fontId="109" fillId="0" borderId="28" xfId="0" applyFont="1" applyBorder="1"/>
    <xf numFmtId="0" fontId="32" fillId="6" borderId="37" xfId="0" applyFont="1" applyFill="1" applyBorder="1"/>
    <xf numFmtId="1" fontId="32" fillId="6" borderId="29" xfId="0" applyNumberFormat="1" applyFont="1" applyFill="1" applyBorder="1" applyAlignment="1">
      <alignment horizontal="center"/>
    </xf>
    <xf numFmtId="164" fontId="44" fillId="2" borderId="69" xfId="0" applyNumberFormat="1" applyFont="1" applyFill="1" applyBorder="1" applyAlignment="1">
      <alignment horizontal="center"/>
    </xf>
    <xf numFmtId="164" fontId="0" fillId="3" borderId="0" xfId="0" applyNumberFormat="1" applyFill="1"/>
    <xf numFmtId="0" fontId="32" fillId="0" borderId="12" xfId="0" applyFont="1" applyBorder="1" applyAlignment="1">
      <alignment horizontal="center"/>
    </xf>
    <xf numFmtId="164" fontId="110" fillId="0" borderId="0" xfId="0" applyNumberFormat="1" applyFont="1" applyAlignment="1">
      <alignment horizontal="center"/>
    </xf>
    <xf numFmtId="0" fontId="32" fillId="0" borderId="1" xfId="0" applyFont="1" applyBorder="1" applyAlignment="1">
      <alignment horizontal="center"/>
    </xf>
    <xf numFmtId="1" fontId="32" fillId="2" borderId="34" xfId="0" applyNumberFormat="1" applyFont="1" applyFill="1" applyBorder="1" applyAlignment="1">
      <alignment horizontal="center"/>
    </xf>
    <xf numFmtId="1" fontId="32" fillId="2" borderId="48" xfId="0" applyNumberFormat="1" applyFont="1" applyFill="1" applyBorder="1" applyAlignment="1">
      <alignment horizontal="center"/>
    </xf>
    <xf numFmtId="0" fontId="1" fillId="6" borderId="10" xfId="0" applyFont="1" applyFill="1" applyBorder="1" applyAlignment="1">
      <alignment horizontal="center"/>
    </xf>
    <xf numFmtId="0" fontId="44" fillId="6" borderId="53" xfId="0" quotePrefix="1" applyFont="1" applyFill="1" applyBorder="1" applyAlignment="1">
      <alignment horizontal="left"/>
    </xf>
    <xf numFmtId="0" fontId="44" fillId="6" borderId="32" xfId="0" quotePrefix="1" applyFont="1" applyFill="1" applyBorder="1" applyAlignment="1">
      <alignment horizontal="left"/>
    </xf>
    <xf numFmtId="0" fontId="52" fillId="6" borderId="52" xfId="0" applyFont="1" applyFill="1" applyBorder="1" applyAlignment="1">
      <alignment horizontal="left"/>
    </xf>
    <xf numFmtId="0" fontId="52" fillId="6" borderId="31" xfId="0" applyFont="1" applyFill="1" applyBorder="1" applyAlignment="1">
      <alignment horizontal="left"/>
    </xf>
    <xf numFmtId="0" fontId="72" fillId="6" borderId="53" xfId="0" quotePrefix="1" applyFont="1" applyFill="1" applyBorder="1" applyAlignment="1">
      <alignment horizontal="left"/>
    </xf>
    <xf numFmtId="0" fontId="72" fillId="6" borderId="32" xfId="0" quotePrefix="1" applyFont="1" applyFill="1" applyBorder="1" applyAlignment="1">
      <alignment horizontal="left"/>
    </xf>
    <xf numFmtId="0" fontId="32" fillId="6" borderId="52" xfId="0" applyFont="1" applyFill="1" applyBorder="1" applyAlignment="1">
      <alignment horizontal="left"/>
    </xf>
    <xf numFmtId="0" fontId="32" fillId="6" borderId="31" xfId="0" applyFont="1" applyFill="1" applyBorder="1" applyAlignment="1">
      <alignment horizontal="left"/>
    </xf>
    <xf numFmtId="0" fontId="14" fillId="2" borderId="31" xfId="0" applyFont="1" applyFill="1" applyBorder="1" applyAlignment="1">
      <alignment horizontal="left"/>
    </xf>
    <xf numFmtId="0" fontId="15" fillId="6" borderId="55" xfId="0" applyFont="1" applyFill="1" applyBorder="1"/>
    <xf numFmtId="0" fontId="15" fillId="6" borderId="52" xfId="0" applyFont="1" applyFill="1" applyBorder="1" applyAlignment="1">
      <alignment horizontal="left"/>
    </xf>
    <xf numFmtId="0" fontId="15" fillId="6" borderId="31" xfId="0" applyFont="1" applyFill="1" applyBorder="1" applyAlignment="1">
      <alignment horizontal="left"/>
    </xf>
    <xf numFmtId="0" fontId="15" fillId="2" borderId="44" xfId="0" applyFont="1" applyFill="1" applyBorder="1"/>
    <xf numFmtId="165" fontId="32" fillId="2" borderId="64" xfId="0" applyNumberFormat="1" applyFont="1" applyFill="1" applyBorder="1" applyAlignment="1">
      <alignment horizontal="center"/>
    </xf>
    <xf numFmtId="165" fontId="32" fillId="2" borderId="71" xfId="0" applyNumberFormat="1" applyFont="1" applyFill="1" applyBorder="1" applyAlignment="1">
      <alignment horizontal="center"/>
    </xf>
    <xf numFmtId="165" fontId="32" fillId="2" borderId="59" xfId="0" applyNumberFormat="1" applyFont="1" applyFill="1" applyBorder="1" applyAlignment="1">
      <alignment horizontal="center"/>
    </xf>
    <xf numFmtId="0" fontId="21" fillId="2" borderId="33" xfId="0" applyFont="1" applyFill="1" applyBorder="1" applyAlignment="1">
      <alignment horizontal="right" vertical="top"/>
    </xf>
    <xf numFmtId="3" fontId="94" fillId="0" borderId="1" xfId="0" applyNumberFormat="1" applyFont="1" applyBorder="1" applyAlignment="1">
      <alignment horizontal="center"/>
    </xf>
    <xf numFmtId="0" fontId="1" fillId="6" borderId="49" xfId="0" applyFont="1" applyFill="1" applyBorder="1" applyAlignment="1">
      <alignment horizontal="center" vertical="center" wrapText="1"/>
    </xf>
    <xf numFmtId="0" fontId="1" fillId="6" borderId="71" xfId="0" applyFont="1" applyFill="1" applyBorder="1" applyAlignment="1">
      <alignment horizontal="center" wrapText="1"/>
    </xf>
    <xf numFmtId="0" fontId="1" fillId="6" borderId="71" xfId="0" applyFont="1" applyFill="1" applyBorder="1" applyAlignment="1">
      <alignment horizontal="center" vertical="center"/>
    </xf>
    <xf numFmtId="0" fontId="1" fillId="6" borderId="58" xfId="0" quotePrefix="1" applyFont="1" applyFill="1" applyBorder="1" applyAlignment="1">
      <alignment horizontal="center"/>
    </xf>
    <xf numFmtId="166" fontId="32" fillId="0" borderId="12" xfId="0" applyNumberFormat="1" applyFont="1" applyFill="1" applyBorder="1" applyAlignment="1">
      <alignment horizontal="center"/>
    </xf>
    <xf numFmtId="1" fontId="32" fillId="0" borderId="12" xfId="0" applyNumberFormat="1" applyFont="1" applyFill="1" applyBorder="1" applyAlignment="1">
      <alignment horizontal="center"/>
    </xf>
    <xf numFmtId="0" fontId="0" fillId="6" borderId="71" xfId="0" applyFill="1" applyBorder="1" applyAlignment="1">
      <alignment horizontal="center"/>
    </xf>
    <xf numFmtId="0" fontId="32" fillId="2" borderId="33" xfId="0" applyFont="1" applyFill="1" applyBorder="1" applyAlignment="1">
      <alignment horizontal="left"/>
    </xf>
    <xf numFmtId="0" fontId="14" fillId="6" borderId="19" xfId="0" quotePrefix="1" applyFont="1" applyFill="1" applyBorder="1"/>
    <xf numFmtId="0" fontId="14" fillId="2" borderId="19" xfId="0" quotePrefix="1" applyFont="1" applyFill="1" applyBorder="1"/>
    <xf numFmtId="165" fontId="32" fillId="2" borderId="36" xfId="0" applyNumberFormat="1" applyFont="1" applyFill="1" applyBorder="1" applyAlignment="1">
      <alignment horizontal="center"/>
    </xf>
    <xf numFmtId="0" fontId="32" fillId="2" borderId="33" xfId="0" applyFont="1" applyFill="1" applyBorder="1"/>
    <xf numFmtId="164" fontId="50" fillId="2" borderId="1" xfId="0" applyNumberFormat="1" applyFont="1" applyFill="1" applyBorder="1" applyAlignment="1">
      <alignment horizontal="center"/>
    </xf>
    <xf numFmtId="164" fontId="50" fillId="2" borderId="27" xfId="0" applyNumberFormat="1" applyFont="1" applyFill="1" applyBorder="1" applyAlignment="1">
      <alignment horizontal="center"/>
    </xf>
    <xf numFmtId="2" fontId="44" fillId="2" borderId="1" xfId="0" applyNumberFormat="1" applyFont="1" applyFill="1" applyBorder="1" applyAlignment="1">
      <alignment horizontal="center"/>
    </xf>
    <xf numFmtId="0" fontId="32" fillId="2" borderId="24" xfId="0" applyFont="1" applyFill="1" applyBorder="1" applyAlignment="1">
      <alignment horizontal="left"/>
    </xf>
    <xf numFmtId="0" fontId="32" fillId="2" borderId="25" xfId="0" applyFont="1" applyFill="1" applyBorder="1" applyAlignment="1">
      <alignment horizontal="left"/>
    </xf>
    <xf numFmtId="1" fontId="44" fillId="2" borderId="29" xfId="0" applyNumberFormat="1" applyFont="1" applyFill="1" applyBorder="1" applyAlignment="1">
      <alignment horizontal="center"/>
    </xf>
    <xf numFmtId="165" fontId="32" fillId="2" borderId="24" xfId="0" applyNumberFormat="1" applyFont="1" applyFill="1" applyBorder="1" applyAlignment="1">
      <alignment horizontal="center"/>
    </xf>
    <xf numFmtId="165" fontId="44" fillId="2" borderId="23" xfId="0" applyNumberFormat="1" applyFont="1" applyFill="1" applyBorder="1" applyAlignment="1">
      <alignment horizontal="left"/>
    </xf>
    <xf numFmtId="0" fontId="32" fillId="2" borderId="24" xfId="0" applyFont="1" applyFill="1" applyBorder="1" applyAlignment="1">
      <alignment horizontal="center"/>
    </xf>
    <xf numFmtId="0" fontId="32" fillId="6" borderId="40" xfId="0" applyFont="1" applyFill="1" applyBorder="1" applyAlignment="1">
      <alignment horizontal="left"/>
    </xf>
    <xf numFmtId="0" fontId="32" fillId="6" borderId="11" xfId="0" applyFont="1" applyFill="1" applyBorder="1" applyAlignment="1">
      <alignment horizontal="left"/>
    </xf>
    <xf numFmtId="0" fontId="14" fillId="2" borderId="31" xfId="0" applyFont="1" applyFill="1" applyBorder="1" applyAlignment="1">
      <alignment horizontal="left"/>
    </xf>
    <xf numFmtId="0" fontId="50" fillId="2" borderId="1" xfId="0" applyFont="1" applyFill="1" applyBorder="1" applyAlignment="1">
      <alignment horizontal="center"/>
    </xf>
    <xf numFmtId="164" fontId="44" fillId="2" borderId="19" xfId="0" applyNumberFormat="1" applyFont="1" applyFill="1" applyBorder="1" applyAlignment="1">
      <alignment horizontal="center"/>
    </xf>
    <xf numFmtId="164" fontId="44" fillId="2" borderId="36" xfId="0" applyNumberFormat="1" applyFont="1" applyFill="1" applyBorder="1" applyAlignment="1">
      <alignment horizontal="center"/>
    </xf>
    <xf numFmtId="164" fontId="50" fillId="2" borderId="29" xfId="0" applyNumberFormat="1" applyFont="1" applyFill="1" applyBorder="1" applyAlignment="1">
      <alignment horizontal="center"/>
    </xf>
    <xf numFmtId="164" fontId="50" fillId="2" borderId="30" xfId="0" applyNumberFormat="1" applyFont="1" applyFill="1" applyBorder="1" applyAlignment="1">
      <alignment horizontal="center"/>
    </xf>
    <xf numFmtId="164" fontId="44" fillId="0" borderId="27" xfId="0" applyNumberFormat="1" applyFont="1" applyFill="1" applyBorder="1" applyAlignment="1">
      <alignment horizontal="center"/>
    </xf>
    <xf numFmtId="164" fontId="44" fillId="0" borderId="30" xfId="0" applyNumberFormat="1" applyFont="1" applyFill="1" applyBorder="1" applyAlignment="1">
      <alignment horizontal="center"/>
    </xf>
    <xf numFmtId="0" fontId="50" fillId="2" borderId="23" xfId="0" applyFont="1" applyFill="1" applyBorder="1" applyAlignment="1">
      <alignment horizontal="left"/>
    </xf>
    <xf numFmtId="0" fontId="32" fillId="5" borderId="23" xfId="0" applyFont="1" applyFill="1" applyBorder="1"/>
    <xf numFmtId="0" fontId="32" fillId="5" borderId="24" xfId="0" applyFont="1" applyFill="1" applyBorder="1"/>
    <xf numFmtId="0" fontId="32" fillId="5" borderId="24" xfId="0" applyFont="1" applyFill="1" applyBorder="1" applyAlignment="1">
      <alignment horizontal="center"/>
    </xf>
    <xf numFmtId="0" fontId="32" fillId="5" borderId="25" xfId="0" applyFont="1" applyFill="1" applyBorder="1"/>
    <xf numFmtId="0" fontId="32" fillId="5" borderId="26" xfId="0" applyFont="1" applyFill="1" applyBorder="1"/>
    <xf numFmtId="0" fontId="32" fillId="5" borderId="1" xfId="0" applyFont="1" applyFill="1" applyBorder="1" applyAlignment="1">
      <alignment horizontal="center"/>
    </xf>
    <xf numFmtId="1" fontId="32" fillId="5" borderId="1" xfId="0" applyNumberFormat="1" applyFont="1" applyFill="1" applyBorder="1" applyAlignment="1">
      <alignment horizontal="center"/>
    </xf>
    <xf numFmtId="1" fontId="32" fillId="5" borderId="27" xfId="0" applyNumberFormat="1" applyFont="1" applyFill="1" applyBorder="1" applyAlignment="1">
      <alignment horizontal="center"/>
    </xf>
    <xf numFmtId="0" fontId="32" fillId="5" borderId="1" xfId="0" applyFont="1" applyFill="1" applyBorder="1"/>
    <xf numFmtId="3" fontId="32" fillId="5" borderId="1" xfId="0" applyNumberFormat="1" applyFont="1" applyFill="1" applyBorder="1" applyAlignment="1">
      <alignment horizontal="center"/>
    </xf>
    <xf numFmtId="164" fontId="32" fillId="5" borderId="1" xfId="0" applyNumberFormat="1" applyFont="1" applyFill="1" applyBorder="1" applyAlignment="1">
      <alignment horizontal="center"/>
    </xf>
    <xf numFmtId="164" fontId="32" fillId="5" borderId="27" xfId="0" applyNumberFormat="1" applyFont="1" applyFill="1" applyBorder="1" applyAlignment="1">
      <alignment horizontal="center"/>
    </xf>
    <xf numFmtId="0" fontId="32" fillId="5" borderId="28" xfId="0" applyFont="1" applyFill="1" applyBorder="1"/>
    <xf numFmtId="0" fontId="32" fillId="5" borderId="29" xfId="0" applyFont="1" applyFill="1" applyBorder="1"/>
    <xf numFmtId="164" fontId="32" fillId="5" borderId="29" xfId="0" applyNumberFormat="1" applyFont="1" applyFill="1" applyBorder="1" applyAlignment="1">
      <alignment horizontal="center"/>
    </xf>
    <xf numFmtId="164" fontId="32" fillId="5" borderId="30" xfId="0" applyNumberFormat="1" applyFont="1" applyFill="1" applyBorder="1" applyAlignment="1">
      <alignment horizontal="center"/>
    </xf>
    <xf numFmtId="0" fontId="32" fillId="2" borderId="24" xfId="0" applyFont="1" applyFill="1" applyBorder="1" applyAlignment="1">
      <alignment horizontal="center"/>
    </xf>
    <xf numFmtId="165" fontId="32" fillId="2" borderId="24" xfId="0" applyNumberFormat="1" applyFont="1" applyFill="1" applyBorder="1" applyAlignment="1">
      <alignment horizontal="center"/>
    </xf>
    <xf numFmtId="165" fontId="44" fillId="2" borderId="23" xfId="0" applyNumberFormat="1" applyFont="1" applyFill="1" applyBorder="1" applyAlignment="1">
      <alignment horizontal="left"/>
    </xf>
    <xf numFmtId="0" fontId="14" fillId="2" borderId="44" xfId="0" applyFont="1" applyFill="1" applyBorder="1"/>
    <xf numFmtId="1" fontId="14" fillId="2" borderId="55" xfId="0" applyNumberFormat="1" applyFont="1" applyFill="1" applyBorder="1" applyAlignment="1">
      <alignment horizontal="center"/>
    </xf>
    <xf numFmtId="164" fontId="14" fillId="2" borderId="55" xfId="0" applyNumberFormat="1" applyFont="1" applyFill="1" applyBorder="1" applyAlignment="1">
      <alignment horizontal="center"/>
    </xf>
    <xf numFmtId="164" fontId="14" fillId="2" borderId="58" xfId="0" applyNumberFormat="1" applyFont="1" applyFill="1" applyBorder="1" applyAlignment="1">
      <alignment horizontal="center"/>
    </xf>
    <xf numFmtId="0" fontId="14" fillId="2" borderId="51" xfId="0" applyFont="1" applyFill="1" applyBorder="1"/>
    <xf numFmtId="0" fontId="14" fillId="2" borderId="46" xfId="0" applyFont="1" applyFill="1" applyBorder="1"/>
    <xf numFmtId="0" fontId="14" fillId="6" borderId="64" xfId="0" applyFont="1" applyFill="1" applyBorder="1"/>
    <xf numFmtId="0" fontId="14" fillId="2" borderId="64" xfId="0" applyFont="1" applyFill="1" applyBorder="1"/>
    <xf numFmtId="0" fontId="15" fillId="2" borderId="64" xfId="0" applyFont="1" applyFill="1" applyBorder="1"/>
    <xf numFmtId="164" fontId="14" fillId="2" borderId="64" xfId="0" applyNumberFormat="1" applyFont="1" applyFill="1" applyBorder="1" applyAlignment="1">
      <alignment horizontal="center"/>
    </xf>
    <xf numFmtId="164" fontId="14" fillId="2" borderId="71" xfId="0" applyNumberFormat="1" applyFont="1" applyFill="1" applyBorder="1" applyAlignment="1">
      <alignment horizontal="center"/>
    </xf>
    <xf numFmtId="0" fontId="105" fillId="6" borderId="1" xfId="0" applyFont="1" applyFill="1" applyBorder="1"/>
    <xf numFmtId="0" fontId="105" fillId="2" borderId="1" xfId="0" applyFont="1" applyFill="1" applyBorder="1"/>
    <xf numFmtId="164" fontId="105" fillId="2" borderId="1" xfId="0" applyNumberFormat="1" applyFont="1" applyFill="1" applyBorder="1" applyAlignment="1">
      <alignment horizontal="center"/>
    </xf>
    <xf numFmtId="0" fontId="15" fillId="5" borderId="1" xfId="0" applyFont="1" applyFill="1" applyBorder="1"/>
    <xf numFmtId="0" fontId="15" fillId="5" borderId="29" xfId="0" applyFont="1" applyFill="1" applyBorder="1"/>
    <xf numFmtId="0" fontId="111" fillId="3" borderId="0" xfId="0" applyFont="1" applyFill="1" applyBorder="1"/>
    <xf numFmtId="0" fontId="50" fillId="2" borderId="50" xfId="0" applyFont="1" applyFill="1" applyBorder="1" applyAlignment="1">
      <alignment horizontal="left"/>
    </xf>
    <xf numFmtId="0" fontId="32" fillId="2" borderId="54" xfId="0" applyFont="1" applyFill="1" applyBorder="1" applyAlignment="1">
      <alignment horizontal="center"/>
    </xf>
    <xf numFmtId="0" fontId="32" fillId="5" borderId="29" xfId="0" applyFont="1" applyFill="1" applyBorder="1" applyAlignment="1">
      <alignment horizontal="center"/>
    </xf>
    <xf numFmtId="0" fontId="32" fillId="5" borderId="25" xfId="0" applyFont="1" applyFill="1" applyBorder="1" applyAlignment="1">
      <alignment horizontal="center"/>
    </xf>
    <xf numFmtId="0" fontId="32" fillId="5" borderId="29" xfId="0" applyFont="1" applyFill="1" applyBorder="1" applyAlignment="1">
      <alignment horizontal="left"/>
    </xf>
    <xf numFmtId="1" fontId="32" fillId="5" borderId="29" xfId="0" applyNumberFormat="1" applyFont="1" applyFill="1" applyBorder="1" applyAlignment="1">
      <alignment horizontal="center"/>
    </xf>
    <xf numFmtId="1" fontId="32" fillId="5" borderId="30" xfId="0" applyNumberFormat="1" applyFont="1" applyFill="1" applyBorder="1" applyAlignment="1">
      <alignment horizontal="center"/>
    </xf>
    <xf numFmtId="0" fontId="32" fillId="3" borderId="2" xfId="0" applyFont="1" applyFill="1" applyBorder="1" applyAlignment="1">
      <alignment horizontal="left"/>
    </xf>
    <xf numFmtId="0" fontId="32" fillId="5" borderId="24" xfId="0" applyFont="1" applyFill="1" applyBorder="1" applyAlignment="1">
      <alignment horizontal="center"/>
    </xf>
    <xf numFmtId="165" fontId="44" fillId="2" borderId="23" xfId="0" applyNumberFormat="1" applyFont="1" applyFill="1" applyBorder="1" applyAlignment="1">
      <alignment horizontal="left"/>
    </xf>
    <xf numFmtId="165" fontId="44" fillId="2" borderId="24" xfId="0" applyNumberFormat="1" applyFont="1" applyFill="1" applyBorder="1" applyAlignment="1">
      <alignment horizontal="left"/>
    </xf>
    <xf numFmtId="165" fontId="32" fillId="2" borderId="24" xfId="0" applyNumberFormat="1" applyFont="1" applyFill="1" applyBorder="1" applyAlignment="1">
      <alignment horizontal="center"/>
    </xf>
    <xf numFmtId="0" fontId="16" fillId="3" borderId="6" xfId="0" applyFont="1" applyFill="1" applyBorder="1" applyAlignment="1">
      <alignment horizontal="left" vertical="center"/>
    </xf>
    <xf numFmtId="0" fontId="16" fillId="3" borderId="38" xfId="0" applyFont="1" applyFill="1" applyBorder="1" applyAlignment="1">
      <alignment horizontal="left" vertical="center"/>
    </xf>
    <xf numFmtId="0" fontId="32" fillId="2" borderId="52" xfId="0" applyFont="1" applyFill="1" applyBorder="1" applyAlignment="1">
      <alignment horizontal="left"/>
    </xf>
    <xf numFmtId="0" fontId="32" fillId="2" borderId="35" xfId="0" applyFont="1" applyFill="1" applyBorder="1" applyAlignment="1">
      <alignment horizontal="left"/>
    </xf>
    <xf numFmtId="0" fontId="32" fillId="2" borderId="67" xfId="0" applyFont="1" applyFill="1" applyBorder="1" applyAlignment="1">
      <alignment horizontal="left"/>
    </xf>
    <xf numFmtId="0" fontId="32" fillId="2" borderId="24" xfId="0" applyFont="1" applyFill="1" applyBorder="1" applyAlignment="1">
      <alignment horizontal="center"/>
    </xf>
    <xf numFmtId="0" fontId="32" fillId="2" borderId="0" xfId="0" applyFont="1" applyFill="1" applyBorder="1" applyAlignment="1">
      <alignment horizontal="center" wrapText="1"/>
    </xf>
    <xf numFmtId="0" fontId="32" fillId="2" borderId="31" xfId="0" applyFont="1" applyFill="1" applyBorder="1" applyAlignment="1">
      <alignment horizontal="center"/>
    </xf>
    <xf numFmtId="0" fontId="32" fillId="3" borderId="0" xfId="0" applyFont="1" applyFill="1" applyBorder="1" applyAlignment="1">
      <alignment horizontal="center"/>
    </xf>
    <xf numFmtId="0" fontId="32" fillId="3" borderId="1" xfId="0" applyFont="1" applyFill="1" applyBorder="1"/>
    <xf numFmtId="165" fontId="32" fillId="2" borderId="24" xfId="0" applyNumberFormat="1" applyFont="1" applyFill="1" applyBorder="1" applyAlignment="1">
      <alignment horizontal="left"/>
    </xf>
    <xf numFmtId="0" fontId="50" fillId="2" borderId="26" xfId="0" applyFont="1" applyFill="1" applyBorder="1"/>
    <xf numFmtId="0" fontId="56" fillId="2" borderId="26" xfId="0" applyFont="1" applyFill="1" applyBorder="1"/>
    <xf numFmtId="0" fontId="44" fillId="3" borderId="26" xfId="0" applyFont="1" applyFill="1" applyBorder="1"/>
    <xf numFmtId="164" fontId="32" fillId="3" borderId="27" xfId="0" applyNumberFormat="1" applyFont="1" applyFill="1" applyBorder="1" applyAlignment="1">
      <alignment horizontal="center"/>
    </xf>
    <xf numFmtId="0" fontId="32" fillId="3" borderId="26" xfId="0" applyFont="1" applyFill="1" applyBorder="1"/>
    <xf numFmtId="0" fontId="50" fillId="3" borderId="26" xfId="0" applyFont="1" applyFill="1" applyBorder="1"/>
    <xf numFmtId="0" fontId="50" fillId="3" borderId="1" xfId="0" applyFont="1" applyFill="1" applyBorder="1"/>
    <xf numFmtId="164" fontId="50" fillId="3" borderId="1" xfId="0" applyNumberFormat="1" applyFont="1" applyFill="1" applyBorder="1" applyAlignment="1">
      <alignment horizontal="center"/>
    </xf>
    <xf numFmtId="164" fontId="50" fillId="3" borderId="27" xfId="0" applyNumberFormat="1" applyFont="1" applyFill="1" applyBorder="1" applyAlignment="1">
      <alignment horizontal="center"/>
    </xf>
    <xf numFmtId="0" fontId="56" fillId="3" borderId="26" xfId="0" applyFont="1" applyFill="1" applyBorder="1"/>
    <xf numFmtId="0" fontId="50" fillId="3" borderId="28" xfId="0" applyFont="1" applyFill="1" applyBorder="1"/>
    <xf numFmtId="0" fontId="32" fillId="3" borderId="29" xfId="0" applyFont="1" applyFill="1" applyBorder="1"/>
    <xf numFmtId="2" fontId="32" fillId="3" borderId="1" xfId="0" applyNumberFormat="1" applyFont="1" applyFill="1" applyBorder="1" applyAlignment="1">
      <alignment horizontal="center"/>
    </xf>
    <xf numFmtId="164" fontId="50" fillId="3" borderId="29" xfId="0" applyNumberFormat="1" applyFont="1" applyFill="1" applyBorder="1" applyAlignment="1">
      <alignment horizontal="center"/>
    </xf>
    <xf numFmtId="0" fontId="50" fillId="3" borderId="29" xfId="0" applyFont="1" applyFill="1" applyBorder="1"/>
    <xf numFmtId="164" fontId="50" fillId="3" borderId="30" xfId="0" applyNumberFormat="1" applyFont="1" applyFill="1" applyBorder="1" applyAlignment="1">
      <alignment horizontal="center"/>
    </xf>
    <xf numFmtId="0" fontId="44" fillId="3" borderId="1" xfId="0" applyFont="1" applyFill="1" applyBorder="1" applyAlignment="1">
      <alignment horizontal="center"/>
    </xf>
    <xf numFmtId="1" fontId="44" fillId="3" borderId="1" xfId="0" applyNumberFormat="1" applyFont="1" applyFill="1" applyBorder="1" applyAlignment="1">
      <alignment horizontal="center"/>
    </xf>
    <xf numFmtId="0" fontId="44" fillId="3" borderId="29" xfId="0" applyFont="1" applyFill="1" applyBorder="1" applyAlignment="1">
      <alignment horizontal="center"/>
    </xf>
    <xf numFmtId="0" fontId="50" fillId="3" borderId="12" xfId="0" applyFont="1" applyFill="1" applyBorder="1"/>
    <xf numFmtId="1" fontId="32" fillId="3" borderId="1" xfId="0" applyNumberFormat="1" applyFont="1" applyFill="1" applyBorder="1" applyAlignment="1">
      <alignment horizontal="center"/>
    </xf>
    <xf numFmtId="2" fontId="32" fillId="3" borderId="29" xfId="0" applyNumberFormat="1" applyFont="1" applyFill="1" applyBorder="1" applyAlignment="1">
      <alignment horizontal="center"/>
    </xf>
    <xf numFmtId="0" fontId="112" fillId="3" borderId="0" xfId="0" applyFont="1" applyFill="1" applyBorder="1"/>
    <xf numFmtId="0" fontId="113" fillId="3" borderId="0" xfId="0" applyFont="1" applyFill="1"/>
    <xf numFmtId="0" fontId="113" fillId="3" borderId="0" xfId="0" applyFont="1" applyFill="1" applyBorder="1"/>
    <xf numFmtId="0" fontId="55" fillId="6" borderId="31" xfId="0" applyFont="1" applyFill="1" applyBorder="1"/>
    <xf numFmtId="0" fontId="32" fillId="6" borderId="32" xfId="0" applyFont="1" applyFill="1" applyBorder="1"/>
    <xf numFmtId="0" fontId="15" fillId="5" borderId="0" xfId="0" applyFont="1" applyFill="1"/>
    <xf numFmtId="0" fontId="56" fillId="5" borderId="1" xfId="0" applyFont="1" applyFill="1" applyBorder="1" applyAlignment="1">
      <alignment horizontal="left"/>
    </xf>
    <xf numFmtId="165" fontId="32" fillId="5" borderId="29" xfId="0" applyNumberFormat="1" applyFont="1" applyFill="1" applyBorder="1" applyAlignment="1">
      <alignment horizontal="center"/>
    </xf>
    <xf numFmtId="164" fontId="15" fillId="3" borderId="0" xfId="0" applyNumberFormat="1" applyFont="1" applyFill="1" applyAlignment="1">
      <alignment horizontal="center"/>
    </xf>
    <xf numFmtId="0" fontId="32" fillId="6" borderId="24" xfId="0" applyFont="1" applyFill="1" applyBorder="1"/>
    <xf numFmtId="164" fontId="33" fillId="2" borderId="27" xfId="0" applyNumberFormat="1" applyFont="1" applyFill="1" applyBorder="1" applyAlignment="1">
      <alignment horizontal="center"/>
    </xf>
    <xf numFmtId="164" fontId="33" fillId="2" borderId="29" xfId="0" applyNumberFormat="1" applyFont="1" applyFill="1" applyBorder="1" applyAlignment="1">
      <alignment horizontal="center"/>
    </xf>
    <xf numFmtId="164" fontId="33" fillId="2" borderId="30" xfId="0" applyNumberFormat="1" applyFont="1" applyFill="1" applyBorder="1" applyAlignment="1">
      <alignment horizontal="center"/>
    </xf>
    <xf numFmtId="164" fontId="32" fillId="3" borderId="54" xfId="0" applyNumberFormat="1" applyFont="1" applyFill="1" applyBorder="1" applyAlignment="1">
      <alignment horizontal="center"/>
    </xf>
    <xf numFmtId="0" fontId="56" fillId="5" borderId="29" xfId="0" applyFont="1" applyFill="1" applyBorder="1" applyAlignment="1">
      <alignment horizontal="left"/>
    </xf>
    <xf numFmtId="0" fontId="15" fillId="2" borderId="0" xfId="0" applyFont="1" applyFill="1"/>
    <xf numFmtId="0" fontId="12" fillId="2" borderId="0" xfId="0" applyFont="1" applyFill="1" applyAlignment="1">
      <alignment vertical="center"/>
    </xf>
    <xf numFmtId="165" fontId="14" fillId="2" borderId="2" xfId="0" applyNumberFormat="1" applyFont="1" applyFill="1" applyBorder="1" applyAlignment="1">
      <alignment horizontal="center"/>
    </xf>
    <xf numFmtId="0" fontId="74" fillId="2" borderId="0" xfId="0" applyFont="1" applyFill="1" applyBorder="1" applyAlignment="1">
      <alignment vertical="center"/>
    </xf>
    <xf numFmtId="0" fontId="75" fillId="3" borderId="0" xfId="0" applyFont="1" applyFill="1" applyBorder="1"/>
    <xf numFmtId="0" fontId="46" fillId="2" borderId="14" xfId="0" applyFont="1" applyFill="1" applyBorder="1"/>
    <xf numFmtId="0" fontId="32" fillId="2" borderId="0" xfId="0" applyFont="1" applyFill="1" applyBorder="1" applyAlignment="1">
      <alignment horizontal="left"/>
    </xf>
    <xf numFmtId="0" fontId="32" fillId="2" borderId="2" xfId="0" applyFont="1" applyFill="1" applyBorder="1"/>
    <xf numFmtId="0" fontId="32" fillId="2" borderId="0" xfId="0" applyFont="1" applyFill="1" applyBorder="1"/>
    <xf numFmtId="0" fontId="61" fillId="3" borderId="5" xfId="0" applyFont="1" applyFill="1" applyBorder="1"/>
    <xf numFmtId="0" fontId="32" fillId="3" borderId="14" xfId="0" applyFont="1" applyFill="1" applyBorder="1" applyAlignment="1">
      <alignment horizontal="left" vertical="center" wrapText="1"/>
    </xf>
    <xf numFmtId="0" fontId="32" fillId="3" borderId="0" xfId="0" applyFont="1" applyFill="1" applyBorder="1" applyAlignment="1">
      <alignment horizontal="left" vertical="center" wrapText="1"/>
    </xf>
    <xf numFmtId="0" fontId="32" fillId="3" borderId="10" xfId="0" applyFont="1" applyFill="1" applyBorder="1" applyAlignment="1">
      <alignment horizontal="left" vertical="center" wrapText="1"/>
    </xf>
    <xf numFmtId="0" fontId="32" fillId="3" borderId="14" xfId="0" applyFont="1" applyFill="1" applyBorder="1" applyAlignment="1">
      <alignment horizontal="left" vertical="center"/>
    </xf>
    <xf numFmtId="0" fontId="32" fillId="3" borderId="0" xfId="0" applyFont="1" applyFill="1" applyBorder="1" applyAlignment="1">
      <alignment horizontal="left" vertical="center"/>
    </xf>
    <xf numFmtId="0" fontId="32" fillId="3" borderId="10" xfId="0" applyFont="1" applyFill="1" applyBorder="1" applyAlignment="1">
      <alignment horizontal="left" vertical="center"/>
    </xf>
    <xf numFmtId="0" fontId="61" fillId="3" borderId="16" xfId="0" applyFont="1" applyFill="1" applyBorder="1"/>
    <xf numFmtId="0" fontId="77" fillId="3" borderId="10" xfId="0" applyFont="1" applyFill="1" applyBorder="1" applyAlignment="1">
      <alignment horizontal="left" vertical="center" wrapText="1"/>
    </xf>
    <xf numFmtId="0" fontId="77" fillId="3" borderId="10" xfId="0" applyFont="1" applyFill="1" applyBorder="1" applyAlignment="1">
      <alignment horizontal="center" vertical="center"/>
    </xf>
    <xf numFmtId="0" fontId="50" fillId="3" borderId="14" xfId="0" applyFont="1" applyFill="1" applyBorder="1"/>
    <xf numFmtId="3" fontId="32" fillId="3" borderId="14" xfId="0" applyNumberFormat="1" applyFont="1" applyFill="1" applyBorder="1" applyAlignment="1">
      <alignment horizontal="center" vertical="center"/>
    </xf>
    <xf numFmtId="3" fontId="32" fillId="3" borderId="14" xfId="0" applyNumberFormat="1" applyFont="1" applyFill="1" applyBorder="1" applyAlignment="1">
      <alignment horizontal="center" vertical="center" wrapText="1"/>
    </xf>
    <xf numFmtId="0" fontId="61" fillId="3" borderId="14" xfId="0" applyFont="1" applyFill="1" applyBorder="1" applyAlignment="1">
      <alignment horizontal="left"/>
    </xf>
    <xf numFmtId="0" fontId="61" fillId="3" borderId="15" xfId="0" applyFont="1" applyFill="1" applyBorder="1" applyAlignment="1">
      <alignment horizontal="left"/>
    </xf>
    <xf numFmtId="3" fontId="49" fillId="3" borderId="0" xfId="0" applyNumberFormat="1" applyFont="1" applyFill="1" applyBorder="1" applyAlignment="1">
      <alignment horizontal="center"/>
    </xf>
    <xf numFmtId="0" fontId="65" fillId="3" borderId="0" xfId="0" applyFont="1" applyFill="1" applyBorder="1"/>
    <xf numFmtId="0" fontId="44" fillId="6" borderId="1" xfId="0" applyFont="1" applyFill="1" applyBorder="1" applyAlignment="1">
      <alignment horizontal="left"/>
    </xf>
    <xf numFmtId="0" fontId="32" fillId="6" borderId="23" xfId="0" applyFont="1" applyFill="1" applyBorder="1"/>
    <xf numFmtId="0" fontId="50" fillId="3" borderId="24" xfId="0" applyFont="1" applyFill="1" applyBorder="1"/>
    <xf numFmtId="0" fontId="44" fillId="2" borderId="29" xfId="0" applyFont="1" applyFill="1" applyBorder="1" applyAlignment="1">
      <alignment horizontal="center"/>
    </xf>
    <xf numFmtId="0" fontId="14" fillId="6" borderId="55" xfId="0" applyFont="1" applyFill="1" applyBorder="1"/>
    <xf numFmtId="0" fontId="14" fillId="6" borderId="55" xfId="0" applyFont="1" applyFill="1" applyBorder="1" applyAlignment="1">
      <alignment horizontal="center"/>
    </xf>
    <xf numFmtId="0" fontId="14" fillId="6" borderId="44" xfId="0" applyFont="1" applyFill="1" applyBorder="1"/>
    <xf numFmtId="1" fontId="14" fillId="6" borderId="55" xfId="0" applyNumberFormat="1" applyFont="1" applyFill="1" applyBorder="1" applyAlignment="1">
      <alignment horizontal="center"/>
    </xf>
    <xf numFmtId="0" fontId="44" fillId="6" borderId="24" xfId="0" applyFont="1" applyFill="1" applyBorder="1" applyAlignment="1">
      <alignment horizontal="right"/>
    </xf>
    <xf numFmtId="0" fontId="44" fillId="2" borderId="24" xfId="0" applyFont="1" applyFill="1" applyBorder="1" applyAlignment="1">
      <alignment horizontal="right"/>
    </xf>
    <xf numFmtId="166" fontId="32" fillId="2" borderId="1" xfId="0" applyNumberFormat="1" applyFont="1" applyFill="1" applyBorder="1" applyAlignment="1">
      <alignment horizontal="center"/>
    </xf>
    <xf numFmtId="166" fontId="32" fillId="2" borderId="27" xfId="0" applyNumberFormat="1" applyFont="1" applyFill="1" applyBorder="1" applyAlignment="1">
      <alignment horizontal="center"/>
    </xf>
    <xf numFmtId="0" fontId="14" fillId="2" borderId="23" xfId="0" applyFont="1" applyFill="1" applyBorder="1" applyAlignment="1">
      <alignment horizontal="right"/>
    </xf>
    <xf numFmtId="0" fontId="44" fillId="2" borderId="24" xfId="0" applyFont="1" applyFill="1" applyBorder="1" applyAlignment="1">
      <alignment horizontal="center"/>
    </xf>
    <xf numFmtId="166" fontId="32" fillId="2" borderId="24" xfId="0" applyNumberFormat="1" applyFont="1" applyFill="1" applyBorder="1" applyAlignment="1">
      <alignment horizontal="center"/>
    </xf>
    <xf numFmtId="166" fontId="32" fillId="2" borderId="25" xfId="0" applyNumberFormat="1" applyFont="1" applyFill="1" applyBorder="1" applyAlignment="1">
      <alignment horizontal="center"/>
    </xf>
    <xf numFmtId="0" fontId="32" fillId="6" borderId="19" xfId="0" applyFont="1" applyFill="1" applyBorder="1"/>
    <xf numFmtId="0" fontId="14" fillId="2" borderId="33" xfId="0" applyFont="1" applyFill="1" applyBorder="1" applyAlignment="1">
      <alignment horizontal="right"/>
    </xf>
    <xf numFmtId="0" fontId="44" fillId="2" borderId="19" xfId="0" applyFont="1" applyFill="1" applyBorder="1" applyAlignment="1">
      <alignment horizontal="center"/>
    </xf>
    <xf numFmtId="166" fontId="32" fillId="2" borderId="19" xfId="0" applyNumberFormat="1" applyFont="1" applyFill="1" applyBorder="1" applyAlignment="1">
      <alignment horizontal="center"/>
    </xf>
    <xf numFmtId="166" fontId="32" fillId="2" borderId="36" xfId="0" applyNumberFormat="1" applyFont="1" applyFill="1" applyBorder="1" applyAlignment="1">
      <alignment horizontal="center"/>
    </xf>
    <xf numFmtId="164" fontId="61" fillId="2" borderId="29" xfId="0" applyNumberFormat="1" applyFont="1" applyFill="1" applyBorder="1" applyAlignment="1">
      <alignment horizontal="center"/>
    </xf>
    <xf numFmtId="164" fontId="61" fillId="2" borderId="30" xfId="0" applyNumberFormat="1" applyFont="1" applyFill="1" applyBorder="1" applyAlignment="1">
      <alignment horizontal="center"/>
    </xf>
    <xf numFmtId="0" fontId="61" fillId="2" borderId="57" xfId="0" applyFont="1" applyFill="1" applyBorder="1"/>
    <xf numFmtId="0" fontId="61" fillId="2" borderId="56" xfId="0" applyFont="1" applyFill="1" applyBorder="1"/>
    <xf numFmtId="164" fontId="32" fillId="2" borderId="56" xfId="0" applyNumberFormat="1" applyFont="1" applyFill="1" applyBorder="1" applyAlignment="1">
      <alignment horizontal="center"/>
    </xf>
    <xf numFmtId="164" fontId="32" fillId="2" borderId="59" xfId="0" applyNumberFormat="1" applyFont="1" applyFill="1" applyBorder="1" applyAlignment="1">
      <alignment horizontal="center"/>
    </xf>
    <xf numFmtId="0" fontId="15" fillId="5" borderId="23" xfId="0" applyFont="1" applyFill="1" applyBorder="1"/>
    <xf numFmtId="0" fontId="15" fillId="5" borderId="24" xfId="0" applyFont="1" applyFill="1" applyBorder="1"/>
    <xf numFmtId="0" fontId="15" fillId="5" borderId="26" xfId="0" applyFont="1" applyFill="1" applyBorder="1"/>
    <xf numFmtId="165" fontId="32" fillId="5" borderId="1" xfId="0" applyNumberFormat="1" applyFont="1" applyFill="1" applyBorder="1" applyAlignment="1">
      <alignment horizontal="center"/>
    </xf>
    <xf numFmtId="165" fontId="32" fillId="5" borderId="27" xfId="0" applyNumberFormat="1" applyFont="1" applyFill="1" applyBorder="1" applyAlignment="1">
      <alignment horizontal="center"/>
    </xf>
    <xf numFmtId="0" fontId="15" fillId="5" borderId="28" xfId="0" applyFont="1" applyFill="1" applyBorder="1"/>
    <xf numFmtId="165" fontId="32" fillId="5" borderId="30" xfId="0" applyNumberFormat="1" applyFont="1" applyFill="1" applyBorder="1" applyAlignment="1">
      <alignment horizontal="center"/>
    </xf>
    <xf numFmtId="0" fontId="32" fillId="5" borderId="52" xfId="0" applyFont="1" applyFill="1" applyBorder="1" applyAlignment="1">
      <alignment horizontal="center"/>
    </xf>
    <xf numFmtId="0" fontId="32" fillId="5" borderId="31" xfId="0" applyFont="1" applyFill="1" applyBorder="1" applyAlignment="1">
      <alignment horizontal="center"/>
    </xf>
    <xf numFmtId="0" fontId="32" fillId="5" borderId="24" xfId="0" applyFont="1" applyFill="1" applyBorder="1" applyAlignment="1">
      <alignment horizontal="center"/>
    </xf>
    <xf numFmtId="0" fontId="14" fillId="6" borderId="47" xfId="0" applyFont="1" applyFill="1" applyBorder="1" applyAlignment="1">
      <alignment horizontal="center"/>
    </xf>
    <xf numFmtId="0" fontId="14" fillId="6" borderId="6" xfId="0" applyFont="1" applyFill="1" applyBorder="1" applyAlignment="1">
      <alignment horizontal="center"/>
    </xf>
    <xf numFmtId="0" fontId="14" fillId="6" borderId="66" xfId="0" applyFont="1" applyFill="1" applyBorder="1" applyAlignment="1">
      <alignment horizontal="center"/>
    </xf>
    <xf numFmtId="0" fontId="14" fillId="6" borderId="40" xfId="0" quotePrefix="1" applyFont="1" applyFill="1" applyBorder="1" applyAlignment="1">
      <alignment horizontal="left"/>
    </xf>
    <xf numFmtId="0" fontId="14" fillId="6" borderId="11" xfId="0" quotePrefix="1" applyFont="1" applyFill="1" applyBorder="1" applyAlignment="1">
      <alignment horizontal="left"/>
    </xf>
    <xf numFmtId="0" fontId="14" fillId="6" borderId="40" xfId="0" quotePrefix="1" applyFont="1" applyFill="1" applyBorder="1" applyAlignment="1">
      <alignment horizontal="center"/>
    </xf>
    <xf numFmtId="0" fontId="14" fillId="6" borderId="11" xfId="0" quotePrefix="1" applyFont="1" applyFill="1" applyBorder="1" applyAlignment="1">
      <alignment horizontal="center"/>
    </xf>
    <xf numFmtId="0" fontId="14" fillId="6" borderId="40" xfId="0" applyFont="1" applyFill="1" applyBorder="1" applyAlignment="1">
      <alignment horizontal="left"/>
    </xf>
    <xf numFmtId="0" fontId="14" fillId="6" borderId="41" xfId="0" applyFont="1" applyFill="1" applyBorder="1" applyAlignment="1">
      <alignment horizontal="left"/>
    </xf>
    <xf numFmtId="0" fontId="14" fillId="6" borderId="11" xfId="0" applyFont="1" applyFill="1" applyBorder="1" applyAlignment="1">
      <alignment horizontal="left"/>
    </xf>
    <xf numFmtId="0" fontId="14" fillId="6" borderId="53" xfId="0" applyFont="1" applyFill="1" applyBorder="1" applyAlignment="1">
      <alignment horizontal="left"/>
    </xf>
    <xf numFmtId="0" fontId="14" fillId="6" borderId="37" xfId="0" applyFont="1" applyFill="1" applyBorder="1" applyAlignment="1">
      <alignment horizontal="left"/>
    </xf>
    <xf numFmtId="0" fontId="14" fillId="6" borderId="32" xfId="0" applyFont="1" applyFill="1" applyBorder="1" applyAlignment="1">
      <alignment horizontal="left"/>
    </xf>
    <xf numFmtId="0" fontId="32" fillId="2" borderId="43" xfId="0" applyFont="1" applyFill="1" applyBorder="1" applyAlignment="1">
      <alignment horizontal="left"/>
    </xf>
    <xf numFmtId="0" fontId="32" fillId="2" borderId="14" xfId="0" applyFont="1" applyFill="1" applyBorder="1" applyAlignment="1">
      <alignment horizontal="left"/>
    </xf>
    <xf numFmtId="0" fontId="32" fillId="2" borderId="15" xfId="0" applyFont="1" applyFill="1" applyBorder="1" applyAlignment="1">
      <alignment horizontal="left"/>
    </xf>
    <xf numFmtId="0" fontId="32" fillId="3" borderId="40" xfId="0" applyFont="1" applyFill="1" applyBorder="1" applyAlignment="1">
      <alignment horizontal="left"/>
    </xf>
    <xf numFmtId="0" fontId="32" fillId="3" borderId="41" xfId="0" applyFont="1" applyFill="1" applyBorder="1" applyAlignment="1">
      <alignment horizontal="left"/>
    </xf>
    <xf numFmtId="0" fontId="32" fillId="3" borderId="11" xfId="0" applyFont="1" applyFill="1" applyBorder="1" applyAlignment="1">
      <alignment horizontal="left"/>
    </xf>
    <xf numFmtId="0" fontId="16" fillId="3" borderId="6" xfId="0" applyFont="1" applyFill="1" applyBorder="1" applyAlignment="1">
      <alignment horizontal="left" vertical="center"/>
    </xf>
    <xf numFmtId="0" fontId="16" fillId="3" borderId="38" xfId="0" applyFont="1" applyFill="1" applyBorder="1" applyAlignment="1">
      <alignment horizontal="left" vertical="center"/>
    </xf>
    <xf numFmtId="0" fontId="32" fillId="3" borderId="0" xfId="0" applyFont="1" applyFill="1" applyBorder="1" applyAlignment="1">
      <alignment horizontal="center" wrapText="1"/>
    </xf>
    <xf numFmtId="0" fontId="57" fillId="3" borderId="14" xfId="0" applyFont="1" applyFill="1" applyBorder="1" applyAlignment="1">
      <alignment horizontal="center" wrapText="1"/>
    </xf>
    <xf numFmtId="0" fontId="57" fillId="3" borderId="2" xfId="0" applyFont="1" applyFill="1" applyBorder="1" applyAlignment="1">
      <alignment horizontal="center" wrapText="1"/>
    </xf>
    <xf numFmtId="0" fontId="32" fillId="3" borderId="0" xfId="0" applyFont="1" applyFill="1" applyBorder="1" applyAlignment="1">
      <alignment horizontal="center" vertical="center" wrapText="1"/>
    </xf>
    <xf numFmtId="0" fontId="32" fillId="3" borderId="2" xfId="0" applyFont="1" applyFill="1" applyBorder="1" applyAlignment="1">
      <alignment horizontal="center" vertical="center" wrapText="1"/>
    </xf>
    <xf numFmtId="0" fontId="32" fillId="3" borderId="2" xfId="0" applyFont="1" applyFill="1" applyBorder="1" applyAlignment="1">
      <alignment horizontal="center" wrapText="1"/>
    </xf>
    <xf numFmtId="0" fontId="44" fillId="3" borderId="0" xfId="0" applyFont="1" applyFill="1" applyBorder="1" applyAlignment="1">
      <alignment horizontal="center" wrapText="1"/>
    </xf>
    <xf numFmtId="0" fontId="44" fillId="3" borderId="2" xfId="0" applyFont="1" applyFill="1" applyBorder="1" applyAlignment="1">
      <alignment horizontal="center" wrapText="1"/>
    </xf>
    <xf numFmtId="0" fontId="32" fillId="3" borderId="1" xfId="0" applyFont="1" applyFill="1" applyBorder="1" applyAlignment="1">
      <alignment horizontal="left"/>
    </xf>
    <xf numFmtId="0" fontId="32" fillId="2" borderId="52" xfId="0" applyFont="1" applyFill="1" applyBorder="1" applyAlignment="1">
      <alignment horizontal="left"/>
    </xf>
    <xf numFmtId="0" fontId="32" fillId="2" borderId="35" xfId="0" applyFont="1" applyFill="1" applyBorder="1" applyAlignment="1">
      <alignment horizontal="left"/>
    </xf>
    <xf numFmtId="0" fontId="32" fillId="2" borderId="67" xfId="0" applyFont="1" applyFill="1" applyBorder="1" applyAlignment="1">
      <alignment horizontal="left"/>
    </xf>
    <xf numFmtId="165" fontId="32" fillId="2" borderId="24" xfId="0" applyNumberFormat="1" applyFont="1" applyFill="1" applyBorder="1" applyAlignment="1">
      <alignment horizontal="center"/>
    </xf>
    <xf numFmtId="0" fontId="32" fillId="2" borderId="24" xfId="0" applyFont="1" applyFill="1" applyBorder="1" applyAlignment="1">
      <alignment horizontal="center"/>
    </xf>
    <xf numFmtId="0" fontId="32" fillId="8" borderId="29" xfId="0" applyFont="1" applyFill="1" applyBorder="1" applyAlignment="1">
      <alignment horizontal="left"/>
    </xf>
    <xf numFmtId="0" fontId="32" fillId="8" borderId="30" xfId="0" applyFont="1" applyFill="1" applyBorder="1" applyAlignment="1">
      <alignment horizontal="left"/>
    </xf>
    <xf numFmtId="0" fontId="32" fillId="8" borderId="24" xfId="0" applyFont="1" applyFill="1" applyBorder="1" applyAlignment="1">
      <alignment horizontal="left"/>
    </xf>
    <xf numFmtId="0" fontId="32" fillId="8" borderId="25" xfId="0" applyFont="1" applyFill="1" applyBorder="1" applyAlignment="1">
      <alignment horizontal="left"/>
    </xf>
    <xf numFmtId="0" fontId="32" fillId="8" borderId="1" xfId="0" applyFont="1" applyFill="1" applyBorder="1" applyAlignment="1">
      <alignment horizontal="left"/>
    </xf>
    <xf numFmtId="0" fontId="32" fillId="8" borderId="27" xfId="0" applyFont="1" applyFill="1" applyBorder="1" applyAlignment="1">
      <alignment horizontal="left"/>
    </xf>
    <xf numFmtId="0" fontId="32" fillId="6" borderId="40" xfId="0" quotePrefix="1" applyFont="1" applyFill="1" applyBorder="1" applyAlignment="1">
      <alignment horizontal="left"/>
    </xf>
    <xf numFmtId="0" fontId="32" fillId="6" borderId="11" xfId="0" quotePrefix="1" applyFont="1" applyFill="1" applyBorder="1" applyAlignment="1">
      <alignment horizontal="left"/>
    </xf>
    <xf numFmtId="0" fontId="32" fillId="6" borderId="53" xfId="0" quotePrefix="1" applyFont="1" applyFill="1" applyBorder="1" applyAlignment="1">
      <alignment horizontal="left"/>
    </xf>
    <xf numFmtId="0" fontId="32" fillId="6" borderId="32" xfId="0" quotePrefix="1" applyFont="1" applyFill="1" applyBorder="1" applyAlignment="1">
      <alignment horizontal="left"/>
    </xf>
    <xf numFmtId="0" fontId="44" fillId="6" borderId="53" xfId="0" quotePrefix="1" applyFont="1" applyFill="1" applyBorder="1" applyAlignment="1">
      <alignment horizontal="left"/>
    </xf>
    <xf numFmtId="0" fontId="44" fillId="6" borderId="32" xfId="0" quotePrefix="1" applyFont="1" applyFill="1" applyBorder="1" applyAlignment="1">
      <alignment horizontal="left"/>
    </xf>
    <xf numFmtId="0" fontId="52" fillId="6" borderId="52" xfId="0" applyFont="1" applyFill="1" applyBorder="1" applyAlignment="1">
      <alignment horizontal="left"/>
    </xf>
    <xf numFmtId="0" fontId="52" fillId="6" borderId="31" xfId="0" applyFont="1" applyFill="1" applyBorder="1" applyAlignment="1">
      <alignment horizontal="left"/>
    </xf>
    <xf numFmtId="0" fontId="72" fillId="6" borderId="53" xfId="0" quotePrefix="1" applyFont="1" applyFill="1" applyBorder="1" applyAlignment="1">
      <alignment horizontal="left"/>
    </xf>
    <xf numFmtId="0" fontId="72" fillId="6" borderId="32" xfId="0" quotePrefix="1" applyFont="1" applyFill="1" applyBorder="1" applyAlignment="1">
      <alignment horizontal="left"/>
    </xf>
    <xf numFmtId="0" fontId="32" fillId="6" borderId="52" xfId="0" applyFont="1" applyFill="1" applyBorder="1" applyAlignment="1">
      <alignment horizontal="left"/>
    </xf>
    <xf numFmtId="0" fontId="32" fillId="6" borderId="31" xfId="0" applyFont="1" applyFill="1" applyBorder="1" applyAlignment="1">
      <alignment horizontal="left"/>
    </xf>
    <xf numFmtId="165" fontId="44" fillId="2" borderId="23" xfId="0" applyNumberFormat="1" applyFont="1" applyFill="1" applyBorder="1" applyAlignment="1">
      <alignment horizontal="left"/>
    </xf>
    <xf numFmtId="165" fontId="44" fillId="2" borderId="24" xfId="0" applyNumberFormat="1" applyFont="1" applyFill="1" applyBorder="1" applyAlignment="1">
      <alignment horizontal="left"/>
    </xf>
    <xf numFmtId="0" fontId="32" fillId="2" borderId="0" xfId="0" applyFont="1" applyFill="1" applyBorder="1" applyAlignment="1">
      <alignment horizontal="center" wrapText="1"/>
    </xf>
    <xf numFmtId="0" fontId="32" fillId="2" borderId="2" xfId="0" applyFont="1" applyFill="1" applyBorder="1" applyAlignment="1">
      <alignment horizontal="center" wrapText="1"/>
    </xf>
    <xf numFmtId="0" fontId="61" fillId="3" borderId="0" xfId="0" applyFont="1" applyFill="1" applyBorder="1" applyAlignment="1">
      <alignment horizontal="left" vertical="center"/>
    </xf>
    <xf numFmtId="0" fontId="61" fillId="3" borderId="6" xfId="0" applyFont="1" applyFill="1" applyBorder="1" applyAlignment="1">
      <alignment horizontal="left"/>
    </xf>
    <xf numFmtId="0" fontId="61" fillId="3" borderId="38" xfId="0" applyFont="1" applyFill="1" applyBorder="1" applyAlignment="1">
      <alignment horizontal="left"/>
    </xf>
    <xf numFmtId="0" fontId="32" fillId="2" borderId="15" xfId="0" applyFont="1" applyFill="1" applyBorder="1" applyAlignment="1">
      <alignment horizontal="center"/>
    </xf>
    <xf numFmtId="0" fontId="32" fillId="2" borderId="10" xfId="0" applyFont="1" applyFill="1" applyBorder="1" applyAlignment="1">
      <alignment horizontal="center"/>
    </xf>
    <xf numFmtId="0" fontId="77" fillId="3" borderId="0" xfId="0" applyFont="1" applyFill="1" applyBorder="1" applyAlignment="1">
      <alignment horizontal="center" wrapText="1"/>
    </xf>
    <xf numFmtId="0" fontId="32" fillId="2" borderId="52" xfId="0" applyFont="1" applyFill="1" applyBorder="1" applyAlignment="1">
      <alignment horizontal="center"/>
    </xf>
    <xf numFmtId="0" fontId="32" fillId="2" borderId="31" xfId="0" applyFont="1" applyFill="1" applyBorder="1" applyAlignment="1">
      <alignment horizontal="center"/>
    </xf>
    <xf numFmtId="0" fontId="32" fillId="2" borderId="23" xfId="0" applyFont="1" applyFill="1" applyBorder="1" applyAlignment="1">
      <alignment horizontal="center" wrapText="1"/>
    </xf>
    <xf numFmtId="0" fontId="32" fillId="2" borderId="28" xfId="0" applyFont="1" applyFill="1" applyBorder="1" applyAlignment="1">
      <alignment horizontal="center" wrapText="1"/>
    </xf>
    <xf numFmtId="0" fontId="32" fillId="2" borderId="48" xfId="0" applyFont="1" applyFill="1" applyBorder="1" applyAlignment="1">
      <alignment horizontal="center" wrapText="1"/>
    </xf>
    <xf numFmtId="0" fontId="32" fillId="2" borderId="55" xfId="0" applyFont="1" applyFill="1" applyBorder="1" applyAlignment="1">
      <alignment horizontal="center" wrapText="1"/>
    </xf>
    <xf numFmtId="0" fontId="32" fillId="2" borderId="48" xfId="0" applyFont="1" applyFill="1" applyBorder="1" applyAlignment="1">
      <alignment horizontal="left"/>
    </xf>
    <xf numFmtId="0" fontId="32" fillId="2" borderId="55" xfId="0" applyFont="1" applyFill="1" applyBorder="1" applyAlignment="1">
      <alignment horizontal="left"/>
    </xf>
    <xf numFmtId="0" fontId="57" fillId="3" borderId="22" xfId="0" applyFont="1" applyFill="1" applyBorder="1" applyAlignment="1">
      <alignment horizontal="left"/>
    </xf>
    <xf numFmtId="0" fontId="32" fillId="8" borderId="40" xfId="0" applyFont="1" applyFill="1" applyBorder="1" applyAlignment="1">
      <alignment horizontal="left"/>
    </xf>
    <xf numFmtId="0" fontId="32" fillId="8" borderId="11" xfId="0" applyFont="1" applyFill="1" applyBorder="1" applyAlignment="1">
      <alignment horizontal="left"/>
    </xf>
    <xf numFmtId="0" fontId="32" fillId="8" borderId="60" xfId="0" applyFont="1" applyFill="1" applyBorder="1" applyAlignment="1">
      <alignment horizontal="left"/>
    </xf>
    <xf numFmtId="0" fontId="32" fillId="8" borderId="34" xfId="0" applyFont="1" applyFill="1" applyBorder="1" applyAlignment="1">
      <alignment horizontal="left"/>
    </xf>
    <xf numFmtId="0" fontId="57" fillId="8" borderId="40" xfId="0" applyFont="1" applyFill="1" applyBorder="1" applyAlignment="1">
      <alignment horizontal="left"/>
    </xf>
    <xf numFmtId="0" fontId="57" fillId="8" borderId="11" xfId="0" applyFont="1" applyFill="1" applyBorder="1" applyAlignment="1">
      <alignment horizontal="left"/>
    </xf>
    <xf numFmtId="0" fontId="32" fillId="2" borderId="53" xfId="0" applyFont="1" applyFill="1" applyBorder="1" applyAlignment="1">
      <alignment horizontal="left"/>
    </xf>
    <xf numFmtId="0" fontId="32" fillId="2" borderId="32" xfId="0" applyFont="1" applyFill="1" applyBorder="1" applyAlignment="1">
      <alignment horizontal="left"/>
    </xf>
    <xf numFmtId="0" fontId="32" fillId="8" borderId="41" xfId="0" applyFont="1" applyFill="1" applyBorder="1" applyAlignment="1">
      <alignment horizontal="left"/>
    </xf>
    <xf numFmtId="0" fontId="32" fillId="8" borderId="0" xfId="0" applyFont="1" applyFill="1" applyBorder="1" applyAlignment="1">
      <alignment horizontal="right"/>
    </xf>
    <xf numFmtId="0" fontId="32" fillId="8" borderId="0" xfId="0" quotePrefix="1" applyFont="1" applyFill="1" applyBorder="1" applyAlignment="1">
      <alignment horizontal="right"/>
    </xf>
    <xf numFmtId="0" fontId="32" fillId="6" borderId="40" xfId="0" applyFont="1" applyFill="1" applyBorder="1" applyAlignment="1">
      <alignment horizontal="left"/>
    </xf>
    <xf numFmtId="0" fontId="32" fillId="6" borderId="41" xfId="0" applyFont="1" applyFill="1" applyBorder="1" applyAlignment="1">
      <alignment horizontal="left"/>
    </xf>
    <xf numFmtId="0" fontId="32" fillId="6" borderId="11" xfId="0" applyFont="1" applyFill="1" applyBorder="1" applyAlignment="1">
      <alignment horizontal="left"/>
    </xf>
    <xf numFmtId="0" fontId="32" fillId="12" borderId="53" xfId="0" quotePrefix="1" applyFont="1" applyFill="1" applyBorder="1" applyAlignment="1">
      <alignment horizontal="left"/>
    </xf>
    <xf numFmtId="0" fontId="32" fillId="12" borderId="37" xfId="0" applyFont="1" applyFill="1" applyBorder="1" applyAlignment="1">
      <alignment horizontal="left"/>
    </xf>
    <xf numFmtId="0" fontId="32" fillId="12" borderId="32" xfId="0" applyFont="1" applyFill="1" applyBorder="1" applyAlignment="1">
      <alignment horizontal="left"/>
    </xf>
    <xf numFmtId="0" fontId="14" fillId="2" borderId="52" xfId="0" applyFont="1" applyFill="1" applyBorder="1" applyAlignment="1">
      <alignment horizontal="left"/>
    </xf>
    <xf numFmtId="0" fontId="14" fillId="2" borderId="35" xfId="0" applyFont="1" applyFill="1" applyBorder="1" applyAlignment="1">
      <alignment horizontal="left"/>
    </xf>
    <xf numFmtId="0" fontId="14" fillId="2" borderId="31" xfId="0" applyFont="1" applyFill="1" applyBorder="1" applyAlignment="1">
      <alignment horizontal="left"/>
    </xf>
    <xf numFmtId="0" fontId="32" fillId="2" borderId="45" xfId="0" applyFont="1" applyFill="1" applyBorder="1" applyAlignment="1">
      <alignment horizontal="left" vertical="top"/>
    </xf>
    <xf numFmtId="0" fontId="32" fillId="2" borderId="46" xfId="0" applyFont="1" applyFill="1" applyBorder="1" applyAlignment="1">
      <alignment horizontal="left" vertical="top"/>
    </xf>
    <xf numFmtId="0" fontId="32" fillId="2" borderId="51" xfId="0" applyFont="1" applyFill="1" applyBorder="1" applyAlignment="1">
      <alignment horizontal="left" vertical="top"/>
    </xf>
    <xf numFmtId="0" fontId="32" fillId="12" borderId="52" xfId="0" quotePrefix="1" applyFont="1" applyFill="1" applyBorder="1" applyAlignment="1">
      <alignment horizontal="left"/>
    </xf>
    <xf numFmtId="0" fontId="32" fillId="12" borderId="35" xfId="0" applyFont="1" applyFill="1" applyBorder="1" applyAlignment="1">
      <alignment horizontal="left"/>
    </xf>
    <xf numFmtId="0" fontId="32" fillId="12" borderId="31" xfId="0" applyFont="1" applyFill="1" applyBorder="1" applyAlignment="1">
      <alignment horizontal="left"/>
    </xf>
    <xf numFmtId="0" fontId="32" fillId="12" borderId="40" xfId="0" quotePrefix="1" applyFont="1" applyFill="1" applyBorder="1" applyAlignment="1">
      <alignment horizontal="left"/>
    </xf>
    <xf numFmtId="0" fontId="32" fillId="12" borderId="41" xfId="0" applyFont="1" applyFill="1" applyBorder="1" applyAlignment="1">
      <alignment horizontal="left"/>
    </xf>
    <xf numFmtId="0" fontId="32" fillId="12" borderId="11" xfId="0" applyFont="1" applyFill="1" applyBorder="1" applyAlignment="1">
      <alignment horizontal="left"/>
    </xf>
    <xf numFmtId="0" fontId="32" fillId="8" borderId="1" xfId="0" applyFont="1" applyFill="1" applyBorder="1" applyAlignment="1">
      <alignment horizontal="left" vertical="top"/>
    </xf>
    <xf numFmtId="0" fontId="32" fillId="2" borderId="19" xfId="0" applyFont="1" applyFill="1" applyBorder="1" applyAlignment="1">
      <alignment horizontal="left" vertical="top"/>
    </xf>
    <xf numFmtId="0" fontId="32" fillId="2" borderId="64" xfId="0" applyFont="1" applyFill="1" applyBorder="1" applyAlignment="1">
      <alignment horizontal="left" vertical="top"/>
    </xf>
    <xf numFmtId="0" fontId="32" fillId="2" borderId="55" xfId="0" applyFont="1" applyFill="1" applyBorder="1" applyAlignment="1">
      <alignment horizontal="left" vertical="top"/>
    </xf>
    <xf numFmtId="0" fontId="32" fillId="0" borderId="45" xfId="0" applyFont="1" applyFill="1" applyBorder="1" applyAlignment="1">
      <alignment horizontal="left" vertical="top"/>
    </xf>
    <xf numFmtId="0" fontId="32" fillId="0" borderId="46" xfId="0" applyFont="1" applyFill="1" applyBorder="1" applyAlignment="1">
      <alignment horizontal="left" vertical="top"/>
    </xf>
    <xf numFmtId="0" fontId="32" fillId="0" borderId="51" xfId="0" applyFont="1" applyFill="1" applyBorder="1" applyAlignment="1">
      <alignment horizontal="left" vertical="top"/>
    </xf>
    <xf numFmtId="0" fontId="44" fillId="11" borderId="40" xfId="0" applyFont="1" applyFill="1" applyBorder="1" applyAlignment="1">
      <alignment horizontal="left"/>
    </xf>
    <xf numFmtId="0" fontId="44" fillId="11" borderId="41" xfId="0" applyFont="1" applyFill="1" applyBorder="1" applyAlignment="1">
      <alignment horizontal="left"/>
    </xf>
    <xf numFmtId="0" fontId="44" fillId="11" borderId="11" xfId="0" applyFont="1" applyFill="1" applyBorder="1" applyAlignment="1">
      <alignment horizontal="left"/>
    </xf>
    <xf numFmtId="0" fontId="32" fillId="2" borderId="60" xfId="0" applyFont="1" applyFill="1" applyBorder="1" applyAlignment="1">
      <alignment horizontal="left"/>
    </xf>
    <xf numFmtId="0" fontId="32" fillId="2" borderId="22" xfId="0" applyFont="1" applyFill="1" applyBorder="1" applyAlignment="1">
      <alignment horizontal="left"/>
    </xf>
    <xf numFmtId="0" fontId="32" fillId="2" borderId="34" xfId="0" applyFont="1" applyFill="1" applyBorder="1" applyAlignment="1">
      <alignment horizontal="left"/>
    </xf>
    <xf numFmtId="0" fontId="32" fillId="2" borderId="40" xfId="0" applyFont="1" applyFill="1" applyBorder="1" applyAlignment="1">
      <alignment horizontal="left"/>
    </xf>
    <xf numFmtId="0" fontId="32" fillId="2" borderId="41" xfId="0" applyFont="1" applyFill="1" applyBorder="1" applyAlignment="1">
      <alignment horizontal="left"/>
    </xf>
    <xf numFmtId="0" fontId="32" fillId="2" borderId="11" xfId="0" applyFont="1" applyFill="1" applyBorder="1" applyAlignment="1">
      <alignment horizontal="left"/>
    </xf>
    <xf numFmtId="0" fontId="32" fillId="2" borderId="31" xfId="0" applyFont="1" applyFill="1" applyBorder="1" applyAlignment="1">
      <alignment horizontal="left"/>
    </xf>
    <xf numFmtId="0" fontId="32" fillId="3" borderId="22" xfId="0" applyFont="1" applyFill="1" applyBorder="1" applyAlignment="1">
      <alignment horizontal="center" wrapText="1"/>
    </xf>
    <xf numFmtId="0" fontId="57" fillId="3" borderId="22" xfId="0" applyFont="1" applyFill="1" applyBorder="1" applyAlignment="1">
      <alignment horizontal="center" wrapText="1"/>
    </xf>
    <xf numFmtId="0" fontId="57" fillId="3" borderId="0" xfId="0" applyFont="1" applyFill="1" applyBorder="1" applyAlignment="1">
      <alignment horizontal="center" wrapText="1"/>
    </xf>
    <xf numFmtId="0" fontId="32" fillId="3" borderId="0" xfId="0" applyFont="1" applyFill="1" applyBorder="1" applyAlignment="1">
      <alignment horizontal="center"/>
    </xf>
    <xf numFmtId="0" fontId="72" fillId="3" borderId="22" xfId="0" applyFont="1" applyFill="1" applyBorder="1" applyAlignment="1">
      <alignment horizontal="center" wrapText="1"/>
    </xf>
    <xf numFmtId="0" fontId="72" fillId="3" borderId="0" xfId="0" applyFont="1" applyFill="1" applyBorder="1" applyAlignment="1">
      <alignment horizontal="center" wrapText="1"/>
    </xf>
    <xf numFmtId="0" fontId="72" fillId="3" borderId="2" xfId="0" applyFont="1" applyFill="1" applyBorder="1" applyAlignment="1">
      <alignment horizontal="center" wrapText="1"/>
    </xf>
    <xf numFmtId="0" fontId="32" fillId="8" borderId="40" xfId="0" quotePrefix="1" applyFont="1" applyFill="1" applyBorder="1" applyAlignment="1">
      <alignment horizontal="left"/>
    </xf>
    <xf numFmtId="0" fontId="32" fillId="8" borderId="41" xfId="0" quotePrefix="1" applyFont="1" applyFill="1" applyBorder="1" applyAlignment="1">
      <alignment horizontal="left"/>
    </xf>
    <xf numFmtId="0" fontId="32" fillId="8" borderId="11" xfId="0" quotePrefix="1" applyFont="1" applyFill="1" applyBorder="1" applyAlignment="1">
      <alignment horizontal="left"/>
    </xf>
    <xf numFmtId="0" fontId="32" fillId="2" borderId="37" xfId="0" applyFont="1" applyFill="1" applyBorder="1" applyAlignment="1">
      <alignment horizontal="left"/>
    </xf>
    <xf numFmtId="0" fontId="57" fillId="0" borderId="1" xfId="0" quotePrefix="1" applyFont="1" applyFill="1" applyBorder="1" applyAlignment="1">
      <alignment horizontal="left"/>
    </xf>
    <xf numFmtId="0" fontId="46" fillId="3" borderId="5" xfId="0" applyFont="1" applyFill="1" applyBorder="1" applyAlignment="1">
      <alignment horizontal="left"/>
    </xf>
    <xf numFmtId="0" fontId="46" fillId="3" borderId="6" xfId="0" applyFont="1" applyFill="1" applyBorder="1" applyAlignment="1">
      <alignment horizontal="left"/>
    </xf>
    <xf numFmtId="0" fontId="46" fillId="3" borderId="38" xfId="0" applyFont="1" applyFill="1" applyBorder="1" applyAlignment="1">
      <alignment horizontal="left"/>
    </xf>
    <xf numFmtId="0" fontId="32" fillId="8" borderId="19" xfId="0" applyFont="1" applyFill="1" applyBorder="1" applyAlignment="1">
      <alignment horizontal="left" vertical="top" wrapText="1"/>
    </xf>
    <xf numFmtId="0" fontId="32" fillId="8" borderId="64" xfId="0" applyFont="1" applyFill="1" applyBorder="1" applyAlignment="1">
      <alignment horizontal="left" vertical="top" wrapText="1"/>
    </xf>
    <xf numFmtId="0" fontId="32" fillId="8" borderId="12" xfId="0" applyFont="1" applyFill="1" applyBorder="1" applyAlignment="1">
      <alignment horizontal="left" vertical="top" wrapText="1"/>
    </xf>
    <xf numFmtId="0" fontId="32" fillId="2" borderId="33" xfId="0" applyFont="1" applyFill="1" applyBorder="1" applyAlignment="1">
      <alignment horizontal="left" vertical="top"/>
    </xf>
    <xf numFmtId="0" fontId="32" fillId="0" borderId="23" xfId="0" applyFont="1" applyFill="1" applyBorder="1" applyAlignment="1">
      <alignment horizontal="left" vertical="top"/>
    </xf>
    <xf numFmtId="0" fontId="32" fillId="0" borderId="26" xfId="0" applyFont="1" applyFill="1" applyBorder="1" applyAlignment="1">
      <alignment horizontal="left" vertical="top"/>
    </xf>
    <xf numFmtId="0" fontId="32" fillId="0" borderId="28" xfId="0" applyFont="1" applyFill="1" applyBorder="1" applyAlignment="1">
      <alignment horizontal="left" vertical="top"/>
    </xf>
    <xf numFmtId="0" fontId="72" fillId="3" borderId="40" xfId="0" applyFont="1" applyFill="1" applyBorder="1" applyAlignment="1">
      <alignment horizontal="center" wrapText="1"/>
    </xf>
    <xf numFmtId="0" fontId="72" fillId="3" borderId="41" xfId="0" applyFont="1" applyFill="1" applyBorder="1" applyAlignment="1">
      <alignment horizontal="center" wrapText="1"/>
    </xf>
    <xf numFmtId="0" fontId="72" fillId="3" borderId="11" xfId="0" applyFont="1" applyFill="1" applyBorder="1" applyAlignment="1">
      <alignment horizontal="center" wrapText="1"/>
    </xf>
    <xf numFmtId="0" fontId="32" fillId="8" borderId="1" xfId="0" quotePrefix="1" applyFont="1" applyFill="1" applyBorder="1" applyAlignment="1">
      <alignment horizontal="left"/>
    </xf>
    <xf numFmtId="0" fontId="14" fillId="11" borderId="1" xfId="0" applyFont="1" applyFill="1" applyBorder="1" applyAlignment="1">
      <alignment horizontal="center" wrapText="1"/>
    </xf>
    <xf numFmtId="0" fontId="14" fillId="11" borderId="1" xfId="0" applyFont="1" applyFill="1" applyBorder="1" applyAlignment="1">
      <alignment horizontal="center"/>
    </xf>
    <xf numFmtId="0" fontId="50" fillId="8" borderId="40" xfId="0" applyFont="1" applyFill="1" applyBorder="1" applyAlignment="1">
      <alignment horizontal="left"/>
    </xf>
    <xf numFmtId="0" fontId="50" fillId="8" borderId="41" xfId="0" applyFont="1" applyFill="1" applyBorder="1" applyAlignment="1">
      <alignment horizontal="left"/>
    </xf>
    <xf numFmtId="0" fontId="50" fillId="8" borderId="11" xfId="0" applyFont="1" applyFill="1" applyBorder="1" applyAlignment="1">
      <alignment horizontal="left"/>
    </xf>
    <xf numFmtId="0" fontId="32" fillId="2" borderId="39" xfId="0" applyFont="1" applyFill="1" applyBorder="1" applyAlignment="1">
      <alignment horizontal="left"/>
    </xf>
    <xf numFmtId="0" fontId="32" fillId="2" borderId="2" xfId="0" applyFont="1" applyFill="1" applyBorder="1" applyAlignment="1">
      <alignment horizontal="left"/>
    </xf>
    <xf numFmtId="0" fontId="32" fillId="2" borderId="20" xfId="0" applyFont="1" applyFill="1" applyBorder="1" applyAlignment="1">
      <alignment horizontal="left"/>
    </xf>
    <xf numFmtId="0" fontId="32" fillId="8" borderId="60" xfId="0" quotePrefix="1" applyFont="1" applyFill="1" applyBorder="1" applyAlignment="1">
      <alignment horizontal="left"/>
    </xf>
    <xf numFmtId="0" fontId="32" fillId="8" borderId="22" xfId="0" quotePrefix="1" applyFont="1" applyFill="1" applyBorder="1" applyAlignment="1">
      <alignment horizontal="left"/>
    </xf>
    <xf numFmtId="0" fontId="32" fillId="8" borderId="34" xfId="0" quotePrefix="1" applyFont="1" applyFill="1" applyBorder="1" applyAlignment="1">
      <alignment horizontal="left"/>
    </xf>
    <xf numFmtId="0" fontId="32" fillId="8" borderId="9" xfId="0" quotePrefix="1" applyFont="1" applyFill="1" applyBorder="1" applyAlignment="1">
      <alignment horizontal="left"/>
    </xf>
    <xf numFmtId="0" fontId="32" fillId="8" borderId="0" xfId="0" quotePrefix="1" applyFont="1" applyFill="1" applyBorder="1" applyAlignment="1">
      <alignment horizontal="left"/>
    </xf>
    <xf numFmtId="0" fontId="32" fillId="8" borderId="8" xfId="0" quotePrefix="1" applyFont="1" applyFill="1" applyBorder="1" applyAlignment="1">
      <alignment horizontal="left"/>
    </xf>
    <xf numFmtId="0" fontId="32" fillId="8" borderId="39" xfId="0" quotePrefix="1" applyFont="1" applyFill="1" applyBorder="1" applyAlignment="1">
      <alignment horizontal="left"/>
    </xf>
    <xf numFmtId="0" fontId="32" fillId="8" borderId="2" xfId="0" quotePrefix="1" applyFont="1" applyFill="1" applyBorder="1" applyAlignment="1">
      <alignment horizontal="left"/>
    </xf>
    <xf numFmtId="0" fontId="32" fillId="8" borderId="20" xfId="0" quotePrefix="1" applyFont="1" applyFill="1" applyBorder="1" applyAlignment="1">
      <alignment horizontal="left"/>
    </xf>
    <xf numFmtId="0" fontId="28" fillId="3" borderId="0" xfId="0" applyFont="1" applyFill="1" applyAlignment="1">
      <alignment horizontal="left" wrapText="1"/>
    </xf>
    <xf numFmtId="0" fontId="22" fillId="2" borderId="40" xfId="0" applyFont="1" applyFill="1" applyBorder="1" applyAlignment="1">
      <alignment horizontal="left"/>
    </xf>
    <xf numFmtId="0" fontId="22" fillId="2" borderId="41" xfId="0" applyFont="1" applyFill="1" applyBorder="1" applyAlignment="1">
      <alignment horizontal="left"/>
    </xf>
    <xf numFmtId="0" fontId="22" fillId="2" borderId="11" xfId="0" applyFont="1" applyFill="1" applyBorder="1" applyAlignment="1">
      <alignment horizontal="left"/>
    </xf>
    <xf numFmtId="0" fontId="14" fillId="3" borderId="22" xfId="0" applyFont="1" applyFill="1" applyBorder="1" applyAlignment="1">
      <alignment horizontal="left"/>
    </xf>
    <xf numFmtId="0" fontId="40" fillId="2" borderId="45" xfId="0" applyFont="1" applyFill="1" applyBorder="1" applyAlignment="1">
      <alignment horizontal="center" vertical="center" wrapText="1"/>
    </xf>
    <xf numFmtId="0" fontId="40" fillId="2" borderId="46" xfId="0" applyFont="1" applyFill="1" applyBorder="1" applyAlignment="1">
      <alignment horizontal="center" vertical="center" wrapText="1"/>
    </xf>
    <xf numFmtId="0" fontId="40" fillId="2" borderId="43" xfId="0" applyFont="1" applyFill="1" applyBorder="1" applyAlignment="1">
      <alignment horizontal="center" wrapText="1"/>
    </xf>
    <xf numFmtId="0" fontId="40" fillId="2" borderId="42" xfId="0" applyFont="1" applyFill="1" applyBorder="1" applyAlignment="1">
      <alignment horizontal="center" wrapText="1"/>
    </xf>
    <xf numFmtId="0" fontId="40" fillId="2" borderId="43" xfId="0" applyFont="1" applyFill="1" applyBorder="1" applyAlignment="1">
      <alignment horizontal="center"/>
    </xf>
    <xf numFmtId="0" fontId="40" fillId="2" borderId="15" xfId="0" applyFont="1" applyFill="1" applyBorder="1" applyAlignment="1">
      <alignment horizontal="center"/>
    </xf>
    <xf numFmtId="0" fontId="63" fillId="12" borderId="5" xfId="0" applyFont="1" applyFill="1" applyBorder="1" applyAlignment="1">
      <alignment horizontal="center" vertical="center"/>
    </xf>
    <xf numFmtId="0" fontId="63" fillId="12" borderId="6" xfId="0" applyFont="1" applyFill="1" applyBorder="1" applyAlignment="1">
      <alignment horizontal="center" vertical="center"/>
    </xf>
    <xf numFmtId="0" fontId="63" fillId="12" borderId="13" xfId="0" applyFont="1" applyFill="1" applyBorder="1" applyAlignment="1">
      <alignment horizontal="center" vertical="center"/>
    </xf>
    <xf numFmtId="0" fontId="63" fillId="12" borderId="14" xfId="0" applyFont="1" applyFill="1" applyBorder="1" applyAlignment="1">
      <alignment horizontal="center" vertical="center"/>
    </xf>
    <xf numFmtId="0" fontId="63" fillId="12" borderId="15" xfId="0" applyFont="1" applyFill="1" applyBorder="1" applyAlignment="1">
      <alignment horizontal="center" vertical="center"/>
    </xf>
    <xf numFmtId="0" fontId="63" fillId="6" borderId="13" xfId="0" applyFont="1" applyFill="1" applyBorder="1" applyAlignment="1">
      <alignment horizontal="center" vertical="center"/>
    </xf>
    <xf numFmtId="0" fontId="63" fillId="6" borderId="14" xfId="0" applyFont="1" applyFill="1" applyBorder="1" applyAlignment="1">
      <alignment horizontal="center" vertical="center"/>
    </xf>
    <xf numFmtId="0" fontId="63" fillId="6" borderId="15" xfId="0" applyFont="1" applyFill="1" applyBorder="1" applyAlignment="1">
      <alignment horizontal="center" vertical="center"/>
    </xf>
    <xf numFmtId="0" fontId="0" fillId="12" borderId="14" xfId="0" applyFont="1" applyFill="1" applyBorder="1" applyAlignment="1">
      <alignment horizontal="center" vertical="center"/>
    </xf>
    <xf numFmtId="0" fontId="0" fillId="12" borderId="15" xfId="0" applyFont="1" applyFill="1" applyBorder="1" applyAlignment="1">
      <alignment horizontal="center" vertical="center"/>
    </xf>
    <xf numFmtId="0" fontId="0" fillId="12" borderId="14" xfId="0" applyFont="1" applyFill="1" applyBorder="1" applyAlignment="1">
      <alignment horizontal="center"/>
    </xf>
    <xf numFmtId="0" fontId="0" fillId="12" borderId="6" xfId="0" applyFont="1" applyFill="1" applyBorder="1" applyAlignment="1">
      <alignment horizontal="center"/>
    </xf>
    <xf numFmtId="0" fontId="0" fillId="12" borderId="15" xfId="0" applyFont="1" applyFill="1" applyBorder="1" applyAlignment="1">
      <alignment horizontal="center"/>
    </xf>
    <xf numFmtId="0" fontId="0" fillId="12" borderId="38" xfId="0" applyFont="1" applyFill="1" applyBorder="1" applyAlignment="1">
      <alignment horizontal="center"/>
    </xf>
    <xf numFmtId="0" fontId="63" fillId="12" borderId="38" xfId="0" applyFont="1" applyFill="1" applyBorder="1" applyAlignment="1">
      <alignment horizontal="center" vertical="center"/>
    </xf>
    <xf numFmtId="0" fontId="63" fillId="12" borderId="5" xfId="0" applyFont="1" applyFill="1" applyBorder="1" applyAlignment="1">
      <alignment horizontal="center" vertical="center" wrapText="1"/>
    </xf>
    <xf numFmtId="0" fontId="63" fillId="12" borderId="6" xfId="0" applyFont="1" applyFill="1" applyBorder="1" applyAlignment="1">
      <alignment horizontal="center" vertical="center" wrapText="1"/>
    </xf>
    <xf numFmtId="0" fontId="63" fillId="12" borderId="38" xfId="0" applyFont="1" applyFill="1" applyBorder="1" applyAlignment="1">
      <alignment horizontal="center" vertical="center" wrapText="1"/>
    </xf>
    <xf numFmtId="0" fontId="0" fillId="12" borderId="6" xfId="0" applyFont="1" applyFill="1" applyBorder="1" applyAlignment="1">
      <alignment horizontal="center" vertical="center"/>
    </xf>
    <xf numFmtId="0" fontId="0" fillId="12" borderId="38" xfId="0" applyFont="1" applyFill="1" applyBorder="1" applyAlignment="1">
      <alignment horizontal="center" vertical="center"/>
    </xf>
    <xf numFmtId="0" fontId="63" fillId="7" borderId="5" xfId="0" applyFont="1" applyFill="1" applyBorder="1" applyAlignment="1">
      <alignment horizontal="center" vertical="center"/>
    </xf>
    <xf numFmtId="0" fontId="63" fillId="7" borderId="6" xfId="0" applyFont="1" applyFill="1" applyBorder="1" applyAlignment="1">
      <alignment horizontal="center" vertical="center"/>
    </xf>
    <xf numFmtId="0" fontId="63" fillId="7" borderId="38" xfId="0" applyFont="1" applyFill="1" applyBorder="1" applyAlignment="1">
      <alignment horizontal="center" vertical="center"/>
    </xf>
    <xf numFmtId="0" fontId="63" fillId="10" borderId="5" xfId="0" applyFont="1" applyFill="1" applyBorder="1" applyAlignment="1">
      <alignment horizontal="center" vertical="center"/>
    </xf>
    <xf numFmtId="0" fontId="63" fillId="10" borderId="6" xfId="0" applyFont="1" applyFill="1" applyBorder="1" applyAlignment="1">
      <alignment horizontal="center" vertical="center"/>
    </xf>
    <xf numFmtId="0" fontId="63" fillId="10" borderId="38" xfId="0" applyFont="1" applyFill="1" applyBorder="1" applyAlignment="1">
      <alignment horizontal="center" vertical="center"/>
    </xf>
    <xf numFmtId="0" fontId="63" fillId="6" borderId="5" xfId="0" applyFont="1" applyFill="1" applyBorder="1" applyAlignment="1">
      <alignment horizontal="center" vertical="center"/>
    </xf>
    <xf numFmtId="0" fontId="63" fillId="6" borderId="6" xfId="0" applyFont="1" applyFill="1" applyBorder="1" applyAlignment="1">
      <alignment horizontal="center" vertical="center"/>
    </xf>
    <xf numFmtId="0" fontId="63" fillId="13" borderId="13" xfId="0" applyFont="1" applyFill="1" applyBorder="1" applyAlignment="1">
      <alignment horizontal="center" vertical="center"/>
    </xf>
    <xf numFmtId="0" fontId="63" fillId="13" borderId="14" xfId="0" applyFont="1" applyFill="1" applyBorder="1" applyAlignment="1">
      <alignment horizontal="center" vertical="center"/>
    </xf>
    <xf numFmtId="0" fontId="63" fillId="13" borderId="15" xfId="0" applyFont="1" applyFill="1" applyBorder="1" applyAlignment="1">
      <alignment horizontal="center" vertical="center"/>
    </xf>
    <xf numFmtId="0" fontId="63" fillId="6" borderId="5" xfId="0" quotePrefix="1" applyFont="1" applyFill="1" applyBorder="1" applyAlignment="1">
      <alignment horizontal="center" vertical="center"/>
    </xf>
    <xf numFmtId="0" fontId="63" fillId="6" borderId="6" xfId="0" quotePrefix="1" applyFont="1" applyFill="1" applyBorder="1" applyAlignment="1">
      <alignment horizontal="center" vertical="center"/>
    </xf>
    <xf numFmtId="0" fontId="63" fillId="6" borderId="38" xfId="0" applyFont="1" applyFill="1" applyBorder="1" applyAlignment="1">
      <alignment horizontal="center" vertical="center"/>
    </xf>
    <xf numFmtId="0" fontId="14" fillId="3" borderId="0" xfId="0" applyFont="1" applyFill="1" applyBorder="1" applyAlignment="1">
      <alignment horizontal="right" vertical="center"/>
    </xf>
    <xf numFmtId="3" fontId="32" fillId="2" borderId="1" xfId="0" applyNumberFormat="1" applyFont="1" applyFill="1" applyBorder="1" applyAlignment="1">
      <alignment horizontal="center" vertical="center"/>
    </xf>
    <xf numFmtId="0" fontId="49" fillId="3" borderId="2" xfId="0" applyFont="1" applyFill="1" applyBorder="1" applyAlignment="1">
      <alignment horizontal="center"/>
    </xf>
  </cellXfs>
  <cellStyles count="3">
    <cellStyle name="Normaali 2" xfId="2"/>
    <cellStyle name="Normal" xfId="0" builtinId="0"/>
    <cellStyle name="Normal 2 2" xfId="1"/>
  </cellStyles>
  <dxfs count="0"/>
  <tableStyles count="0" defaultTableStyle="TableStyleMedium2" defaultPivotStyle="PivotStyleLight16"/>
  <colors>
    <mruColors>
      <color rgb="FFFF3300"/>
      <color rgb="FFFFEAD5"/>
      <color rgb="FFFF5050"/>
      <color rgb="FFFF7C80"/>
      <color rgb="FFFF9933"/>
      <color rgb="FFFFCC99"/>
      <color rgb="FFCCFF66"/>
      <color rgb="FFCCCC00"/>
      <color rgb="FF66FF33"/>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47260288406"/>
          <c:y val="5.13991608300272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val>
            <c:numRef>
              <c:f>TRANSPORT!$G$170:$G$174</c:f>
              <c:numCache>
                <c:formatCode>0.0</c:formatCode>
                <c:ptCount val="5"/>
                <c:pt idx="0">
                  <c:v>30</c:v>
                </c:pt>
                <c:pt idx="1">
                  <c:v>5</c:v>
                </c:pt>
                <c:pt idx="2">
                  <c:v>5</c:v>
                </c:pt>
                <c:pt idx="3">
                  <c:v>20</c:v>
                </c:pt>
                <c:pt idx="4">
                  <c:v>40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1"/>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21.709146125174655</c:v>
                </c:pt>
                <c:pt idx="1">
                  <c:v>0</c:v>
                </c:pt>
                <c:pt idx="2">
                  <c:v>3.0566303255346052</c:v>
                </c:pt>
                <c:pt idx="3">
                  <c:v>13.018905809663103</c:v>
                </c:pt>
                <c:pt idx="4">
                  <c:v>62.215317739627643</c:v>
                </c:pt>
              </c:numCache>
            </c:numRef>
          </c:val>
        </c:ser>
        <c:ser>
          <c:idx val="0"/>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21.709146125174655</c:v>
                </c:pt>
                <c:pt idx="1">
                  <c:v>0</c:v>
                </c:pt>
                <c:pt idx="2">
                  <c:v>3.0566303255346052</c:v>
                </c:pt>
                <c:pt idx="3">
                  <c:v>13.018905809663103</c:v>
                </c:pt>
                <c:pt idx="4">
                  <c:v>62.215317739627643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9.9222992727436662E-2"/>
          <c:y val="0.25147848454219829"/>
          <c:w val="0.17297502235507262"/>
          <c:h val="0.6210463815352950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TRANSPORT</a:t>
            </a:r>
            <a:r>
              <a:rPr lang="et-EE" sz="1100" baseline="0"/>
              <a:t> </a:t>
            </a:r>
            <a:r>
              <a:rPr lang="en-US" sz="1100"/>
              <a:t>BA</a:t>
            </a:r>
            <a:r>
              <a:rPr lang="et-EE" sz="1100"/>
              <a:t>SELINE</a:t>
            </a:r>
            <a:endParaRPr lang="en-US" sz="1100"/>
          </a:p>
        </c:rich>
      </c:tx>
      <c:layout>
        <c:manualLayout>
          <c:xMode val="edge"/>
          <c:yMode val="edge"/>
          <c:x val="0.54073947922340992"/>
          <c:y val="0.18033696513176539"/>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4478566109579998"/>
          <c:y val="0.27751188793537829"/>
          <c:w val="0.41540518900904283"/>
          <c:h val="0.6757203142931677"/>
        </c:manualLayout>
      </c:layout>
      <c:pieChart>
        <c:varyColors val="1"/>
        <c:ser>
          <c:idx val="0"/>
          <c:order val="0"/>
          <c:spPr>
            <a:ln w="12700">
              <a:solidFill>
                <a:schemeClr val="bg1"/>
              </a:solidFill>
            </a:ln>
          </c:spPr>
          <c:dPt>
            <c:idx val="0"/>
            <c:bubble3D val="0"/>
            <c:spPr>
              <a:solidFill>
                <a:schemeClr val="accent6"/>
              </a:solidFill>
              <a:ln w="12700">
                <a:solidFill>
                  <a:schemeClr val="bg1"/>
                </a:solidFill>
              </a:ln>
              <a:effectLst/>
            </c:spPr>
          </c:dPt>
          <c:dPt>
            <c:idx val="1"/>
            <c:bubble3D val="0"/>
            <c:spPr>
              <a:solidFill>
                <a:schemeClr val="accent1"/>
              </a:solidFill>
              <a:ln w="12700">
                <a:solidFill>
                  <a:schemeClr val="bg1"/>
                </a:solidFill>
              </a:ln>
              <a:effectLst/>
            </c:spPr>
          </c:dPt>
          <c:dPt>
            <c:idx val="2"/>
            <c:bubble3D val="0"/>
            <c:spPr>
              <a:solidFill>
                <a:schemeClr val="accent3"/>
              </a:solidFill>
              <a:ln w="12700">
                <a:solidFill>
                  <a:schemeClr val="bg1"/>
                </a:solidFill>
              </a:ln>
              <a:effectLst/>
            </c:spPr>
          </c:dPt>
          <c:dPt>
            <c:idx val="3"/>
            <c:bubble3D val="0"/>
            <c:spPr>
              <a:solidFill>
                <a:srgbClr val="FF3300"/>
              </a:solidFill>
              <a:ln w="12700">
                <a:solidFill>
                  <a:schemeClr val="bg1"/>
                </a:solidFill>
              </a:ln>
              <a:effectLst/>
            </c:spPr>
          </c:dPt>
          <c:dPt>
            <c:idx val="4"/>
            <c:bubble3D val="0"/>
            <c:spPr>
              <a:solidFill>
                <a:srgbClr val="C00000"/>
              </a:solidFill>
              <a:ln w="12700">
                <a:solidFill>
                  <a:schemeClr val="bg1"/>
                </a:solidFill>
              </a:ln>
              <a:effectLst/>
            </c:spPr>
          </c:dPt>
          <c:dPt>
            <c:idx val="5"/>
            <c:bubble3D val="0"/>
            <c:spPr>
              <a:solidFill>
                <a:schemeClr val="accent2">
                  <a:lumMod val="75000"/>
                </a:schemeClr>
              </a:solidFill>
              <a:ln w="12700">
                <a:solidFill>
                  <a:schemeClr val="bg1"/>
                </a:solidFill>
              </a:ln>
              <a:effectLst/>
            </c:spPr>
          </c:dPt>
          <c:dPt>
            <c:idx val="6"/>
            <c:bubble3D val="0"/>
            <c:spPr>
              <a:solidFill>
                <a:schemeClr val="accent1">
                  <a:lumMod val="50000"/>
                </a:schemeClr>
              </a:solidFill>
              <a:ln w="12700">
                <a:solidFill>
                  <a:schemeClr val="bg1"/>
                </a:solidFill>
              </a:ln>
              <a:effectLst/>
            </c:spPr>
          </c:dPt>
          <c:dPt>
            <c:idx val="7"/>
            <c:bubble3D val="0"/>
            <c:spPr>
              <a:solidFill>
                <a:schemeClr val="accent2"/>
              </a:solidFill>
              <a:ln w="12700">
                <a:solidFill>
                  <a:schemeClr val="bg1"/>
                </a:solidFill>
              </a:ln>
              <a:effectLst/>
            </c:spPr>
          </c:dPt>
          <c:cat>
            <c:strRef>
              <c:f>TRANSPORT!$B$88:$B$95</c:f>
              <c:strCache>
                <c:ptCount val="8"/>
                <c:pt idx="0">
                  <c:v>BUS</c:v>
                </c:pt>
                <c:pt idx="1">
                  <c:v>PASSENGER CAR</c:v>
                </c:pt>
                <c:pt idx="2">
                  <c:v>METRO</c:v>
                </c:pt>
                <c:pt idx="3">
                  <c:v>TRAM</c:v>
                </c:pt>
                <c:pt idx="4">
                  <c:v>PASSENGER TRAIN</c:v>
                </c:pt>
                <c:pt idx="5">
                  <c:v>RAIL TRANSPORT</c:v>
                </c:pt>
                <c:pt idx="6">
                  <c:v>ROAD TRANSPORT</c:v>
                </c:pt>
                <c:pt idx="7">
                  <c:v>TRANSPORT ON INLAND WATERWAYS</c:v>
                </c:pt>
              </c:strCache>
            </c:strRef>
          </c:cat>
          <c:val>
            <c:numRef>
              <c:f>TRANSPORT!$F$88:$F$95</c:f>
              <c:numCache>
                <c:formatCode>0.000</c:formatCode>
                <c:ptCount val="8"/>
                <c:pt idx="0">
                  <c:v>98.329173658390388</c:v>
                </c:pt>
                <c:pt idx="1">
                  <c:v>825.67518175982059</c:v>
                </c:pt>
                <c:pt idx="2">
                  <c:v>0</c:v>
                </c:pt>
                <c:pt idx="3">
                  <c:v>4.6755635107838228E-2</c:v>
                </c:pt>
                <c:pt idx="4">
                  <c:v>11.559267102288691</c:v>
                </c:pt>
                <c:pt idx="5">
                  <c:v>273.52477061065417</c:v>
                </c:pt>
                <c:pt idx="6">
                  <c:v>297.45310345996057</c:v>
                </c:pt>
                <c:pt idx="7">
                  <c:v>1.1857665375719693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0"/>
          <c:y val="0.15364698158640719"/>
          <c:w val="0.44057474031175897"/>
          <c:h val="0.638396213737036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2630252529113466"/>
          <c:y val="0.15454565809605553"/>
          <c:w val="0.36166653925540859"/>
          <c:h val="0.70619248423330971"/>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TRANSPORT!$B$8:$F$12</c:f>
              <c:strCache>
                <c:ptCount val="5"/>
                <c:pt idx="0">
                  <c:v>METROPOLITAN CENTER</c:v>
                </c:pt>
                <c:pt idx="1">
                  <c:v>URBAN</c:v>
                </c:pt>
                <c:pt idx="2">
                  <c:v>SUBURBAN</c:v>
                </c:pt>
                <c:pt idx="3">
                  <c:v>TOWN</c:v>
                </c:pt>
                <c:pt idx="4">
                  <c:v>RURAL</c:v>
                </c:pt>
              </c:strCache>
            </c:strRef>
          </c:cat>
          <c:val>
            <c:numRef>
              <c:f>TRANSPORT!$G$8:$G$12</c:f>
              <c:numCache>
                <c:formatCode>#,##0</c:formatCode>
                <c:ptCount val="5"/>
                <c:pt idx="0">
                  <c:v>75</c:v>
                </c:pt>
                <c:pt idx="1">
                  <c:v>25</c:v>
                </c:pt>
                <c:pt idx="2">
                  <c:v>0</c:v>
                </c:pt>
                <c:pt idx="3">
                  <c:v>0</c:v>
                </c:pt>
                <c:pt idx="4">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4.539706672321544E-3"/>
          <c:y val="0.15367989715571267"/>
          <c:w val="0.35027929642622496"/>
          <c:h val="0.59348882337575115"/>
        </c:manualLayout>
      </c:layout>
      <c:overlay val="0"/>
      <c:spPr>
        <a:noFill/>
        <a:ln>
          <a:noFill/>
        </a:ln>
        <a:effectLst/>
      </c:spPr>
      <c:txPr>
        <a:bodyPr rot="0" spcFirstLastPara="1" vertOverflow="ellipsis" vert="horz" wrap="square" anchor="ctr" anchorCtr="1"/>
        <a:lstStyle/>
        <a:p>
          <a:pPr rtl="0">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TRANSPORT!$B$138:$B$142</c:f>
              <c:strCache>
                <c:ptCount val="5"/>
                <c:pt idx="0">
                  <c:v>METROPOLITAN CENTER</c:v>
                </c:pt>
                <c:pt idx="1">
                  <c:v>URBAN</c:v>
                </c:pt>
                <c:pt idx="2">
                  <c:v>SUBURBAN</c:v>
                </c:pt>
                <c:pt idx="3">
                  <c:v>TOWN</c:v>
                </c:pt>
                <c:pt idx="4">
                  <c:v>RURAL</c:v>
                </c:pt>
              </c:strCache>
            </c:strRef>
          </c:cat>
          <c:val>
            <c:numRef>
              <c:f>TRANSPORT!$G$138:$G$142</c:f>
              <c:numCache>
                <c:formatCode>#,##0</c:formatCode>
                <c:ptCount val="5"/>
                <c:pt idx="0">
                  <c:v>0</c:v>
                </c:pt>
                <c:pt idx="1">
                  <c:v>0</c:v>
                </c:pt>
                <c:pt idx="2">
                  <c:v>0</c:v>
                </c:pt>
                <c:pt idx="3">
                  <c:v>75</c:v>
                </c:pt>
                <c:pt idx="4">
                  <c:v>25</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c:ext uri="{02D57815-91ED-43cb-92C2-25804820EDAC}">
                        <c15:formulaRef>
                          <c15:sqref>TRANSPORT!$B$138:$B$142</c15:sqref>
                        </c15:formulaRef>
                      </c:ext>
                    </c:extLst>
                    <c:strCache>
                      <c:ptCount val="5"/>
                      <c:pt idx="0">
                        <c:v>METROPOLITAN CENTER</c:v>
                      </c:pt>
                      <c:pt idx="1">
                        <c:v>URBAN</c:v>
                      </c:pt>
                      <c:pt idx="2">
                        <c:v>SUBURBAN</c:v>
                      </c:pt>
                      <c:pt idx="3">
                        <c:v>TOWN</c:v>
                      </c:pt>
                      <c:pt idx="4">
                        <c:v>RURAL</c:v>
                      </c:pt>
                    </c:strCache>
                  </c:strRef>
                </c:cat>
                <c:val>
                  <c:numRef>
                    <c:extLst>
                      <c:ext uri="{02D57815-91ED-43cb-92C2-25804820EDAC}">
                        <c15:formulaRef>
                          <c15:sqref>TRANSPORT!$F$138:$F$142</c15:sqref>
                        </c15:formulaRef>
                      </c:ext>
                    </c:extLst>
                    <c:numCache>
                      <c:formatCode>General</c:formatCode>
                      <c:ptCount val="5"/>
                    </c:numCache>
                  </c:numRef>
                </c:val>
              </c15:ser>
            </c15:filteredPieSeries>
          </c:ext>
        </c:extLst>
      </c:pieChart>
      <c:spPr>
        <a:noFill/>
        <a:ln>
          <a:noFill/>
        </a:ln>
        <a:effectLst/>
      </c:spPr>
    </c:plotArea>
    <c:legend>
      <c:legendPos val="l"/>
      <c:layout>
        <c:manualLayout>
          <c:xMode val="edge"/>
          <c:yMode val="edge"/>
          <c:x val="0"/>
          <c:y val="0.28570305431730536"/>
          <c:w val="0.35027929642622496"/>
          <c:h val="0.4807835744136208"/>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3"/>
          <c:order val="3"/>
          <c:tx>
            <c:strRef>
              <c:f>TRANSPORT!$S$204</c:f>
              <c:strCache>
                <c:ptCount val="1"/>
                <c:pt idx="0">
                  <c:v>total population</c:v>
                </c:pt>
              </c:strCache>
            </c:strRef>
          </c:tx>
          <c:spPr>
            <a:solidFill>
              <a:schemeClr val="accent4"/>
            </a:solidFill>
            <a:ln w="19050">
              <a:noFill/>
              <a:prstDash val="sysDash"/>
            </a:ln>
            <a:effectLst/>
          </c:spPr>
          <c:cat>
            <c:numRef>
              <c:extLst>
                <c:ext xmlns:c15="http://schemas.microsoft.com/office/drawing/2012/chart" uri="{02D57815-91ED-43cb-92C2-25804820EDAC}">
                  <c15:fullRef>
                    <c15:sqref>TRANSPORT!$X$200:$BA$200</c15:sqref>
                  </c15:fullRef>
                </c:ext>
              </c:extLst>
              <c:f>TRANSPORT!$Y$200:$BA$200</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TRANSPORT!$X$204:$BA$204</c15:sqref>
                  </c15:fullRef>
                </c:ext>
              </c:extLst>
              <c:f>TRANSPORT!$Y$204:$BA$204</c:f>
              <c:numCache>
                <c:formatCode>General</c:formatCode>
                <c:ptCount val="29"/>
                <c:pt idx="0">
                  <c:v>0</c:v>
                </c:pt>
                <c:pt idx="1">
                  <c:v>194942</c:v>
                </c:pt>
                <c:pt idx="2">
                  <c:v>195916</c:v>
                </c:pt>
                <c:pt idx="3">
                  <c:v>196895</c:v>
                </c:pt>
                <c:pt idx="4">
                  <c:v>197879</c:v>
                </c:pt>
                <c:pt idx="5">
                  <c:v>198868</c:v>
                </c:pt>
                <c:pt idx="6">
                  <c:v>199862</c:v>
                </c:pt>
                <c:pt idx="7">
                  <c:v>200861</c:v>
                </c:pt>
                <c:pt idx="8">
                  <c:v>235198</c:v>
                </c:pt>
                <c:pt idx="9">
                  <c:v>268934</c:v>
                </c:pt>
                <c:pt idx="10">
                  <c:v>302671</c:v>
                </c:pt>
                <c:pt idx="11">
                  <c:v>336409</c:v>
                </c:pt>
                <c:pt idx="12">
                  <c:v>370148</c:v>
                </c:pt>
                <c:pt idx="13">
                  <c:v>403887</c:v>
                </c:pt>
                <c:pt idx="14">
                  <c:v>404694</c:v>
                </c:pt>
                <c:pt idx="15">
                  <c:v>405503</c:v>
                </c:pt>
                <c:pt idx="16">
                  <c:v>406314</c:v>
                </c:pt>
                <c:pt idx="17">
                  <c:v>407126</c:v>
                </c:pt>
                <c:pt idx="18">
                  <c:v>407940</c:v>
                </c:pt>
                <c:pt idx="19">
                  <c:v>408755</c:v>
                </c:pt>
                <c:pt idx="20">
                  <c:v>409572</c:v>
                </c:pt>
                <c:pt idx="21">
                  <c:v>410391</c:v>
                </c:pt>
                <c:pt idx="22">
                  <c:v>411211</c:v>
                </c:pt>
                <c:pt idx="23">
                  <c:v>412033</c:v>
                </c:pt>
                <c:pt idx="24">
                  <c:v>412856</c:v>
                </c:pt>
                <c:pt idx="25">
                  <c:v>413681</c:v>
                </c:pt>
                <c:pt idx="26">
                  <c:v>414508</c:v>
                </c:pt>
                <c:pt idx="27">
                  <c:v>415337</c:v>
                </c:pt>
                <c:pt idx="28">
                  <c:v>416167</c:v>
                </c:pt>
              </c:numCache>
            </c:numRef>
          </c:val>
        </c:ser>
        <c:dLbls>
          <c:showLegendKey val="0"/>
          <c:showVal val="0"/>
          <c:showCatName val="0"/>
          <c:showSerName val="0"/>
          <c:showPercent val="0"/>
          <c:showBubbleSize val="0"/>
        </c:dLbls>
        <c:axId val="614173336"/>
        <c:axId val="614170592"/>
      </c:areaChart>
      <c:lineChart>
        <c:grouping val="standard"/>
        <c:varyColors val="0"/>
        <c:ser>
          <c:idx val="1"/>
          <c:order val="1"/>
          <c:tx>
            <c:strRef>
              <c:f>TRANSPORT!$S$202</c:f>
              <c:strCache>
                <c:ptCount val="1"/>
                <c:pt idx="0">
                  <c:v>baseline population</c:v>
                </c:pt>
              </c:strCache>
            </c:strRef>
          </c:tx>
          <c:spPr>
            <a:ln w="28575" cap="rnd">
              <a:solidFill>
                <a:sysClr val="windowText" lastClr="000000"/>
              </a:solidFill>
              <a:prstDash val="sysDash"/>
              <a:round/>
            </a:ln>
            <a:effectLst/>
          </c:spPr>
          <c:marker>
            <c:symbol val="none"/>
          </c:marker>
          <c:cat>
            <c:strLit>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TRANSPORT!$X$202:$BA$202</c15:sqref>
                  </c15:fullRef>
                </c:ext>
              </c:extLst>
              <c:f>TRANSPORT!$Y$202:$BA$202</c:f>
              <c:numCache>
                <c:formatCode>General</c:formatCode>
                <c:ptCount val="29"/>
                <c:pt idx="0">
                  <c:v>0</c:v>
                </c:pt>
                <c:pt idx="1">
                  <c:v>194942</c:v>
                </c:pt>
                <c:pt idx="2">
                  <c:v>195916</c:v>
                </c:pt>
                <c:pt idx="3">
                  <c:v>196895</c:v>
                </c:pt>
                <c:pt idx="4">
                  <c:v>197879</c:v>
                </c:pt>
                <c:pt idx="5">
                  <c:v>198868</c:v>
                </c:pt>
                <c:pt idx="6">
                  <c:v>199862</c:v>
                </c:pt>
                <c:pt idx="7">
                  <c:v>200861</c:v>
                </c:pt>
                <c:pt idx="8">
                  <c:v>201865</c:v>
                </c:pt>
                <c:pt idx="9">
                  <c:v>202268</c:v>
                </c:pt>
                <c:pt idx="10">
                  <c:v>202672</c:v>
                </c:pt>
                <c:pt idx="11">
                  <c:v>203077</c:v>
                </c:pt>
                <c:pt idx="12">
                  <c:v>203483</c:v>
                </c:pt>
                <c:pt idx="13">
                  <c:v>203889</c:v>
                </c:pt>
                <c:pt idx="14">
                  <c:v>204296</c:v>
                </c:pt>
                <c:pt idx="15">
                  <c:v>204704</c:v>
                </c:pt>
                <c:pt idx="16">
                  <c:v>205113</c:v>
                </c:pt>
                <c:pt idx="17">
                  <c:v>205523</c:v>
                </c:pt>
                <c:pt idx="18">
                  <c:v>205934</c:v>
                </c:pt>
                <c:pt idx="19">
                  <c:v>206345</c:v>
                </c:pt>
                <c:pt idx="20">
                  <c:v>206757</c:v>
                </c:pt>
                <c:pt idx="21">
                  <c:v>207170</c:v>
                </c:pt>
                <c:pt idx="22">
                  <c:v>207584</c:v>
                </c:pt>
                <c:pt idx="23">
                  <c:v>207999</c:v>
                </c:pt>
                <c:pt idx="24">
                  <c:v>208414</c:v>
                </c:pt>
                <c:pt idx="25">
                  <c:v>208830</c:v>
                </c:pt>
                <c:pt idx="26">
                  <c:v>209247</c:v>
                </c:pt>
                <c:pt idx="27">
                  <c:v>209665</c:v>
                </c:pt>
                <c:pt idx="28">
                  <c:v>210084</c:v>
                </c:pt>
              </c:numCache>
            </c:numRef>
          </c:val>
          <c:smooth val="0"/>
        </c:ser>
        <c:dLbls>
          <c:showLegendKey val="0"/>
          <c:showVal val="0"/>
          <c:showCatName val="0"/>
          <c:showSerName val="0"/>
          <c:showPercent val="0"/>
          <c:showBubbleSize val="0"/>
        </c:dLbls>
        <c:marker val="1"/>
        <c:smooth val="0"/>
        <c:axId val="614173336"/>
        <c:axId val="614170592"/>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cat>
                  <c:numRef>
                    <c:extLst>
                      <c:ex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ullRef>
                          <c15:sqref>TRANSPORT!$X$201:$BA$201</c15:sqref>
                        </c15:fullRef>
                        <c15:formulaRef>
                          <c15:sqref>TRANSPORT!$Y$201:$BA$201</c15:sqref>
                        </c15:formulaRef>
                      </c:ext>
                    </c:extLst>
                    <c:numCache>
                      <c:formatCode>General</c:formatCode>
                      <c:ptCount val="29"/>
                      <c:pt idx="0">
                        <c:v>0.5</c:v>
                      </c:pt>
                      <c:pt idx="1">
                        <c:v>0.5</c:v>
                      </c:pt>
                      <c:pt idx="2">
                        <c:v>0.5</c:v>
                      </c:pt>
                      <c:pt idx="3">
                        <c:v>0.5</c:v>
                      </c:pt>
                      <c:pt idx="4">
                        <c:v>0.5</c:v>
                      </c:pt>
                      <c:pt idx="5">
                        <c:v>0.5</c:v>
                      </c:pt>
                      <c:pt idx="6">
                        <c:v>0.5</c:v>
                      </c:pt>
                      <c:pt idx="7">
                        <c:v>0.5</c:v>
                      </c:pt>
                      <c:pt idx="8">
                        <c:v>0.5</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numCache>
                  </c:numRef>
                </c:val>
                <c:smooth val="0"/>
              </c15:ser>
            </c15:filteredLineSeries>
            <c15:filteredLineSeries>
              <c15:ser>
                <c:idx val="2"/>
                <c:order val="2"/>
                <c:spPr>
                  <a:ln w="28575" cap="rnd">
                    <a:solidFill>
                      <a:schemeClr val="accent3"/>
                    </a:solidFill>
                    <a:round/>
                  </a:ln>
                  <a:effectLst/>
                </c:spPr>
                <c:marker>
                  <c:symbol val="none"/>
                </c:marker>
                <c:cat>
                  <c:numRef>
                    <c:extLst>
                      <c:ext xmlns:c15="http://schemas.microsoft.com/office/drawing/2012/char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TRANSPORT!$X$203:$BA$203</c15:sqref>
                        </c15:fullRef>
                        <c15:formulaRef>
                          <c15:sqref>TRANSPORT!$Y$203:$BA$203</c15:sqref>
                        </c15:formulaRef>
                      </c:ext>
                    </c:extLst>
                    <c:numCache>
                      <c:formatCode>General</c:formatCode>
                      <c:ptCount val="29"/>
                      <c:pt idx="0">
                        <c:v>0</c:v>
                      </c:pt>
                      <c:pt idx="1">
                        <c:v>0</c:v>
                      </c:pt>
                      <c:pt idx="2">
                        <c:v>0</c:v>
                      </c:pt>
                      <c:pt idx="3">
                        <c:v>0</c:v>
                      </c:pt>
                      <c:pt idx="4">
                        <c:v>0</c:v>
                      </c:pt>
                      <c:pt idx="5">
                        <c:v>0</c:v>
                      </c:pt>
                      <c:pt idx="6">
                        <c:v>0</c:v>
                      </c:pt>
                      <c:pt idx="7">
                        <c:v>0</c:v>
                      </c:pt>
                      <c:pt idx="8">
                        <c:v>33333</c:v>
                      </c:pt>
                      <c:pt idx="9">
                        <c:v>66666</c:v>
                      </c:pt>
                      <c:pt idx="10">
                        <c:v>99999</c:v>
                      </c:pt>
                      <c:pt idx="11">
                        <c:v>133332</c:v>
                      </c:pt>
                      <c:pt idx="12">
                        <c:v>166665</c:v>
                      </c:pt>
                      <c:pt idx="13">
                        <c:v>199998</c:v>
                      </c:pt>
                      <c:pt idx="14">
                        <c:v>200398</c:v>
                      </c:pt>
                      <c:pt idx="15">
                        <c:v>200799</c:v>
                      </c:pt>
                      <c:pt idx="16">
                        <c:v>201201</c:v>
                      </c:pt>
                      <c:pt idx="17">
                        <c:v>201603</c:v>
                      </c:pt>
                      <c:pt idx="18">
                        <c:v>202006</c:v>
                      </c:pt>
                      <c:pt idx="19">
                        <c:v>202410</c:v>
                      </c:pt>
                      <c:pt idx="20">
                        <c:v>202815</c:v>
                      </c:pt>
                      <c:pt idx="21">
                        <c:v>203221</c:v>
                      </c:pt>
                      <c:pt idx="22">
                        <c:v>203627</c:v>
                      </c:pt>
                      <c:pt idx="23">
                        <c:v>204034</c:v>
                      </c:pt>
                      <c:pt idx="24">
                        <c:v>204442</c:v>
                      </c:pt>
                      <c:pt idx="25">
                        <c:v>204851</c:v>
                      </c:pt>
                      <c:pt idx="26">
                        <c:v>205261</c:v>
                      </c:pt>
                      <c:pt idx="27">
                        <c:v>205672</c:v>
                      </c:pt>
                      <c:pt idx="28">
                        <c:v>206083</c:v>
                      </c:pt>
                    </c:numCache>
                  </c:numRef>
                </c:val>
                <c:smooth val="0"/>
              </c15:ser>
            </c15:filteredLineSeries>
          </c:ext>
        </c:extLst>
      </c:lineChart>
      <c:catAx>
        <c:axId val="614173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70592"/>
        <c:crosses val="autoZero"/>
        <c:auto val="1"/>
        <c:lblAlgn val="ctr"/>
        <c:lblOffset val="100"/>
        <c:noMultiLvlLbl val="0"/>
      </c:catAx>
      <c:valAx>
        <c:axId val="614170592"/>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73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 TRANSPORT(tCO2e)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TRANSPORT!$S$188</c:f>
              <c:strCache>
                <c:ptCount val="1"/>
                <c:pt idx="0">
                  <c:v>Bus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TRANSPORT!$X$188:$BA$188</c:f>
              <c:numCache>
                <c:formatCode>0.000</c:formatCode>
                <c:ptCount val="30"/>
                <c:pt idx="0">
                  <c:v>0</c:v>
                </c:pt>
                <c:pt idx="1">
                  <c:v>0</c:v>
                </c:pt>
                <c:pt idx="2">
                  <c:v>19168.485771313939</c:v>
                </c:pt>
                <c:pt idx="3">
                  <c:v>19312.578134711483</c:v>
                </c:pt>
                <c:pt idx="4">
                  <c:v>19457.718797887992</c:v>
                </c:pt>
                <c:pt idx="5">
                  <c:v>19584.65570987645</c:v>
                </c:pt>
                <c:pt idx="6">
                  <c:v>19712.25577582245</c:v>
                </c:pt>
                <c:pt idx="7">
                  <c:v>19840.519863189136</c:v>
                </c:pt>
                <c:pt idx="8">
                  <c:v>19969.448819547732</c:v>
                </c:pt>
                <c:pt idx="9">
                  <c:v>20099.043472497076</c:v>
                </c:pt>
                <c:pt idx="10">
                  <c:v>20186.726508541873</c:v>
                </c:pt>
                <c:pt idx="11">
                  <c:v>20274.730727504153</c:v>
                </c:pt>
                <c:pt idx="12">
                  <c:v>20363.066765959262</c:v>
                </c:pt>
                <c:pt idx="13">
                  <c:v>20451.74455139065</c:v>
                </c:pt>
                <c:pt idx="14">
                  <c:v>20540.67261269506</c:v>
                </c:pt>
                <c:pt idx="15">
                  <c:v>20629.959869708393</c:v>
                </c:pt>
                <c:pt idx="16">
                  <c:v>20719.614403057582</c:v>
                </c:pt>
                <c:pt idx="17">
                  <c:v>20809.643762041265</c:v>
                </c:pt>
                <c:pt idx="18">
                  <c:v>20900.05500222497</c:v>
                </c:pt>
                <c:pt idx="19">
                  <c:v>20990.854720611256</c:v>
                </c:pt>
                <c:pt idx="20">
                  <c:v>21085.828022725276</c:v>
                </c:pt>
                <c:pt idx="21">
                  <c:v>21181.284869375275</c:v>
                </c:pt>
                <c:pt idx="22">
                  <c:v>21277.227934581704</c:v>
                </c:pt>
                <c:pt idx="23">
                  <c:v>21373.659760922212</c:v>
                </c:pt>
                <c:pt idx="24">
                  <c:v>21470.582771717767</c:v>
                </c:pt>
                <c:pt idx="25">
                  <c:v>21563.917808798851</c:v>
                </c:pt>
                <c:pt idx="26">
                  <c:v>21657.569398137333</c:v>
                </c:pt>
                <c:pt idx="27">
                  <c:v>21751.644910636136</c:v>
                </c:pt>
                <c:pt idx="28">
                  <c:v>21846.148263790226</c:v>
                </c:pt>
                <c:pt idx="29">
                  <c:v>21941.083153573105</c:v>
                </c:pt>
              </c:numCache>
            </c:numRef>
          </c:val>
        </c:ser>
        <c:ser>
          <c:idx val="1"/>
          <c:order val="1"/>
          <c:tx>
            <c:strRef>
              <c:f>TRANSPORT!$S$189</c:f>
              <c:strCache>
                <c:ptCount val="1"/>
                <c:pt idx="0">
                  <c:v>Car</c:v>
                </c:pt>
              </c:strCache>
            </c:strRef>
          </c:tx>
          <c:spPr>
            <a:solidFill>
              <a:schemeClr val="accent1"/>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TRANSPORT!$X$189:$BA$189</c:f>
              <c:numCache>
                <c:formatCode>0.000</c:formatCode>
                <c:ptCount val="30"/>
                <c:pt idx="0">
                  <c:v>0</c:v>
                </c:pt>
                <c:pt idx="1">
                  <c:v>0</c:v>
                </c:pt>
                <c:pt idx="2">
                  <c:v>160958.77128262294</c:v>
                </c:pt>
                <c:pt idx="3">
                  <c:v>162478.71387314016</c:v>
                </c:pt>
                <c:pt idx="4">
                  <c:v>163943.93275592703</c:v>
                </c:pt>
                <c:pt idx="5">
                  <c:v>165422.45362157814</c:v>
                </c:pt>
                <c:pt idx="6">
                  <c:v>166914.37614383729</c:v>
                </c:pt>
                <c:pt idx="7">
                  <c:v>168419.80064809803</c:v>
                </c:pt>
                <c:pt idx="8">
                  <c:v>169938.82811528526</c:v>
                </c:pt>
                <c:pt idx="9">
                  <c:v>171471.56018576009</c:v>
                </c:pt>
                <c:pt idx="10">
                  <c:v>172157.67328845727</c:v>
                </c:pt>
                <c:pt idx="11">
                  <c:v>172846.70184584314</c:v>
                </c:pt>
                <c:pt idx="12">
                  <c:v>173538.65645167034</c:v>
                </c:pt>
                <c:pt idx="13">
                  <c:v>174230.5564488575</c:v>
                </c:pt>
                <c:pt idx="14">
                  <c:v>174924.71712364224</c:v>
                </c:pt>
                <c:pt idx="15">
                  <c:v>175621.9947789117</c:v>
                </c:pt>
                <c:pt idx="16">
                  <c:v>176322.39170462792</c:v>
                </c:pt>
                <c:pt idx="17">
                  <c:v>177025.91065851392</c:v>
                </c:pt>
                <c:pt idx="18">
                  <c:v>177732.55484393021</c:v>
                </c:pt>
                <c:pt idx="19">
                  <c:v>178442.32788889305</c:v>
                </c:pt>
                <c:pt idx="20">
                  <c:v>179154.36567458962</c:v>
                </c:pt>
                <c:pt idx="21">
                  <c:v>179869.53732187769</c:v>
                </c:pt>
                <c:pt idx="22">
                  <c:v>180587.84760520342</c:v>
                </c:pt>
                <c:pt idx="23">
                  <c:v>181309.30165012548</c:v>
                </c:pt>
                <c:pt idx="24">
                  <c:v>182033.90491720987</c:v>
                </c:pt>
                <c:pt idx="25">
                  <c:v>182761.66318675756</c:v>
                </c:pt>
                <c:pt idx="26">
                  <c:v>183491.70398405794</c:v>
                </c:pt>
                <c:pt idx="27">
                  <c:v>184224.9087489433</c:v>
                </c:pt>
                <c:pt idx="28">
                  <c:v>184961.28412515565</c:v>
                </c:pt>
                <c:pt idx="29">
                  <c:v>185700.83702264668</c:v>
                </c:pt>
              </c:numCache>
            </c:numRef>
          </c:val>
        </c:ser>
        <c:ser>
          <c:idx val="2"/>
          <c:order val="2"/>
          <c:tx>
            <c:strRef>
              <c:f>TRANSPORT!$S$190</c:f>
              <c:strCache>
                <c:ptCount val="1"/>
                <c:pt idx="0">
                  <c:v>Metro</c:v>
                </c:pt>
              </c:strCache>
            </c:strRef>
          </c:tx>
          <c:spPr>
            <a:solidFill>
              <a:schemeClr val="accent3"/>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TRANSPORT!$X$190:$BA$190</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3"/>
          <c:order val="3"/>
          <c:tx>
            <c:strRef>
              <c:f>TRANSPORT!$S$191</c:f>
              <c:strCache>
                <c:ptCount val="1"/>
                <c:pt idx="0">
                  <c:v>Tram</c:v>
                </c:pt>
              </c:strCache>
            </c:strRef>
          </c:tx>
          <c:spPr>
            <a:solidFill>
              <a:schemeClr val="accent4"/>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TRANSPORT!$X$191:$BA$191</c:f>
              <c:numCache>
                <c:formatCode>0.000</c:formatCode>
                <c:ptCount val="30"/>
                <c:pt idx="0">
                  <c:v>0</c:v>
                </c:pt>
                <c:pt idx="1">
                  <c:v>0</c:v>
                </c:pt>
                <c:pt idx="2">
                  <c:v>9.1146370191921999</c:v>
                </c:pt>
                <c:pt idx="3">
                  <c:v>9.1227490461392797</c:v>
                </c:pt>
                <c:pt idx="4">
                  <c:v>9.1308682927903426</c:v>
                </c:pt>
                <c:pt idx="5">
                  <c:v>9.1389947655709243</c:v>
                </c:pt>
                <c:pt idx="6">
                  <c:v>9.1471284709122802</c:v>
                </c:pt>
                <c:pt idx="7">
                  <c:v>9.1552694152513947</c:v>
                </c:pt>
                <c:pt idx="8">
                  <c:v>9.1634176050309666</c:v>
                </c:pt>
                <c:pt idx="9">
                  <c:v>9.1715730466994447</c:v>
                </c:pt>
                <c:pt idx="10">
                  <c:v>8.7451407578931519</c:v>
                </c:pt>
                <c:pt idx="11">
                  <c:v>8.3385354383549135</c:v>
                </c:pt>
                <c:pt idx="12">
                  <c:v>7.9508352331485987</c:v>
                </c:pt>
                <c:pt idx="13">
                  <c:v>7.5811611489833544</c:v>
                </c:pt>
                <c:pt idx="14">
                  <c:v>7.2286750613613719</c:v>
                </c:pt>
                <c:pt idx="15">
                  <c:v>6.892577814383376</c:v>
                </c:pt>
                <c:pt idx="16">
                  <c:v>6.5721074089036211</c:v>
                </c:pt>
                <c:pt idx="17">
                  <c:v>6.2665372749266472</c:v>
                </c:pt>
                <c:pt idx="18">
                  <c:v>5.9751746243289325</c:v>
                </c:pt>
                <c:pt idx="19">
                  <c:v>5.6973588801707598</c:v>
                </c:pt>
                <c:pt idx="20">
                  <c:v>5.4324601790372196</c:v>
                </c:pt>
                <c:pt idx="21">
                  <c:v>5.1798779430128841</c:v>
                </c:pt>
                <c:pt idx="22">
                  <c:v>4.9390395180524997</c:v>
                </c:pt>
                <c:pt idx="23">
                  <c:v>4.70939887566065</c:v>
                </c:pt>
                <c:pt idx="24">
                  <c:v>4.4904353749368084</c:v>
                </c:pt>
                <c:pt idx="25">
                  <c:v>4.2816525821791229</c:v>
                </c:pt>
                <c:pt idx="26">
                  <c:v>4.0825771453707045</c:v>
                </c:pt>
                <c:pt idx="27">
                  <c:v>3.892757720996693</c:v>
                </c:pt>
                <c:pt idx="28">
                  <c:v>3.7117639507589515</c:v>
                </c:pt>
                <c:pt idx="29">
                  <c:v>3.5391854858684142</c:v>
                </c:pt>
              </c:numCache>
            </c:numRef>
          </c:val>
        </c:ser>
        <c:ser>
          <c:idx val="4"/>
          <c:order val="4"/>
          <c:tx>
            <c:strRef>
              <c:f>TRANSPORT!$S$192</c:f>
              <c:strCache>
                <c:ptCount val="1"/>
                <c:pt idx="0">
                  <c:v>Passenger train</c:v>
                </c:pt>
              </c:strCache>
            </c:strRef>
          </c:tx>
          <c:spPr>
            <a:solidFill>
              <a:schemeClr val="accent5"/>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TRANSPORT!$X$192:$BA$192</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5"/>
          <c:order val="5"/>
          <c:tx>
            <c:strRef>
              <c:f>TRANSPORT!$S$193</c:f>
              <c:strCache>
                <c:ptCount val="1"/>
                <c:pt idx="0">
                  <c:v>Freight on rails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TRANSPORT!$X$193:$BA$193</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6"/>
          <c:order val="6"/>
          <c:tx>
            <c:strRef>
              <c:f>TRANSPORT!$S$194</c:f>
              <c:strCache>
                <c:ptCount val="1"/>
                <c:pt idx="0">
                  <c:v>Freight on road</c:v>
                </c:pt>
              </c:strCache>
            </c:strRef>
          </c:tx>
          <c:spPr>
            <a:solidFill>
              <a:schemeClr val="accent1">
                <a:lumMod val="60000"/>
              </a:schemeClr>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TRANSPORT!$X$194:$BA$194</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7"/>
          <c:order val="7"/>
          <c:tx>
            <c:strRef>
              <c:f>TRANSPORT!$S$195</c:f>
              <c:strCache>
                <c:ptCount val="1"/>
                <c:pt idx="0">
                  <c:v>Freight on waterways</c:v>
                </c:pt>
              </c:strCache>
            </c:strRef>
          </c:tx>
          <c:spPr>
            <a:solidFill>
              <a:schemeClr val="accent2"/>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TRANSPORT!$X$195:$BA$195</c:f>
              <c:numCache>
                <c:formatCode>0.000</c:formatCode>
                <c:ptCount val="30"/>
                <c:pt idx="0">
                  <c:v>0</c:v>
                </c:pt>
                <c:pt idx="1">
                  <c:v>0</c:v>
                </c:pt>
                <c:pt idx="2">
                  <c:v>231.15570036735483</c:v>
                </c:pt>
                <c:pt idx="3">
                  <c:v>234.40262914616093</c:v>
                </c:pt>
                <c:pt idx="4">
                  <c:v>237.69531506316747</c:v>
                </c:pt>
                <c:pt idx="5">
                  <c:v>241.03437306991819</c:v>
                </c:pt>
                <c:pt idx="6">
                  <c:v>244.42042596967494</c:v>
                </c:pt>
                <c:pt idx="7">
                  <c:v>247.854104513338</c:v>
                </c:pt>
                <c:pt idx="8">
                  <c:v>251.33604749649615</c:v>
                </c:pt>
                <c:pt idx="9">
                  <c:v>254.86690185762015</c:v>
                </c:pt>
                <c:pt idx="10">
                  <c:v>258.18610541329974</c:v>
                </c:pt>
                <c:pt idx="11">
                  <c:v>261.54878299757269</c:v>
                </c:pt>
                <c:pt idx="12">
                  <c:v>264.9555036103381</c:v>
                </c:pt>
                <c:pt idx="13">
                  <c:v>268.40684366527961</c:v>
                </c:pt>
                <c:pt idx="14">
                  <c:v>271.90205358549292</c:v>
                </c:pt>
                <c:pt idx="15">
                  <c:v>275.44302906471501</c:v>
                </c:pt>
                <c:pt idx="16">
                  <c:v>279.03036885470101</c:v>
                </c:pt>
                <c:pt idx="17">
                  <c:v>282.66467950524037</c:v>
                </c:pt>
                <c:pt idx="18">
                  <c:v>286.34657546505935</c:v>
                </c:pt>
                <c:pt idx="19">
                  <c:v>290.07667918401904</c:v>
                </c:pt>
                <c:pt idx="20">
                  <c:v>293.85419724916449</c:v>
                </c:pt>
                <c:pt idx="21">
                  <c:v>297.68116106466545</c:v>
                </c:pt>
                <c:pt idx="22">
                  <c:v>301.558217193286</c:v>
                </c:pt>
                <c:pt idx="23">
                  <c:v>305.48602061343053</c:v>
                </c:pt>
                <c:pt idx="24">
                  <c:v>309.46523482796999</c:v>
                </c:pt>
                <c:pt idx="25">
                  <c:v>313.49653197446509</c:v>
                </c:pt>
                <c:pt idx="26">
                  <c:v>317.57907236476888</c:v>
                </c:pt>
                <c:pt idx="27">
                  <c:v>321.71503286161783</c:v>
                </c:pt>
                <c:pt idx="28">
                  <c:v>325.90511163025025</c:v>
                </c:pt>
                <c:pt idx="29">
                  <c:v>330.15001591772</c:v>
                </c:pt>
              </c:numCache>
            </c:numRef>
          </c:val>
        </c:ser>
        <c:dLbls>
          <c:showLegendKey val="0"/>
          <c:showVal val="0"/>
          <c:showCatName val="0"/>
          <c:showSerName val="0"/>
          <c:showPercent val="0"/>
          <c:showBubbleSize val="0"/>
        </c:dLbls>
        <c:gapWidth val="10"/>
        <c:overlap val="100"/>
        <c:axId val="614179608"/>
        <c:axId val="614170984"/>
      </c:barChart>
      <c:catAx>
        <c:axId val="614179608"/>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70984"/>
        <c:crosses val="autoZero"/>
        <c:auto val="1"/>
        <c:lblAlgn val="ctr"/>
        <c:lblOffset val="100"/>
        <c:noMultiLvlLbl val="0"/>
      </c:catAx>
      <c:valAx>
        <c:axId val="61417098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79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POLICY IMPACT </a:t>
            </a:r>
            <a:r>
              <a:rPr lang="et-EE" baseline="0"/>
              <a:t>- TRANSPORT (tCO2e)</a:t>
            </a:r>
            <a:endParaRPr lang="en-US"/>
          </a:p>
        </c:rich>
      </c:tx>
      <c:layout>
        <c:manualLayout>
          <c:xMode val="edge"/>
          <c:yMode val="edge"/>
          <c:x val="0.31339285714285714"/>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TRANSPORT!$S$607</c:f>
              <c:strCache>
                <c:ptCount val="1"/>
                <c:pt idx="0">
                  <c:v>Bus</c:v>
                </c:pt>
              </c:strCache>
            </c:strRef>
          </c:tx>
          <c:spPr>
            <a:solidFill>
              <a:schemeClr val="accent1"/>
            </a:solidFill>
            <a:ln>
              <a:noFill/>
            </a:ln>
            <a:effectLst/>
          </c:spPr>
          <c:invertIfNegative val="0"/>
          <c:cat>
            <c:numRef>
              <c:f>TRANSPORT!$Y$606:$BA$606</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TRANSPORT!$Y$607:$BA$607</c:f>
              <c:numCache>
                <c:formatCode>0.000</c:formatCode>
                <c:ptCount val="29"/>
                <c:pt idx="0">
                  <c:v>0</c:v>
                </c:pt>
                <c:pt idx="1">
                  <c:v>19168.485771313939</c:v>
                </c:pt>
                <c:pt idx="2">
                  <c:v>19312.578134711483</c:v>
                </c:pt>
                <c:pt idx="3">
                  <c:v>19457.718797887992</c:v>
                </c:pt>
                <c:pt idx="4">
                  <c:v>19584.65570987645</c:v>
                </c:pt>
                <c:pt idx="5">
                  <c:v>19712.25577582245</c:v>
                </c:pt>
                <c:pt idx="6">
                  <c:v>19840.519863189136</c:v>
                </c:pt>
                <c:pt idx="7">
                  <c:v>19969.448819547732</c:v>
                </c:pt>
                <c:pt idx="8">
                  <c:v>18351.963699190488</c:v>
                </c:pt>
                <c:pt idx="9">
                  <c:v>17117.555027397859</c:v>
                </c:pt>
                <c:pt idx="10">
                  <c:v>16166.29489194208</c:v>
                </c:pt>
                <c:pt idx="11">
                  <c:v>15413.051467922702</c:v>
                </c:pt>
                <c:pt idx="12">
                  <c:v>14803.728433144397</c:v>
                </c:pt>
                <c:pt idx="13">
                  <c:v>14302.218183777592</c:v>
                </c:pt>
                <c:pt idx="14">
                  <c:v>14364.375696428113</c:v>
                </c:pt>
                <c:pt idx="15">
                  <c:v>14426.788580448796</c:v>
                </c:pt>
                <c:pt idx="16">
                  <c:v>14489.462090064835</c:v>
                </c:pt>
                <c:pt idx="17">
                  <c:v>14552.417030156574</c:v>
                </c:pt>
                <c:pt idx="18">
                  <c:v>14615.642171712801</c:v>
                </c:pt>
                <c:pt idx="19">
                  <c:v>14681.757362511644</c:v>
                </c:pt>
                <c:pt idx="20">
                  <c:v>14748.208865612392</c:v>
                </c:pt>
                <c:pt idx="21">
                  <c:v>14814.998540262404</c:v>
                </c:pt>
                <c:pt idx="22">
                  <c:v>14882.144247238124</c:v>
                </c:pt>
                <c:pt idx="23">
                  <c:v>14949.631659508972</c:v>
                </c:pt>
                <c:pt idx="24">
                  <c:v>15014.60465700882</c:v>
                </c:pt>
                <c:pt idx="25">
                  <c:v>15079.797686962775</c:v>
                </c:pt>
                <c:pt idx="26">
                  <c:v>15145.285507646058</c:v>
                </c:pt>
                <c:pt idx="27">
                  <c:v>15211.070844323718</c:v>
                </c:pt>
                <c:pt idx="28">
                  <c:v>15277.172591427328</c:v>
                </c:pt>
              </c:numCache>
            </c:numRef>
          </c:val>
        </c:ser>
        <c:ser>
          <c:idx val="1"/>
          <c:order val="1"/>
          <c:tx>
            <c:strRef>
              <c:f>TRANSPORT!$S$608</c:f>
              <c:strCache>
                <c:ptCount val="1"/>
                <c:pt idx="0">
                  <c:v>Car</c:v>
                </c:pt>
              </c:strCache>
            </c:strRef>
          </c:tx>
          <c:spPr>
            <a:solidFill>
              <a:schemeClr val="accent2"/>
            </a:solidFill>
            <a:ln>
              <a:noFill/>
            </a:ln>
            <a:effectLst/>
          </c:spPr>
          <c:invertIfNegative val="0"/>
          <c:cat>
            <c:numRef>
              <c:f>TRANSPORT!$Y$606:$BA$606</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TRANSPORT!$Y$608:$BA$608</c:f>
              <c:numCache>
                <c:formatCode>0.000</c:formatCode>
                <c:ptCount val="29"/>
                <c:pt idx="0">
                  <c:v>0</c:v>
                </c:pt>
                <c:pt idx="1">
                  <c:v>160958.77128262294</c:v>
                </c:pt>
                <c:pt idx="2">
                  <c:v>162477.88454891677</c:v>
                </c:pt>
                <c:pt idx="3">
                  <c:v>150280.41185652089</c:v>
                </c:pt>
                <c:pt idx="4">
                  <c:v>137849.9547718011</c:v>
                </c:pt>
                <c:pt idx="5">
                  <c:v>125183.26419118568</c:v>
                </c:pt>
                <c:pt idx="6">
                  <c:v>112277.05823415957</c:v>
                </c:pt>
                <c:pt idx="7">
                  <c:v>99128.021974096526</c:v>
                </c:pt>
                <c:pt idx="8">
                  <c:v>138824.99890313193</c:v>
                </c:pt>
                <c:pt idx="9">
                  <c:v>190027.69668287839</c:v>
                </c:pt>
                <c:pt idx="10">
                  <c:v>239804.62450969679</c:v>
                </c:pt>
                <c:pt idx="11">
                  <c:v>288638.04993099143</c:v>
                </c:pt>
                <c:pt idx="12">
                  <c:v>336828.07912377827</c:v>
                </c:pt>
                <c:pt idx="13">
                  <c:v>384583.56362216058</c:v>
                </c:pt>
                <c:pt idx="14">
                  <c:v>386114.73745574651</c:v>
                </c:pt>
                <c:pt idx="15">
                  <c:v>387652.8434743266</c:v>
                </c:pt>
                <c:pt idx="16">
                  <c:v>389197.88528804231</c:v>
                </c:pt>
                <c:pt idx="17">
                  <c:v>390748.45788899309</c:v>
                </c:pt>
                <c:pt idx="18">
                  <c:v>392305.97120923037</c:v>
                </c:pt>
                <c:pt idx="19">
                  <c:v>393869.91156511399</c:v>
                </c:pt>
                <c:pt idx="20">
                  <c:v>395440.80508306349</c:v>
                </c:pt>
                <c:pt idx="21">
                  <c:v>397018.66041237791</c:v>
                </c:pt>
                <c:pt idx="22">
                  <c:v>398602.06331335742</c:v>
                </c:pt>
                <c:pt idx="23">
                  <c:v>400192.44225542201</c:v>
                </c:pt>
                <c:pt idx="24">
                  <c:v>401789.28271467297</c:v>
                </c:pt>
                <c:pt idx="25">
                  <c:v>403393.1201504803</c:v>
                </c:pt>
                <c:pt idx="26">
                  <c:v>405003.96717535984</c:v>
                </c:pt>
                <c:pt idx="27">
                  <c:v>406621.83709384198</c:v>
                </c:pt>
                <c:pt idx="28">
                  <c:v>408245.30304521148</c:v>
                </c:pt>
              </c:numCache>
            </c:numRef>
          </c:val>
        </c:ser>
        <c:ser>
          <c:idx val="2"/>
          <c:order val="2"/>
          <c:tx>
            <c:strRef>
              <c:f>TRANSPORT!$S$609</c:f>
              <c:strCache>
                <c:ptCount val="1"/>
                <c:pt idx="0">
                  <c:v>Metro</c:v>
                </c:pt>
              </c:strCache>
            </c:strRef>
          </c:tx>
          <c:spPr>
            <a:solidFill>
              <a:schemeClr val="accent3"/>
            </a:solidFill>
            <a:ln>
              <a:noFill/>
            </a:ln>
            <a:effectLst/>
          </c:spPr>
          <c:invertIfNegative val="0"/>
          <c:cat>
            <c:numRef>
              <c:f>TRANSPORT!$Y$606:$BA$606</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TRANSPORT!$Y$609:$BA$609</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3"/>
          <c:tx>
            <c:strRef>
              <c:f>TRANSPORT!$S$610</c:f>
              <c:strCache>
                <c:ptCount val="1"/>
                <c:pt idx="0">
                  <c:v>Tram</c:v>
                </c:pt>
              </c:strCache>
            </c:strRef>
          </c:tx>
          <c:spPr>
            <a:solidFill>
              <a:schemeClr val="accent4"/>
            </a:solidFill>
            <a:ln>
              <a:noFill/>
            </a:ln>
            <a:effectLst/>
          </c:spPr>
          <c:invertIfNegative val="0"/>
          <c:cat>
            <c:numRef>
              <c:f>TRANSPORT!$Y$606:$BA$606</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TRANSPORT!$Y$610:$BA$610</c:f>
              <c:numCache>
                <c:formatCode>0.000</c:formatCode>
                <c:ptCount val="29"/>
                <c:pt idx="0">
                  <c:v>0</c:v>
                </c:pt>
                <c:pt idx="1">
                  <c:v>9.1146370191921999</c:v>
                </c:pt>
                <c:pt idx="2">
                  <c:v>9.1227490461392797</c:v>
                </c:pt>
                <c:pt idx="3">
                  <c:v>9.1308682927903426</c:v>
                </c:pt>
                <c:pt idx="4">
                  <c:v>9.1389947655709243</c:v>
                </c:pt>
                <c:pt idx="5">
                  <c:v>9.1471284709122802</c:v>
                </c:pt>
                <c:pt idx="6">
                  <c:v>9.1552694152513947</c:v>
                </c:pt>
                <c:pt idx="7">
                  <c:v>9.1634176050309666</c:v>
                </c:pt>
                <c:pt idx="8">
                  <c:v>9.1715730466994447</c:v>
                </c:pt>
                <c:pt idx="9">
                  <c:v>8.7451407578931519</c:v>
                </c:pt>
                <c:pt idx="10">
                  <c:v>8.3385354383549135</c:v>
                </c:pt>
                <c:pt idx="11">
                  <c:v>7.9508352331485987</c:v>
                </c:pt>
                <c:pt idx="12">
                  <c:v>7.5811611489833544</c:v>
                </c:pt>
                <c:pt idx="13">
                  <c:v>7.2286750613613719</c:v>
                </c:pt>
                <c:pt idx="14">
                  <c:v>6.892577814383376</c:v>
                </c:pt>
                <c:pt idx="15">
                  <c:v>6.5721074089036211</c:v>
                </c:pt>
                <c:pt idx="16">
                  <c:v>6.2665372749266472</c:v>
                </c:pt>
                <c:pt idx="17">
                  <c:v>5.9751746243289325</c:v>
                </c:pt>
                <c:pt idx="18">
                  <c:v>5.6973588801707598</c:v>
                </c:pt>
                <c:pt idx="19">
                  <c:v>5.4324601790372196</c:v>
                </c:pt>
                <c:pt idx="20">
                  <c:v>5.1798779430128841</c:v>
                </c:pt>
                <c:pt idx="21">
                  <c:v>4.9390395180524997</c:v>
                </c:pt>
                <c:pt idx="22">
                  <c:v>4.70939887566065</c:v>
                </c:pt>
                <c:pt idx="23">
                  <c:v>4.4904353749368084</c:v>
                </c:pt>
                <c:pt idx="24">
                  <c:v>4.2816525821791229</c:v>
                </c:pt>
                <c:pt idx="25">
                  <c:v>4.0825771453707045</c:v>
                </c:pt>
                <c:pt idx="26">
                  <c:v>3.892757720996693</c:v>
                </c:pt>
                <c:pt idx="27">
                  <c:v>3.7117639507589515</c:v>
                </c:pt>
                <c:pt idx="28">
                  <c:v>3.5391854858684142</c:v>
                </c:pt>
              </c:numCache>
            </c:numRef>
          </c:val>
        </c:ser>
        <c:ser>
          <c:idx val="4"/>
          <c:order val="4"/>
          <c:tx>
            <c:strRef>
              <c:f>TRANSPORT!$S$611</c:f>
              <c:strCache>
                <c:ptCount val="1"/>
                <c:pt idx="0">
                  <c:v>Passenger train</c:v>
                </c:pt>
              </c:strCache>
            </c:strRef>
          </c:tx>
          <c:spPr>
            <a:solidFill>
              <a:schemeClr val="accent5"/>
            </a:solidFill>
            <a:ln>
              <a:noFill/>
            </a:ln>
            <a:effectLst/>
          </c:spPr>
          <c:invertIfNegative val="0"/>
          <c:cat>
            <c:numRef>
              <c:f>TRANSPORT!$Y$606:$BA$606</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TRANSPORT!$Y$611:$BA$611</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
          <c:order val="5"/>
          <c:tx>
            <c:strRef>
              <c:f>TRANSPORT!$S$612</c:f>
              <c:strCache>
                <c:ptCount val="1"/>
                <c:pt idx="0">
                  <c:v>Freight on rails</c:v>
                </c:pt>
              </c:strCache>
            </c:strRef>
          </c:tx>
          <c:spPr>
            <a:solidFill>
              <a:schemeClr val="accent6"/>
            </a:solidFill>
            <a:ln>
              <a:noFill/>
            </a:ln>
            <a:effectLst/>
          </c:spPr>
          <c:invertIfNegative val="0"/>
          <c:cat>
            <c:numRef>
              <c:f>TRANSPORT!$Y$606:$BA$606</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TRANSPORT!$Y$612:$BA$612</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6"/>
          <c:order val="6"/>
          <c:tx>
            <c:strRef>
              <c:f>TRANSPORT!$S$613</c:f>
              <c:strCache>
                <c:ptCount val="1"/>
                <c:pt idx="0">
                  <c:v>Freight on road</c:v>
                </c:pt>
              </c:strCache>
            </c:strRef>
          </c:tx>
          <c:spPr>
            <a:solidFill>
              <a:schemeClr val="accent1">
                <a:lumMod val="60000"/>
              </a:schemeClr>
            </a:solidFill>
            <a:ln>
              <a:noFill/>
            </a:ln>
            <a:effectLst/>
          </c:spPr>
          <c:invertIfNegative val="0"/>
          <c:cat>
            <c:numRef>
              <c:f>TRANSPORT!$Y$606:$BA$606</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TRANSPORT!$Y$613:$BA$613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7"/>
          <c:order val="7"/>
          <c:tx>
            <c:strRef>
              <c:f>TRANSPORT!$S$613</c:f>
              <c:strCache>
                <c:ptCount val="1"/>
                <c:pt idx="0">
                  <c:v>Freight on road</c:v>
                </c:pt>
              </c:strCache>
            </c:strRef>
          </c:tx>
          <c:spPr>
            <a:solidFill>
              <a:schemeClr val="accent2">
                <a:lumMod val="60000"/>
              </a:schemeClr>
            </a:solidFill>
            <a:ln>
              <a:noFill/>
            </a:ln>
            <a:effectLst/>
          </c:spPr>
          <c:invertIfNegative val="0"/>
          <c:cat>
            <c:numRef>
              <c:f>TRANSPORT!$Y$606:$BA$606</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TRANSPORT!$Y$614:$BA$614</c:f>
              <c:numCache>
                <c:formatCode>0.000</c:formatCode>
                <c:ptCount val="29"/>
                <c:pt idx="0">
                  <c:v>0</c:v>
                </c:pt>
                <c:pt idx="1">
                  <c:v>231.15570036735483</c:v>
                </c:pt>
                <c:pt idx="2">
                  <c:v>234.40262914616093</c:v>
                </c:pt>
                <c:pt idx="3">
                  <c:v>237.69531506316747</c:v>
                </c:pt>
                <c:pt idx="4">
                  <c:v>241.03437306991819</c:v>
                </c:pt>
                <c:pt idx="5">
                  <c:v>244.42042596967494</c:v>
                </c:pt>
                <c:pt idx="6">
                  <c:v>247.854104513338</c:v>
                </c:pt>
                <c:pt idx="7">
                  <c:v>251.33604749649615</c:v>
                </c:pt>
                <c:pt idx="8">
                  <c:v>230.61454022054704</c:v>
                </c:pt>
                <c:pt idx="9">
                  <c:v>215.21353112987475</c:v>
                </c:pt>
                <c:pt idx="10">
                  <c:v>203.52883076769788</c:v>
                </c:pt>
                <c:pt idx="11">
                  <c:v>194.44731613843169</c:v>
                </c:pt>
                <c:pt idx="12">
                  <c:v>187.26172448610686</c:v>
                </c:pt>
                <c:pt idx="13">
                  <c:v>181.50004422182025</c:v>
                </c:pt>
                <c:pt idx="14">
                  <c:v>183.86353900520598</c:v>
                </c:pt>
                <c:pt idx="15">
                  <c:v>186.25797454527753</c:v>
                </c:pt>
                <c:pt idx="16">
                  <c:v>188.68375551495234</c:v>
                </c:pt>
                <c:pt idx="17">
                  <c:v>191.14153024867244</c:v>
                </c:pt>
                <c:pt idx="18">
                  <c:v>193.63148087766419</c:v>
                </c:pt>
                <c:pt idx="19">
                  <c:v>196.15283862656804</c:v>
                </c:pt>
                <c:pt idx="20">
                  <c:v>198.70719311685249</c:v>
                </c:pt>
                <c:pt idx="21">
                  <c:v>201.29497571162133</c:v>
                </c:pt>
                <c:pt idx="22">
                  <c:v>203.91687518638014</c:v>
                </c:pt>
                <c:pt idx="23">
                  <c:v>206.57308794459513</c:v>
                </c:pt>
                <c:pt idx="24">
                  <c:v>209.26381003176041</c:v>
                </c:pt>
                <c:pt idx="25">
                  <c:v>211.98872769992607</c:v>
                </c:pt>
                <c:pt idx="26">
                  <c:v>214.74929379162225</c:v>
                </c:pt>
                <c:pt idx="27">
                  <c:v>217.54597408985049</c:v>
                </c:pt>
                <c:pt idx="28">
                  <c:v>220.37950932069592</c:v>
                </c:pt>
              </c:numCache>
            </c:numRef>
          </c:val>
        </c:ser>
        <c:dLbls>
          <c:showLegendKey val="0"/>
          <c:showVal val="0"/>
          <c:showCatName val="0"/>
          <c:showSerName val="0"/>
          <c:showPercent val="0"/>
          <c:showBubbleSize val="0"/>
        </c:dLbls>
        <c:gapWidth val="10"/>
        <c:overlap val="100"/>
        <c:axId val="614176080"/>
        <c:axId val="614169024"/>
      </c:barChart>
      <c:lineChart>
        <c:grouping val="standard"/>
        <c:varyColors val="0"/>
        <c:ser>
          <c:idx val="8"/>
          <c:order val="8"/>
          <c:tx>
            <c:strRef>
              <c:f>TRANSPORT!$S$615</c:f>
              <c:strCache>
                <c:ptCount val="1"/>
                <c:pt idx="0">
                  <c:v>Baseline total, tCO2e/a</c:v>
                </c:pt>
              </c:strCache>
            </c:strRef>
          </c:tx>
          <c:spPr>
            <a:ln w="28575" cap="rnd">
              <a:solidFill>
                <a:sysClr val="windowText" lastClr="000000"/>
              </a:solidFill>
              <a:prstDash val="sysDash"/>
              <a:round/>
            </a:ln>
            <a:effectLst/>
          </c:spPr>
          <c:marker>
            <c:symbol val="none"/>
          </c:marker>
          <c:val>
            <c:numRef>
              <c:f>TRANSPORT!$Y$615:$BA$615</c:f>
              <c:numCache>
                <c:formatCode>0.000</c:formatCode>
                <c:ptCount val="29"/>
                <c:pt idx="0">
                  <c:v>0</c:v>
                </c:pt>
                <c:pt idx="1">
                  <c:v>180367.52739132344</c:v>
                </c:pt>
                <c:pt idx="2">
                  <c:v>182034.81738604393</c:v>
                </c:pt>
                <c:pt idx="3">
                  <c:v>183648.47773717099</c:v>
                </c:pt>
                <c:pt idx="4">
                  <c:v>185257.28269929008</c:v>
                </c:pt>
                <c:pt idx="5">
                  <c:v>186880.19947410031</c:v>
                </c:pt>
                <c:pt idx="6">
                  <c:v>188517.32988521576</c:v>
                </c:pt>
                <c:pt idx="7">
                  <c:v>190168.77639993452</c:v>
                </c:pt>
                <c:pt idx="8">
                  <c:v>191834.64213316151</c:v>
                </c:pt>
                <c:pt idx="9">
                  <c:v>192611.33104317036</c:v>
                </c:pt>
                <c:pt idx="10">
                  <c:v>193391.31989178321</c:v>
                </c:pt>
                <c:pt idx="11">
                  <c:v>194174.62955647308</c:v>
                </c:pt>
                <c:pt idx="12">
                  <c:v>194958.28900506243</c:v>
                </c:pt>
                <c:pt idx="13">
                  <c:v>195744.52046498415</c:v>
                </c:pt>
                <c:pt idx="14">
                  <c:v>196534.29025549919</c:v>
                </c:pt>
                <c:pt idx="15">
                  <c:v>197327.6085839491</c:v>
                </c:pt>
                <c:pt idx="16">
                  <c:v>198124.48563733537</c:v>
                </c:pt>
                <c:pt idx="17">
                  <c:v>198924.93159624457</c:v>
                </c:pt>
                <c:pt idx="18">
                  <c:v>199728.9566475685</c:v>
                </c:pt>
                <c:pt idx="19">
                  <c:v>200539.48035474308</c:v>
                </c:pt>
                <c:pt idx="20">
                  <c:v>201353.68323026062</c:v>
                </c:pt>
                <c:pt idx="21">
                  <c:v>202171.57279649645</c:v>
                </c:pt>
                <c:pt idx="22">
                  <c:v>202993.15683053678</c:v>
                </c:pt>
                <c:pt idx="23">
                  <c:v>203818.44335913056</c:v>
                </c:pt>
                <c:pt idx="24">
                  <c:v>204643.35918011304</c:v>
                </c:pt>
                <c:pt idx="25">
                  <c:v>205470.93503170542</c:v>
                </c:pt>
                <c:pt idx="26">
                  <c:v>206302.16145016204</c:v>
                </c:pt>
                <c:pt idx="27">
                  <c:v>207137.0492645269</c:v>
                </c:pt>
                <c:pt idx="28">
                  <c:v>207975.60937762336</c:v>
                </c:pt>
              </c:numCache>
            </c:numRef>
          </c:val>
          <c:smooth val="0"/>
        </c:ser>
        <c:dLbls>
          <c:showLegendKey val="0"/>
          <c:showVal val="0"/>
          <c:showCatName val="0"/>
          <c:showSerName val="0"/>
          <c:showPercent val="0"/>
          <c:showBubbleSize val="0"/>
        </c:dLbls>
        <c:marker val="1"/>
        <c:smooth val="0"/>
        <c:axId val="614176080"/>
        <c:axId val="614169024"/>
      </c:lineChart>
      <c:catAx>
        <c:axId val="61417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69024"/>
        <c:crosses val="autoZero"/>
        <c:auto val="1"/>
        <c:lblAlgn val="ctr"/>
        <c:lblOffset val="100"/>
        <c:noMultiLvlLbl val="0"/>
      </c:catAx>
      <c:valAx>
        <c:axId val="61416902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76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204470345164562"/>
          <c:y val="0.107093852379042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71033398257492986"/>
          <c:y val="0.25132271761907526"/>
          <c:w val="0.14856677565815118"/>
          <c:h val="0.62347998948714933"/>
        </c:manualLayout>
      </c:layout>
      <c:pieChart>
        <c:varyColors val="1"/>
        <c:ser>
          <c:idx val="3"/>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TRANSPORT!$B$191:$B$195</c:f>
              <c:strCache>
                <c:ptCount val="5"/>
                <c:pt idx="0">
                  <c:v>Petroleum products</c:v>
                </c:pt>
                <c:pt idx="1">
                  <c:v>LPG</c:v>
                </c:pt>
                <c:pt idx="2">
                  <c:v>Natural gas (CNG)</c:v>
                </c:pt>
                <c:pt idx="3">
                  <c:v>Electricity</c:v>
                </c:pt>
                <c:pt idx="4">
                  <c:v>Diesel</c:v>
                </c:pt>
              </c:strCache>
            </c:strRef>
          </c:cat>
          <c:val>
            <c:numRef>
              <c:f>TRANSPORT!$F$191:$F$195</c:f>
              <c:numCache>
                <c:formatCode>0.0</c:formatCode>
                <c:ptCount val="5"/>
                <c:pt idx="0">
                  <c:v>0.2</c:v>
                </c:pt>
                <c:pt idx="1">
                  <c:v>0</c:v>
                </c:pt>
                <c:pt idx="2">
                  <c:v>0.5</c:v>
                </c:pt>
                <c:pt idx="3">
                  <c:v>1.5799999999999998</c:v>
                </c:pt>
                <c:pt idx="4">
                  <c:v>97.72</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c:ex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c:ext uri="{02D57815-91ED-43cb-92C2-25804820EDAC}">
                        <c15:formulaRef>
                          <c15:sqref>TRANSPORT!$C$191:$C$195</c15:sqref>
                        </c15:formulaRef>
                      </c:ext>
                    </c:extLst>
                    <c:numCache>
                      <c:formatCode>General</c:formatCode>
                      <c:ptCount val="5"/>
                    </c:numCache>
                  </c:numRef>
                </c:val>
              </c15:ser>
            </c15:filteredPieSeries>
            <c15:filteredPieSeries>
              <c15: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TRANSPORT!$D$191:$D$195</c15:sqref>
                        </c15:formulaRef>
                      </c:ext>
                    </c:extLst>
                    <c:numCache>
                      <c:formatCode>General</c:formatCode>
                      <c:ptCount val="5"/>
                    </c:numCache>
                  </c:numRef>
                </c:val>
              </c15:ser>
            </c15:filteredPieSeries>
            <c15:filteredPieSeries>
              <c15:ser>
                <c:idx val="2"/>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TRANSPORT!$E$191:$E$195</c15:sqref>
                        </c15:formulaRef>
                      </c:ext>
                    </c:extLst>
                    <c:numCache>
                      <c:formatCode>General</c:formatCode>
                      <c:ptCount val="5"/>
                    </c:numCache>
                  </c:numRef>
                </c:val>
              </c15:ser>
            </c15:filteredPieSeries>
          </c:ext>
        </c:extLst>
      </c:pieChart>
      <c:spPr>
        <a:noFill/>
        <a:ln>
          <a:noFill/>
        </a:ln>
        <a:effectLst/>
      </c:spPr>
    </c:plotArea>
    <c:legend>
      <c:legendPos val="l"/>
      <c:layout>
        <c:manualLayout>
          <c:xMode val="edge"/>
          <c:yMode val="edge"/>
          <c:x val="8.9227450472887965E-2"/>
          <c:y val="0.21220528747314574"/>
          <c:w val="0.20927455656176822"/>
          <c:h val="0.5827667576868143"/>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3"/>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f>TRANSPORT!$B$182:$B$184</c:f>
              <c:strCache>
                <c:ptCount val="3"/>
                <c:pt idx="0">
                  <c:v>RAIL</c:v>
                </c:pt>
                <c:pt idx="1">
                  <c:v>WATERWAYS</c:v>
                </c:pt>
                <c:pt idx="2">
                  <c:v>ROAD</c:v>
                </c:pt>
              </c:strCache>
            </c:strRef>
          </c:cat>
          <c:val>
            <c:numRef>
              <c:f>TRANSPORT!$F$182:$F$184</c:f>
              <c:numCache>
                <c:formatCode>0.0</c:formatCode>
                <c:ptCount val="3"/>
                <c:pt idx="0">
                  <c:v>41.981043003898904</c:v>
                </c:pt>
                <c:pt idx="1">
                  <c:v>5.8782939599384223</c:v>
                </c:pt>
                <c:pt idx="2">
                  <c:v>52.140663036162671</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c:ext uri="{02D57815-91ED-43cb-92C2-25804820EDAC}">
                        <c15:formulaRef>
                          <c15:sqref>TRANSPORT!$B$182:$B$184</c15:sqref>
                        </c15:formulaRef>
                      </c:ext>
                    </c:extLst>
                    <c:strCache>
                      <c:ptCount val="3"/>
                      <c:pt idx="0">
                        <c:v>RAIL</c:v>
                      </c:pt>
                      <c:pt idx="1">
                        <c:v>WATERWAYS</c:v>
                      </c:pt>
                      <c:pt idx="2">
                        <c:v>ROAD</c:v>
                      </c:pt>
                    </c:strCache>
                  </c:strRef>
                </c:cat>
                <c:val>
                  <c:numRef>
                    <c:extLst>
                      <c:ext uri="{02D57815-91ED-43cb-92C2-25804820EDAC}">
                        <c15:formulaRef>
                          <c15:sqref>TRANSPORT!$C$182:$C$184</c15:sqref>
                        </c15:formulaRef>
                      </c:ext>
                    </c:extLst>
                    <c:numCache>
                      <c:formatCode>General</c:formatCode>
                      <c:ptCount val="3"/>
                    </c:numCache>
                  </c:numRef>
                </c:val>
              </c15:ser>
            </c15:filteredPieSeries>
            <c15:filteredPieSeries>
              <c15: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TRANSPORT!$D$182:$D$184</c15:sqref>
                        </c15:formulaRef>
                      </c:ext>
                    </c:extLst>
                    <c:numCache>
                      <c:formatCode>General</c:formatCode>
                      <c:ptCount val="3"/>
                    </c:numCache>
                  </c:numRef>
                </c:val>
              </c15:ser>
            </c15:filteredPieSeries>
            <c15:filteredPieSeries>
              <c15:ser>
                <c:idx val="2"/>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TRANSPORT!$E$182:$E$184</c15:sqref>
                        </c15:formulaRef>
                      </c:ext>
                    </c:extLst>
                    <c:numCache>
                      <c:formatCode>General</c:formatCode>
                      <c:ptCount val="3"/>
                    </c:numCache>
                  </c:numRef>
                </c:val>
              </c15:ser>
            </c15:filteredPieSeries>
          </c:ext>
        </c:extLst>
      </c:pieChart>
      <c:spPr>
        <a:noFill/>
        <a:ln>
          <a:noFill/>
        </a:ln>
        <a:effectLst/>
      </c:spPr>
    </c:plotArea>
    <c:legend>
      <c:legendPos val="l"/>
      <c:layout>
        <c:manualLayout>
          <c:xMode val="edge"/>
          <c:yMode val="edge"/>
          <c:x val="6.1671471164426284E-2"/>
          <c:y val="0.23171623252365653"/>
          <c:w val="0.12017133859275464"/>
          <c:h val="0.3976998993428652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0</c:v>
                </c:pt>
                <c:pt idx="1">
                  <c:v>180367.52739132344</c:v>
                </c:pt>
                <c:pt idx="2">
                  <c:v>182033.98806182054</c:v>
                </c:pt>
                <c:pt idx="3">
                  <c:v>169984.95683776485</c:v>
                </c:pt>
                <c:pt idx="4">
                  <c:v>157684.78384951304</c:v>
                </c:pt>
                <c:pt idx="5">
                  <c:v>145149.0875214487</c:v>
                </c:pt>
                <c:pt idx="6">
                  <c:v>132374.58747127731</c:v>
                </c:pt>
                <c:pt idx="7">
                  <c:v>119357.97025874579</c:v>
                </c:pt>
                <c:pt idx="8">
                  <c:v>157416.7487155897</c:v>
                </c:pt>
                <c:pt idx="9">
                  <c:v>207369.21038216402</c:v>
                </c:pt>
                <c:pt idx="10">
                  <c:v>256182.78676784493</c:v>
                </c:pt>
                <c:pt idx="11">
                  <c:v>304253.49955028569</c:v>
                </c:pt>
                <c:pt idx="12">
                  <c:v>351826.65044255776</c:v>
                </c:pt>
                <c:pt idx="13">
                  <c:v>399074.51052522135</c:v>
                </c:pt>
                <c:pt idx="14">
                  <c:v>400669.86926899425</c:v>
                </c:pt>
                <c:pt idx="15">
                  <c:v>402272.46213672956</c:v>
                </c:pt>
                <c:pt idx="16">
                  <c:v>403882.29767089704</c:v>
                </c:pt>
                <c:pt idx="17">
                  <c:v>405497.99162402272</c:v>
                </c:pt>
                <c:pt idx="18">
                  <c:v>407120.94222070102</c:v>
                </c:pt>
                <c:pt idx="19">
                  <c:v>408753.25422643125</c:v>
                </c:pt>
                <c:pt idx="20">
                  <c:v>410392.90101973573</c:v>
                </c:pt>
                <c:pt idx="21">
                  <c:v>412039.89296786999</c:v>
                </c:pt>
                <c:pt idx="22">
                  <c:v>413692.83383465756</c:v>
                </c:pt>
                <c:pt idx="23">
                  <c:v>415353.13743825053</c:v>
                </c:pt>
                <c:pt idx="24">
                  <c:v>417017.43283429573</c:v>
                </c:pt>
                <c:pt idx="25">
                  <c:v>418688.98914228834</c:v>
                </c:pt>
                <c:pt idx="26">
                  <c:v>420367.89473451849</c:v>
                </c:pt>
                <c:pt idx="27">
                  <c:v>422054.16567620629</c:v>
                </c:pt>
                <c:pt idx="28">
                  <c:v>423746.39433144539</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0</c:v>
                </c:pt>
                <c:pt idx="1">
                  <c:v>227608.68651562839</c:v>
                </c:pt>
                <c:pt idx="2">
                  <c:v>227021.56615728958</c:v>
                </c:pt>
                <c:pt idx="3">
                  <c:v>226440.31700253417</c:v>
                </c:pt>
                <c:pt idx="4">
                  <c:v>225864.88033932631</c:v>
                </c:pt>
                <c:pt idx="5">
                  <c:v>225295.19804275053</c:v>
                </c:pt>
                <c:pt idx="6">
                  <c:v>224731.21256914048</c:v>
                </c:pt>
                <c:pt idx="7">
                  <c:v>224172.86695026659</c:v>
                </c:pt>
                <c:pt idx="8">
                  <c:v>205003.53809463346</c:v>
                </c:pt>
                <c:pt idx="9">
                  <c:v>190797.80053195285</c:v>
                </c:pt>
                <c:pt idx="10">
                  <c:v>176875.30431408447</c:v>
                </c:pt>
                <c:pt idx="11">
                  <c:v>163220.47116706369</c:v>
                </c:pt>
                <c:pt idx="12">
                  <c:v>149818.57962199385</c:v>
                </c:pt>
                <c:pt idx="13">
                  <c:v>136655.71789076773</c:v>
                </c:pt>
                <c:pt idx="14">
                  <c:v>134387.44535708457</c:v>
                </c:pt>
                <c:pt idx="15">
                  <c:v>132243.92781275403</c:v>
                </c:pt>
                <c:pt idx="16">
                  <c:v>130218.30373336162</c:v>
                </c:pt>
                <c:pt idx="17">
                  <c:v>128304.08897833584</c:v>
                </c:pt>
                <c:pt idx="18">
                  <c:v>126495.15603483646</c:v>
                </c:pt>
                <c:pt idx="19">
                  <c:v>124785.71440322953</c:v>
                </c:pt>
                <c:pt idx="20">
                  <c:v>123170.292061361</c:v>
                </c:pt>
                <c:pt idx="21">
                  <c:v>121643.71794829523</c:v>
                </c:pt>
                <c:pt idx="22">
                  <c:v>120201.10541144812</c:v>
                </c:pt>
                <c:pt idx="23">
                  <c:v>118837.83656412753</c:v>
                </c:pt>
                <c:pt idx="24">
                  <c:v>117549.54750340962</c:v>
                </c:pt>
                <c:pt idx="25">
                  <c:v>116332.11434103119</c:v>
                </c:pt>
                <c:pt idx="26">
                  <c:v>115181.64000258358</c:v>
                </c:pt>
                <c:pt idx="27">
                  <c:v>114094.44175275057</c:v>
                </c:pt>
                <c:pt idx="28">
                  <c:v>113067.03940665837</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-35229.850691366286</c:v>
                </c:pt>
                <c:pt idx="4">
                  <c:v>-35229.850691366286</c:v>
                </c:pt>
                <c:pt idx="5">
                  <c:v>-35229.850691366286</c:v>
                </c:pt>
                <c:pt idx="6">
                  <c:v>-35229.850691366286</c:v>
                </c:pt>
                <c:pt idx="7">
                  <c:v>-35229.850691366286</c:v>
                </c:pt>
                <c:pt idx="8">
                  <c:v>-35229.850691366286</c:v>
                </c:pt>
                <c:pt idx="9">
                  <c:v>-35229.850691366286</c:v>
                </c:pt>
                <c:pt idx="10">
                  <c:v>-35229.850691366286</c:v>
                </c:pt>
                <c:pt idx="11">
                  <c:v>-35229.850691366286</c:v>
                </c:pt>
                <c:pt idx="12">
                  <c:v>-35229.850691366286</c:v>
                </c:pt>
                <c:pt idx="13">
                  <c:v>-35229.850691366286</c:v>
                </c:pt>
                <c:pt idx="14">
                  <c:v>-35229.850691366286</c:v>
                </c:pt>
                <c:pt idx="15">
                  <c:v>-35229.850691366286</c:v>
                </c:pt>
                <c:pt idx="16">
                  <c:v>-35229.850691366286</c:v>
                </c:pt>
                <c:pt idx="17">
                  <c:v>-35229.850691366286</c:v>
                </c:pt>
                <c:pt idx="18">
                  <c:v>-35229.850691366286</c:v>
                </c:pt>
                <c:pt idx="19">
                  <c:v>-35229.850691366286</c:v>
                </c:pt>
                <c:pt idx="20">
                  <c:v>-35229.850691366286</c:v>
                </c:pt>
                <c:pt idx="21">
                  <c:v>-35229.850691366286</c:v>
                </c:pt>
                <c:pt idx="22">
                  <c:v>-35229.850691366286</c:v>
                </c:pt>
                <c:pt idx="23">
                  <c:v>-8805.061101593461</c:v>
                </c:pt>
                <c:pt idx="24">
                  <c:v>-8805.061101593461</c:v>
                </c:pt>
                <c:pt idx="25">
                  <c:v>-8805.061101593461</c:v>
                </c:pt>
                <c:pt idx="26">
                  <c:v>-8805.061101593461</c:v>
                </c:pt>
                <c:pt idx="27">
                  <c:v>-8805.061101593461</c:v>
                </c:pt>
                <c:pt idx="28">
                  <c:v>-8805.061101593461</c:v>
                </c:pt>
              </c:numCache>
            </c:numRef>
          </c:val>
        </c:ser>
        <c:dLbls>
          <c:showLegendKey val="0"/>
          <c:showVal val="0"/>
          <c:showCatName val="0"/>
          <c:showSerName val="0"/>
          <c:showPercent val="0"/>
          <c:showBubbleSize val="0"/>
        </c:dLbls>
        <c:gapWidth val="0"/>
        <c:overlap val="100"/>
        <c:axId val="614169416"/>
        <c:axId val="614176864"/>
      </c:barChart>
      <c:lineChart>
        <c:grouping val="standard"/>
        <c:varyColors val="0"/>
        <c:ser>
          <c:idx val="6"/>
          <c:order val="4"/>
          <c:tx>
            <c:strRef>
              <c:f>RESULTS!$B$13</c:f>
              <c:strCache>
                <c:ptCount val="1"/>
                <c:pt idx="0">
                  <c:v>net balance</c:v>
                </c:pt>
              </c:strCache>
            </c:strRef>
          </c:tx>
          <c:spPr>
            <a:ln w="19050" cap="rnd">
              <a:solidFill>
                <a:sysClr val="windowText" lastClr="000000"/>
              </a:solidFill>
              <a:prstDash val="sysDash"/>
              <a:round/>
            </a:ln>
            <a:effectLst/>
          </c:spPr>
          <c:marker>
            <c:symbol val="none"/>
          </c:marker>
          <c:val>
            <c:numRef>
              <c:f>RESULTS!$C$13:$AE$13</c:f>
              <c:numCache>
                <c:formatCode>#,##0</c:formatCode>
                <c:ptCount val="29"/>
                <c:pt idx="0">
                  <c:v>0</c:v>
                </c:pt>
                <c:pt idx="1">
                  <c:v>407976.21390695183</c:v>
                </c:pt>
                <c:pt idx="2">
                  <c:v>409055.55421911011</c:v>
                </c:pt>
                <c:pt idx="3">
                  <c:v>361195.42314893269</c:v>
                </c:pt>
                <c:pt idx="4">
                  <c:v>348319.81349747308</c:v>
                </c:pt>
                <c:pt idx="5">
                  <c:v>335214.43487283291</c:v>
                </c:pt>
                <c:pt idx="6">
                  <c:v>321875.94934905152</c:v>
                </c:pt>
                <c:pt idx="7">
                  <c:v>308300.98651764606</c:v>
                </c:pt>
                <c:pt idx="8">
                  <c:v>327190.43611885683</c:v>
                </c:pt>
                <c:pt idx="9">
                  <c:v>362937.16022275056</c:v>
                </c:pt>
                <c:pt idx="10">
                  <c:v>397828.24039056309</c:v>
                </c:pt>
                <c:pt idx="11">
                  <c:v>432244.12002598308</c:v>
                </c:pt>
                <c:pt idx="12">
                  <c:v>466415.37937318528</c:v>
                </c:pt>
                <c:pt idx="13">
                  <c:v>500500.37772462278</c:v>
                </c:pt>
                <c:pt idx="14">
                  <c:v>499827.46393471252</c:v>
                </c:pt>
                <c:pt idx="15">
                  <c:v>499286.53925811726</c:v>
                </c:pt>
                <c:pt idx="16">
                  <c:v>498870.75071289233</c:v>
                </c:pt>
                <c:pt idx="17">
                  <c:v>498572.22991099226</c:v>
                </c:pt>
                <c:pt idx="18">
                  <c:v>498386.24756417115</c:v>
                </c:pt>
                <c:pt idx="19">
                  <c:v>498309.11793829448</c:v>
                </c:pt>
                <c:pt idx="20">
                  <c:v>498333.34238973045</c:v>
                </c:pt>
                <c:pt idx="21">
                  <c:v>498453.76022479887</c:v>
                </c:pt>
                <c:pt idx="22">
                  <c:v>498664.08855473943</c:v>
                </c:pt>
                <c:pt idx="23">
                  <c:v>525385.91290078463</c:v>
                </c:pt>
                <c:pt idx="24">
                  <c:v>525761.91923611192</c:v>
                </c:pt>
                <c:pt idx="25">
                  <c:v>526216.04238172609</c:v>
                </c:pt>
                <c:pt idx="26">
                  <c:v>526744.47363550868</c:v>
                </c:pt>
                <c:pt idx="27">
                  <c:v>527343.54632736347</c:v>
                </c:pt>
                <c:pt idx="28">
                  <c:v>528008.37263651029</c:v>
                </c:pt>
              </c:numCache>
            </c:numRef>
          </c:val>
          <c:smooth val="0"/>
        </c:ser>
        <c:dLbls>
          <c:showLegendKey val="0"/>
          <c:showVal val="0"/>
          <c:showCatName val="0"/>
          <c:showSerName val="0"/>
          <c:showPercent val="0"/>
          <c:showBubbleSize val="0"/>
        </c:dLbls>
        <c:marker val="1"/>
        <c:smooth val="0"/>
        <c:axId val="614169416"/>
        <c:axId val="614176864"/>
      </c:lineChart>
      <c:catAx>
        <c:axId val="61416941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14176864"/>
        <c:crosses val="autoZero"/>
        <c:auto val="1"/>
        <c:lblAlgn val="ctr"/>
        <c:lblOffset val="100"/>
        <c:noMultiLvlLbl val="0"/>
      </c:catAx>
      <c:valAx>
        <c:axId val="61417686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69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c:v>
                </c:pt>
                <c:pt idx="1">
                  <c:v>0.92523687759089079</c:v>
                </c:pt>
                <c:pt idx="2">
                  <c:v>0.92914304121062363</c:v>
                </c:pt>
                <c:pt idx="3">
                  <c:v>0.86332795062223444</c:v>
                </c:pt>
                <c:pt idx="4">
                  <c:v>0.79687477624969316</c:v>
                </c:pt>
                <c:pt idx="5">
                  <c:v>0.72987653881694747</c:v>
                </c:pt>
                <c:pt idx="6">
                  <c:v>0.66232994501844922</c:v>
                </c:pt>
                <c:pt idx="7">
                  <c:v>0.59423168389456282</c:v>
                </c:pt>
                <c:pt idx="8">
                  <c:v>0.66929458888081406</c:v>
                </c:pt>
                <c:pt idx="9">
                  <c:v>0.77107844445910156</c:v>
                </c:pt>
                <c:pt idx="10">
                  <c:v>0.84640678085394683</c:v>
                </c:pt>
                <c:pt idx="11">
                  <c:v>0.90441545722702332</c:v>
                </c:pt>
                <c:pt idx="12">
                  <c:v>0.95050263797874834</c:v>
                </c:pt>
                <c:pt idx="13">
                  <c:v>0.98808456455697102</c:v>
                </c:pt>
                <c:pt idx="14">
                  <c:v>0.99005636176714817</c:v>
                </c:pt>
                <c:pt idx="15">
                  <c:v>0.99203325779767237</c:v>
                </c:pt>
                <c:pt idx="16">
                  <c:v>0.99401521402387572</c:v>
                </c:pt>
                <c:pt idx="17">
                  <c:v>0.99600121737256453</c:v>
                </c:pt>
                <c:pt idx="18">
                  <c:v>0.99799221017968576</c:v>
                </c:pt>
                <c:pt idx="19">
                  <c:v>0.9999957290465713</c:v>
                </c:pt>
                <c:pt idx="20">
                  <c:v>1.0020042898922186</c:v>
                </c:pt>
                <c:pt idx="21">
                  <c:v>1.0040178585004789</c:v>
                </c:pt>
                <c:pt idx="22">
                  <c:v>1.0060354266657692</c:v>
                </c:pt>
                <c:pt idx="23">
                  <c:v>1.0080579405975991</c:v>
                </c:pt>
                <c:pt idx="24">
                  <c:v>1.0100796230024409</c:v>
                </c:pt>
                <c:pt idx="25">
                  <c:v>1.0121059201227234</c:v>
                </c:pt>
                <c:pt idx="26">
                  <c:v>1.0141369882716822</c:v>
                </c:pt>
                <c:pt idx="27">
                  <c:v>1.016172808288706</c:v>
                </c:pt>
                <c:pt idx="28">
                  <c:v>1.0182123866895871</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0</c:v>
                </c:pt>
                <c:pt idx="1">
                  <c:v>1.1675713110341968</c:v>
                </c:pt>
                <c:pt idx="2">
                  <c:v>1.158769912397607</c:v>
                </c:pt>
                <c:pt idx="3">
                  <c:v>1.1500562076362233</c:v>
                </c:pt>
                <c:pt idx="4">
                  <c:v>1.1414292589882014</c:v>
                </c:pt>
                <c:pt idx="5">
                  <c:v>1.1328881370695665</c:v>
                </c:pt>
                <c:pt idx="6">
                  <c:v>1.1244319208711036</c:v>
                </c:pt>
                <c:pt idx="7">
                  <c:v>1.1160596977525084</c:v>
                </c:pt>
                <c:pt idx="8">
                  <c:v>0.87162109411913991</c:v>
                </c:pt>
                <c:pt idx="9">
                  <c:v>0.70945957198402898</c:v>
                </c:pt>
                <c:pt idx="10">
                  <c:v>0.58438140526870586</c:v>
                </c:pt>
                <c:pt idx="11">
                  <c:v>0.48518461505805044</c:v>
                </c:pt>
                <c:pt idx="12">
                  <c:v>0.40475317878792766</c:v>
                </c:pt>
                <c:pt idx="13">
                  <c:v>0.33835136533428345</c:v>
                </c:pt>
                <c:pt idx="14">
                  <c:v>0.33207175139014805</c:v>
                </c:pt>
                <c:pt idx="15">
                  <c:v>0.32612317988462236</c:v>
                </c:pt>
                <c:pt idx="16">
                  <c:v>0.32048687402688958</c:v>
                </c:pt>
                <c:pt idx="17">
                  <c:v>0.31514589826819178</c:v>
                </c:pt>
                <c:pt idx="18">
                  <c:v>0.31008274754825821</c:v>
                </c:pt>
                <c:pt idx="19">
                  <c:v>0.30528241710371623</c:v>
                </c:pt>
                <c:pt idx="20">
                  <c:v>0.30072927851845588</c:v>
                </c:pt>
                <c:pt idx="21">
                  <c:v>0.2964093217158642</c:v>
                </c:pt>
                <c:pt idx="22">
                  <c:v>0.29231004377666969</c:v>
                </c:pt>
                <c:pt idx="23">
                  <c:v>0.28841824942207911</c:v>
                </c:pt>
                <c:pt idx="24">
                  <c:v>0.2847228755387099</c:v>
                </c:pt>
                <c:pt idx="25">
                  <c:v>0.28121212804318108</c:v>
                </c:pt>
                <c:pt idx="26">
                  <c:v>0.27787555367467837</c:v>
                </c:pt>
                <c:pt idx="27">
                  <c:v>0.27470329335636018</c:v>
                </c:pt>
                <c:pt idx="28">
                  <c:v>0.27168670126814082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-0.17892709663204392</c:v>
                </c:pt>
                <c:pt idx="4">
                  <c:v>-0.17803733944160971</c:v>
                </c:pt>
                <c:pt idx="5">
                  <c:v>-0.17715193339987473</c:v>
                </c:pt>
                <c:pt idx="6">
                  <c:v>-0.17627088036428279</c:v>
                </c:pt>
                <c:pt idx="7">
                  <c:v>-0.17539418150545047</c:v>
                </c:pt>
                <c:pt idx="8">
                  <c:v>-0.14978805385830785</c:v>
                </c:pt>
                <c:pt idx="9">
                  <c:v>-0.13099812850500972</c:v>
                </c:pt>
                <c:pt idx="10">
                  <c:v>-0.11639651863365266</c:v>
                </c:pt>
                <c:pt idx="11">
                  <c:v>-0.10472327045758671</c:v>
                </c:pt>
                <c:pt idx="12">
                  <c:v>-9.5177741582735245E-2</c:v>
                </c:pt>
                <c:pt idx="13">
                  <c:v>-8.7226998371738348E-2</c:v>
                </c:pt>
                <c:pt idx="14">
                  <c:v>-8.7053059080110615E-2</c:v>
                </c:pt>
                <c:pt idx="15">
                  <c:v>-8.6879383608422844E-2</c:v>
                </c:pt>
                <c:pt idx="16">
                  <c:v>-8.6705972945471443E-2</c:v>
                </c:pt>
                <c:pt idx="17">
                  <c:v>-8.6533040609949471E-2</c:v>
                </c:pt>
                <c:pt idx="18">
                  <c:v>-8.636037331805238E-2</c:v>
                </c:pt>
                <c:pt idx="19">
                  <c:v>-8.6188182875723315E-2</c:v>
                </c:pt>
                <c:pt idx="20">
                  <c:v>-8.6016257682083458E-2</c:v>
                </c:pt>
                <c:pt idx="21">
                  <c:v>-8.5844598666555277E-2</c:v>
                </c:pt>
                <c:pt idx="22">
                  <c:v>-8.5673415087063054E-2</c:v>
                </c:pt>
                <c:pt idx="23">
                  <c:v>-2.1369795869732425E-2</c:v>
                </c:pt>
                <c:pt idx="24">
                  <c:v>-2.132719665353891E-2</c:v>
                </c:pt>
                <c:pt idx="25">
                  <c:v>-2.1284664032414979E-2</c:v>
                </c:pt>
                <c:pt idx="26">
                  <c:v>-2.1242198224385202E-2</c:v>
                </c:pt>
                <c:pt idx="27">
                  <c:v>-2.119979944380939E-2</c:v>
                </c:pt>
                <c:pt idx="28">
                  <c:v>-2.1157518740297671E-2</c:v>
                </c:pt>
              </c:numCache>
            </c:numRef>
          </c:val>
        </c:ser>
        <c:dLbls>
          <c:showLegendKey val="0"/>
          <c:showVal val="0"/>
          <c:showCatName val="0"/>
          <c:showSerName val="0"/>
          <c:showPercent val="0"/>
          <c:showBubbleSize val="0"/>
        </c:dLbls>
        <c:gapWidth val="0"/>
        <c:overlap val="100"/>
        <c:axId val="614181960"/>
        <c:axId val="614182744"/>
      </c:barChart>
      <c:lineChart>
        <c:grouping val="stacked"/>
        <c:varyColors val="0"/>
        <c:ser>
          <c:idx val="6"/>
          <c:order val="4"/>
          <c:tx>
            <c:strRef>
              <c:f>RESULTS!$B$24</c:f>
              <c:strCache>
                <c:ptCount val="1"/>
                <c:pt idx="0">
                  <c:v>net balance</c:v>
                </c:pt>
              </c:strCache>
            </c:strRef>
          </c:tx>
          <c:spPr>
            <a:ln w="19050" cap="rnd">
              <a:solidFill>
                <a:sysClr val="windowText" lastClr="000000"/>
              </a:solidFill>
              <a:prstDash val="sysDash"/>
              <a:round/>
            </a:ln>
            <a:effectLst/>
          </c:spPr>
          <c:marker>
            <c:symbol val="none"/>
          </c:marker>
          <c:val>
            <c:numRef>
              <c:f>RESULTS!$C$24:$AE$24</c:f>
              <c:numCache>
                <c:formatCode>#,##0.000</c:formatCode>
                <c:ptCount val="29"/>
                <c:pt idx="0">
                  <c:v>0</c:v>
                </c:pt>
                <c:pt idx="1">
                  <c:v>2.0928081886250878</c:v>
                </c:pt>
                <c:pt idx="2">
                  <c:v>2.0879129536082308</c:v>
                </c:pt>
                <c:pt idx="3">
                  <c:v>1.8344570616264138</c:v>
                </c:pt>
                <c:pt idx="4">
                  <c:v>1.7602666957962847</c:v>
                </c:pt>
                <c:pt idx="5">
                  <c:v>1.6856127424866392</c:v>
                </c:pt>
                <c:pt idx="6">
                  <c:v>1.61049098552527</c:v>
                </c:pt>
                <c:pt idx="7">
                  <c:v>1.5348972001416206</c:v>
                </c:pt>
                <c:pt idx="8">
                  <c:v>1.3911276291416461</c:v>
                </c:pt>
                <c:pt idx="9">
                  <c:v>1.3495398879381209</c:v>
                </c:pt>
                <c:pt idx="10">
                  <c:v>1.3143916674889999</c:v>
                </c:pt>
                <c:pt idx="11">
                  <c:v>1.284876801827487</c:v>
                </c:pt>
                <c:pt idx="12">
                  <c:v>1.2600780751839407</c:v>
                </c:pt>
                <c:pt idx="13">
                  <c:v>1.2392089315195161</c:v>
                </c:pt>
                <c:pt idx="14">
                  <c:v>1.2350750540771855</c:v>
                </c:pt>
                <c:pt idx="15">
                  <c:v>1.231277054073872</c:v>
                </c:pt>
                <c:pt idx="16">
                  <c:v>1.2277961151052939</c:v>
                </c:pt>
                <c:pt idx="17">
                  <c:v>1.224614075030807</c:v>
                </c:pt>
                <c:pt idx="18">
                  <c:v>1.2217145844098916</c:v>
                </c:pt>
                <c:pt idx="19">
                  <c:v>1.2190899632745642</c:v>
                </c:pt>
                <c:pt idx="20">
                  <c:v>1.2167173107285909</c:v>
                </c:pt>
                <c:pt idx="21">
                  <c:v>1.2145825815497879</c:v>
                </c:pt>
                <c:pt idx="22">
                  <c:v>1.2126720553553758</c:v>
                </c:pt>
                <c:pt idx="23">
                  <c:v>1.2751063941499456</c:v>
                </c:pt>
                <c:pt idx="24">
                  <c:v>1.2734753018876119</c:v>
                </c:pt>
                <c:pt idx="25">
                  <c:v>1.2720333841334894</c:v>
                </c:pt>
                <c:pt idx="26">
                  <c:v>1.2707703437219755</c:v>
                </c:pt>
                <c:pt idx="27">
                  <c:v>1.2696763022012569</c:v>
                </c:pt>
                <c:pt idx="28">
                  <c:v>1.2687415692174302</c:v>
                </c:pt>
              </c:numCache>
            </c:numRef>
          </c:val>
          <c:smooth val="0"/>
        </c:ser>
        <c:dLbls>
          <c:showLegendKey val="0"/>
          <c:showVal val="0"/>
          <c:showCatName val="0"/>
          <c:showSerName val="0"/>
          <c:showPercent val="0"/>
          <c:showBubbleSize val="0"/>
        </c:dLbls>
        <c:marker val="1"/>
        <c:smooth val="0"/>
        <c:axId val="614181960"/>
        <c:axId val="614182744"/>
      </c:lineChart>
      <c:catAx>
        <c:axId val="61418196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614182744"/>
        <c:crosses val="autoZero"/>
        <c:auto val="1"/>
        <c:lblAlgn val="ctr"/>
        <c:lblOffset val="100"/>
        <c:noMultiLvlLbl val="0"/>
      </c:catAx>
      <c:valAx>
        <c:axId val="614182744"/>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81960"/>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LAND</a:t>
            </a:r>
            <a:r>
              <a:rPr lang="et-EE" sz="1100" baseline="0"/>
              <a:t> USE </a:t>
            </a:r>
            <a:r>
              <a:rPr lang="en-US" sz="1100"/>
              <a:t>BA</a:t>
            </a:r>
            <a:r>
              <a:rPr lang="et-EE" sz="1100"/>
              <a:t>SELINE</a:t>
            </a:r>
            <a:endParaRPr lang="en-US" sz="1100"/>
          </a:p>
        </c:rich>
      </c:tx>
      <c:layout>
        <c:manualLayout>
          <c:xMode val="edge"/>
          <c:yMode val="edge"/>
          <c:x val="0.50946964933500705"/>
          <c:y val="4.8435918178470469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156804152943486"/>
          <c:y val="0.15975606244340707"/>
          <c:w val="0.5376008644163256"/>
          <c:h val="0.66217968907732683"/>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'LAND USE CHANGE'!$B$17:$B$22</c:f>
              <c:strCache>
                <c:ptCount val="6"/>
                <c:pt idx="0">
                  <c:v>Forestland</c:v>
                </c:pt>
                <c:pt idx="1">
                  <c:v>Cropland</c:v>
                </c:pt>
                <c:pt idx="2">
                  <c:v>Grassland</c:v>
                </c:pt>
                <c:pt idx="3">
                  <c:v>Wetland</c:v>
                </c:pt>
                <c:pt idx="4">
                  <c:v>Settlements</c:v>
                </c:pt>
                <c:pt idx="5">
                  <c:v>Other land</c:v>
                </c:pt>
              </c:strCache>
            </c:strRef>
          </c:cat>
          <c:val>
            <c:numRef>
              <c:f>'LAND USE CHANGE'!$C$17:$C$22</c:f>
              <c:numCache>
                <c:formatCode>0.000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3.068400980264206E-4"/>
          <c:y val="0.25440065079878038"/>
          <c:w val="0.32451734391926773"/>
          <c:h val="0.607506183228333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LAND USE BASELINE (tCO2/capita,a)</a:t>
            </a:r>
            <a:endParaRPr lang="en-US"/>
          </a:p>
        </c:rich>
      </c:tx>
      <c:layout>
        <c:manualLayout>
          <c:xMode val="edge"/>
          <c:yMode val="edge"/>
          <c:x val="0.3010338850817695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'LAND USE CHANGE'!$O$10</c:f>
              <c:strCache>
                <c:ptCount val="1"/>
                <c:pt idx="0">
                  <c:v>Forestland</c:v>
                </c:pt>
              </c:strCache>
            </c:strRef>
          </c:tx>
          <c:spPr>
            <a:solidFill>
              <a:schemeClr val="accent1"/>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CHANGE'!$P$10:$AS$10</c:f>
              <c:numCache>
                <c:formatCode>0</c:formatCode>
                <c:ptCount val="3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1"/>
          <c:order val="1"/>
          <c:tx>
            <c:strRef>
              <c:f>'LAND USE CHANGE'!$O$11</c:f>
              <c:strCache>
                <c:ptCount val="1"/>
                <c:pt idx="0">
                  <c:v>Cropland</c:v>
                </c:pt>
              </c:strCache>
            </c:strRef>
          </c:tx>
          <c:spPr>
            <a:solidFill>
              <a:schemeClr val="accent2"/>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CHANGE'!$P$11:$AS$11</c:f>
              <c:numCache>
                <c:formatCode>0</c:formatCode>
                <c:ptCount val="3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strRef>
              <c:f>'LAND USE CHANGE'!$O$12</c:f>
              <c:strCache>
                <c:ptCount val="1"/>
                <c:pt idx="0">
                  <c:v>Grassland</c:v>
                </c:pt>
              </c:strCache>
            </c:strRef>
          </c:tx>
          <c:spPr>
            <a:solidFill>
              <a:schemeClr val="accent3"/>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CHANGE'!$P$12:$AS$12</c:f>
              <c:numCache>
                <c:formatCode>0</c:formatCode>
                <c:ptCount val="3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3"/>
          <c:order val="3"/>
          <c:tx>
            <c:strRef>
              <c:f>'LAND USE CHANGE'!$O$13</c:f>
              <c:strCache>
                <c:ptCount val="1"/>
                <c:pt idx="0">
                  <c:v>Wetland</c:v>
                </c:pt>
              </c:strCache>
            </c:strRef>
          </c:tx>
          <c:spPr>
            <a:solidFill>
              <a:schemeClr val="accent4"/>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CHANGE'!$P$13:$AS$13</c:f>
              <c:numCache>
                <c:formatCode>0</c:formatCode>
                <c:ptCount val="3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4"/>
          <c:order val="4"/>
          <c:tx>
            <c:strRef>
              <c:f>'LAND USE CHANGE'!$O$14</c:f>
              <c:strCache>
                <c:ptCount val="1"/>
                <c:pt idx="0">
                  <c:v>Settlements</c:v>
                </c:pt>
              </c:strCache>
            </c:strRef>
          </c:tx>
          <c:spPr>
            <a:solidFill>
              <a:schemeClr val="accent5"/>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CHANGE'!$P$14:$AS$14</c:f>
              <c:numCache>
                <c:formatCode>0</c:formatCode>
                <c:ptCount val="3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5"/>
          <c:order val="5"/>
          <c:tx>
            <c:strRef>
              <c:f>'LAND USE CHANGE'!$O$15</c:f>
              <c:strCache>
                <c:ptCount val="1"/>
                <c:pt idx="0">
                  <c:v>Other land</c:v>
                </c:pt>
              </c:strCache>
            </c:strRef>
          </c:tx>
          <c:spPr>
            <a:solidFill>
              <a:schemeClr val="accent6"/>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CHANGE'!$P$15:$AS$15</c:f>
              <c:numCache>
                <c:formatCode>0</c:formatCode>
                <c:ptCount val="3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6"/>
          <c:order val="6"/>
          <c:tx>
            <c:strRef>
              <c:f>'LAND USE CHANGE'!$O$16</c:f>
              <c:strCache>
                <c:ptCount val="1"/>
                <c:pt idx="0">
                  <c:v>Total</c:v>
                </c:pt>
              </c:strCache>
            </c:strRef>
          </c:tx>
          <c:spPr>
            <a:solidFill>
              <a:schemeClr val="accent1">
                <a:lumMod val="60000"/>
              </a:schemeClr>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CHANGE'!$P$16:$AS$16</c:f>
              <c:numCache>
                <c:formatCode>0</c:formatCode>
                <c:ptCount val="3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4"/>
        <c:overlap val="100"/>
        <c:axId val="627872144"/>
        <c:axId val="627875280"/>
      </c:barChart>
      <c:catAx>
        <c:axId val="62787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875280"/>
        <c:crosses val="autoZero"/>
        <c:auto val="1"/>
        <c:lblAlgn val="ctr"/>
        <c:lblOffset val="100"/>
        <c:noMultiLvlLbl val="0"/>
      </c:catAx>
      <c:valAx>
        <c:axId val="62787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87214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LAND USE CHANGE (tCO2/a)</a:t>
            </a:r>
            <a:endParaRPr lang="en-US"/>
          </a:p>
        </c:rich>
      </c:tx>
      <c:layout>
        <c:manualLayout>
          <c:xMode val="edge"/>
          <c:yMode val="edge"/>
          <c:x val="0.32913879576934069"/>
          <c:y val="3.3039051936689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30"/>
          <c:order val="0"/>
          <c:spPr>
            <a:solidFill>
              <a:schemeClr val="accent1">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CHANGE'!$Q$69:$AS$69</c:f>
              <c:numCache>
                <c:formatCode>0.0</c:formatCode>
                <c:ptCount val="29"/>
                <c:pt idx="0">
                  <c:v>0</c:v>
                </c:pt>
                <c:pt idx="1">
                  <c:v>0</c:v>
                </c:pt>
                <c:pt idx="2">
                  <c:v>0</c:v>
                </c:pt>
                <c:pt idx="3">
                  <c:v>-18657.084688751667</c:v>
                </c:pt>
                <c:pt idx="4">
                  <c:v>-18657.084688751667</c:v>
                </c:pt>
                <c:pt idx="5">
                  <c:v>-18657.084688751667</c:v>
                </c:pt>
                <c:pt idx="6">
                  <c:v>-18657.084688751667</c:v>
                </c:pt>
                <c:pt idx="7">
                  <c:v>-18657.084688751667</c:v>
                </c:pt>
                <c:pt idx="8">
                  <c:v>-18657.084688751667</c:v>
                </c:pt>
                <c:pt idx="9">
                  <c:v>-18657.084688751667</c:v>
                </c:pt>
                <c:pt idx="10">
                  <c:v>-18657.084688751667</c:v>
                </c:pt>
                <c:pt idx="11">
                  <c:v>-18657.084688751667</c:v>
                </c:pt>
                <c:pt idx="12">
                  <c:v>-18657.084688751667</c:v>
                </c:pt>
                <c:pt idx="13">
                  <c:v>-18657.084688751667</c:v>
                </c:pt>
                <c:pt idx="14">
                  <c:v>-18657.084688751667</c:v>
                </c:pt>
                <c:pt idx="15">
                  <c:v>-18657.084688751667</c:v>
                </c:pt>
                <c:pt idx="16">
                  <c:v>-18657.084688751667</c:v>
                </c:pt>
                <c:pt idx="17">
                  <c:v>-18657.084688751667</c:v>
                </c:pt>
                <c:pt idx="18">
                  <c:v>-18657.084688751667</c:v>
                </c:pt>
                <c:pt idx="19">
                  <c:v>-18657.084688751667</c:v>
                </c:pt>
                <c:pt idx="20">
                  <c:v>-18657.084688751667</c:v>
                </c:pt>
                <c:pt idx="21">
                  <c:v>-18657.084688751667</c:v>
                </c:pt>
                <c:pt idx="22">
                  <c:v>-18657.084688751667</c:v>
                </c:pt>
                <c:pt idx="23">
                  <c:v>-4891.7006119963671</c:v>
                </c:pt>
                <c:pt idx="24">
                  <c:v>-4891.7006119963671</c:v>
                </c:pt>
                <c:pt idx="25">
                  <c:v>-4891.7006119963671</c:v>
                </c:pt>
                <c:pt idx="26">
                  <c:v>-4891.7006119963671</c:v>
                </c:pt>
                <c:pt idx="27">
                  <c:v>-4891.7006119963671</c:v>
                </c:pt>
                <c:pt idx="28">
                  <c:v>-4891.7006119963671</c:v>
                </c:pt>
              </c:numCache>
            </c:numRef>
          </c:val>
        </c:ser>
        <c:ser>
          <c:idx val="31"/>
          <c:order val="1"/>
          <c:spPr>
            <a:solidFill>
              <a:schemeClr val="accent2">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CHANGE'!$Q$70:$AS$70</c:f>
              <c:numCache>
                <c:formatCode>0.0</c:formatCode>
                <c:ptCount val="29"/>
                <c:pt idx="0">
                  <c:v>0</c:v>
                </c:pt>
                <c:pt idx="1">
                  <c:v>0</c:v>
                </c:pt>
                <c:pt idx="2">
                  <c:v>0</c:v>
                </c:pt>
                <c:pt idx="3">
                  <c:v>-5727.1473601260959</c:v>
                </c:pt>
                <c:pt idx="4">
                  <c:v>-5727.1473601260959</c:v>
                </c:pt>
                <c:pt idx="5">
                  <c:v>-5727.1473601260959</c:v>
                </c:pt>
                <c:pt idx="6">
                  <c:v>-5727.1473601260959</c:v>
                </c:pt>
                <c:pt idx="7">
                  <c:v>-5727.1473601260959</c:v>
                </c:pt>
                <c:pt idx="8">
                  <c:v>-5727.1473601260959</c:v>
                </c:pt>
                <c:pt idx="9">
                  <c:v>-5727.1473601260959</c:v>
                </c:pt>
                <c:pt idx="10">
                  <c:v>-5727.1473601260959</c:v>
                </c:pt>
                <c:pt idx="11">
                  <c:v>-5727.1473601260959</c:v>
                </c:pt>
                <c:pt idx="12">
                  <c:v>-5727.1473601260959</c:v>
                </c:pt>
                <c:pt idx="13">
                  <c:v>-5727.1473601260959</c:v>
                </c:pt>
                <c:pt idx="14">
                  <c:v>-5727.1473601260959</c:v>
                </c:pt>
                <c:pt idx="15">
                  <c:v>-5727.1473601260959</c:v>
                </c:pt>
                <c:pt idx="16">
                  <c:v>-5727.1473601260959</c:v>
                </c:pt>
                <c:pt idx="17">
                  <c:v>-5727.1473601260959</c:v>
                </c:pt>
                <c:pt idx="18">
                  <c:v>-5727.1473601260959</c:v>
                </c:pt>
                <c:pt idx="19">
                  <c:v>-5727.1473601260959</c:v>
                </c:pt>
                <c:pt idx="20">
                  <c:v>-5727.1473601260959</c:v>
                </c:pt>
                <c:pt idx="21">
                  <c:v>-5727.1473601260959</c:v>
                </c:pt>
                <c:pt idx="22">
                  <c:v>-5727.1473601260959</c:v>
                </c:pt>
                <c:pt idx="23">
                  <c:v>-978.34012239927335</c:v>
                </c:pt>
                <c:pt idx="24">
                  <c:v>-978.34012239927335</c:v>
                </c:pt>
                <c:pt idx="25">
                  <c:v>-978.34012239927335</c:v>
                </c:pt>
                <c:pt idx="26">
                  <c:v>-978.34012239927335</c:v>
                </c:pt>
                <c:pt idx="27">
                  <c:v>-978.34012239927335</c:v>
                </c:pt>
                <c:pt idx="28">
                  <c:v>-978.34012239927335</c:v>
                </c:pt>
              </c:numCache>
            </c:numRef>
          </c:val>
        </c:ser>
        <c:ser>
          <c:idx val="32"/>
          <c:order val="2"/>
          <c:spPr>
            <a:solidFill>
              <a:schemeClr val="accent3">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CHANGE'!$Q$71:$AS$71</c:f>
              <c:numCache>
                <c:formatCode>0.0</c:formatCode>
                <c:ptCount val="29"/>
                <c:pt idx="0">
                  <c:v>0</c:v>
                </c:pt>
                <c:pt idx="1">
                  <c:v>0</c:v>
                </c:pt>
                <c:pt idx="2">
                  <c:v>0</c:v>
                </c:pt>
                <c:pt idx="3">
                  <c:v>-2270.57917973744</c:v>
                </c:pt>
                <c:pt idx="4">
                  <c:v>-2270.57917973744</c:v>
                </c:pt>
                <c:pt idx="5">
                  <c:v>-2270.57917973744</c:v>
                </c:pt>
                <c:pt idx="6">
                  <c:v>-2270.57917973744</c:v>
                </c:pt>
                <c:pt idx="7">
                  <c:v>-2270.57917973744</c:v>
                </c:pt>
                <c:pt idx="8">
                  <c:v>-2270.57917973744</c:v>
                </c:pt>
                <c:pt idx="9">
                  <c:v>-2270.57917973744</c:v>
                </c:pt>
                <c:pt idx="10">
                  <c:v>-2270.57917973744</c:v>
                </c:pt>
                <c:pt idx="11">
                  <c:v>-2270.57917973744</c:v>
                </c:pt>
                <c:pt idx="12">
                  <c:v>-2270.57917973744</c:v>
                </c:pt>
                <c:pt idx="13">
                  <c:v>-2270.57917973744</c:v>
                </c:pt>
                <c:pt idx="14">
                  <c:v>-2270.57917973744</c:v>
                </c:pt>
                <c:pt idx="15">
                  <c:v>-2270.57917973744</c:v>
                </c:pt>
                <c:pt idx="16">
                  <c:v>-2270.57917973744</c:v>
                </c:pt>
                <c:pt idx="17">
                  <c:v>-2270.57917973744</c:v>
                </c:pt>
                <c:pt idx="18">
                  <c:v>-2270.57917973744</c:v>
                </c:pt>
                <c:pt idx="19">
                  <c:v>-2270.57917973744</c:v>
                </c:pt>
                <c:pt idx="20">
                  <c:v>-2270.57917973744</c:v>
                </c:pt>
                <c:pt idx="21">
                  <c:v>-2270.57917973744</c:v>
                </c:pt>
                <c:pt idx="22">
                  <c:v>-2270.57917973744</c:v>
                </c:pt>
                <c:pt idx="23">
                  <c:v>-978.34012239927335</c:v>
                </c:pt>
                <c:pt idx="24">
                  <c:v>-978.34012239927335</c:v>
                </c:pt>
                <c:pt idx="25">
                  <c:v>-978.34012239927335</c:v>
                </c:pt>
                <c:pt idx="26">
                  <c:v>-978.34012239927335</c:v>
                </c:pt>
                <c:pt idx="27">
                  <c:v>-978.34012239927335</c:v>
                </c:pt>
                <c:pt idx="28">
                  <c:v>-978.34012239927335</c:v>
                </c:pt>
              </c:numCache>
            </c:numRef>
          </c:val>
        </c:ser>
        <c:ser>
          <c:idx val="33"/>
          <c:order val="3"/>
          <c:spPr>
            <a:solidFill>
              <a:schemeClr val="accent4">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CHANGE'!$Q$72:$AS$72</c:f>
              <c:numCache>
                <c:formatCode>0.0</c:formatCode>
                <c:ptCount val="29"/>
                <c:pt idx="0">
                  <c:v>0</c:v>
                </c:pt>
                <c:pt idx="1">
                  <c:v>0</c:v>
                </c:pt>
                <c:pt idx="2">
                  <c:v>0</c:v>
                </c:pt>
                <c:pt idx="3">
                  <c:v>-3476.7418240909933</c:v>
                </c:pt>
                <c:pt idx="4">
                  <c:v>-3476.7418240909933</c:v>
                </c:pt>
                <c:pt idx="5">
                  <c:v>-3476.7418240909933</c:v>
                </c:pt>
                <c:pt idx="6">
                  <c:v>-3476.7418240909933</c:v>
                </c:pt>
                <c:pt idx="7">
                  <c:v>-3476.7418240909933</c:v>
                </c:pt>
                <c:pt idx="8">
                  <c:v>-3476.7418240909933</c:v>
                </c:pt>
                <c:pt idx="9">
                  <c:v>-3476.7418240909933</c:v>
                </c:pt>
                <c:pt idx="10">
                  <c:v>-3476.7418240909933</c:v>
                </c:pt>
                <c:pt idx="11">
                  <c:v>-3476.7418240909933</c:v>
                </c:pt>
                <c:pt idx="12">
                  <c:v>-3476.7418240909933</c:v>
                </c:pt>
                <c:pt idx="13">
                  <c:v>-3476.7418240909933</c:v>
                </c:pt>
                <c:pt idx="14">
                  <c:v>-3476.7418240909933</c:v>
                </c:pt>
                <c:pt idx="15">
                  <c:v>-3476.7418240909933</c:v>
                </c:pt>
                <c:pt idx="16">
                  <c:v>-3476.7418240909933</c:v>
                </c:pt>
                <c:pt idx="17">
                  <c:v>-3476.7418240909933</c:v>
                </c:pt>
                <c:pt idx="18">
                  <c:v>-3476.7418240909933</c:v>
                </c:pt>
                <c:pt idx="19">
                  <c:v>-3476.7418240909933</c:v>
                </c:pt>
                <c:pt idx="20">
                  <c:v>-3476.7418240909933</c:v>
                </c:pt>
                <c:pt idx="21">
                  <c:v>-3476.7418240909933</c:v>
                </c:pt>
                <c:pt idx="22">
                  <c:v>-3476.7418240909933</c:v>
                </c:pt>
                <c:pt idx="23">
                  <c:v>-978.34012239927335</c:v>
                </c:pt>
                <c:pt idx="24">
                  <c:v>-978.34012239927335</c:v>
                </c:pt>
                <c:pt idx="25">
                  <c:v>-978.34012239927335</c:v>
                </c:pt>
                <c:pt idx="26">
                  <c:v>-978.34012239927335</c:v>
                </c:pt>
                <c:pt idx="27">
                  <c:v>-978.34012239927335</c:v>
                </c:pt>
                <c:pt idx="28">
                  <c:v>-978.34012239927335</c:v>
                </c:pt>
              </c:numCache>
            </c:numRef>
          </c:val>
        </c:ser>
        <c:ser>
          <c:idx val="34"/>
          <c:order val="4"/>
          <c:spPr>
            <a:solidFill>
              <a:schemeClr val="accent5">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CHANGE'!$Q$73:$AS$73</c:f>
              <c:numCache>
                <c:formatCode>0.0</c:formatCode>
                <c:ptCount val="29"/>
                <c:pt idx="0">
                  <c:v>0</c:v>
                </c:pt>
                <c:pt idx="1">
                  <c:v>0</c:v>
                </c:pt>
                <c:pt idx="2">
                  <c:v>0</c:v>
                </c:pt>
                <c:pt idx="3">
                  <c:v>-5098.2976386600867</c:v>
                </c:pt>
                <c:pt idx="4">
                  <c:v>-5098.2976386600867</c:v>
                </c:pt>
                <c:pt idx="5">
                  <c:v>-5098.2976386600867</c:v>
                </c:pt>
                <c:pt idx="6">
                  <c:v>-5098.2976386600867</c:v>
                </c:pt>
                <c:pt idx="7">
                  <c:v>-5098.2976386600867</c:v>
                </c:pt>
                <c:pt idx="8">
                  <c:v>-5098.2976386600867</c:v>
                </c:pt>
                <c:pt idx="9">
                  <c:v>-5098.2976386600867</c:v>
                </c:pt>
                <c:pt idx="10">
                  <c:v>-5098.2976386600867</c:v>
                </c:pt>
                <c:pt idx="11">
                  <c:v>-5098.2976386600867</c:v>
                </c:pt>
                <c:pt idx="12">
                  <c:v>-5098.2976386600867</c:v>
                </c:pt>
                <c:pt idx="13">
                  <c:v>-5098.2976386600867</c:v>
                </c:pt>
                <c:pt idx="14">
                  <c:v>-5098.2976386600867</c:v>
                </c:pt>
                <c:pt idx="15">
                  <c:v>-5098.2976386600867</c:v>
                </c:pt>
                <c:pt idx="16">
                  <c:v>-5098.2976386600867</c:v>
                </c:pt>
                <c:pt idx="17">
                  <c:v>-5098.2976386600867</c:v>
                </c:pt>
                <c:pt idx="18">
                  <c:v>-5098.2976386600867</c:v>
                </c:pt>
                <c:pt idx="19">
                  <c:v>-5098.2976386600867</c:v>
                </c:pt>
                <c:pt idx="20">
                  <c:v>-5098.2976386600867</c:v>
                </c:pt>
                <c:pt idx="21">
                  <c:v>-5098.2976386600867</c:v>
                </c:pt>
                <c:pt idx="22">
                  <c:v>-5098.2976386600867</c:v>
                </c:pt>
                <c:pt idx="23">
                  <c:v>-978.34012239927335</c:v>
                </c:pt>
                <c:pt idx="24">
                  <c:v>-978.34012239927335</c:v>
                </c:pt>
                <c:pt idx="25">
                  <c:v>-978.34012239927335</c:v>
                </c:pt>
                <c:pt idx="26">
                  <c:v>-978.34012239927335</c:v>
                </c:pt>
                <c:pt idx="27">
                  <c:v>-978.34012239927335</c:v>
                </c:pt>
                <c:pt idx="28">
                  <c:v>-978.34012239927335</c:v>
                </c:pt>
              </c:numCache>
            </c:numRef>
          </c:val>
        </c:ser>
        <c:ser>
          <c:idx val="35"/>
          <c:order val="5"/>
          <c:spPr>
            <a:solidFill>
              <a:schemeClr val="accent6">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CHANGE'!$Q$74:$AS$74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6"/>
          <c:order val="6"/>
          <c:spPr>
            <a:solidFill>
              <a:schemeClr val="accent1">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CHANGE'!$Q$75:$AS$75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7"/>
          <c:order val="7"/>
          <c:spPr>
            <a:solidFill>
              <a:schemeClr val="accent2">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CHANGE'!$Q$76:$AS$76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8"/>
          <c:order val="8"/>
          <c:spPr>
            <a:solidFill>
              <a:schemeClr val="accent3">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CHANGE'!$Q$77:$AS$77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9"/>
          <c:order val="9"/>
          <c:spPr>
            <a:solidFill>
              <a:schemeClr val="accent4">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CHANGE'!$Q$78:$AS$78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0"/>
          <c:order val="10"/>
          <c:spPr>
            <a:solidFill>
              <a:schemeClr val="accent5">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CHANGE'!$Q$79:$AS$79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1"/>
          <c:order val="11"/>
          <c:spPr>
            <a:solidFill>
              <a:schemeClr val="accent6">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CHANGE'!$Q$80:$AS$80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2"/>
          <c:order val="12"/>
          <c:spPr>
            <a:solidFill>
              <a:schemeClr val="accent1">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CHANGE'!$Q$81:$AS$81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3"/>
          <c:order val="13"/>
          <c:spPr>
            <a:solidFill>
              <a:schemeClr val="accent2">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CHANGE'!$Q$82:$AS$82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4"/>
          <c:order val="14"/>
          <c:spPr>
            <a:solidFill>
              <a:schemeClr val="accent3">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CHANGE'!$Q$83:$AS$83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5"/>
          <c:order val="15"/>
          <c:spPr>
            <a:solidFill>
              <a:schemeClr val="accent4">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CHANGE'!$Q$84:$AS$84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6"/>
          <c:order val="16"/>
          <c:spPr>
            <a:solidFill>
              <a:schemeClr val="accent5">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CHANGE'!$Q$85:$AS$85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7"/>
          <c:order val="17"/>
          <c:spPr>
            <a:solidFill>
              <a:schemeClr val="accent6">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CHANGE'!$Q$86:$AS$86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8"/>
          <c:order val="18"/>
          <c:spPr>
            <a:solidFill>
              <a:schemeClr val="accent1">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CHANGE'!$Q$87:$AS$87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9"/>
          <c:order val="19"/>
          <c:spPr>
            <a:solidFill>
              <a:schemeClr val="accent2">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CHANGE'!$Q$88:$AS$88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0"/>
          <c:order val="20"/>
          <c:spPr>
            <a:solidFill>
              <a:schemeClr val="accent3">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CHANGE'!$Q$89:$AS$89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1"/>
          <c:order val="21"/>
          <c:spPr>
            <a:solidFill>
              <a:schemeClr val="accent4">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CHANGE'!$Q$90:$AS$90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2"/>
          <c:order val="22"/>
          <c:spPr>
            <a:solidFill>
              <a:schemeClr val="accent5">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CHANGE'!$Q$91:$AS$91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3"/>
          <c:order val="23"/>
          <c:spPr>
            <a:solidFill>
              <a:schemeClr val="accent6">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CHANGE'!$Q$92:$AS$92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4"/>
          <c:order val="24"/>
          <c:spPr>
            <a:solidFill>
              <a:schemeClr val="accent1"/>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CHANGE'!$Q$93:$AS$93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5"/>
          <c:order val="25"/>
          <c:spPr>
            <a:solidFill>
              <a:schemeClr val="accent2"/>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CHANGE'!$Q$94:$AS$94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6"/>
          <c:order val="26"/>
          <c:spPr>
            <a:solidFill>
              <a:schemeClr val="accent3"/>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CHANGE'!$Q$95:$AS$95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7"/>
          <c:order val="27"/>
          <c:spPr>
            <a:solidFill>
              <a:schemeClr val="accent4"/>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CHANGE'!$Q$96:$AS$96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8"/>
          <c:order val="28"/>
          <c:spPr>
            <a:solidFill>
              <a:schemeClr val="accent5"/>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CHANGE'!$Q$97:$AS$97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9"/>
          <c:order val="29"/>
          <c:spPr>
            <a:solidFill>
              <a:schemeClr val="accent6"/>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CHANGE'!$Q$98:$AS$98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4"/>
        <c:overlap val="100"/>
        <c:axId val="627869008"/>
        <c:axId val="627869400"/>
      </c:barChart>
      <c:catAx>
        <c:axId val="62786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869400"/>
        <c:crosses val="autoZero"/>
        <c:auto val="1"/>
        <c:lblAlgn val="ctr"/>
        <c:lblOffset val="100"/>
        <c:noMultiLvlLbl val="0"/>
      </c:catAx>
      <c:valAx>
        <c:axId val="6278694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86900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0</c:v>
                </c:pt>
                <c:pt idx="1">
                  <c:v>180367.52739132344</c:v>
                </c:pt>
                <c:pt idx="2">
                  <c:v>182033.98806182054</c:v>
                </c:pt>
                <c:pt idx="3">
                  <c:v>169984.95683776485</c:v>
                </c:pt>
                <c:pt idx="4">
                  <c:v>157684.78384951304</c:v>
                </c:pt>
                <c:pt idx="5">
                  <c:v>145149.0875214487</c:v>
                </c:pt>
                <c:pt idx="6">
                  <c:v>132374.58747127731</c:v>
                </c:pt>
                <c:pt idx="7">
                  <c:v>119357.97025874579</c:v>
                </c:pt>
                <c:pt idx="8">
                  <c:v>157416.7487155897</c:v>
                </c:pt>
                <c:pt idx="9">
                  <c:v>207369.21038216402</c:v>
                </c:pt>
                <c:pt idx="10">
                  <c:v>256182.78676784493</c:v>
                </c:pt>
                <c:pt idx="11">
                  <c:v>304253.49955028569</c:v>
                </c:pt>
                <c:pt idx="12">
                  <c:v>351826.65044255776</c:v>
                </c:pt>
                <c:pt idx="13">
                  <c:v>399074.51052522135</c:v>
                </c:pt>
                <c:pt idx="14">
                  <c:v>400669.86926899425</c:v>
                </c:pt>
                <c:pt idx="15">
                  <c:v>402272.46213672956</c:v>
                </c:pt>
                <c:pt idx="16">
                  <c:v>403882.29767089704</c:v>
                </c:pt>
                <c:pt idx="17">
                  <c:v>405497.99162402272</c:v>
                </c:pt>
                <c:pt idx="18">
                  <c:v>407120.94222070102</c:v>
                </c:pt>
                <c:pt idx="19">
                  <c:v>408753.25422643125</c:v>
                </c:pt>
                <c:pt idx="20">
                  <c:v>410392.90101973573</c:v>
                </c:pt>
                <c:pt idx="21">
                  <c:v>412039.89296786999</c:v>
                </c:pt>
                <c:pt idx="22">
                  <c:v>413692.83383465756</c:v>
                </c:pt>
                <c:pt idx="23">
                  <c:v>415353.13743825053</c:v>
                </c:pt>
                <c:pt idx="24">
                  <c:v>417017.43283429573</c:v>
                </c:pt>
                <c:pt idx="25">
                  <c:v>418688.98914228834</c:v>
                </c:pt>
                <c:pt idx="26">
                  <c:v>420367.89473451849</c:v>
                </c:pt>
                <c:pt idx="27">
                  <c:v>422054.16567620629</c:v>
                </c:pt>
                <c:pt idx="28">
                  <c:v>423746.39433144539</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0</c:v>
                </c:pt>
                <c:pt idx="1">
                  <c:v>227608.68651562839</c:v>
                </c:pt>
                <c:pt idx="2">
                  <c:v>227021.56615728958</c:v>
                </c:pt>
                <c:pt idx="3">
                  <c:v>226440.31700253417</c:v>
                </c:pt>
                <c:pt idx="4">
                  <c:v>225864.88033932631</c:v>
                </c:pt>
                <c:pt idx="5">
                  <c:v>225295.19804275053</c:v>
                </c:pt>
                <c:pt idx="6">
                  <c:v>224731.21256914048</c:v>
                </c:pt>
                <c:pt idx="7">
                  <c:v>224172.86695026659</c:v>
                </c:pt>
                <c:pt idx="8">
                  <c:v>205003.53809463346</c:v>
                </c:pt>
                <c:pt idx="9">
                  <c:v>190797.80053195285</c:v>
                </c:pt>
                <c:pt idx="10">
                  <c:v>176875.30431408447</c:v>
                </c:pt>
                <c:pt idx="11">
                  <c:v>163220.47116706369</c:v>
                </c:pt>
                <c:pt idx="12">
                  <c:v>149818.57962199385</c:v>
                </c:pt>
                <c:pt idx="13">
                  <c:v>136655.71789076773</c:v>
                </c:pt>
                <c:pt idx="14">
                  <c:v>134387.44535708457</c:v>
                </c:pt>
                <c:pt idx="15">
                  <c:v>132243.92781275403</c:v>
                </c:pt>
                <c:pt idx="16">
                  <c:v>130218.30373336162</c:v>
                </c:pt>
                <c:pt idx="17">
                  <c:v>128304.08897833584</c:v>
                </c:pt>
                <c:pt idx="18">
                  <c:v>126495.15603483646</c:v>
                </c:pt>
                <c:pt idx="19">
                  <c:v>124785.71440322953</c:v>
                </c:pt>
                <c:pt idx="20">
                  <c:v>123170.292061361</c:v>
                </c:pt>
                <c:pt idx="21">
                  <c:v>121643.71794829523</c:v>
                </c:pt>
                <c:pt idx="22">
                  <c:v>120201.10541144812</c:v>
                </c:pt>
                <c:pt idx="23">
                  <c:v>118837.83656412753</c:v>
                </c:pt>
                <c:pt idx="24">
                  <c:v>117549.54750340962</c:v>
                </c:pt>
                <c:pt idx="25">
                  <c:v>116332.11434103119</c:v>
                </c:pt>
                <c:pt idx="26">
                  <c:v>115181.64000258358</c:v>
                </c:pt>
                <c:pt idx="27">
                  <c:v>114094.44175275057</c:v>
                </c:pt>
                <c:pt idx="28">
                  <c:v>113067.03940665837</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-35229.850691366286</c:v>
                </c:pt>
                <c:pt idx="4">
                  <c:v>-35229.850691366286</c:v>
                </c:pt>
                <c:pt idx="5">
                  <c:v>-35229.850691366286</c:v>
                </c:pt>
                <c:pt idx="6">
                  <c:v>-35229.850691366286</c:v>
                </c:pt>
                <c:pt idx="7">
                  <c:v>-35229.850691366286</c:v>
                </c:pt>
                <c:pt idx="8">
                  <c:v>-35229.850691366286</c:v>
                </c:pt>
                <c:pt idx="9">
                  <c:v>-35229.850691366286</c:v>
                </c:pt>
                <c:pt idx="10">
                  <c:v>-35229.850691366286</c:v>
                </c:pt>
                <c:pt idx="11">
                  <c:v>-35229.850691366286</c:v>
                </c:pt>
                <c:pt idx="12">
                  <c:v>-35229.850691366286</c:v>
                </c:pt>
                <c:pt idx="13">
                  <c:v>-35229.850691366286</c:v>
                </c:pt>
                <c:pt idx="14">
                  <c:v>-35229.850691366286</c:v>
                </c:pt>
                <c:pt idx="15">
                  <c:v>-35229.850691366286</c:v>
                </c:pt>
                <c:pt idx="16">
                  <c:v>-35229.850691366286</c:v>
                </c:pt>
                <c:pt idx="17">
                  <c:v>-35229.850691366286</c:v>
                </c:pt>
                <c:pt idx="18">
                  <c:v>-35229.850691366286</c:v>
                </c:pt>
                <c:pt idx="19">
                  <c:v>-35229.850691366286</c:v>
                </c:pt>
                <c:pt idx="20">
                  <c:v>-35229.850691366286</c:v>
                </c:pt>
                <c:pt idx="21">
                  <c:v>-35229.850691366286</c:v>
                </c:pt>
                <c:pt idx="22">
                  <c:v>-35229.850691366286</c:v>
                </c:pt>
                <c:pt idx="23">
                  <c:v>-8805.061101593461</c:v>
                </c:pt>
                <c:pt idx="24">
                  <c:v>-8805.061101593461</c:v>
                </c:pt>
                <c:pt idx="25">
                  <c:v>-8805.061101593461</c:v>
                </c:pt>
                <c:pt idx="26">
                  <c:v>-8805.061101593461</c:v>
                </c:pt>
                <c:pt idx="27">
                  <c:v>-8805.061101593461</c:v>
                </c:pt>
                <c:pt idx="28">
                  <c:v>-8805.061101593461</c:v>
                </c:pt>
              </c:numCache>
            </c:numRef>
          </c:val>
        </c:ser>
        <c:dLbls>
          <c:showLegendKey val="0"/>
          <c:showVal val="0"/>
          <c:showCatName val="0"/>
          <c:showSerName val="0"/>
          <c:showPercent val="0"/>
          <c:showBubbleSize val="0"/>
        </c:dLbls>
        <c:gapWidth val="0"/>
        <c:overlap val="100"/>
        <c:axId val="627870576"/>
        <c:axId val="627871360"/>
      </c:barChart>
      <c:lineChart>
        <c:grouping val="standard"/>
        <c:varyColors val="0"/>
        <c:ser>
          <c:idx val="6"/>
          <c:order val="4"/>
          <c:tx>
            <c:strRef>
              <c:f>RESULTS!$B$13</c:f>
              <c:strCache>
                <c:ptCount val="1"/>
                <c:pt idx="0">
                  <c:v>net balance</c:v>
                </c:pt>
              </c:strCache>
            </c:strRef>
          </c:tx>
          <c:spPr>
            <a:ln w="19050" cap="rnd">
              <a:solidFill>
                <a:sysClr val="windowText" lastClr="000000"/>
              </a:solidFill>
              <a:prstDash val="sysDash"/>
              <a:round/>
            </a:ln>
            <a:effectLst/>
          </c:spPr>
          <c:marker>
            <c:symbol val="none"/>
          </c:marker>
          <c:val>
            <c:numRef>
              <c:f>RESULTS!$C$13:$AE$13</c:f>
              <c:numCache>
                <c:formatCode>#,##0</c:formatCode>
                <c:ptCount val="29"/>
                <c:pt idx="0">
                  <c:v>0</c:v>
                </c:pt>
                <c:pt idx="1">
                  <c:v>407976.21390695183</c:v>
                </c:pt>
                <c:pt idx="2">
                  <c:v>409055.55421911011</c:v>
                </c:pt>
                <c:pt idx="3">
                  <c:v>361195.42314893269</c:v>
                </c:pt>
                <c:pt idx="4">
                  <c:v>348319.81349747308</c:v>
                </c:pt>
                <c:pt idx="5">
                  <c:v>335214.43487283291</c:v>
                </c:pt>
                <c:pt idx="6">
                  <c:v>321875.94934905152</c:v>
                </c:pt>
                <c:pt idx="7">
                  <c:v>308300.98651764606</c:v>
                </c:pt>
                <c:pt idx="8">
                  <c:v>327190.43611885683</c:v>
                </c:pt>
                <c:pt idx="9">
                  <c:v>362937.16022275056</c:v>
                </c:pt>
                <c:pt idx="10">
                  <c:v>397828.24039056309</c:v>
                </c:pt>
                <c:pt idx="11">
                  <c:v>432244.12002598308</c:v>
                </c:pt>
                <c:pt idx="12">
                  <c:v>466415.37937318528</c:v>
                </c:pt>
                <c:pt idx="13">
                  <c:v>500500.37772462278</c:v>
                </c:pt>
                <c:pt idx="14">
                  <c:v>499827.46393471252</c:v>
                </c:pt>
                <c:pt idx="15">
                  <c:v>499286.53925811726</c:v>
                </c:pt>
                <c:pt idx="16">
                  <c:v>498870.75071289233</c:v>
                </c:pt>
                <c:pt idx="17">
                  <c:v>498572.22991099226</c:v>
                </c:pt>
                <c:pt idx="18">
                  <c:v>498386.24756417115</c:v>
                </c:pt>
                <c:pt idx="19">
                  <c:v>498309.11793829448</c:v>
                </c:pt>
                <c:pt idx="20">
                  <c:v>498333.34238973045</c:v>
                </c:pt>
                <c:pt idx="21">
                  <c:v>498453.76022479887</c:v>
                </c:pt>
                <c:pt idx="22">
                  <c:v>498664.08855473943</c:v>
                </c:pt>
                <c:pt idx="23">
                  <c:v>525385.91290078463</c:v>
                </c:pt>
                <c:pt idx="24">
                  <c:v>525761.91923611192</c:v>
                </c:pt>
                <c:pt idx="25">
                  <c:v>526216.04238172609</c:v>
                </c:pt>
                <c:pt idx="26">
                  <c:v>526744.47363550868</c:v>
                </c:pt>
                <c:pt idx="27">
                  <c:v>527343.54632736347</c:v>
                </c:pt>
                <c:pt idx="28">
                  <c:v>528008.37263651029</c:v>
                </c:pt>
              </c:numCache>
            </c:numRef>
          </c:val>
          <c:smooth val="0"/>
        </c:ser>
        <c:dLbls>
          <c:showLegendKey val="0"/>
          <c:showVal val="0"/>
          <c:showCatName val="0"/>
          <c:showSerName val="0"/>
          <c:showPercent val="0"/>
          <c:showBubbleSize val="0"/>
        </c:dLbls>
        <c:marker val="1"/>
        <c:smooth val="0"/>
        <c:axId val="627870576"/>
        <c:axId val="627871360"/>
      </c:lineChart>
      <c:catAx>
        <c:axId val="62787057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27871360"/>
        <c:crosses val="autoZero"/>
        <c:auto val="1"/>
        <c:lblAlgn val="ctr"/>
        <c:lblOffset val="100"/>
        <c:noMultiLvlLbl val="0"/>
      </c:catAx>
      <c:valAx>
        <c:axId val="627871360"/>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87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c:v>
                </c:pt>
                <c:pt idx="1">
                  <c:v>0.92523687759089079</c:v>
                </c:pt>
                <c:pt idx="2">
                  <c:v>0.92914304121062363</c:v>
                </c:pt>
                <c:pt idx="3">
                  <c:v>0.86332795062223444</c:v>
                </c:pt>
                <c:pt idx="4">
                  <c:v>0.79687477624969316</c:v>
                </c:pt>
                <c:pt idx="5">
                  <c:v>0.72987653881694747</c:v>
                </c:pt>
                <c:pt idx="6">
                  <c:v>0.66232994501844922</c:v>
                </c:pt>
                <c:pt idx="7">
                  <c:v>0.59423168389456282</c:v>
                </c:pt>
                <c:pt idx="8">
                  <c:v>0.66929458888081406</c:v>
                </c:pt>
                <c:pt idx="9">
                  <c:v>0.77107844445910156</c:v>
                </c:pt>
                <c:pt idx="10">
                  <c:v>0.84640678085394683</c:v>
                </c:pt>
                <c:pt idx="11">
                  <c:v>0.90441545722702332</c:v>
                </c:pt>
                <c:pt idx="12">
                  <c:v>0.95050263797874834</c:v>
                </c:pt>
                <c:pt idx="13">
                  <c:v>0.98808456455697102</c:v>
                </c:pt>
                <c:pt idx="14">
                  <c:v>0.99005636176714817</c:v>
                </c:pt>
                <c:pt idx="15">
                  <c:v>0.99203325779767237</c:v>
                </c:pt>
                <c:pt idx="16">
                  <c:v>0.99401521402387572</c:v>
                </c:pt>
                <c:pt idx="17">
                  <c:v>0.99600121737256453</c:v>
                </c:pt>
                <c:pt idx="18">
                  <c:v>0.99799221017968576</c:v>
                </c:pt>
                <c:pt idx="19">
                  <c:v>0.9999957290465713</c:v>
                </c:pt>
                <c:pt idx="20">
                  <c:v>1.0020042898922186</c:v>
                </c:pt>
                <c:pt idx="21">
                  <c:v>1.0040178585004789</c:v>
                </c:pt>
                <c:pt idx="22">
                  <c:v>1.0060354266657692</c:v>
                </c:pt>
                <c:pt idx="23">
                  <c:v>1.0080579405975991</c:v>
                </c:pt>
                <c:pt idx="24">
                  <c:v>1.0100796230024409</c:v>
                </c:pt>
                <c:pt idx="25">
                  <c:v>1.0121059201227234</c:v>
                </c:pt>
                <c:pt idx="26">
                  <c:v>1.0141369882716822</c:v>
                </c:pt>
                <c:pt idx="27">
                  <c:v>1.016172808288706</c:v>
                </c:pt>
                <c:pt idx="28">
                  <c:v>1.0182123866895871</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0</c:v>
                </c:pt>
                <c:pt idx="1">
                  <c:v>1.1675713110341968</c:v>
                </c:pt>
                <c:pt idx="2">
                  <c:v>1.158769912397607</c:v>
                </c:pt>
                <c:pt idx="3">
                  <c:v>1.1500562076362233</c:v>
                </c:pt>
                <c:pt idx="4">
                  <c:v>1.1414292589882014</c:v>
                </c:pt>
                <c:pt idx="5">
                  <c:v>1.1328881370695665</c:v>
                </c:pt>
                <c:pt idx="6">
                  <c:v>1.1244319208711036</c:v>
                </c:pt>
                <c:pt idx="7">
                  <c:v>1.1160596977525084</c:v>
                </c:pt>
                <c:pt idx="8">
                  <c:v>0.87162109411913991</c:v>
                </c:pt>
                <c:pt idx="9">
                  <c:v>0.70945957198402898</c:v>
                </c:pt>
                <c:pt idx="10">
                  <c:v>0.58438140526870586</c:v>
                </c:pt>
                <c:pt idx="11">
                  <c:v>0.48518461505805044</c:v>
                </c:pt>
                <c:pt idx="12">
                  <c:v>0.40475317878792766</c:v>
                </c:pt>
                <c:pt idx="13">
                  <c:v>0.33835136533428345</c:v>
                </c:pt>
                <c:pt idx="14">
                  <c:v>0.33207175139014805</c:v>
                </c:pt>
                <c:pt idx="15">
                  <c:v>0.32612317988462236</c:v>
                </c:pt>
                <c:pt idx="16">
                  <c:v>0.32048687402688958</c:v>
                </c:pt>
                <c:pt idx="17">
                  <c:v>0.31514589826819178</c:v>
                </c:pt>
                <c:pt idx="18">
                  <c:v>0.31008274754825821</c:v>
                </c:pt>
                <c:pt idx="19">
                  <c:v>0.30528241710371623</c:v>
                </c:pt>
                <c:pt idx="20">
                  <c:v>0.30072927851845588</c:v>
                </c:pt>
                <c:pt idx="21">
                  <c:v>0.2964093217158642</c:v>
                </c:pt>
                <c:pt idx="22">
                  <c:v>0.29231004377666969</c:v>
                </c:pt>
                <c:pt idx="23">
                  <c:v>0.28841824942207911</c:v>
                </c:pt>
                <c:pt idx="24">
                  <c:v>0.2847228755387099</c:v>
                </c:pt>
                <c:pt idx="25">
                  <c:v>0.28121212804318108</c:v>
                </c:pt>
                <c:pt idx="26">
                  <c:v>0.27787555367467837</c:v>
                </c:pt>
                <c:pt idx="27">
                  <c:v>0.27470329335636018</c:v>
                </c:pt>
                <c:pt idx="28">
                  <c:v>0.27168670126814082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-0.17892709663204392</c:v>
                </c:pt>
                <c:pt idx="4">
                  <c:v>-0.17803733944160971</c:v>
                </c:pt>
                <c:pt idx="5">
                  <c:v>-0.17715193339987473</c:v>
                </c:pt>
                <c:pt idx="6">
                  <c:v>-0.17627088036428279</c:v>
                </c:pt>
                <c:pt idx="7">
                  <c:v>-0.17539418150545047</c:v>
                </c:pt>
                <c:pt idx="8">
                  <c:v>-0.14978805385830785</c:v>
                </c:pt>
                <c:pt idx="9">
                  <c:v>-0.13099812850500972</c:v>
                </c:pt>
                <c:pt idx="10">
                  <c:v>-0.11639651863365266</c:v>
                </c:pt>
                <c:pt idx="11">
                  <c:v>-0.10472327045758671</c:v>
                </c:pt>
                <c:pt idx="12">
                  <c:v>-9.5177741582735245E-2</c:v>
                </c:pt>
                <c:pt idx="13">
                  <c:v>-8.7226998371738348E-2</c:v>
                </c:pt>
                <c:pt idx="14">
                  <c:v>-8.7053059080110615E-2</c:v>
                </c:pt>
                <c:pt idx="15">
                  <c:v>-8.6879383608422844E-2</c:v>
                </c:pt>
                <c:pt idx="16">
                  <c:v>-8.6705972945471443E-2</c:v>
                </c:pt>
                <c:pt idx="17">
                  <c:v>-8.6533040609949471E-2</c:v>
                </c:pt>
                <c:pt idx="18">
                  <c:v>-8.636037331805238E-2</c:v>
                </c:pt>
                <c:pt idx="19">
                  <c:v>-8.6188182875723315E-2</c:v>
                </c:pt>
                <c:pt idx="20">
                  <c:v>-8.6016257682083458E-2</c:v>
                </c:pt>
                <c:pt idx="21">
                  <c:v>-8.5844598666555277E-2</c:v>
                </c:pt>
                <c:pt idx="22">
                  <c:v>-8.5673415087063054E-2</c:v>
                </c:pt>
                <c:pt idx="23">
                  <c:v>-2.1369795869732425E-2</c:v>
                </c:pt>
                <c:pt idx="24">
                  <c:v>-2.132719665353891E-2</c:v>
                </c:pt>
                <c:pt idx="25">
                  <c:v>-2.1284664032414979E-2</c:v>
                </c:pt>
                <c:pt idx="26">
                  <c:v>-2.1242198224385202E-2</c:v>
                </c:pt>
                <c:pt idx="27">
                  <c:v>-2.119979944380939E-2</c:v>
                </c:pt>
                <c:pt idx="28">
                  <c:v>-2.1157518740297671E-2</c:v>
                </c:pt>
              </c:numCache>
            </c:numRef>
          </c:val>
        </c:ser>
        <c:dLbls>
          <c:showLegendKey val="0"/>
          <c:showVal val="0"/>
          <c:showCatName val="0"/>
          <c:showSerName val="0"/>
          <c:showPercent val="0"/>
          <c:showBubbleSize val="0"/>
        </c:dLbls>
        <c:gapWidth val="0"/>
        <c:overlap val="100"/>
        <c:axId val="627868224"/>
        <c:axId val="627872536"/>
      </c:barChart>
      <c:lineChart>
        <c:grouping val="stacked"/>
        <c:varyColors val="0"/>
        <c:ser>
          <c:idx val="6"/>
          <c:order val="4"/>
          <c:tx>
            <c:strRef>
              <c:f>RESULTS!$B$24</c:f>
              <c:strCache>
                <c:ptCount val="1"/>
                <c:pt idx="0">
                  <c:v>net balance</c:v>
                </c:pt>
              </c:strCache>
            </c:strRef>
          </c:tx>
          <c:spPr>
            <a:ln w="19050" cap="rnd">
              <a:solidFill>
                <a:sysClr val="windowText" lastClr="000000"/>
              </a:solidFill>
              <a:prstDash val="sysDash"/>
              <a:round/>
            </a:ln>
            <a:effectLst/>
          </c:spPr>
          <c:marker>
            <c:symbol val="none"/>
          </c:marker>
          <c:val>
            <c:numRef>
              <c:f>RESULTS!$C$24:$AE$24</c:f>
              <c:numCache>
                <c:formatCode>#,##0.000</c:formatCode>
                <c:ptCount val="29"/>
                <c:pt idx="0">
                  <c:v>0</c:v>
                </c:pt>
                <c:pt idx="1">
                  <c:v>2.0928081886250878</c:v>
                </c:pt>
                <c:pt idx="2">
                  <c:v>2.0879129536082308</c:v>
                </c:pt>
                <c:pt idx="3">
                  <c:v>1.8344570616264138</c:v>
                </c:pt>
                <c:pt idx="4">
                  <c:v>1.7602666957962847</c:v>
                </c:pt>
                <c:pt idx="5">
                  <c:v>1.6856127424866392</c:v>
                </c:pt>
                <c:pt idx="6">
                  <c:v>1.61049098552527</c:v>
                </c:pt>
                <c:pt idx="7">
                  <c:v>1.5348972001416206</c:v>
                </c:pt>
                <c:pt idx="8">
                  <c:v>1.3911276291416461</c:v>
                </c:pt>
                <c:pt idx="9">
                  <c:v>1.3495398879381209</c:v>
                </c:pt>
                <c:pt idx="10">
                  <c:v>1.3143916674889999</c:v>
                </c:pt>
                <c:pt idx="11">
                  <c:v>1.284876801827487</c:v>
                </c:pt>
                <c:pt idx="12">
                  <c:v>1.2600780751839407</c:v>
                </c:pt>
                <c:pt idx="13">
                  <c:v>1.2392089315195161</c:v>
                </c:pt>
                <c:pt idx="14">
                  <c:v>1.2350750540771855</c:v>
                </c:pt>
                <c:pt idx="15">
                  <c:v>1.231277054073872</c:v>
                </c:pt>
                <c:pt idx="16">
                  <c:v>1.2277961151052939</c:v>
                </c:pt>
                <c:pt idx="17">
                  <c:v>1.224614075030807</c:v>
                </c:pt>
                <c:pt idx="18">
                  <c:v>1.2217145844098916</c:v>
                </c:pt>
                <c:pt idx="19">
                  <c:v>1.2190899632745642</c:v>
                </c:pt>
                <c:pt idx="20">
                  <c:v>1.2167173107285909</c:v>
                </c:pt>
                <c:pt idx="21">
                  <c:v>1.2145825815497879</c:v>
                </c:pt>
                <c:pt idx="22">
                  <c:v>1.2126720553553758</c:v>
                </c:pt>
                <c:pt idx="23">
                  <c:v>1.2751063941499456</c:v>
                </c:pt>
                <c:pt idx="24">
                  <c:v>1.2734753018876119</c:v>
                </c:pt>
                <c:pt idx="25">
                  <c:v>1.2720333841334894</c:v>
                </c:pt>
                <c:pt idx="26">
                  <c:v>1.2707703437219755</c:v>
                </c:pt>
                <c:pt idx="27">
                  <c:v>1.2696763022012569</c:v>
                </c:pt>
                <c:pt idx="28">
                  <c:v>1.2687415692174302</c:v>
                </c:pt>
              </c:numCache>
            </c:numRef>
          </c:val>
          <c:smooth val="0"/>
        </c:ser>
        <c:dLbls>
          <c:showLegendKey val="0"/>
          <c:showVal val="0"/>
          <c:showCatName val="0"/>
          <c:showSerName val="0"/>
          <c:showPercent val="0"/>
          <c:showBubbleSize val="0"/>
        </c:dLbls>
        <c:marker val="1"/>
        <c:smooth val="0"/>
        <c:axId val="627868224"/>
        <c:axId val="627872536"/>
      </c:lineChart>
      <c:catAx>
        <c:axId val="62786822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627872536"/>
        <c:crosses val="autoZero"/>
        <c:auto val="1"/>
        <c:lblAlgn val="ctr"/>
        <c:lblOffset val="100"/>
        <c:noMultiLvlLbl val="0"/>
      </c:catAx>
      <c:valAx>
        <c:axId val="627872536"/>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868224"/>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2"/>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3"/>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1"/>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0"/>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6870754792014634"/>
          <c:w val="0.35027929642622496"/>
          <c:h val="0.47236095488063984"/>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BUILDINGS!$A$15:$A$20</c:f>
              <c:strCache>
                <c:ptCount val="6"/>
                <c:pt idx="0">
                  <c:v>Retail</c:v>
                </c:pt>
                <c:pt idx="1">
                  <c:v>Health</c:v>
                </c:pt>
                <c:pt idx="2">
                  <c:v>Hospitality</c:v>
                </c:pt>
                <c:pt idx="3">
                  <c:v>Offices</c:v>
                </c:pt>
                <c:pt idx="4">
                  <c:v>Industrial</c:v>
                </c:pt>
                <c:pt idx="5">
                  <c:v>Warehouses</c:v>
                </c:pt>
              </c:strCache>
            </c:strRef>
          </c:cat>
          <c:val>
            <c:numRef>
              <c:f>BUILDINGS!$B$15:$B$20</c:f>
              <c:numCache>
                <c:formatCode>#,##0</c:formatCode>
                <c:ptCount val="6"/>
                <c:pt idx="0">
                  <c:v>262714</c:v>
                </c:pt>
                <c:pt idx="1">
                  <c:v>31619</c:v>
                </c:pt>
                <c:pt idx="2">
                  <c:v>317908</c:v>
                </c:pt>
                <c:pt idx="3">
                  <c:v>136770</c:v>
                </c:pt>
                <c:pt idx="4">
                  <c:v>1508421</c:v>
                </c:pt>
                <c:pt idx="5">
                  <c:v>61143</c:v>
                </c:pt>
              </c:numCache>
            </c:numRef>
          </c:val>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4581753461074876"/>
          <c:w val="0.35027929642622496"/>
          <c:h val="0.66120194203192417"/>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a:t>
            </a:r>
            <a:r>
              <a:rPr lang="et-EE"/>
              <a:t>ENERGY</a:t>
            </a:r>
            <a:r>
              <a:rPr lang="et-EE" baseline="0"/>
              <a:t> USE IN BUILDINGS (tCO2e)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BUILDINGS!$AF$220</c:f>
              <c:strCache>
                <c:ptCount val="1"/>
                <c:pt idx="0">
                  <c:v>Apartment</c:v>
                </c:pt>
              </c:strCache>
            </c:strRef>
          </c:tx>
          <c:spPr>
            <a:solidFill>
              <a:schemeClr val="accent1"/>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BUILDINGS!$AG$220:$BN$220</c15:sqref>
                  </c15:fullRef>
                </c:ext>
              </c:extLst>
              <c:f>BUILDINGS!$AL$220:$BN$220</c:f>
              <c:numCache>
                <c:formatCode>General</c:formatCode>
                <c:ptCount val="29"/>
                <c:pt idx="0" formatCode="0.0">
                  <c:v>0</c:v>
                </c:pt>
                <c:pt idx="1" formatCode="0.0">
                  <c:v>11952.759374890931</c:v>
                </c:pt>
                <c:pt idx="2" formatCode="0.0">
                  <c:v>11927.129903599831</c:v>
                </c:pt>
                <c:pt idx="3" formatCode="0.0">
                  <c:v>11901.756727021642</c:v>
                </c:pt>
                <c:pt idx="4" formatCode="0.0">
                  <c:v>11876.637282209234</c:v>
                </c:pt>
                <c:pt idx="5" formatCode="0.0">
                  <c:v>11851.769031844949</c:v>
                </c:pt>
                <c:pt idx="6" formatCode="0.0">
                  <c:v>11827.149463984308</c:v>
                </c:pt>
                <c:pt idx="7" formatCode="0.0">
                  <c:v>11802.776091802274</c:v>
                </c:pt>
                <c:pt idx="8" formatCode="0.0">
                  <c:v>11778.64645334206</c:v>
                </c:pt>
                <c:pt idx="9" formatCode="0.0">
                  <c:v>11647.260571926194</c:v>
                </c:pt>
                <c:pt idx="10" formatCode="0.0">
                  <c:v>11523.100913988201</c:v>
                </c:pt>
                <c:pt idx="11" formatCode="0.0">
                  <c:v>11405.770037236798</c:v>
                </c:pt>
                <c:pt idx="12" formatCode="0.0">
                  <c:v>11294.89235870672</c:v>
                </c:pt>
                <c:pt idx="13" formatCode="0.0">
                  <c:v>11190.112952495798</c:v>
                </c:pt>
                <c:pt idx="14" formatCode="0.0">
                  <c:v>11091.096413626477</c:v>
                </c:pt>
                <c:pt idx="15" formatCode="0.0">
                  <c:v>10997.525784394968</c:v>
                </c:pt>
                <c:pt idx="16" formatCode="0.0">
                  <c:v>10909.101539771191</c:v>
                </c:pt>
                <c:pt idx="17" formatCode="0.0">
                  <c:v>10825.540628601724</c:v>
                </c:pt>
                <c:pt idx="18" formatCode="0.0">
                  <c:v>10746.575567546575</c:v>
                </c:pt>
                <c:pt idx="19" formatCode="0.0">
                  <c:v>10671.95358484946</c:v>
                </c:pt>
                <c:pt idx="20" formatCode="0.0">
                  <c:v>10601.435811200688</c:v>
                </c:pt>
                <c:pt idx="21" formatCode="0.0">
                  <c:v>10534.796515102596</c:v>
                </c:pt>
                <c:pt idx="22" formatCode="0.0">
                  <c:v>10471.822380289901</c:v>
                </c:pt>
                <c:pt idx="23" formatCode="0.0">
                  <c:v>10412.311822891905</c:v>
                </c:pt>
                <c:pt idx="24" formatCode="0.0">
                  <c:v>10356.074346150795</c:v>
                </c:pt>
                <c:pt idx="25" formatCode="0.0">
                  <c:v>10302.929930630449</c:v>
                </c:pt>
                <c:pt idx="26" formatCode="0.0">
                  <c:v>10252.708457963723</c:v>
                </c:pt>
                <c:pt idx="27" formatCode="0.0">
                  <c:v>10205.249166293665</c:v>
                </c:pt>
                <c:pt idx="28" formatCode="0.0">
                  <c:v>10160.400135665461</c:v>
                </c:pt>
              </c:numCache>
            </c:numRef>
          </c:val>
        </c:ser>
        <c:ser>
          <c:idx val="1"/>
          <c:order val="1"/>
          <c:tx>
            <c:strRef>
              <c:f>BUILDINGS!$AF$221</c:f>
              <c:strCache>
                <c:ptCount val="1"/>
                <c:pt idx="0">
                  <c:v>Terraced</c:v>
                </c:pt>
              </c:strCache>
            </c:strRef>
          </c:tx>
          <c:spPr>
            <a:solidFill>
              <a:schemeClr val="accent2"/>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BUILDINGS!$AG$221:$BN$221</c15:sqref>
                  </c15:fullRef>
                </c:ext>
              </c:extLst>
              <c:f>BUILDINGS!$AL$221:$BN$221</c:f>
              <c:numCache>
                <c:formatCode>General</c:formatCode>
                <c:ptCount val="29"/>
                <c:pt idx="0" formatCode="0.0">
                  <c:v>0</c:v>
                </c:pt>
                <c:pt idx="1" formatCode="0.0">
                  <c:v>18504.839515652016</c:v>
                </c:pt>
                <c:pt idx="2" formatCode="0.0">
                  <c:v>18465.160874240635</c:v>
                </c:pt>
                <c:pt idx="3" formatCode="0.0">
                  <c:v>18425.879019243366</c:v>
                </c:pt>
                <c:pt idx="4" formatCode="0.0">
                  <c:v>18386.989982796073</c:v>
                </c:pt>
                <c:pt idx="5" formatCode="0.0">
                  <c:v>18348.489836713248</c:v>
                </c:pt>
                <c:pt idx="6" formatCode="0.0">
                  <c:v>18310.374692091256</c:v>
                </c:pt>
                <c:pt idx="7" formatCode="0.0">
                  <c:v>18272.640698915482</c:v>
                </c:pt>
                <c:pt idx="8" formatCode="0.0">
                  <c:v>18235.284045671462</c:v>
                </c:pt>
                <c:pt idx="9" formatCode="0.0">
                  <c:v>18031.877068757793</c:v>
                </c:pt>
                <c:pt idx="10" formatCode="0.0">
                  <c:v>17839.657475574379</c:v>
                </c:pt>
                <c:pt idx="11" formatCode="0.0">
                  <c:v>17658.009960016047</c:v>
                </c:pt>
                <c:pt idx="12" formatCode="0.0">
                  <c:v>17486.353057813423</c:v>
                </c:pt>
                <c:pt idx="13" formatCode="0.0">
                  <c:v>17324.137285231947</c:v>
                </c:pt>
                <c:pt idx="14" formatCode="0.0">
                  <c:v>17170.843380142451</c:v>
                </c:pt>
                <c:pt idx="15" formatCode="0.0">
                  <c:v>17025.980639832876</c:v>
                </c:pt>
                <c:pt idx="16" formatCode="0.0">
                  <c:v>16889.08535024033</c:v>
                </c:pt>
                <c:pt idx="17" formatCode="0.0">
                  <c:v>16759.719301575373</c:v>
                </c:pt>
                <c:pt idx="18" formatCode="0.0">
                  <c:v>16637.468385586988</c:v>
                </c:pt>
                <c:pt idx="19" formatCode="0.0">
                  <c:v>16521.941269977964</c:v>
                </c:pt>
                <c:pt idx="20" formatCode="0.0">
                  <c:v>16412.768145727438</c:v>
                </c:pt>
                <c:pt idx="21" formatCode="0.0">
                  <c:v>16309.599543310689</c:v>
                </c:pt>
                <c:pt idx="22" formatCode="0.0">
                  <c:v>16212.105214026862</c:v>
                </c:pt>
                <c:pt idx="23" formatCode="0.0">
                  <c:v>16119.973072853645</c:v>
                </c:pt>
                <c:pt idx="24" formatCode="0.0">
                  <c:v>16032.908199444955</c:v>
                </c:pt>
                <c:pt idx="25" formatCode="0.0">
                  <c:v>15950.631894073744</c:v>
                </c:pt>
                <c:pt idx="26" formatCode="0.0">
                  <c:v>15872.88078549795</c:v>
                </c:pt>
                <c:pt idx="27" formatCode="0.0">
                  <c:v>15799.405987893824</c:v>
                </c:pt>
                <c:pt idx="28" formatCode="0.0">
                  <c:v>15729.972304157924</c:v>
                </c:pt>
              </c:numCache>
            </c:numRef>
          </c:val>
        </c:ser>
        <c:ser>
          <c:idx val="2"/>
          <c:order val="2"/>
          <c:tx>
            <c:strRef>
              <c:f>BUILDINGS!$AF$222</c:f>
              <c:strCache>
                <c:ptCount val="1"/>
                <c:pt idx="0">
                  <c:v>Semi-detached</c:v>
                </c:pt>
              </c:strCache>
            </c:strRef>
          </c:tx>
          <c:spPr>
            <a:solidFill>
              <a:schemeClr val="accent3"/>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BUILDINGS!$AG$222:$BN$222</c15:sqref>
                  </c15:fullRef>
                </c:ext>
              </c:extLst>
              <c:f>BUILDINGS!$AL$222:$BN$222</c:f>
              <c:numCache>
                <c:formatCode>General</c:formatCode>
                <c:ptCount val="29"/>
                <c:pt idx="0" formatCode="0.0">
                  <c:v>0</c:v>
                </c:pt>
                <c:pt idx="1" formatCode="0.0">
                  <c:v>77893.050264105928</c:v>
                </c:pt>
                <c:pt idx="2" formatCode="0.0">
                  <c:v>77726.029609468314</c:v>
                </c:pt>
                <c:pt idx="3" formatCode="0.0">
                  <c:v>77560.679161377077</c:v>
                </c:pt>
                <c:pt idx="4" formatCode="0.0">
                  <c:v>77396.982217766752</c:v>
                </c:pt>
                <c:pt idx="5" formatCode="0.0">
                  <c:v>77234.922243592533</c:v>
                </c:pt>
                <c:pt idx="6" formatCode="0.0">
                  <c:v>77074.482869160041</c:v>
                </c:pt>
                <c:pt idx="7" formatCode="0.0">
                  <c:v>76915.647888471896</c:v>
                </c:pt>
                <c:pt idx="8" formatCode="0.0">
                  <c:v>76758.401257590624</c:v>
                </c:pt>
                <c:pt idx="9" formatCode="0.0">
                  <c:v>75902.193352442089</c:v>
                </c:pt>
                <c:pt idx="10" formatCode="0.0">
                  <c:v>75093.076882076712</c:v>
                </c:pt>
                <c:pt idx="11" formatCode="0.0">
                  <c:v>74328.461817581439</c:v>
                </c:pt>
                <c:pt idx="12" formatCode="0.0">
                  <c:v>73605.90058163341</c:v>
                </c:pt>
                <c:pt idx="13" formatCode="0.0">
                  <c:v>72923.080213662513</c:v>
                </c:pt>
                <c:pt idx="14" formatCode="0.0">
                  <c:v>72277.814965930011</c:v>
                </c:pt>
                <c:pt idx="15" formatCode="0.0">
                  <c:v>71668.039306822815</c:v>
                </c:pt>
                <c:pt idx="16" formatCode="0.0">
                  <c:v>71091.801308966504</c:v>
                </c:pt>
                <c:pt idx="17" formatCode="0.0">
                  <c:v>70547.256400992293</c:v>
                </c:pt>
                <c:pt idx="18" formatCode="0.0">
                  <c:v>70032.661462956661</c:v>
                </c:pt>
                <c:pt idx="19" formatCode="0.0">
                  <c:v>69546.369246512986</c:v>
                </c:pt>
                <c:pt idx="20" formatCode="0.0">
                  <c:v>69086.823101973714</c:v>
                </c:pt>
                <c:pt idx="21" formatCode="0.0">
                  <c:v>68652.551995384114</c:v>
                </c:pt>
                <c:pt idx="22" formatCode="0.0">
                  <c:v>68242.165799656941</c:v>
                </c:pt>
                <c:pt idx="23" formatCode="0.0">
                  <c:v>67854.350844694738</c:v>
                </c:pt>
                <c:pt idx="24" formatCode="0.0">
                  <c:v>67487.865712255472</c:v>
                </c:pt>
                <c:pt idx="25" formatCode="0.0">
                  <c:v>67141.537262100377</c:v>
                </c:pt>
                <c:pt idx="26" formatCode="0.0">
                  <c:v>66814.256876703803</c:v>
                </c:pt>
                <c:pt idx="27" formatCode="0.0">
                  <c:v>66504.976912504033</c:v>
                </c:pt>
                <c:pt idx="28" formatCode="0.0">
                  <c:v>66212.707346335257</c:v>
                </c:pt>
              </c:numCache>
            </c:numRef>
          </c:val>
        </c:ser>
        <c:ser>
          <c:idx val="3"/>
          <c:order val="3"/>
          <c:tx>
            <c:strRef>
              <c:f>BUILDINGS!$AF$223</c:f>
              <c:strCache>
                <c:ptCount val="1"/>
                <c:pt idx="0">
                  <c:v>Detached</c:v>
                </c:pt>
              </c:strCache>
            </c:strRef>
          </c:tx>
          <c:spPr>
            <a:solidFill>
              <a:schemeClr val="accent4"/>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BUILDINGS!$AG$223:$BN$223</c15:sqref>
                  </c15:fullRef>
                </c:ext>
              </c:extLst>
              <c:f>BUILDINGS!$AL$223:$BN$223</c:f>
              <c:numCache>
                <c:formatCode>General</c:formatCode>
                <c:ptCount val="29"/>
                <c:pt idx="0" formatCode="0.0">
                  <c:v>0</c:v>
                </c:pt>
                <c:pt idx="1" formatCode="0.0">
                  <c:v>119258.03736097951</c:v>
                </c:pt>
                <c:pt idx="2" formatCode="0.0">
                  <c:v>118903.2457699808</c:v>
                </c:pt>
                <c:pt idx="3" formatCode="0.0">
                  <c:v>118552.00209489209</c:v>
                </c:pt>
                <c:pt idx="4" formatCode="0.0">
                  <c:v>118204.27085655424</c:v>
                </c:pt>
                <c:pt idx="5" formatCode="0.0">
                  <c:v>117860.0169305998</c:v>
                </c:pt>
                <c:pt idx="6" formatCode="0.0">
                  <c:v>117519.20554390489</c:v>
                </c:pt>
                <c:pt idx="7" formatCode="0.0">
                  <c:v>117181.80227107693</c:v>
                </c:pt>
                <c:pt idx="8" formatCode="0.0">
                  <c:v>116847.77303097726</c:v>
                </c:pt>
                <c:pt idx="9" formatCode="0.0">
                  <c:v>115028.9838186345</c:v>
                </c:pt>
                <c:pt idx="10" formatCode="0.0">
                  <c:v>113310.22801297059</c:v>
                </c:pt>
                <c:pt idx="11" formatCode="0.0">
                  <c:v>111686.00377661819</c:v>
                </c:pt>
                <c:pt idx="12" formatCode="0.0">
                  <c:v>110151.11187326518</c:v>
                </c:pt>
                <c:pt idx="13" formatCode="0.0">
                  <c:v>108700.6390245966</c:v>
                </c:pt>
                <c:pt idx="14" formatCode="0.0">
                  <c:v>107329.94218260478</c:v>
                </c:pt>
                <c:pt idx="15" formatCode="0.0">
                  <c:v>106034.63366692251</c:v>
                </c:pt>
                <c:pt idx="16" formatCode="0.0">
                  <c:v>104810.56711960275</c:v>
                </c:pt>
                <c:pt idx="17" formatCode="0.0">
                  <c:v>103653.8242323856</c:v>
                </c:pt>
                <c:pt idx="18" formatCode="0.0">
                  <c:v>102560.70220396538</c:v>
                </c:pt>
                <c:pt idx="19" formatCode="0.0">
                  <c:v>101527.70188710827</c:v>
                </c:pt>
                <c:pt idx="20" formatCode="0.0">
                  <c:v>100551.51658767831</c:v>
                </c:pt>
                <c:pt idx="21" formatCode="0.0">
                  <c:v>99629.02147971699</c:v>
                </c:pt>
                <c:pt idx="22" formatCode="0.0">
                  <c:v>98757.263602693565</c:v>
                </c:pt>
                <c:pt idx="23" formatCode="0.0">
                  <c:v>97933.452408906393</c:v>
                </c:pt>
                <c:pt idx="24" formatCode="0.0">
                  <c:v>97154.95083077754</c:v>
                </c:pt>
                <c:pt idx="25" formatCode="0.0">
                  <c:v>96419.266839445772</c:v>
                </c:pt>
                <c:pt idx="26" formatCode="0.0">
                  <c:v>95724.045467637246</c:v>
                </c:pt>
                <c:pt idx="27" formatCode="0.0">
                  <c:v>95067.061271278188</c:v>
                </c:pt>
                <c:pt idx="28" formatCode="0.0">
                  <c:v>94446.211205718879</c:v>
                </c:pt>
              </c:numCache>
            </c:numRef>
          </c:val>
        </c:ser>
        <c:ser>
          <c:idx val="4"/>
          <c:order val="4"/>
          <c:tx>
            <c:strRef>
              <c:f>BUILDINGS!$AF$224</c:f>
              <c:strCache>
                <c:ptCount val="1"/>
                <c:pt idx="0">
                  <c:v>Retail</c:v>
                </c:pt>
              </c:strCache>
            </c:strRef>
          </c:tx>
          <c:spPr>
            <a:solidFill>
              <a:schemeClr val="accent5"/>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BUILDINGS!$AG$224:$BN$224</c15:sqref>
                  </c15:fullRef>
                </c:ext>
              </c:extLst>
              <c:f>BUILDINGS!$AL$224:$BN$224</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ser>
        <c:ser>
          <c:idx val="5"/>
          <c:order val="5"/>
          <c:tx>
            <c:strRef>
              <c:f>BUILDINGS!$AF$225</c:f>
              <c:strCache>
                <c:ptCount val="1"/>
                <c:pt idx="0">
                  <c:v>Health</c:v>
                </c:pt>
              </c:strCache>
            </c:strRef>
          </c:tx>
          <c:spPr>
            <a:solidFill>
              <a:schemeClr val="accent6"/>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BUILDINGS!$AG$225:$BN$225</c15:sqref>
                  </c15:fullRef>
                </c:ext>
              </c:extLst>
              <c:f>BUILDINGS!$AL$225:$BN$225</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ser>
        <c:ser>
          <c:idx val="6"/>
          <c:order val="6"/>
          <c:tx>
            <c:strRef>
              <c:f>BUILDINGS!$AF$226</c:f>
              <c:strCache>
                <c:ptCount val="1"/>
                <c:pt idx="0">
                  <c:v>Hospitality</c:v>
                </c:pt>
              </c:strCache>
            </c:strRef>
          </c:tx>
          <c:spPr>
            <a:solidFill>
              <a:schemeClr val="accent1">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BUILDINGS!$AG$226:$BN$226</c15:sqref>
                  </c15:fullRef>
                </c:ext>
              </c:extLst>
              <c:f>BUILDINGS!$AL$226:$BN$226</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ser>
        <c:ser>
          <c:idx val="7"/>
          <c:order val="7"/>
          <c:tx>
            <c:strRef>
              <c:f>BUILDINGS!$AF$227</c:f>
              <c:strCache>
                <c:ptCount val="1"/>
                <c:pt idx="0">
                  <c:v>Offices</c:v>
                </c:pt>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BUILDINGS!$AG$227:$BN$227</c15:sqref>
                  </c15:fullRef>
                </c:ext>
              </c:extLst>
              <c:f>BUILDINGS!$AL$227:$BN$227</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ser>
        <c:ser>
          <c:idx val="8"/>
          <c:order val="8"/>
          <c:tx>
            <c:strRef>
              <c:f>BUILDINGS!$AF$228</c:f>
              <c:strCache>
                <c:ptCount val="1"/>
                <c:pt idx="0">
                  <c:v>Industrial</c:v>
                </c:pt>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BUILDINGS!$AG$228:$BN$228</c15:sqref>
                  </c15:fullRef>
                </c:ext>
              </c:extLst>
              <c:f>BUILDINGS!$AL$228:$BN$228</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ser>
        <c:ser>
          <c:idx val="9"/>
          <c:order val="9"/>
          <c:tx>
            <c:strRef>
              <c:f>BUILDINGS!$AF$229</c:f>
              <c:strCache>
                <c:ptCount val="1"/>
                <c:pt idx="0">
                  <c:v>Warehouses</c:v>
                </c:pt>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BUILDINGS!$AG$229:$BN$229</c15:sqref>
                  </c15:fullRef>
                </c:ext>
              </c:extLst>
              <c:f>BUILDINGS!$AL$229:$BN$229</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ser>
        <c:dLbls>
          <c:showLegendKey val="0"/>
          <c:showVal val="0"/>
          <c:showCatName val="0"/>
          <c:showSerName val="0"/>
          <c:showPercent val="0"/>
          <c:showBubbleSize val="0"/>
        </c:dLbls>
        <c:gapWidth val="10"/>
        <c:overlap val="100"/>
        <c:axId val="622959000"/>
        <c:axId val="622962136"/>
      </c:barChart>
      <c:catAx>
        <c:axId val="622959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62136"/>
        <c:crosses val="autoZero"/>
        <c:auto val="1"/>
        <c:lblAlgn val="ctr"/>
        <c:lblOffset val="100"/>
        <c:noMultiLvlLbl val="0"/>
      </c:catAx>
      <c:valAx>
        <c:axId val="622962136"/>
        <c:scaling>
          <c:orientation val="minMax"/>
        </c:scaling>
        <c:delete val="0"/>
        <c:axPos val="l"/>
        <c:majorGridlines>
          <c:spPr>
            <a:ln w="9525" cap="flat" cmpd="sng" algn="ctr">
              <a:solidFill>
                <a:schemeClr val="bg1">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59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POLICY QUANTIFICATION -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BUILDINGS!$AF$980</c:f>
              <c:strCache>
                <c:ptCount val="1"/>
                <c:pt idx="0">
                  <c:v>Apartment</c:v>
                </c:pt>
              </c:strCache>
            </c:strRef>
          </c:tx>
          <c:spPr>
            <a:solidFill>
              <a:schemeClr val="accent1"/>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BUILDINGS!$AL$980:$BN$980</c:f>
              <c:numCache>
                <c:formatCode>0.0</c:formatCode>
                <c:ptCount val="29"/>
                <c:pt idx="0">
                  <c:v>0</c:v>
                </c:pt>
                <c:pt idx="1">
                  <c:v>11952.759374890931</c:v>
                </c:pt>
                <c:pt idx="2">
                  <c:v>11927.129903599831</c:v>
                </c:pt>
                <c:pt idx="3">
                  <c:v>11901.756727021642</c:v>
                </c:pt>
                <c:pt idx="4">
                  <c:v>11876.637282209234</c:v>
                </c:pt>
                <c:pt idx="5">
                  <c:v>11851.769031844949</c:v>
                </c:pt>
                <c:pt idx="6">
                  <c:v>11827.149463984308</c:v>
                </c:pt>
                <c:pt idx="7">
                  <c:v>11802.776091802274</c:v>
                </c:pt>
                <c:pt idx="8">
                  <c:v>4482.5806765048528</c:v>
                </c:pt>
                <c:pt idx="9">
                  <c:v>4351.1947950889862</c:v>
                </c:pt>
                <c:pt idx="10">
                  <c:v>4227.0351371509933</c:v>
                </c:pt>
                <c:pt idx="11">
                  <c:v>4109.7042603995906</c:v>
                </c:pt>
                <c:pt idx="12">
                  <c:v>3998.8265818695127</c:v>
                </c:pt>
                <c:pt idx="13">
                  <c:v>3894.0471756585903</c:v>
                </c:pt>
                <c:pt idx="14">
                  <c:v>3795.0306367892699</c:v>
                </c:pt>
                <c:pt idx="15">
                  <c:v>3701.46000755776</c:v>
                </c:pt>
                <c:pt idx="16">
                  <c:v>3613.0357629339833</c:v>
                </c:pt>
                <c:pt idx="17">
                  <c:v>3529.4748517645166</c:v>
                </c:pt>
                <c:pt idx="18">
                  <c:v>3450.5097907093677</c:v>
                </c:pt>
                <c:pt idx="19">
                  <c:v>3375.8878080122522</c:v>
                </c:pt>
                <c:pt idx="20">
                  <c:v>3305.370034363481</c:v>
                </c:pt>
                <c:pt idx="21">
                  <c:v>3238.7307382653889</c:v>
                </c:pt>
                <c:pt idx="22">
                  <c:v>3175.7566034526935</c:v>
                </c:pt>
                <c:pt idx="23">
                  <c:v>3116.2460460546972</c:v>
                </c:pt>
                <c:pt idx="24">
                  <c:v>3060.0085693135879</c:v>
                </c:pt>
                <c:pt idx="25">
                  <c:v>3006.8641537932417</c:v>
                </c:pt>
                <c:pt idx="26">
                  <c:v>2956.6426811265155</c:v>
                </c:pt>
                <c:pt idx="27">
                  <c:v>2909.183389456457</c:v>
                </c:pt>
                <c:pt idx="28">
                  <c:v>2864.3343588282532</c:v>
                </c:pt>
              </c:numCache>
            </c:numRef>
          </c:val>
        </c:ser>
        <c:ser>
          <c:idx val="1"/>
          <c:order val="1"/>
          <c:tx>
            <c:strRef>
              <c:f>BUILDINGS!$AF$981</c:f>
              <c:strCache>
                <c:ptCount val="1"/>
                <c:pt idx="0">
                  <c:v>Terraced</c:v>
                </c:pt>
              </c:strCache>
            </c:strRef>
          </c:tx>
          <c:spPr>
            <a:solidFill>
              <a:schemeClr val="accent2"/>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BUILDINGS!$AL$981:$BN$981</c:f>
              <c:numCache>
                <c:formatCode>0.0</c:formatCode>
                <c:ptCount val="29"/>
                <c:pt idx="0">
                  <c:v>0</c:v>
                </c:pt>
                <c:pt idx="1">
                  <c:v>18504.839515652016</c:v>
                </c:pt>
                <c:pt idx="2">
                  <c:v>18465.160874240635</c:v>
                </c:pt>
                <c:pt idx="3">
                  <c:v>18425.879019243366</c:v>
                </c:pt>
                <c:pt idx="4">
                  <c:v>18386.989982796073</c:v>
                </c:pt>
                <c:pt idx="5">
                  <c:v>18348.489836713248</c:v>
                </c:pt>
                <c:pt idx="6">
                  <c:v>18310.374692091256</c:v>
                </c:pt>
                <c:pt idx="7">
                  <c:v>18272.640698915482</c:v>
                </c:pt>
                <c:pt idx="8">
                  <c:v>18235.284045671462</c:v>
                </c:pt>
                <c:pt idx="9">
                  <c:v>18031.877068757793</c:v>
                </c:pt>
                <c:pt idx="10">
                  <c:v>17839.657475574379</c:v>
                </c:pt>
                <c:pt idx="11">
                  <c:v>17658.009960016047</c:v>
                </c:pt>
                <c:pt idx="12">
                  <c:v>17486.353057813423</c:v>
                </c:pt>
                <c:pt idx="13">
                  <c:v>17324.137285231947</c:v>
                </c:pt>
                <c:pt idx="14">
                  <c:v>17170.843380142451</c:v>
                </c:pt>
                <c:pt idx="15">
                  <c:v>17025.980639832876</c:v>
                </c:pt>
                <c:pt idx="16">
                  <c:v>16889.08535024033</c:v>
                </c:pt>
                <c:pt idx="17">
                  <c:v>16759.719301575373</c:v>
                </c:pt>
                <c:pt idx="18">
                  <c:v>16637.468385586988</c:v>
                </c:pt>
                <c:pt idx="19">
                  <c:v>16521.941269977964</c:v>
                </c:pt>
                <c:pt idx="20">
                  <c:v>16412.768145727438</c:v>
                </c:pt>
                <c:pt idx="21">
                  <c:v>16309.599543310689</c:v>
                </c:pt>
                <c:pt idx="22">
                  <c:v>16212.105214026862</c:v>
                </c:pt>
                <c:pt idx="23">
                  <c:v>16119.973072853645</c:v>
                </c:pt>
                <c:pt idx="24">
                  <c:v>16032.908199444955</c:v>
                </c:pt>
                <c:pt idx="25">
                  <c:v>15950.631894073744</c:v>
                </c:pt>
                <c:pt idx="26">
                  <c:v>15872.88078549795</c:v>
                </c:pt>
                <c:pt idx="27">
                  <c:v>15799.405987893824</c:v>
                </c:pt>
                <c:pt idx="28">
                  <c:v>15729.972304157924</c:v>
                </c:pt>
              </c:numCache>
            </c:numRef>
          </c:val>
        </c:ser>
        <c:ser>
          <c:idx val="2"/>
          <c:order val="2"/>
          <c:tx>
            <c:strRef>
              <c:f>BUILDINGS!$AF$982</c:f>
              <c:strCache>
                <c:ptCount val="1"/>
                <c:pt idx="0">
                  <c:v>Semi-detached</c:v>
                </c:pt>
              </c:strCache>
            </c:strRef>
          </c:tx>
          <c:spPr>
            <a:solidFill>
              <a:schemeClr val="accent3"/>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BUILDINGS!$AL$982:$BN$982</c:f>
              <c:numCache>
                <c:formatCode>0.0</c:formatCode>
                <c:ptCount val="29"/>
                <c:pt idx="0">
                  <c:v>0</c:v>
                </c:pt>
                <c:pt idx="1">
                  <c:v>77893.050264105928</c:v>
                </c:pt>
                <c:pt idx="2">
                  <c:v>77726.029609468314</c:v>
                </c:pt>
                <c:pt idx="3">
                  <c:v>77560.679161377077</c:v>
                </c:pt>
                <c:pt idx="4">
                  <c:v>77396.982217766752</c:v>
                </c:pt>
                <c:pt idx="5">
                  <c:v>77234.922243592533</c:v>
                </c:pt>
                <c:pt idx="6">
                  <c:v>77074.482869160041</c:v>
                </c:pt>
                <c:pt idx="7">
                  <c:v>76915.647888471896</c:v>
                </c:pt>
                <c:pt idx="8">
                  <c:v>76758.401257590624</c:v>
                </c:pt>
                <c:pt idx="9">
                  <c:v>75902.193352442089</c:v>
                </c:pt>
                <c:pt idx="10">
                  <c:v>75093.076882076712</c:v>
                </c:pt>
                <c:pt idx="11">
                  <c:v>74328.461817581439</c:v>
                </c:pt>
                <c:pt idx="12">
                  <c:v>73605.90058163341</c:v>
                </c:pt>
                <c:pt idx="13">
                  <c:v>72923.080213662513</c:v>
                </c:pt>
                <c:pt idx="14">
                  <c:v>72277.814965930011</c:v>
                </c:pt>
                <c:pt idx="15">
                  <c:v>71668.039306822815</c:v>
                </c:pt>
                <c:pt idx="16">
                  <c:v>71091.801308966504</c:v>
                </c:pt>
                <c:pt idx="17">
                  <c:v>70547.256400992293</c:v>
                </c:pt>
                <c:pt idx="18">
                  <c:v>70032.661462956661</c:v>
                </c:pt>
                <c:pt idx="19">
                  <c:v>69546.369246512986</c:v>
                </c:pt>
                <c:pt idx="20">
                  <c:v>69086.823101973714</c:v>
                </c:pt>
                <c:pt idx="21">
                  <c:v>68652.551995384114</c:v>
                </c:pt>
                <c:pt idx="22">
                  <c:v>68242.165799656941</c:v>
                </c:pt>
                <c:pt idx="23">
                  <c:v>67854.350844694738</c:v>
                </c:pt>
                <c:pt idx="24">
                  <c:v>67487.865712255472</c:v>
                </c:pt>
                <c:pt idx="25">
                  <c:v>67141.537262100377</c:v>
                </c:pt>
                <c:pt idx="26">
                  <c:v>66814.256876703803</c:v>
                </c:pt>
                <c:pt idx="27">
                  <c:v>66504.976912504033</c:v>
                </c:pt>
                <c:pt idx="28">
                  <c:v>66212.707346335257</c:v>
                </c:pt>
              </c:numCache>
            </c:numRef>
          </c:val>
        </c:ser>
        <c:ser>
          <c:idx val="3"/>
          <c:order val="3"/>
          <c:tx>
            <c:strRef>
              <c:f>BUILDINGS!$AF$983</c:f>
              <c:strCache>
                <c:ptCount val="1"/>
                <c:pt idx="0">
                  <c:v>Detached</c:v>
                </c:pt>
              </c:strCache>
            </c:strRef>
          </c:tx>
          <c:spPr>
            <a:solidFill>
              <a:schemeClr val="accent4"/>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BUILDINGS!$AL$983:$BN$983</c:f>
              <c:numCache>
                <c:formatCode>0.0</c:formatCode>
                <c:ptCount val="29"/>
                <c:pt idx="0">
                  <c:v>0</c:v>
                </c:pt>
                <c:pt idx="1">
                  <c:v>119258.03736097951</c:v>
                </c:pt>
                <c:pt idx="2">
                  <c:v>118903.2457699808</c:v>
                </c:pt>
                <c:pt idx="3">
                  <c:v>118552.00209489209</c:v>
                </c:pt>
                <c:pt idx="4">
                  <c:v>118204.27085655424</c:v>
                </c:pt>
                <c:pt idx="5">
                  <c:v>117860.0169305998</c:v>
                </c:pt>
                <c:pt idx="6">
                  <c:v>117519.20554390489</c:v>
                </c:pt>
                <c:pt idx="7">
                  <c:v>117181.80227107693</c:v>
                </c:pt>
                <c:pt idx="8">
                  <c:v>105527.27211486653</c:v>
                </c:pt>
                <c:pt idx="9">
                  <c:v>92512.535315663976</c:v>
                </c:pt>
                <c:pt idx="10">
                  <c:v>79715.534819282373</c:v>
                </c:pt>
                <c:pt idx="11">
                  <c:v>67124.295129066595</c:v>
                </c:pt>
                <c:pt idx="12">
                  <c:v>54727.499400677501</c:v>
                </c:pt>
                <c:pt idx="13">
                  <c:v>42514.453216214664</c:v>
                </c:pt>
                <c:pt idx="14">
                  <c:v>41143.756374222838</c:v>
                </c:pt>
                <c:pt idx="15">
                  <c:v>39848.447858540574</c:v>
                </c:pt>
                <c:pt idx="16">
                  <c:v>38624.381311220815</c:v>
                </c:pt>
                <c:pt idx="17">
                  <c:v>37467.638424003657</c:v>
                </c:pt>
                <c:pt idx="18">
                  <c:v>36374.516395583443</c:v>
                </c:pt>
                <c:pt idx="19">
                  <c:v>35341.51607872633</c:v>
                </c:pt>
                <c:pt idx="20">
                  <c:v>34365.330779296375</c:v>
                </c:pt>
                <c:pt idx="21">
                  <c:v>33442.835671335051</c:v>
                </c:pt>
                <c:pt idx="22">
                  <c:v>32571.077794311626</c:v>
                </c:pt>
                <c:pt idx="23">
                  <c:v>31747.266600524454</c:v>
                </c:pt>
                <c:pt idx="24">
                  <c:v>30968.765022395601</c:v>
                </c:pt>
                <c:pt idx="25">
                  <c:v>30233.081031063834</c:v>
                </c:pt>
                <c:pt idx="26">
                  <c:v>29537.859659255308</c:v>
                </c:pt>
                <c:pt idx="27">
                  <c:v>28880.875462896249</c:v>
                </c:pt>
                <c:pt idx="28">
                  <c:v>28260.02539733694</c:v>
                </c:pt>
              </c:numCache>
            </c:numRef>
          </c:val>
        </c:ser>
        <c:ser>
          <c:idx val="4"/>
          <c:order val="4"/>
          <c:tx>
            <c:strRef>
              <c:f>BUILDINGS!$AF$984</c:f>
              <c:strCache>
                <c:ptCount val="1"/>
                <c:pt idx="0">
                  <c:v>Retail</c:v>
                </c:pt>
              </c:strCache>
            </c:strRef>
          </c:tx>
          <c:spPr>
            <a:solidFill>
              <a:schemeClr val="accent5"/>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BUILDINGS!$AL$984:$BN$984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
          <c:order val="5"/>
          <c:tx>
            <c:strRef>
              <c:f>BUILDINGS!$AF$985</c:f>
              <c:strCache>
                <c:ptCount val="1"/>
                <c:pt idx="0">
                  <c:v>Health</c:v>
                </c:pt>
              </c:strCache>
            </c:strRef>
          </c:tx>
          <c:spPr>
            <a:solidFill>
              <a:schemeClr val="accent6"/>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BUILDINGS!$AL$985:$BN$985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6"/>
          <c:order val="6"/>
          <c:tx>
            <c:strRef>
              <c:f>BUILDINGS!$AF$986</c:f>
              <c:strCache>
                <c:ptCount val="1"/>
                <c:pt idx="0">
                  <c:v>Hospitality</c:v>
                </c:pt>
              </c:strCache>
            </c:strRef>
          </c:tx>
          <c:spPr>
            <a:solidFill>
              <a:schemeClr val="accent1">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BUILDINGS!$AL$986:$BN$986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7"/>
          <c:order val="7"/>
          <c:tx>
            <c:strRef>
              <c:f>BUILDINGS!$AF$987</c:f>
              <c:strCache>
                <c:ptCount val="1"/>
                <c:pt idx="0">
                  <c:v>Offices</c:v>
                </c:pt>
              </c:strCache>
            </c:strRef>
          </c:tx>
          <c:spPr>
            <a:solidFill>
              <a:schemeClr val="accent2">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BUILDINGS!$AL$987:$BN$987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8"/>
          <c:order val="8"/>
          <c:tx>
            <c:strRef>
              <c:f>BUILDINGS!$AF$988</c:f>
              <c:strCache>
                <c:ptCount val="1"/>
                <c:pt idx="0">
                  <c:v>Industrial</c:v>
                </c:pt>
              </c:strCache>
            </c:strRef>
          </c:tx>
          <c:spPr>
            <a:solidFill>
              <a:schemeClr val="accent3">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BUILDINGS!$AL$988:$BN$988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9"/>
          <c:order val="9"/>
          <c:tx>
            <c:strRef>
              <c:f>BUILDINGS!$AF$989</c:f>
              <c:strCache>
                <c:ptCount val="1"/>
                <c:pt idx="0">
                  <c:v>Warehouses</c:v>
                </c:pt>
              </c:strCache>
            </c:strRef>
          </c:tx>
          <c:spPr>
            <a:solidFill>
              <a:schemeClr val="accent4">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BUILDINGS!$AL$989:$BN$989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0"/>
        <c:overlap val="100"/>
        <c:axId val="622964488"/>
        <c:axId val="622959784"/>
      </c:barChart>
      <c:lineChart>
        <c:grouping val="stacked"/>
        <c:varyColors val="0"/>
        <c:ser>
          <c:idx val="10"/>
          <c:order val="10"/>
          <c:tx>
            <c:strRef>
              <c:f>BUILDINGS!$AF$990</c:f>
              <c:strCache>
                <c:ptCount val="1"/>
                <c:pt idx="0">
                  <c:v>Baseline total</c:v>
                </c:pt>
              </c:strCache>
            </c:strRef>
          </c:tx>
          <c:spPr>
            <a:ln w="25400" cap="rnd">
              <a:solidFill>
                <a:sysClr val="windowText" lastClr="000000"/>
              </a:solidFill>
              <a:prstDash val="dash"/>
              <a:round/>
            </a:ln>
            <a:effectLst/>
          </c:spPr>
          <c:marker>
            <c:symbol val="none"/>
          </c:marker>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BUILDINGS!$AL$990:$BN$990</c:f>
              <c:numCache>
                <c:formatCode>0.0</c:formatCode>
                <c:ptCount val="29"/>
                <c:pt idx="0">
                  <c:v>0</c:v>
                </c:pt>
                <c:pt idx="1">
                  <c:v>227608.68651562839</c:v>
                </c:pt>
                <c:pt idx="2">
                  <c:v>227021.56615728958</c:v>
                </c:pt>
                <c:pt idx="3">
                  <c:v>226440.31700253417</c:v>
                </c:pt>
                <c:pt idx="4">
                  <c:v>225864.88033932631</c:v>
                </c:pt>
                <c:pt idx="5">
                  <c:v>225295.19804275053</c:v>
                </c:pt>
                <c:pt idx="6">
                  <c:v>224731.21256914048</c:v>
                </c:pt>
                <c:pt idx="7">
                  <c:v>224172.86695026659</c:v>
                </c:pt>
                <c:pt idx="8">
                  <c:v>223620.1047875814</c:v>
                </c:pt>
                <c:pt idx="9">
                  <c:v>220610.31481176056</c:v>
                </c:pt>
                <c:pt idx="10">
                  <c:v>217766.06328460987</c:v>
                </c:pt>
                <c:pt idx="11">
                  <c:v>215078.24559145246</c:v>
                </c:pt>
                <c:pt idx="12">
                  <c:v>212538.25787141873</c:v>
                </c:pt>
                <c:pt idx="13">
                  <c:v>210137.96947598684</c:v>
                </c:pt>
                <c:pt idx="14">
                  <c:v>207869.69694230371</c:v>
                </c:pt>
                <c:pt idx="15">
                  <c:v>205726.17939797317</c:v>
                </c:pt>
                <c:pt idx="16">
                  <c:v>203700.55531858077</c:v>
                </c:pt>
                <c:pt idx="17">
                  <c:v>201786.34056355499</c:v>
                </c:pt>
                <c:pt idx="18">
                  <c:v>199977.4076200556</c:v>
                </c:pt>
                <c:pt idx="19">
                  <c:v>198267.96598844868</c:v>
                </c:pt>
                <c:pt idx="20">
                  <c:v>196652.54364658016</c:v>
                </c:pt>
                <c:pt idx="21">
                  <c:v>195125.96953351441</c:v>
                </c:pt>
                <c:pt idx="22">
                  <c:v>193683.35699666728</c:v>
                </c:pt>
                <c:pt idx="23">
                  <c:v>192320.08814934667</c:v>
                </c:pt>
                <c:pt idx="24">
                  <c:v>191031.79908862876</c:v>
                </c:pt>
                <c:pt idx="25">
                  <c:v>189814.36592625035</c:v>
                </c:pt>
                <c:pt idx="26">
                  <c:v>188663.89158780273</c:v>
                </c:pt>
                <c:pt idx="27">
                  <c:v>187576.69333796971</c:v>
                </c:pt>
                <c:pt idx="28">
                  <c:v>186549.2909918775</c:v>
                </c:pt>
              </c:numCache>
            </c:numRef>
          </c:val>
          <c:smooth val="0"/>
        </c:ser>
        <c:dLbls>
          <c:showLegendKey val="0"/>
          <c:showVal val="0"/>
          <c:showCatName val="0"/>
          <c:showSerName val="0"/>
          <c:showPercent val="0"/>
          <c:showBubbleSize val="0"/>
        </c:dLbls>
        <c:marker val="1"/>
        <c:smooth val="0"/>
        <c:axId val="622964488"/>
        <c:axId val="622959784"/>
      </c:lineChart>
      <c:catAx>
        <c:axId val="622964488"/>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59784"/>
        <c:crosses val="autoZero"/>
        <c:auto val="1"/>
        <c:lblAlgn val="ctr"/>
        <c:lblOffset val="100"/>
        <c:noMultiLvlLbl val="0"/>
      </c:catAx>
      <c:valAx>
        <c:axId val="622959784"/>
        <c:scaling>
          <c:orientation val="minMax"/>
        </c:scaling>
        <c:delete val="0"/>
        <c:axPos val="l"/>
        <c:majorGridlines>
          <c:spPr>
            <a:ln w="6350"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6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0</c:v>
                </c:pt>
                <c:pt idx="1">
                  <c:v>180367.52739132344</c:v>
                </c:pt>
                <c:pt idx="2">
                  <c:v>182033.98806182054</c:v>
                </c:pt>
                <c:pt idx="3">
                  <c:v>169984.95683776485</c:v>
                </c:pt>
                <c:pt idx="4">
                  <c:v>157684.78384951304</c:v>
                </c:pt>
                <c:pt idx="5">
                  <c:v>145149.0875214487</c:v>
                </c:pt>
                <c:pt idx="6">
                  <c:v>132374.58747127731</c:v>
                </c:pt>
                <c:pt idx="7">
                  <c:v>119357.97025874579</c:v>
                </c:pt>
                <c:pt idx="8">
                  <c:v>157416.7487155897</c:v>
                </c:pt>
                <c:pt idx="9">
                  <c:v>207369.21038216402</c:v>
                </c:pt>
                <c:pt idx="10">
                  <c:v>256182.78676784493</c:v>
                </c:pt>
                <c:pt idx="11">
                  <c:v>304253.49955028569</c:v>
                </c:pt>
                <c:pt idx="12">
                  <c:v>351826.65044255776</c:v>
                </c:pt>
                <c:pt idx="13">
                  <c:v>399074.51052522135</c:v>
                </c:pt>
                <c:pt idx="14">
                  <c:v>400669.86926899425</c:v>
                </c:pt>
                <c:pt idx="15">
                  <c:v>402272.46213672956</c:v>
                </c:pt>
                <c:pt idx="16">
                  <c:v>403882.29767089704</c:v>
                </c:pt>
                <c:pt idx="17">
                  <c:v>405497.99162402272</c:v>
                </c:pt>
                <c:pt idx="18">
                  <c:v>407120.94222070102</c:v>
                </c:pt>
                <c:pt idx="19">
                  <c:v>408753.25422643125</c:v>
                </c:pt>
                <c:pt idx="20">
                  <c:v>410392.90101973573</c:v>
                </c:pt>
                <c:pt idx="21">
                  <c:v>412039.89296786999</c:v>
                </c:pt>
                <c:pt idx="22">
                  <c:v>413692.83383465756</c:v>
                </c:pt>
                <c:pt idx="23">
                  <c:v>415353.13743825053</c:v>
                </c:pt>
                <c:pt idx="24">
                  <c:v>417017.43283429573</c:v>
                </c:pt>
                <c:pt idx="25">
                  <c:v>418688.98914228834</c:v>
                </c:pt>
                <c:pt idx="26">
                  <c:v>420367.89473451849</c:v>
                </c:pt>
                <c:pt idx="27">
                  <c:v>422054.16567620629</c:v>
                </c:pt>
                <c:pt idx="28">
                  <c:v>423746.39433144539</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0</c:v>
                </c:pt>
                <c:pt idx="1">
                  <c:v>227608.68651562839</c:v>
                </c:pt>
                <c:pt idx="2">
                  <c:v>227021.56615728958</c:v>
                </c:pt>
                <c:pt idx="3">
                  <c:v>226440.31700253417</c:v>
                </c:pt>
                <c:pt idx="4">
                  <c:v>225864.88033932631</c:v>
                </c:pt>
                <c:pt idx="5">
                  <c:v>225295.19804275053</c:v>
                </c:pt>
                <c:pt idx="6">
                  <c:v>224731.21256914048</c:v>
                </c:pt>
                <c:pt idx="7">
                  <c:v>224172.86695026659</c:v>
                </c:pt>
                <c:pt idx="8">
                  <c:v>205003.53809463346</c:v>
                </c:pt>
                <c:pt idx="9">
                  <c:v>190797.80053195285</c:v>
                </c:pt>
                <c:pt idx="10">
                  <c:v>176875.30431408447</c:v>
                </c:pt>
                <c:pt idx="11">
                  <c:v>163220.47116706369</c:v>
                </c:pt>
                <c:pt idx="12">
                  <c:v>149818.57962199385</c:v>
                </c:pt>
                <c:pt idx="13">
                  <c:v>136655.71789076773</c:v>
                </c:pt>
                <c:pt idx="14">
                  <c:v>134387.44535708457</c:v>
                </c:pt>
                <c:pt idx="15">
                  <c:v>132243.92781275403</c:v>
                </c:pt>
                <c:pt idx="16">
                  <c:v>130218.30373336162</c:v>
                </c:pt>
                <c:pt idx="17">
                  <c:v>128304.08897833584</c:v>
                </c:pt>
                <c:pt idx="18">
                  <c:v>126495.15603483646</c:v>
                </c:pt>
                <c:pt idx="19">
                  <c:v>124785.71440322953</c:v>
                </c:pt>
                <c:pt idx="20">
                  <c:v>123170.292061361</c:v>
                </c:pt>
                <c:pt idx="21">
                  <c:v>121643.71794829523</c:v>
                </c:pt>
                <c:pt idx="22">
                  <c:v>120201.10541144812</c:v>
                </c:pt>
                <c:pt idx="23">
                  <c:v>118837.83656412753</c:v>
                </c:pt>
                <c:pt idx="24">
                  <c:v>117549.54750340962</c:v>
                </c:pt>
                <c:pt idx="25">
                  <c:v>116332.11434103119</c:v>
                </c:pt>
                <c:pt idx="26">
                  <c:v>115181.64000258358</c:v>
                </c:pt>
                <c:pt idx="27">
                  <c:v>114094.44175275057</c:v>
                </c:pt>
                <c:pt idx="28">
                  <c:v>113067.03940665837</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-35229.850691366286</c:v>
                </c:pt>
                <c:pt idx="4">
                  <c:v>-35229.850691366286</c:v>
                </c:pt>
                <c:pt idx="5">
                  <c:v>-35229.850691366286</c:v>
                </c:pt>
                <c:pt idx="6">
                  <c:v>-35229.850691366286</c:v>
                </c:pt>
                <c:pt idx="7">
                  <c:v>-35229.850691366286</c:v>
                </c:pt>
                <c:pt idx="8">
                  <c:v>-35229.850691366286</c:v>
                </c:pt>
                <c:pt idx="9">
                  <c:v>-35229.850691366286</c:v>
                </c:pt>
                <c:pt idx="10">
                  <c:v>-35229.850691366286</c:v>
                </c:pt>
                <c:pt idx="11">
                  <c:v>-35229.850691366286</c:v>
                </c:pt>
                <c:pt idx="12">
                  <c:v>-35229.850691366286</c:v>
                </c:pt>
                <c:pt idx="13">
                  <c:v>-35229.850691366286</c:v>
                </c:pt>
                <c:pt idx="14">
                  <c:v>-35229.850691366286</c:v>
                </c:pt>
                <c:pt idx="15">
                  <c:v>-35229.850691366286</c:v>
                </c:pt>
                <c:pt idx="16">
                  <c:v>-35229.850691366286</c:v>
                </c:pt>
                <c:pt idx="17">
                  <c:v>-35229.850691366286</c:v>
                </c:pt>
                <c:pt idx="18">
                  <c:v>-35229.850691366286</c:v>
                </c:pt>
                <c:pt idx="19">
                  <c:v>-35229.850691366286</c:v>
                </c:pt>
                <c:pt idx="20">
                  <c:v>-35229.850691366286</c:v>
                </c:pt>
                <c:pt idx="21">
                  <c:v>-35229.850691366286</c:v>
                </c:pt>
                <c:pt idx="22">
                  <c:v>-35229.850691366286</c:v>
                </c:pt>
                <c:pt idx="23">
                  <c:v>-8805.061101593461</c:v>
                </c:pt>
                <c:pt idx="24">
                  <c:v>-8805.061101593461</c:v>
                </c:pt>
                <c:pt idx="25">
                  <c:v>-8805.061101593461</c:v>
                </c:pt>
                <c:pt idx="26">
                  <c:v>-8805.061101593461</c:v>
                </c:pt>
                <c:pt idx="27">
                  <c:v>-8805.061101593461</c:v>
                </c:pt>
                <c:pt idx="28">
                  <c:v>-8805.061101593461</c:v>
                </c:pt>
              </c:numCache>
            </c:numRef>
          </c:val>
        </c:ser>
        <c:dLbls>
          <c:showLegendKey val="0"/>
          <c:showVal val="0"/>
          <c:showCatName val="0"/>
          <c:showSerName val="0"/>
          <c:showPercent val="0"/>
          <c:showBubbleSize val="0"/>
        </c:dLbls>
        <c:gapWidth val="0"/>
        <c:overlap val="100"/>
        <c:axId val="622968408"/>
        <c:axId val="622964880"/>
      </c:barChart>
      <c:lineChart>
        <c:grouping val="standard"/>
        <c:varyColors val="0"/>
        <c:ser>
          <c:idx val="6"/>
          <c:order val="4"/>
          <c:tx>
            <c:strRef>
              <c:f>RESULTS!$B$13</c:f>
              <c:strCache>
                <c:ptCount val="1"/>
                <c:pt idx="0">
                  <c:v>net balance</c:v>
                </c:pt>
              </c:strCache>
            </c:strRef>
          </c:tx>
          <c:spPr>
            <a:ln w="19050" cap="rnd">
              <a:solidFill>
                <a:sysClr val="windowText" lastClr="000000"/>
              </a:solidFill>
              <a:prstDash val="sysDash"/>
              <a:round/>
            </a:ln>
            <a:effectLst/>
          </c:spPr>
          <c:marker>
            <c:symbol val="none"/>
          </c:marker>
          <c:val>
            <c:numRef>
              <c:f>RESULTS!$C$13:$AE$13</c:f>
              <c:numCache>
                <c:formatCode>#,##0</c:formatCode>
                <c:ptCount val="29"/>
                <c:pt idx="0">
                  <c:v>0</c:v>
                </c:pt>
                <c:pt idx="1">
                  <c:v>407976.21390695183</c:v>
                </c:pt>
                <c:pt idx="2">
                  <c:v>409055.55421911011</c:v>
                </c:pt>
                <c:pt idx="3">
                  <c:v>361195.42314893269</c:v>
                </c:pt>
                <c:pt idx="4">
                  <c:v>348319.81349747308</c:v>
                </c:pt>
                <c:pt idx="5">
                  <c:v>335214.43487283291</c:v>
                </c:pt>
                <c:pt idx="6">
                  <c:v>321875.94934905152</c:v>
                </c:pt>
                <c:pt idx="7">
                  <c:v>308300.98651764606</c:v>
                </c:pt>
                <c:pt idx="8">
                  <c:v>327190.43611885683</c:v>
                </c:pt>
                <c:pt idx="9">
                  <c:v>362937.16022275056</c:v>
                </c:pt>
                <c:pt idx="10">
                  <c:v>397828.24039056309</c:v>
                </c:pt>
                <c:pt idx="11">
                  <c:v>432244.12002598308</c:v>
                </c:pt>
                <c:pt idx="12">
                  <c:v>466415.37937318528</c:v>
                </c:pt>
                <c:pt idx="13">
                  <c:v>500500.37772462278</c:v>
                </c:pt>
                <c:pt idx="14">
                  <c:v>499827.46393471252</c:v>
                </c:pt>
                <c:pt idx="15">
                  <c:v>499286.53925811726</c:v>
                </c:pt>
                <c:pt idx="16">
                  <c:v>498870.75071289233</c:v>
                </c:pt>
                <c:pt idx="17">
                  <c:v>498572.22991099226</c:v>
                </c:pt>
                <c:pt idx="18">
                  <c:v>498386.24756417115</c:v>
                </c:pt>
                <c:pt idx="19">
                  <c:v>498309.11793829448</c:v>
                </c:pt>
                <c:pt idx="20">
                  <c:v>498333.34238973045</c:v>
                </c:pt>
                <c:pt idx="21">
                  <c:v>498453.76022479887</c:v>
                </c:pt>
                <c:pt idx="22">
                  <c:v>498664.08855473943</c:v>
                </c:pt>
                <c:pt idx="23">
                  <c:v>525385.91290078463</c:v>
                </c:pt>
                <c:pt idx="24">
                  <c:v>525761.91923611192</c:v>
                </c:pt>
                <c:pt idx="25">
                  <c:v>526216.04238172609</c:v>
                </c:pt>
                <c:pt idx="26">
                  <c:v>526744.47363550868</c:v>
                </c:pt>
                <c:pt idx="27">
                  <c:v>527343.54632736347</c:v>
                </c:pt>
                <c:pt idx="28">
                  <c:v>528008.37263651029</c:v>
                </c:pt>
              </c:numCache>
            </c:numRef>
          </c:val>
          <c:smooth val="0"/>
        </c:ser>
        <c:dLbls>
          <c:showLegendKey val="0"/>
          <c:showVal val="0"/>
          <c:showCatName val="0"/>
          <c:showSerName val="0"/>
          <c:showPercent val="0"/>
          <c:showBubbleSize val="0"/>
        </c:dLbls>
        <c:marker val="1"/>
        <c:smooth val="0"/>
        <c:axId val="622968408"/>
        <c:axId val="622964880"/>
      </c:lineChart>
      <c:catAx>
        <c:axId val="622968408"/>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22964880"/>
        <c:crosses val="autoZero"/>
        <c:auto val="1"/>
        <c:lblAlgn val="ctr"/>
        <c:lblOffset val="100"/>
        <c:noMultiLvlLbl val="0"/>
      </c:catAx>
      <c:valAx>
        <c:axId val="622964880"/>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68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c:v>
                </c:pt>
                <c:pt idx="1">
                  <c:v>0.92523687759089079</c:v>
                </c:pt>
                <c:pt idx="2">
                  <c:v>0.92914304121062363</c:v>
                </c:pt>
                <c:pt idx="3">
                  <c:v>0.86332795062223444</c:v>
                </c:pt>
                <c:pt idx="4">
                  <c:v>0.79687477624969316</c:v>
                </c:pt>
                <c:pt idx="5">
                  <c:v>0.72987653881694747</c:v>
                </c:pt>
                <c:pt idx="6">
                  <c:v>0.66232994501844922</c:v>
                </c:pt>
                <c:pt idx="7">
                  <c:v>0.59423168389456282</c:v>
                </c:pt>
                <c:pt idx="8">
                  <c:v>0.66929458888081406</c:v>
                </c:pt>
                <c:pt idx="9">
                  <c:v>0.77107844445910156</c:v>
                </c:pt>
                <c:pt idx="10">
                  <c:v>0.84640678085394683</c:v>
                </c:pt>
                <c:pt idx="11">
                  <c:v>0.90441545722702332</c:v>
                </c:pt>
                <c:pt idx="12">
                  <c:v>0.95050263797874834</c:v>
                </c:pt>
                <c:pt idx="13">
                  <c:v>0.98808456455697102</c:v>
                </c:pt>
                <c:pt idx="14">
                  <c:v>0.99005636176714817</c:v>
                </c:pt>
                <c:pt idx="15">
                  <c:v>0.99203325779767237</c:v>
                </c:pt>
                <c:pt idx="16">
                  <c:v>0.99401521402387572</c:v>
                </c:pt>
                <c:pt idx="17">
                  <c:v>0.99600121737256453</c:v>
                </c:pt>
                <c:pt idx="18">
                  <c:v>0.99799221017968576</c:v>
                </c:pt>
                <c:pt idx="19">
                  <c:v>0.9999957290465713</c:v>
                </c:pt>
                <c:pt idx="20">
                  <c:v>1.0020042898922186</c:v>
                </c:pt>
                <c:pt idx="21">
                  <c:v>1.0040178585004789</c:v>
                </c:pt>
                <c:pt idx="22">
                  <c:v>1.0060354266657692</c:v>
                </c:pt>
                <c:pt idx="23">
                  <c:v>1.0080579405975991</c:v>
                </c:pt>
                <c:pt idx="24">
                  <c:v>1.0100796230024409</c:v>
                </c:pt>
                <c:pt idx="25">
                  <c:v>1.0121059201227234</c:v>
                </c:pt>
                <c:pt idx="26">
                  <c:v>1.0141369882716822</c:v>
                </c:pt>
                <c:pt idx="27">
                  <c:v>1.016172808288706</c:v>
                </c:pt>
                <c:pt idx="28">
                  <c:v>1.0182123866895871</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0</c:v>
                </c:pt>
                <c:pt idx="1">
                  <c:v>1.1675713110341968</c:v>
                </c:pt>
                <c:pt idx="2">
                  <c:v>1.158769912397607</c:v>
                </c:pt>
                <c:pt idx="3">
                  <c:v>1.1500562076362233</c:v>
                </c:pt>
                <c:pt idx="4">
                  <c:v>1.1414292589882014</c:v>
                </c:pt>
                <c:pt idx="5">
                  <c:v>1.1328881370695665</c:v>
                </c:pt>
                <c:pt idx="6">
                  <c:v>1.1244319208711036</c:v>
                </c:pt>
                <c:pt idx="7">
                  <c:v>1.1160596977525084</c:v>
                </c:pt>
                <c:pt idx="8">
                  <c:v>0.87162109411913991</c:v>
                </c:pt>
                <c:pt idx="9">
                  <c:v>0.70945957198402898</c:v>
                </c:pt>
                <c:pt idx="10">
                  <c:v>0.58438140526870586</c:v>
                </c:pt>
                <c:pt idx="11">
                  <c:v>0.48518461505805044</c:v>
                </c:pt>
                <c:pt idx="12">
                  <c:v>0.40475317878792766</c:v>
                </c:pt>
                <c:pt idx="13">
                  <c:v>0.33835136533428345</c:v>
                </c:pt>
                <c:pt idx="14">
                  <c:v>0.33207175139014805</c:v>
                </c:pt>
                <c:pt idx="15">
                  <c:v>0.32612317988462236</c:v>
                </c:pt>
                <c:pt idx="16">
                  <c:v>0.32048687402688958</c:v>
                </c:pt>
                <c:pt idx="17">
                  <c:v>0.31514589826819178</c:v>
                </c:pt>
                <c:pt idx="18">
                  <c:v>0.31008274754825821</c:v>
                </c:pt>
                <c:pt idx="19">
                  <c:v>0.30528241710371623</c:v>
                </c:pt>
                <c:pt idx="20">
                  <c:v>0.30072927851845588</c:v>
                </c:pt>
                <c:pt idx="21">
                  <c:v>0.2964093217158642</c:v>
                </c:pt>
                <c:pt idx="22">
                  <c:v>0.29231004377666969</c:v>
                </c:pt>
                <c:pt idx="23">
                  <c:v>0.28841824942207911</c:v>
                </c:pt>
                <c:pt idx="24">
                  <c:v>0.2847228755387099</c:v>
                </c:pt>
                <c:pt idx="25">
                  <c:v>0.28121212804318108</c:v>
                </c:pt>
                <c:pt idx="26">
                  <c:v>0.27787555367467837</c:v>
                </c:pt>
                <c:pt idx="27">
                  <c:v>0.27470329335636018</c:v>
                </c:pt>
                <c:pt idx="28">
                  <c:v>0.27168670126814082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-0.17892709663204392</c:v>
                </c:pt>
                <c:pt idx="4">
                  <c:v>-0.17803733944160971</c:v>
                </c:pt>
                <c:pt idx="5">
                  <c:v>-0.17715193339987473</c:v>
                </c:pt>
                <c:pt idx="6">
                  <c:v>-0.17627088036428279</c:v>
                </c:pt>
                <c:pt idx="7">
                  <c:v>-0.17539418150545047</c:v>
                </c:pt>
                <c:pt idx="8">
                  <c:v>-0.14978805385830785</c:v>
                </c:pt>
                <c:pt idx="9">
                  <c:v>-0.13099812850500972</c:v>
                </c:pt>
                <c:pt idx="10">
                  <c:v>-0.11639651863365266</c:v>
                </c:pt>
                <c:pt idx="11">
                  <c:v>-0.10472327045758671</c:v>
                </c:pt>
                <c:pt idx="12">
                  <c:v>-9.5177741582735245E-2</c:v>
                </c:pt>
                <c:pt idx="13">
                  <c:v>-8.7226998371738348E-2</c:v>
                </c:pt>
                <c:pt idx="14">
                  <c:v>-8.7053059080110615E-2</c:v>
                </c:pt>
                <c:pt idx="15">
                  <c:v>-8.6879383608422844E-2</c:v>
                </c:pt>
                <c:pt idx="16">
                  <c:v>-8.6705972945471443E-2</c:v>
                </c:pt>
                <c:pt idx="17">
                  <c:v>-8.6533040609949471E-2</c:v>
                </c:pt>
                <c:pt idx="18">
                  <c:v>-8.636037331805238E-2</c:v>
                </c:pt>
                <c:pt idx="19">
                  <c:v>-8.6188182875723315E-2</c:v>
                </c:pt>
                <c:pt idx="20">
                  <c:v>-8.6016257682083458E-2</c:v>
                </c:pt>
                <c:pt idx="21">
                  <c:v>-8.5844598666555277E-2</c:v>
                </c:pt>
                <c:pt idx="22">
                  <c:v>-8.5673415087063054E-2</c:v>
                </c:pt>
                <c:pt idx="23">
                  <c:v>-2.1369795869732425E-2</c:v>
                </c:pt>
                <c:pt idx="24">
                  <c:v>-2.132719665353891E-2</c:v>
                </c:pt>
                <c:pt idx="25">
                  <c:v>-2.1284664032414979E-2</c:v>
                </c:pt>
                <c:pt idx="26">
                  <c:v>-2.1242198224385202E-2</c:v>
                </c:pt>
                <c:pt idx="27">
                  <c:v>-2.119979944380939E-2</c:v>
                </c:pt>
                <c:pt idx="28">
                  <c:v>-2.1157518740297671E-2</c:v>
                </c:pt>
              </c:numCache>
            </c:numRef>
          </c:val>
        </c:ser>
        <c:dLbls>
          <c:showLegendKey val="0"/>
          <c:showVal val="0"/>
          <c:showCatName val="0"/>
          <c:showSerName val="0"/>
          <c:showPercent val="0"/>
          <c:showBubbleSize val="0"/>
        </c:dLbls>
        <c:gapWidth val="0"/>
        <c:overlap val="100"/>
        <c:axId val="622957824"/>
        <c:axId val="622968016"/>
      </c:barChart>
      <c:lineChart>
        <c:grouping val="stacked"/>
        <c:varyColors val="0"/>
        <c:ser>
          <c:idx val="6"/>
          <c:order val="4"/>
          <c:tx>
            <c:strRef>
              <c:f>RESULTS!$B$24</c:f>
              <c:strCache>
                <c:ptCount val="1"/>
                <c:pt idx="0">
                  <c:v>net balance</c:v>
                </c:pt>
              </c:strCache>
            </c:strRef>
          </c:tx>
          <c:spPr>
            <a:ln w="19050" cap="rnd">
              <a:solidFill>
                <a:sysClr val="windowText" lastClr="000000"/>
              </a:solidFill>
              <a:prstDash val="sysDash"/>
              <a:round/>
            </a:ln>
            <a:effectLst/>
          </c:spPr>
          <c:marker>
            <c:symbol val="none"/>
          </c:marker>
          <c:val>
            <c:numRef>
              <c:f>RESULTS!$C$24:$AE$24</c:f>
              <c:numCache>
                <c:formatCode>#,##0.000</c:formatCode>
                <c:ptCount val="29"/>
                <c:pt idx="0">
                  <c:v>0</c:v>
                </c:pt>
                <c:pt idx="1">
                  <c:v>2.0928081886250878</c:v>
                </c:pt>
                <c:pt idx="2">
                  <c:v>2.0879129536082308</c:v>
                </c:pt>
                <c:pt idx="3">
                  <c:v>1.8344570616264138</c:v>
                </c:pt>
                <c:pt idx="4">
                  <c:v>1.7602666957962847</c:v>
                </c:pt>
                <c:pt idx="5">
                  <c:v>1.6856127424866392</c:v>
                </c:pt>
                <c:pt idx="6">
                  <c:v>1.61049098552527</c:v>
                </c:pt>
                <c:pt idx="7">
                  <c:v>1.5348972001416206</c:v>
                </c:pt>
                <c:pt idx="8">
                  <c:v>1.3911276291416461</c:v>
                </c:pt>
                <c:pt idx="9">
                  <c:v>1.3495398879381209</c:v>
                </c:pt>
                <c:pt idx="10">
                  <c:v>1.3143916674889999</c:v>
                </c:pt>
                <c:pt idx="11">
                  <c:v>1.284876801827487</c:v>
                </c:pt>
                <c:pt idx="12">
                  <c:v>1.2600780751839407</c:v>
                </c:pt>
                <c:pt idx="13">
                  <c:v>1.2392089315195161</c:v>
                </c:pt>
                <c:pt idx="14">
                  <c:v>1.2350750540771855</c:v>
                </c:pt>
                <c:pt idx="15">
                  <c:v>1.231277054073872</c:v>
                </c:pt>
                <c:pt idx="16">
                  <c:v>1.2277961151052939</c:v>
                </c:pt>
                <c:pt idx="17">
                  <c:v>1.224614075030807</c:v>
                </c:pt>
                <c:pt idx="18">
                  <c:v>1.2217145844098916</c:v>
                </c:pt>
                <c:pt idx="19">
                  <c:v>1.2190899632745642</c:v>
                </c:pt>
                <c:pt idx="20">
                  <c:v>1.2167173107285909</c:v>
                </c:pt>
                <c:pt idx="21">
                  <c:v>1.2145825815497879</c:v>
                </c:pt>
                <c:pt idx="22">
                  <c:v>1.2126720553553758</c:v>
                </c:pt>
                <c:pt idx="23">
                  <c:v>1.2751063941499456</c:v>
                </c:pt>
                <c:pt idx="24">
                  <c:v>1.2734753018876119</c:v>
                </c:pt>
                <c:pt idx="25">
                  <c:v>1.2720333841334894</c:v>
                </c:pt>
                <c:pt idx="26">
                  <c:v>1.2707703437219755</c:v>
                </c:pt>
                <c:pt idx="27">
                  <c:v>1.2696763022012569</c:v>
                </c:pt>
                <c:pt idx="28">
                  <c:v>1.2687415692174302</c:v>
                </c:pt>
              </c:numCache>
            </c:numRef>
          </c:val>
          <c:smooth val="0"/>
        </c:ser>
        <c:dLbls>
          <c:showLegendKey val="0"/>
          <c:showVal val="0"/>
          <c:showCatName val="0"/>
          <c:showSerName val="0"/>
          <c:showPercent val="0"/>
          <c:showBubbleSize val="0"/>
        </c:dLbls>
        <c:marker val="1"/>
        <c:smooth val="0"/>
        <c:axId val="622957824"/>
        <c:axId val="622968016"/>
      </c:lineChart>
      <c:catAx>
        <c:axId val="62295782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622968016"/>
        <c:crosses val="autoZero"/>
        <c:auto val="1"/>
        <c:lblAlgn val="ctr"/>
        <c:lblOffset val="100"/>
        <c:noMultiLvlLbl val="0"/>
      </c:catAx>
      <c:valAx>
        <c:axId val="622968016"/>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57824"/>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0</c:v>
                </c:pt>
                <c:pt idx="1">
                  <c:v>180367.52739132344</c:v>
                </c:pt>
                <c:pt idx="2">
                  <c:v>182033.98806182054</c:v>
                </c:pt>
                <c:pt idx="3">
                  <c:v>169984.95683776485</c:v>
                </c:pt>
                <c:pt idx="4">
                  <c:v>157684.78384951304</c:v>
                </c:pt>
                <c:pt idx="5">
                  <c:v>145149.0875214487</c:v>
                </c:pt>
                <c:pt idx="6">
                  <c:v>132374.58747127731</c:v>
                </c:pt>
                <c:pt idx="7">
                  <c:v>119357.97025874579</c:v>
                </c:pt>
                <c:pt idx="8">
                  <c:v>157416.7487155897</c:v>
                </c:pt>
                <c:pt idx="9">
                  <c:v>207369.21038216402</c:v>
                </c:pt>
                <c:pt idx="10">
                  <c:v>256182.78676784493</c:v>
                </c:pt>
                <c:pt idx="11">
                  <c:v>304253.49955028569</c:v>
                </c:pt>
                <c:pt idx="12">
                  <c:v>351826.65044255776</c:v>
                </c:pt>
                <c:pt idx="13">
                  <c:v>399074.51052522135</c:v>
                </c:pt>
                <c:pt idx="14">
                  <c:v>400669.86926899425</c:v>
                </c:pt>
                <c:pt idx="15">
                  <c:v>402272.46213672956</c:v>
                </c:pt>
                <c:pt idx="16">
                  <c:v>403882.29767089704</c:v>
                </c:pt>
                <c:pt idx="17">
                  <c:v>405497.99162402272</c:v>
                </c:pt>
                <c:pt idx="18">
                  <c:v>407120.94222070102</c:v>
                </c:pt>
                <c:pt idx="19">
                  <c:v>408753.25422643125</c:v>
                </c:pt>
                <c:pt idx="20">
                  <c:v>410392.90101973573</c:v>
                </c:pt>
                <c:pt idx="21">
                  <c:v>412039.89296786999</c:v>
                </c:pt>
                <c:pt idx="22">
                  <c:v>413692.83383465756</c:v>
                </c:pt>
                <c:pt idx="23">
                  <c:v>415353.13743825053</c:v>
                </c:pt>
                <c:pt idx="24">
                  <c:v>417017.43283429573</c:v>
                </c:pt>
                <c:pt idx="25">
                  <c:v>418688.98914228834</c:v>
                </c:pt>
                <c:pt idx="26">
                  <c:v>420367.89473451849</c:v>
                </c:pt>
                <c:pt idx="27">
                  <c:v>422054.16567620629</c:v>
                </c:pt>
                <c:pt idx="28">
                  <c:v>423746.39433144539</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0</c:v>
                </c:pt>
                <c:pt idx="1">
                  <c:v>227608.68651562839</c:v>
                </c:pt>
                <c:pt idx="2">
                  <c:v>227021.56615728958</c:v>
                </c:pt>
                <c:pt idx="3">
                  <c:v>226440.31700253417</c:v>
                </c:pt>
                <c:pt idx="4">
                  <c:v>225864.88033932631</c:v>
                </c:pt>
                <c:pt idx="5">
                  <c:v>225295.19804275053</c:v>
                </c:pt>
                <c:pt idx="6">
                  <c:v>224731.21256914048</c:v>
                </c:pt>
                <c:pt idx="7">
                  <c:v>224172.86695026659</c:v>
                </c:pt>
                <c:pt idx="8">
                  <c:v>205003.53809463346</c:v>
                </c:pt>
                <c:pt idx="9">
                  <c:v>190797.80053195285</c:v>
                </c:pt>
                <c:pt idx="10">
                  <c:v>176875.30431408447</c:v>
                </c:pt>
                <c:pt idx="11">
                  <c:v>163220.47116706369</c:v>
                </c:pt>
                <c:pt idx="12">
                  <c:v>149818.57962199385</c:v>
                </c:pt>
                <c:pt idx="13">
                  <c:v>136655.71789076773</c:v>
                </c:pt>
                <c:pt idx="14">
                  <c:v>134387.44535708457</c:v>
                </c:pt>
                <c:pt idx="15">
                  <c:v>132243.92781275403</c:v>
                </c:pt>
                <c:pt idx="16">
                  <c:v>130218.30373336162</c:v>
                </c:pt>
                <c:pt idx="17">
                  <c:v>128304.08897833584</c:v>
                </c:pt>
                <c:pt idx="18">
                  <c:v>126495.15603483646</c:v>
                </c:pt>
                <c:pt idx="19">
                  <c:v>124785.71440322953</c:v>
                </c:pt>
                <c:pt idx="20">
                  <c:v>123170.292061361</c:v>
                </c:pt>
                <c:pt idx="21">
                  <c:v>121643.71794829523</c:v>
                </c:pt>
                <c:pt idx="22">
                  <c:v>120201.10541144812</c:v>
                </c:pt>
                <c:pt idx="23">
                  <c:v>118837.83656412753</c:v>
                </c:pt>
                <c:pt idx="24">
                  <c:v>117549.54750340962</c:v>
                </c:pt>
                <c:pt idx="25">
                  <c:v>116332.11434103119</c:v>
                </c:pt>
                <c:pt idx="26">
                  <c:v>115181.64000258358</c:v>
                </c:pt>
                <c:pt idx="27">
                  <c:v>114094.44175275057</c:v>
                </c:pt>
                <c:pt idx="28">
                  <c:v>113067.03940665837</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-35229.850691366286</c:v>
                </c:pt>
                <c:pt idx="4">
                  <c:v>-35229.850691366286</c:v>
                </c:pt>
                <c:pt idx="5">
                  <c:v>-35229.850691366286</c:v>
                </c:pt>
                <c:pt idx="6">
                  <c:v>-35229.850691366286</c:v>
                </c:pt>
                <c:pt idx="7">
                  <c:v>-35229.850691366286</c:v>
                </c:pt>
                <c:pt idx="8">
                  <c:v>-35229.850691366286</c:v>
                </c:pt>
                <c:pt idx="9">
                  <c:v>-35229.850691366286</c:v>
                </c:pt>
                <c:pt idx="10">
                  <c:v>-35229.850691366286</c:v>
                </c:pt>
                <c:pt idx="11">
                  <c:v>-35229.850691366286</c:v>
                </c:pt>
                <c:pt idx="12">
                  <c:v>-35229.850691366286</c:v>
                </c:pt>
                <c:pt idx="13">
                  <c:v>-35229.850691366286</c:v>
                </c:pt>
                <c:pt idx="14">
                  <c:v>-35229.850691366286</c:v>
                </c:pt>
                <c:pt idx="15">
                  <c:v>-35229.850691366286</c:v>
                </c:pt>
                <c:pt idx="16">
                  <c:v>-35229.850691366286</c:v>
                </c:pt>
                <c:pt idx="17">
                  <c:v>-35229.850691366286</c:v>
                </c:pt>
                <c:pt idx="18">
                  <c:v>-35229.850691366286</c:v>
                </c:pt>
                <c:pt idx="19">
                  <c:v>-35229.850691366286</c:v>
                </c:pt>
                <c:pt idx="20">
                  <c:v>-35229.850691366286</c:v>
                </c:pt>
                <c:pt idx="21">
                  <c:v>-35229.850691366286</c:v>
                </c:pt>
                <c:pt idx="22">
                  <c:v>-35229.850691366286</c:v>
                </c:pt>
                <c:pt idx="23">
                  <c:v>-8805.061101593461</c:v>
                </c:pt>
                <c:pt idx="24">
                  <c:v>-8805.061101593461</c:v>
                </c:pt>
                <c:pt idx="25">
                  <c:v>-8805.061101593461</c:v>
                </c:pt>
                <c:pt idx="26">
                  <c:v>-8805.061101593461</c:v>
                </c:pt>
                <c:pt idx="27">
                  <c:v>-8805.061101593461</c:v>
                </c:pt>
                <c:pt idx="28">
                  <c:v>-8805.061101593461</c:v>
                </c:pt>
              </c:numCache>
            </c:numRef>
          </c:val>
        </c:ser>
        <c:dLbls>
          <c:showLegendKey val="0"/>
          <c:showVal val="0"/>
          <c:showCatName val="0"/>
          <c:showSerName val="0"/>
          <c:showPercent val="0"/>
          <c:showBubbleSize val="0"/>
        </c:dLbls>
        <c:gapWidth val="10"/>
        <c:overlap val="100"/>
        <c:axId val="622957432"/>
        <c:axId val="622966056"/>
      </c:barChart>
      <c:lineChart>
        <c:grouping val="standard"/>
        <c:varyColors val="0"/>
        <c:ser>
          <c:idx val="6"/>
          <c:order val="4"/>
          <c:tx>
            <c:strRef>
              <c:f>RESULTS!$B$13</c:f>
              <c:strCache>
                <c:ptCount val="1"/>
                <c:pt idx="0">
                  <c:v>net balance</c:v>
                </c:pt>
              </c:strCache>
            </c:strRef>
          </c:tx>
          <c:spPr>
            <a:ln w="38100" cap="rnd">
              <a:solidFill>
                <a:srgbClr val="FF0000"/>
              </a:solidFill>
              <a:prstDash val="sysDot"/>
              <a:round/>
            </a:ln>
            <a:effectLst/>
          </c:spPr>
          <c:marker>
            <c:symbol val="none"/>
          </c:marker>
          <c:val>
            <c:numRef>
              <c:f>RESULTS!$C$13:$AE$13</c:f>
              <c:numCache>
                <c:formatCode>#,##0</c:formatCode>
                <c:ptCount val="29"/>
                <c:pt idx="0">
                  <c:v>0</c:v>
                </c:pt>
                <c:pt idx="1">
                  <c:v>407976.21390695183</c:v>
                </c:pt>
                <c:pt idx="2">
                  <c:v>409055.55421911011</c:v>
                </c:pt>
                <c:pt idx="3">
                  <c:v>361195.42314893269</c:v>
                </c:pt>
                <c:pt idx="4">
                  <c:v>348319.81349747308</c:v>
                </c:pt>
                <c:pt idx="5">
                  <c:v>335214.43487283291</c:v>
                </c:pt>
                <c:pt idx="6">
                  <c:v>321875.94934905152</c:v>
                </c:pt>
                <c:pt idx="7">
                  <c:v>308300.98651764606</c:v>
                </c:pt>
                <c:pt idx="8">
                  <c:v>327190.43611885683</c:v>
                </c:pt>
                <c:pt idx="9">
                  <c:v>362937.16022275056</c:v>
                </c:pt>
                <c:pt idx="10">
                  <c:v>397828.24039056309</c:v>
                </c:pt>
                <c:pt idx="11">
                  <c:v>432244.12002598308</c:v>
                </c:pt>
                <c:pt idx="12">
                  <c:v>466415.37937318528</c:v>
                </c:pt>
                <c:pt idx="13">
                  <c:v>500500.37772462278</c:v>
                </c:pt>
                <c:pt idx="14">
                  <c:v>499827.46393471252</c:v>
                </c:pt>
                <c:pt idx="15">
                  <c:v>499286.53925811726</c:v>
                </c:pt>
                <c:pt idx="16">
                  <c:v>498870.75071289233</c:v>
                </c:pt>
                <c:pt idx="17">
                  <c:v>498572.22991099226</c:v>
                </c:pt>
                <c:pt idx="18">
                  <c:v>498386.24756417115</c:v>
                </c:pt>
                <c:pt idx="19">
                  <c:v>498309.11793829448</c:v>
                </c:pt>
                <c:pt idx="20">
                  <c:v>498333.34238973045</c:v>
                </c:pt>
                <c:pt idx="21">
                  <c:v>498453.76022479887</c:v>
                </c:pt>
                <c:pt idx="22">
                  <c:v>498664.08855473943</c:v>
                </c:pt>
                <c:pt idx="23">
                  <c:v>525385.91290078463</c:v>
                </c:pt>
                <c:pt idx="24">
                  <c:v>525761.91923611192</c:v>
                </c:pt>
                <c:pt idx="25">
                  <c:v>526216.04238172609</c:v>
                </c:pt>
                <c:pt idx="26">
                  <c:v>526744.47363550868</c:v>
                </c:pt>
                <c:pt idx="27">
                  <c:v>527343.54632736347</c:v>
                </c:pt>
                <c:pt idx="28">
                  <c:v>528008.37263651029</c:v>
                </c:pt>
              </c:numCache>
            </c:numRef>
          </c:val>
          <c:smooth val="0"/>
        </c:ser>
        <c:ser>
          <c:idx val="0"/>
          <c:order val="5"/>
          <c:tx>
            <c:strRef>
              <c:f>RESULTS!$B$14</c:f>
              <c:strCache>
                <c:ptCount val="1"/>
                <c:pt idx="0">
                  <c:v>baseline scenario</c:v>
                </c:pt>
              </c:strCache>
            </c:strRef>
          </c:tx>
          <c:spPr>
            <a:ln w="19050" cap="rnd">
              <a:solidFill>
                <a:sysClr val="windowText" lastClr="000000"/>
              </a:solidFill>
              <a:prstDash val="sysDash"/>
              <a:round/>
            </a:ln>
            <a:effectLst/>
          </c:spPr>
          <c:marker>
            <c:symbol val="none"/>
          </c:marker>
          <c:val>
            <c:numRef>
              <c:f>RESULTS!$C$14:$AE$14</c:f>
              <c:numCache>
                <c:formatCode>#,##0</c:formatCode>
                <c:ptCount val="29"/>
                <c:pt idx="0">
                  <c:v>0</c:v>
                </c:pt>
                <c:pt idx="1">
                  <c:v>407976.21390695183</c:v>
                </c:pt>
                <c:pt idx="2">
                  <c:v>409056.3835433335</c:v>
                </c:pt>
                <c:pt idx="3">
                  <c:v>410088.79473970516</c:v>
                </c:pt>
                <c:pt idx="4">
                  <c:v>411122.16303861642</c:v>
                </c:pt>
                <c:pt idx="5">
                  <c:v>412175.39751685085</c:v>
                </c:pt>
                <c:pt idx="6">
                  <c:v>413248.54245435621</c:v>
                </c:pt>
                <c:pt idx="7">
                  <c:v>414341.64335020108</c:v>
                </c:pt>
                <c:pt idx="8">
                  <c:v>415454.74692074291</c:v>
                </c:pt>
                <c:pt idx="9">
                  <c:v>413221.64585493092</c:v>
                </c:pt>
                <c:pt idx="10">
                  <c:v>411157.38317639311</c:v>
                </c:pt>
                <c:pt idx="11">
                  <c:v>409252.87514792557</c:v>
                </c:pt>
                <c:pt idx="12">
                  <c:v>407496.54687648115</c:v>
                </c:pt>
                <c:pt idx="13">
                  <c:v>405882.48994097102</c:v>
                </c:pt>
                <c:pt idx="14">
                  <c:v>404403.98719780287</c:v>
                </c:pt>
                <c:pt idx="15">
                  <c:v>403053.78798192227</c:v>
                </c:pt>
                <c:pt idx="16">
                  <c:v>401825.04095591616</c:v>
                </c:pt>
                <c:pt idx="17">
                  <c:v>400711.27215979958</c:v>
                </c:pt>
                <c:pt idx="18">
                  <c:v>399706.3642676241</c:v>
                </c:pt>
                <c:pt idx="19">
                  <c:v>398807.44634319178</c:v>
                </c:pt>
                <c:pt idx="20">
                  <c:v>398006.22687684081</c:v>
                </c:pt>
                <c:pt idx="21">
                  <c:v>397297.54233001085</c:v>
                </c:pt>
                <c:pt idx="22">
                  <c:v>396676.51382720406</c:v>
                </c:pt>
                <c:pt idx="23">
                  <c:v>396138.53150847723</c:v>
                </c:pt>
                <c:pt idx="24">
                  <c:v>395675.1582687418</c:v>
                </c:pt>
                <c:pt idx="25">
                  <c:v>395285.30095795577</c:v>
                </c:pt>
                <c:pt idx="26">
                  <c:v>394966.05303796474</c:v>
                </c:pt>
                <c:pt idx="27">
                  <c:v>394713.74260249664</c:v>
                </c:pt>
                <c:pt idx="28">
                  <c:v>394524.90036950086</c:v>
                </c:pt>
              </c:numCache>
            </c:numRef>
          </c:val>
          <c:smooth val="0"/>
        </c:ser>
        <c:dLbls>
          <c:showLegendKey val="0"/>
          <c:showVal val="0"/>
          <c:showCatName val="0"/>
          <c:showSerName val="0"/>
          <c:showPercent val="0"/>
          <c:showBubbleSize val="0"/>
        </c:dLbls>
        <c:marker val="1"/>
        <c:smooth val="0"/>
        <c:axId val="622957432"/>
        <c:axId val="622966056"/>
      </c:lineChart>
      <c:catAx>
        <c:axId val="622957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22966056"/>
        <c:crosses val="autoZero"/>
        <c:auto val="1"/>
        <c:lblAlgn val="ctr"/>
        <c:lblOffset val="100"/>
        <c:noMultiLvlLbl val="0"/>
      </c:catAx>
      <c:valAx>
        <c:axId val="62296605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574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c:v>
                </c:pt>
                <c:pt idx="1">
                  <c:v>0.92523687759089079</c:v>
                </c:pt>
                <c:pt idx="2">
                  <c:v>0.92914304121062363</c:v>
                </c:pt>
                <c:pt idx="3">
                  <c:v>0.86332795062223444</c:v>
                </c:pt>
                <c:pt idx="4">
                  <c:v>0.79687477624969316</c:v>
                </c:pt>
                <c:pt idx="5">
                  <c:v>0.72987653881694747</c:v>
                </c:pt>
                <c:pt idx="6">
                  <c:v>0.66232994501844922</c:v>
                </c:pt>
                <c:pt idx="7">
                  <c:v>0.59423168389456282</c:v>
                </c:pt>
                <c:pt idx="8">
                  <c:v>0.66929458888081406</c:v>
                </c:pt>
                <c:pt idx="9">
                  <c:v>0.77107844445910156</c:v>
                </c:pt>
                <c:pt idx="10">
                  <c:v>0.84640678085394683</c:v>
                </c:pt>
                <c:pt idx="11">
                  <c:v>0.90441545722702332</c:v>
                </c:pt>
                <c:pt idx="12">
                  <c:v>0.95050263797874834</c:v>
                </c:pt>
                <c:pt idx="13">
                  <c:v>0.98808456455697102</c:v>
                </c:pt>
                <c:pt idx="14">
                  <c:v>0.99005636176714817</c:v>
                </c:pt>
                <c:pt idx="15">
                  <c:v>0.99203325779767237</c:v>
                </c:pt>
                <c:pt idx="16">
                  <c:v>0.99401521402387572</c:v>
                </c:pt>
                <c:pt idx="17">
                  <c:v>0.99600121737256453</c:v>
                </c:pt>
                <c:pt idx="18">
                  <c:v>0.99799221017968576</c:v>
                </c:pt>
                <c:pt idx="19">
                  <c:v>0.9999957290465713</c:v>
                </c:pt>
                <c:pt idx="20">
                  <c:v>1.0020042898922186</c:v>
                </c:pt>
                <c:pt idx="21">
                  <c:v>1.0040178585004789</c:v>
                </c:pt>
                <c:pt idx="22">
                  <c:v>1.0060354266657692</c:v>
                </c:pt>
                <c:pt idx="23">
                  <c:v>1.0080579405975991</c:v>
                </c:pt>
                <c:pt idx="24">
                  <c:v>1.0100796230024409</c:v>
                </c:pt>
                <c:pt idx="25">
                  <c:v>1.0121059201227234</c:v>
                </c:pt>
                <c:pt idx="26">
                  <c:v>1.0141369882716822</c:v>
                </c:pt>
                <c:pt idx="27">
                  <c:v>1.016172808288706</c:v>
                </c:pt>
                <c:pt idx="28">
                  <c:v>1.0182123866895871</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0</c:v>
                </c:pt>
                <c:pt idx="1">
                  <c:v>1.1675713110341968</c:v>
                </c:pt>
                <c:pt idx="2">
                  <c:v>1.158769912397607</c:v>
                </c:pt>
                <c:pt idx="3">
                  <c:v>1.1500562076362233</c:v>
                </c:pt>
                <c:pt idx="4">
                  <c:v>1.1414292589882014</c:v>
                </c:pt>
                <c:pt idx="5">
                  <c:v>1.1328881370695665</c:v>
                </c:pt>
                <c:pt idx="6">
                  <c:v>1.1244319208711036</c:v>
                </c:pt>
                <c:pt idx="7">
                  <c:v>1.1160596977525084</c:v>
                </c:pt>
                <c:pt idx="8">
                  <c:v>0.87162109411913991</c:v>
                </c:pt>
                <c:pt idx="9">
                  <c:v>0.70945957198402898</c:v>
                </c:pt>
                <c:pt idx="10">
                  <c:v>0.58438140526870586</c:v>
                </c:pt>
                <c:pt idx="11">
                  <c:v>0.48518461505805044</c:v>
                </c:pt>
                <c:pt idx="12">
                  <c:v>0.40475317878792766</c:v>
                </c:pt>
                <c:pt idx="13">
                  <c:v>0.33835136533428345</c:v>
                </c:pt>
                <c:pt idx="14">
                  <c:v>0.33207175139014805</c:v>
                </c:pt>
                <c:pt idx="15">
                  <c:v>0.32612317988462236</c:v>
                </c:pt>
                <c:pt idx="16">
                  <c:v>0.32048687402688958</c:v>
                </c:pt>
                <c:pt idx="17">
                  <c:v>0.31514589826819178</c:v>
                </c:pt>
                <c:pt idx="18">
                  <c:v>0.31008274754825821</c:v>
                </c:pt>
                <c:pt idx="19">
                  <c:v>0.30528241710371623</c:v>
                </c:pt>
                <c:pt idx="20">
                  <c:v>0.30072927851845588</c:v>
                </c:pt>
                <c:pt idx="21">
                  <c:v>0.2964093217158642</c:v>
                </c:pt>
                <c:pt idx="22">
                  <c:v>0.29231004377666969</c:v>
                </c:pt>
                <c:pt idx="23">
                  <c:v>0.28841824942207911</c:v>
                </c:pt>
                <c:pt idx="24">
                  <c:v>0.2847228755387099</c:v>
                </c:pt>
                <c:pt idx="25">
                  <c:v>0.28121212804318108</c:v>
                </c:pt>
                <c:pt idx="26">
                  <c:v>0.27787555367467837</c:v>
                </c:pt>
                <c:pt idx="27">
                  <c:v>0.27470329335636018</c:v>
                </c:pt>
                <c:pt idx="28">
                  <c:v>0.27168670126814082</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-0.17892709663204392</c:v>
                </c:pt>
                <c:pt idx="4">
                  <c:v>-0.17803733944160971</c:v>
                </c:pt>
                <c:pt idx="5">
                  <c:v>-0.17715193339987473</c:v>
                </c:pt>
                <c:pt idx="6">
                  <c:v>-0.17627088036428279</c:v>
                </c:pt>
                <c:pt idx="7">
                  <c:v>-0.17539418150545047</c:v>
                </c:pt>
                <c:pt idx="8">
                  <c:v>-0.14978805385830785</c:v>
                </c:pt>
                <c:pt idx="9">
                  <c:v>-0.13099812850500972</c:v>
                </c:pt>
                <c:pt idx="10">
                  <c:v>-0.11639651863365266</c:v>
                </c:pt>
                <c:pt idx="11">
                  <c:v>-0.10472327045758671</c:v>
                </c:pt>
                <c:pt idx="12">
                  <c:v>-9.5177741582735245E-2</c:v>
                </c:pt>
                <c:pt idx="13">
                  <c:v>-8.7226998371738348E-2</c:v>
                </c:pt>
                <c:pt idx="14">
                  <c:v>-8.7053059080110615E-2</c:v>
                </c:pt>
                <c:pt idx="15">
                  <c:v>-8.6879383608422844E-2</c:v>
                </c:pt>
                <c:pt idx="16">
                  <c:v>-8.6705972945471443E-2</c:v>
                </c:pt>
                <c:pt idx="17">
                  <c:v>-8.6533040609949471E-2</c:v>
                </c:pt>
                <c:pt idx="18">
                  <c:v>-8.636037331805238E-2</c:v>
                </c:pt>
                <c:pt idx="19">
                  <c:v>-8.6188182875723315E-2</c:v>
                </c:pt>
                <c:pt idx="20">
                  <c:v>-8.6016257682083458E-2</c:v>
                </c:pt>
                <c:pt idx="21">
                  <c:v>-8.5844598666555277E-2</c:v>
                </c:pt>
                <c:pt idx="22">
                  <c:v>-8.5673415087063054E-2</c:v>
                </c:pt>
                <c:pt idx="23">
                  <c:v>-2.1369795869732425E-2</c:v>
                </c:pt>
                <c:pt idx="24">
                  <c:v>-2.132719665353891E-2</c:v>
                </c:pt>
                <c:pt idx="25">
                  <c:v>-2.1284664032414979E-2</c:v>
                </c:pt>
                <c:pt idx="26">
                  <c:v>-2.1242198224385202E-2</c:v>
                </c:pt>
                <c:pt idx="27">
                  <c:v>-2.119979944380939E-2</c:v>
                </c:pt>
                <c:pt idx="28">
                  <c:v>-2.1157518740297671E-2</c:v>
                </c:pt>
              </c:numCache>
            </c:numRef>
          </c:val>
        </c:ser>
        <c:dLbls>
          <c:showLegendKey val="0"/>
          <c:showVal val="0"/>
          <c:showCatName val="0"/>
          <c:showSerName val="0"/>
          <c:showPercent val="0"/>
          <c:showBubbleSize val="0"/>
        </c:dLbls>
        <c:gapWidth val="10"/>
        <c:overlap val="100"/>
        <c:axId val="622965272"/>
        <c:axId val="622959392"/>
      </c:barChart>
      <c:lineChart>
        <c:grouping val="standard"/>
        <c:varyColors val="0"/>
        <c:ser>
          <c:idx val="6"/>
          <c:order val="4"/>
          <c:tx>
            <c:strRef>
              <c:f>RESULTS!$B$24</c:f>
              <c:strCache>
                <c:ptCount val="1"/>
                <c:pt idx="0">
                  <c:v>net balance</c:v>
                </c:pt>
              </c:strCache>
            </c:strRef>
          </c:tx>
          <c:spPr>
            <a:ln w="38100" cap="rnd">
              <a:solidFill>
                <a:srgbClr val="FF0000"/>
              </a:solidFill>
              <a:prstDash val="sysDot"/>
              <a:round/>
            </a:ln>
            <a:effectLst/>
          </c:spPr>
          <c:marker>
            <c:symbol val="none"/>
          </c:marker>
          <c:val>
            <c:numRef>
              <c:f>RESULTS!$C$24:$AE$24</c:f>
              <c:numCache>
                <c:formatCode>#,##0.000</c:formatCode>
                <c:ptCount val="29"/>
                <c:pt idx="0">
                  <c:v>0</c:v>
                </c:pt>
                <c:pt idx="1">
                  <c:v>2.0928081886250878</c:v>
                </c:pt>
                <c:pt idx="2">
                  <c:v>2.0879129536082308</c:v>
                </c:pt>
                <c:pt idx="3">
                  <c:v>1.8344570616264138</c:v>
                </c:pt>
                <c:pt idx="4">
                  <c:v>1.7602666957962847</c:v>
                </c:pt>
                <c:pt idx="5">
                  <c:v>1.6856127424866392</c:v>
                </c:pt>
                <c:pt idx="6">
                  <c:v>1.61049098552527</c:v>
                </c:pt>
                <c:pt idx="7">
                  <c:v>1.5348972001416206</c:v>
                </c:pt>
                <c:pt idx="8">
                  <c:v>1.3911276291416461</c:v>
                </c:pt>
                <c:pt idx="9">
                  <c:v>1.3495398879381209</c:v>
                </c:pt>
                <c:pt idx="10">
                  <c:v>1.3143916674889999</c:v>
                </c:pt>
                <c:pt idx="11">
                  <c:v>1.284876801827487</c:v>
                </c:pt>
                <c:pt idx="12">
                  <c:v>1.2600780751839407</c:v>
                </c:pt>
                <c:pt idx="13">
                  <c:v>1.2392089315195161</c:v>
                </c:pt>
                <c:pt idx="14">
                  <c:v>1.2350750540771855</c:v>
                </c:pt>
                <c:pt idx="15">
                  <c:v>1.231277054073872</c:v>
                </c:pt>
                <c:pt idx="16">
                  <c:v>1.2277961151052939</c:v>
                </c:pt>
                <c:pt idx="17">
                  <c:v>1.224614075030807</c:v>
                </c:pt>
                <c:pt idx="18">
                  <c:v>1.2217145844098916</c:v>
                </c:pt>
                <c:pt idx="19">
                  <c:v>1.2190899632745642</c:v>
                </c:pt>
                <c:pt idx="20">
                  <c:v>1.2167173107285909</c:v>
                </c:pt>
                <c:pt idx="21">
                  <c:v>1.2145825815497879</c:v>
                </c:pt>
                <c:pt idx="22">
                  <c:v>1.2126720553553758</c:v>
                </c:pt>
                <c:pt idx="23">
                  <c:v>1.2751063941499456</c:v>
                </c:pt>
                <c:pt idx="24">
                  <c:v>1.2734753018876119</c:v>
                </c:pt>
                <c:pt idx="25">
                  <c:v>1.2720333841334894</c:v>
                </c:pt>
                <c:pt idx="26">
                  <c:v>1.2707703437219755</c:v>
                </c:pt>
                <c:pt idx="27">
                  <c:v>1.2696763022012569</c:v>
                </c:pt>
                <c:pt idx="28">
                  <c:v>1.2687415692174302</c:v>
                </c:pt>
              </c:numCache>
            </c:numRef>
          </c:val>
          <c:smooth val="0"/>
        </c:ser>
        <c:ser>
          <c:idx val="0"/>
          <c:order val="5"/>
          <c:tx>
            <c:strRef>
              <c:f>RESULTS!$B$25</c:f>
              <c:strCache>
                <c:ptCount val="1"/>
                <c:pt idx="0">
                  <c:v>baseline scenario</c:v>
                </c:pt>
              </c:strCache>
            </c:strRef>
          </c:tx>
          <c:spPr>
            <a:ln w="19050" cap="rnd">
              <a:solidFill>
                <a:sysClr val="windowText" lastClr="000000"/>
              </a:solidFill>
              <a:prstDash val="sysDash"/>
              <a:round/>
            </a:ln>
            <a:effectLst/>
          </c:spPr>
          <c:marker>
            <c:symbol val="none"/>
          </c:marker>
          <c:val>
            <c:numRef>
              <c:f>RESULTS!$C$25:$AE$25</c:f>
              <c:numCache>
                <c:formatCode>#,##0.000</c:formatCode>
                <c:ptCount val="29"/>
                <c:pt idx="0">
                  <c:v>0</c:v>
                </c:pt>
                <c:pt idx="1">
                  <c:v>2.0928081886250878</c:v>
                </c:pt>
                <c:pt idx="2">
                  <c:v>2.0879171866684372</c:v>
                </c:pt>
                <c:pt idx="3">
                  <c:v>2.0827791195292167</c:v>
                </c:pt>
                <c:pt idx="4">
                  <c:v>2.0776442322763731</c:v>
                </c:pt>
                <c:pt idx="5">
                  <c:v>2.0726079485731783</c:v>
                </c:pt>
                <c:pt idx="6">
                  <c:v>2.067669404160652</c:v>
                </c:pt>
                <c:pt idx="7">
                  <c:v>2.06282774331603</c:v>
                </c:pt>
                <c:pt idx="8">
                  <c:v>1.7664042505495068</c:v>
                </c:pt>
                <c:pt idx="9">
                  <c:v>1.5365169367016849</c:v>
                </c:pt>
                <c:pt idx="10">
                  <c:v>1.3584300549983088</c:v>
                </c:pt>
                <c:pt idx="11">
                  <c:v>1.2165336692773545</c:v>
                </c:pt>
                <c:pt idx="12">
                  <c:v>1.1009016579219155</c:v>
                </c:pt>
                <c:pt idx="13">
                  <c:v>1.0049407134692898</c:v>
                </c:pt>
                <c:pt idx="14">
                  <c:v>0.99928337755885399</c:v>
                </c:pt>
                <c:pt idx="15">
                  <c:v>0.99396006436924578</c:v>
                </c:pt>
                <c:pt idx="16">
                  <c:v>0.98895199514640442</c:v>
                </c:pt>
                <c:pt idx="17">
                  <c:v>0.98424387575296002</c:v>
                </c:pt>
                <c:pt idx="18">
                  <c:v>0.97981655210968299</c:v>
                </c:pt>
                <c:pt idx="19">
                  <c:v>0.97566377498303825</c:v>
                </c:pt>
                <c:pt idx="20">
                  <c:v>0.97176131883244166</c:v>
                </c:pt>
                <c:pt idx="21">
                  <c:v>0.9680951637097569</c:v>
                </c:pt>
                <c:pt idx="22">
                  <c:v>0.96465443246217653</c:v>
                </c:pt>
                <c:pt idx="23">
                  <c:v>0.96142428278433334</c:v>
                </c:pt>
                <c:pt idx="24">
                  <c:v>0.9583853892610058</c:v>
                </c:pt>
                <c:pt idx="25">
                  <c:v>0.95553168010606182</c:v>
                </c:pt>
                <c:pt idx="26">
                  <c:v>0.9528550788837965</c:v>
                </c:pt>
                <c:pt idx="27">
                  <c:v>0.95034572552528829</c:v>
                </c:pt>
                <c:pt idx="28">
                  <c:v>0.94799659840761252</c:v>
                </c:pt>
              </c:numCache>
            </c:numRef>
          </c:val>
          <c:smooth val="0"/>
        </c:ser>
        <c:dLbls>
          <c:showLegendKey val="0"/>
          <c:showVal val="0"/>
          <c:showCatName val="0"/>
          <c:showSerName val="0"/>
          <c:showPercent val="0"/>
          <c:showBubbleSize val="0"/>
        </c:dLbls>
        <c:marker val="1"/>
        <c:smooth val="0"/>
        <c:axId val="622965272"/>
        <c:axId val="622959392"/>
      </c:lineChart>
      <c:catAx>
        <c:axId val="62296527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622959392"/>
        <c:crosses val="autoZero"/>
        <c:auto val="1"/>
        <c:lblAlgn val="ctr"/>
        <c:lblOffset val="100"/>
        <c:noMultiLvlLbl val="0"/>
      </c:catAx>
      <c:valAx>
        <c:axId val="622959392"/>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965272"/>
        <c:crosses val="autoZero"/>
        <c:crossBetween val="between"/>
      </c:valAx>
      <c:spPr>
        <a:noFill/>
        <a:ln>
          <a:noFill/>
        </a:ln>
        <a:effectLst/>
      </c:spPr>
    </c:plotArea>
    <c:legend>
      <c:legendPos val="b"/>
      <c:layout>
        <c:manualLayout>
          <c:xMode val="edge"/>
          <c:yMode val="edge"/>
          <c:x val="3.1457173036297303E-2"/>
          <c:y val="0.84185946275357992"/>
          <c:w val="0.5807638755521412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5" fmlaLink="C3" fmlaRange="'DEFAULT DATA'!$A$9:$A$41" sel="9" val="0"/>
</file>

<file path=xl/ctrlProps/ctrlProp2.xml><?xml version="1.0" encoding="utf-8"?>
<formControlPr xmlns="http://schemas.microsoft.com/office/spreadsheetml/2009/9/main" objectType="Drop" dropLines="5" dropStyle="combo" dx="25" fmlaLink="C2" fmlaRange="'MENU OPTIONS'!$A$1:$A$29" sel="2" val="0"/>
</file>

<file path=xl/ctrlProps/ctrlProp3.xml><?xml version="1.0" encoding="utf-8"?>
<formControlPr xmlns="http://schemas.microsoft.com/office/spreadsheetml/2009/9/main" objectType="Drop" dropLines="5" dropStyle="combo" dx="25" fmlaLink="E3" fmlaRange="'DEFAULT DATA'!$A$42:$A$100" sel="4" val="0"/>
</file>

<file path=xl/ctrlProps/ctrlProp4.xml><?xml version="1.0" encoding="utf-8"?>
<formControlPr xmlns="http://schemas.microsoft.com/office/spreadsheetml/2009/9/main" objectType="Drop" dropLines="3" dropStyle="combo" dx="25" fmlaLink="G22" fmlaRange="$I$274:$I$276" sel="2" val="0"/>
</file>

<file path=xl/ctrlProps/ctrlProp5.xml><?xml version="1.0" encoding="utf-8"?>
<formControlPr xmlns="http://schemas.microsoft.com/office/spreadsheetml/2009/9/main" objectType="Drop" dropLines="5" dropStyle="combo" dx="25" fmlaLink="G23" fmlaRange="#REF!" sel="0" val="0"/>
</file>

<file path=xl/ctrlProps/ctrlProp6.xml><?xml version="1.0" encoding="utf-8"?>
<formControlPr xmlns="http://schemas.microsoft.com/office/spreadsheetml/2009/9/main" objectType="Drop" dropLines="5" dropStyle="combo" dx="25" fmlaLink="E24" fmlaRange="#REF!" sel="0" val="0"/>
</file>

<file path=xl/ctrlProps/ctrlProp7.xml><?xml version="1.0" encoding="utf-8"?>
<formControlPr xmlns="http://schemas.microsoft.com/office/spreadsheetml/2009/9/main" objectType="Drop" dropLines="5" dropStyle="combo" dx="25" fmlaLink="E25" fmlaRange="#REF!" sel="0" val="0"/>
</file>

<file path=xl/ctrlProps/ctrlProp8.xml><?xml version="1.0" encoding="utf-8"?>
<formControlPr xmlns="http://schemas.microsoft.com/office/spreadsheetml/2009/9/main" objectType="Drop" dropLines="5" dropStyle="combo" dx="25" fmlaLink="$F$129" fmlaRange="'MENU OPTIONS'!$A$1:$A$29" sel="9" val="7"/>
</file>

<file path=xl/ctrlProps/ctrlProp9.xml><?xml version="1.0" encoding="utf-8"?>
<formControlPr xmlns="http://schemas.microsoft.com/office/spreadsheetml/2009/9/main" objectType="Drop" dropLines="5" dropStyle="combo" dx="25" fmlaLink="$G$129" fmlaRange="'MENU OPTIONS'!$A$1:$A$29" sel="14" val="9"/>
</file>

<file path=xl/ctrlProps/ctrlProp10.xml><?xml version="1.0" encoding="utf-8"?>
<formControlPr xmlns="http://schemas.microsoft.com/office/spreadsheetml/2009/9/main" objectType="Drop" dropLines="5" dropStyle="combo" dx="25" fmlaLink="$F$151" fmlaRange="'MENU OPTIONS'!$A$1:$A$29" sel="4" val="0"/>
</file>

<file path=xl/ctrlProps/ctrlProp11.xml><?xml version="1.0" encoding="utf-8"?>
<formControlPr xmlns="http://schemas.microsoft.com/office/spreadsheetml/2009/9/main" objectType="Drop" dropLines="5" dropStyle="combo" dx="25" fmlaLink="$G$151" fmlaRange="'MENU OPTIONS'!$A$1:$A$29" sel="9" val="5"/>
</file>

<file path=xl/ctrlProps/ctrlProp12.xml><?xml version="1.0" encoding="utf-8"?>
<formControlPr xmlns="http://schemas.microsoft.com/office/spreadsheetml/2009/9/main" objectType="Drop" dropLines="5" dropStyle="combo" dx="25" fmlaLink="$G$177" fmlaRange="'MENU OPTIONS'!$A$1:$A$29" sel="9" val="8"/>
</file>

<file path=xl/ctrlProps/ctrlProp13.xml><?xml version="1.0" encoding="utf-8"?>
<formControlPr xmlns="http://schemas.microsoft.com/office/spreadsheetml/2009/9/main" objectType="Drop" dropLines="5" dropStyle="combo" dx="25" fmlaLink="$F$177" fmlaRange="'MENU OPTIONS'!$A$1:$A$29" sel="4" val="0"/>
</file>

<file path=xl/ctrlProps/ctrlProp14.xml><?xml version="1.0" encoding="utf-8"?>
<formControlPr xmlns="http://schemas.microsoft.com/office/spreadsheetml/2009/9/main" objectType="Drop" dropLines="5" dropStyle="combo" dx="25" fmlaLink="$F$160" fmlaRange="'MENU OPTIONS'!$A$1:$A$29" sel="6" val="5"/>
</file>

<file path=xl/ctrlProps/ctrlProp15.xml><?xml version="1.0" encoding="utf-8"?>
<formControlPr xmlns="http://schemas.microsoft.com/office/spreadsheetml/2009/9/main" objectType="Drop" dropLines="5" dropStyle="combo" dx="25" fmlaLink="$G$160" fmlaRange="'MENU OPTIONS'!$A$1:$A$29" sel="9" val="5"/>
</file>

<file path=xl/ctrlProps/ctrlProp16.xml><?xml version="1.0" encoding="utf-8"?>
<formControlPr xmlns="http://schemas.microsoft.com/office/spreadsheetml/2009/9/main" objectType="Drop" dropLines="5" dropStyle="combo" dx="25" fmlaLink="$G$187" fmlaRange="'MENU OPTIONS'!$A$1:$A$29" sel="9" val="8"/>
</file>

<file path=xl/ctrlProps/ctrlProp17.xml><?xml version="1.0" encoding="utf-8"?>
<formControlPr xmlns="http://schemas.microsoft.com/office/spreadsheetml/2009/9/main" objectType="Drop" dropLines="5" dropStyle="combo" dx="25" fmlaLink="$F$187" fmlaRange="'MENU OPTIONS'!$A$1:$A$29" sel="4" val="2"/>
</file>

<file path=xl/ctrlProps/ctrlProp18.xml><?xml version="1.0" encoding="utf-8"?>
<formControlPr xmlns="http://schemas.microsoft.com/office/spreadsheetml/2009/9/main" objectType="Drop" dropLines="5" dropStyle="combo" dx="25" fmlaLink="$G$198" fmlaRange="'MENU OPTIONS'!$A$1:$A$29" sel="13" val="12"/>
</file>

<file path=xl/ctrlProps/ctrlProp19.xml><?xml version="1.0" encoding="utf-8"?>
<formControlPr xmlns="http://schemas.microsoft.com/office/spreadsheetml/2009/9/main" objectType="Drop" dropLines="5" dropStyle="combo" dx="25" fmlaLink="$F$198" fmlaRange="'MENU OPTIONS'!$A$1:$A$29" sel="4" val="0"/>
</file>

<file path=xl/ctrlProps/ctrlProp20.xml><?xml version="1.0" encoding="utf-8"?>
<formControlPr xmlns="http://schemas.microsoft.com/office/spreadsheetml/2009/9/main" objectType="Drop" dropLines="5" dropStyle="combo" dx="25" fmlaLink="$G$220" fmlaRange="'MENU OPTIONS'!$A$1:$A$29" sel="9" val="5"/>
</file>

<file path=xl/ctrlProps/ctrlProp21.xml><?xml version="1.0" encoding="utf-8"?>
<formControlPr xmlns="http://schemas.microsoft.com/office/spreadsheetml/2009/9/main" objectType="Drop" dropLines="5" dropStyle="combo" dx="25" fmlaLink="$F$220" fmlaRange="'MENU OPTIONS'!$A$1:$A$29" sel="4" val="0"/>
</file>

<file path=xl/ctrlProps/ctrlProp22.xml><?xml version="1.0" encoding="utf-8"?>
<formControlPr xmlns="http://schemas.microsoft.com/office/spreadsheetml/2009/9/main" objectType="Drop" dropLines="5" dropStyle="combo" dx="25" fmlaLink="$G$230" fmlaRange="'MENU OPTIONS'!$A$1:$A$29" sel="29" val="24"/>
</file>

<file path=xl/ctrlProps/ctrlProp23.xml><?xml version="1.0" encoding="utf-8"?>
<formControlPr xmlns="http://schemas.microsoft.com/office/spreadsheetml/2009/9/main" objectType="Drop" dropLines="5" dropStyle="combo" dx="25" fmlaLink="$F$230" fmlaRange="'MENU OPTIONS'!$A$1:$A$29" sel="4" val="2"/>
</file>

<file path=xl/ctrlProps/ctrlProp24.xml><?xml version="1.0" encoding="utf-8"?>
<formControlPr xmlns="http://schemas.microsoft.com/office/spreadsheetml/2009/9/main" objectType="Drop" dropLines="5" dropStyle="combo" dx="25" fmlaLink="H47" fmlaRange="'MENU OPTIONS'!$A$1:$A$29" sel="4" val="0"/>
</file>

<file path=xl/ctrlProps/ctrlProp25.xml><?xml version="1.0" encoding="utf-8"?>
<formControlPr xmlns="http://schemas.microsoft.com/office/spreadsheetml/2009/9/main" objectType="Drop" dropLines="5" dropStyle="combo" dx="25" fmlaLink="H48" fmlaRange="'MENU OPTIONS'!$A$1:$A$29" sel="4" val="0"/>
</file>

<file path=xl/ctrlProps/ctrlProp26.xml><?xml version="1.0" encoding="utf-8"?>
<formControlPr xmlns="http://schemas.microsoft.com/office/spreadsheetml/2009/9/main" objectType="Drop" dropLines="5" dropStyle="combo" dx="25" fmlaLink="H49" fmlaRange="'MENU OPTIONS'!$A$1:$A$29" sel="4" val="0"/>
</file>

<file path=xl/ctrlProps/ctrlProp27.xml><?xml version="1.0" encoding="utf-8"?>
<formControlPr xmlns="http://schemas.microsoft.com/office/spreadsheetml/2009/9/main" objectType="Drop" dropLines="5" dropStyle="combo" dx="25" fmlaLink="H50" fmlaRange="'MENU OPTIONS'!$A$1:$A$29" sel="4" val="0"/>
</file>

<file path=xl/ctrlProps/ctrlProp28.xml><?xml version="1.0" encoding="utf-8"?>
<formControlPr xmlns="http://schemas.microsoft.com/office/spreadsheetml/2009/9/main" objectType="Drop" dropLines="5" dropStyle="combo" dx="25" fmlaLink="H51" fmlaRange="'MENU OPTIONS'!$A$1:$A$29" sel="4" val="0"/>
</file>

<file path=xl/ctrlProps/ctrlProp29.xml><?xml version="1.0" encoding="utf-8"?>
<formControlPr xmlns="http://schemas.microsoft.com/office/spreadsheetml/2009/9/main" objectType="Drop" dropLines="5" dropStyle="combo" dx="25" fmlaLink="H52" fmlaRange="'MENU OPTIONS'!$A$1:$A$29" sel="1" val="6"/>
</file>

<file path=xl/ctrlProps/ctrlProp30.xml><?xml version="1.0" encoding="utf-8"?>
<formControlPr xmlns="http://schemas.microsoft.com/office/spreadsheetml/2009/9/main" objectType="Drop" dropLines="5" dropStyle="combo" dx="25" fmlaLink="H53" fmlaRange="'MENU OPTIONS'!$A$1:$A$29" sel="1" val="0"/>
</file>

<file path=xl/ctrlProps/ctrlProp31.xml><?xml version="1.0" encoding="utf-8"?>
<formControlPr xmlns="http://schemas.microsoft.com/office/spreadsheetml/2009/9/main" objectType="Drop" dropLines="5" dropStyle="combo" dx="25" fmlaLink="H54" fmlaRange="'MENU OPTIONS'!$A$1:$A$29" sel="1" val="0"/>
</file>

<file path=xl/ctrlProps/ctrlProp32.xml><?xml version="1.0" encoding="utf-8"?>
<formControlPr xmlns="http://schemas.microsoft.com/office/spreadsheetml/2009/9/main" objectType="Drop" dropLines="5" dropStyle="combo" dx="25" fmlaLink="H55" fmlaRange="'MENU OPTIONS'!$A$1:$A$29" sel="1" val="0"/>
</file>

<file path=xl/ctrlProps/ctrlProp33.xml><?xml version="1.0" encoding="utf-8"?>
<formControlPr xmlns="http://schemas.microsoft.com/office/spreadsheetml/2009/9/main" objectType="Drop" dropLines="5" dropStyle="combo" dx="25" fmlaLink="H56" fmlaRange="'MENU OPTIONS'!$A$1:$A$29" sel="1" val="0"/>
</file>

<file path=xl/ctrlProps/ctrlProp34.xml><?xml version="1.0" encoding="utf-8"?>
<formControlPr xmlns="http://schemas.microsoft.com/office/spreadsheetml/2009/9/main" objectType="Drop" dropLines="5" dropStyle="combo" dx="25" fmlaLink="H57" fmlaRange="'MENU OPTIONS'!$A$1:$A$29" sel="1" val="0"/>
</file>

<file path=xl/ctrlProps/ctrlProp35.xml><?xml version="1.0" encoding="utf-8"?>
<formControlPr xmlns="http://schemas.microsoft.com/office/spreadsheetml/2009/9/main" objectType="Drop" dropLines="5" dropStyle="combo" dx="25" fmlaLink="H58" fmlaRange="'MENU OPTIONS'!$A$1:$A$29" sel="1" val="0"/>
</file>

<file path=xl/ctrlProps/ctrlProp36.xml><?xml version="1.0" encoding="utf-8"?>
<formControlPr xmlns="http://schemas.microsoft.com/office/spreadsheetml/2009/9/main" objectType="Drop" dropLines="5" dropStyle="combo" dx="25" fmlaLink="H59" fmlaRange="'MENU OPTIONS'!$A$1:$A$29" sel="1" val="0"/>
</file>

<file path=xl/ctrlProps/ctrlProp37.xml><?xml version="1.0" encoding="utf-8"?>
<formControlPr xmlns="http://schemas.microsoft.com/office/spreadsheetml/2009/9/main" objectType="Drop" dropLines="5" dropStyle="combo" dx="25" fmlaLink="H60" fmlaRange="'MENU OPTIONS'!$A$1:$A$29" sel="1" val="0"/>
</file>

<file path=xl/ctrlProps/ctrlProp38.xml><?xml version="1.0" encoding="utf-8"?>
<formControlPr xmlns="http://schemas.microsoft.com/office/spreadsheetml/2009/9/main" objectType="Drop" dropLines="5" dropStyle="combo" dx="25" fmlaLink="H61" fmlaRange="'MENU OPTIONS'!$A$1:$A$29" sel="1" val="0"/>
</file>

<file path=xl/ctrlProps/ctrlProp39.xml><?xml version="1.0" encoding="utf-8"?>
<formControlPr xmlns="http://schemas.microsoft.com/office/spreadsheetml/2009/9/main" objectType="Drop" dropLines="5" dropStyle="combo" dx="25" fmlaLink="H62" fmlaRange="'MENU OPTIONS'!$A$1:$A$29" sel="1" val="6"/>
</file>

<file path=xl/ctrlProps/ctrlProp40.xml><?xml version="1.0" encoding="utf-8"?>
<formControlPr xmlns="http://schemas.microsoft.com/office/spreadsheetml/2009/9/main" objectType="Drop" dropLines="5" dropStyle="combo" dx="25" fmlaLink="H63" fmlaRange="'MENU OPTIONS'!$A$1:$A$29" sel="1" val="0"/>
</file>

<file path=xl/ctrlProps/ctrlProp41.xml><?xml version="1.0" encoding="utf-8"?>
<formControlPr xmlns="http://schemas.microsoft.com/office/spreadsheetml/2009/9/main" objectType="Drop" dropLines="5" dropStyle="combo" dx="25" fmlaLink="H64" fmlaRange="'MENU OPTIONS'!$A$1:$A$29" sel="1" val="0"/>
</file>

<file path=xl/ctrlProps/ctrlProp42.xml><?xml version="1.0" encoding="utf-8"?>
<formControlPr xmlns="http://schemas.microsoft.com/office/spreadsheetml/2009/9/main" objectType="Drop" dropLines="5" dropStyle="combo" dx="25" fmlaLink="H65" fmlaRange="'MENU OPTIONS'!$A$1:$A$29" sel="1" val="0"/>
</file>

<file path=xl/ctrlProps/ctrlProp43.xml><?xml version="1.0" encoding="utf-8"?>
<formControlPr xmlns="http://schemas.microsoft.com/office/spreadsheetml/2009/9/main" objectType="Drop" dropLines="5" dropStyle="combo" dx="25" fmlaLink="H66" fmlaRange="'MENU OPTIONS'!$A$1:$A$29" sel="1" val="0"/>
</file>

<file path=xl/ctrlProps/ctrlProp44.xml><?xml version="1.0" encoding="utf-8"?>
<formControlPr xmlns="http://schemas.microsoft.com/office/spreadsheetml/2009/9/main" objectType="Drop" dropLines="5" dropStyle="combo" dx="25" fmlaLink="H67" fmlaRange="'MENU OPTIONS'!$A$1:$A$29" sel="1" val="3"/>
</file>

<file path=xl/ctrlProps/ctrlProp45.xml><?xml version="1.0" encoding="utf-8"?>
<formControlPr xmlns="http://schemas.microsoft.com/office/spreadsheetml/2009/9/main" objectType="Drop" dropLines="5" dropStyle="combo" dx="25" fmlaLink="H68" fmlaRange="'MENU OPTIONS'!$A$1:$A$29" sel="1" val="0"/>
</file>

<file path=xl/ctrlProps/ctrlProp46.xml><?xml version="1.0" encoding="utf-8"?>
<formControlPr xmlns="http://schemas.microsoft.com/office/spreadsheetml/2009/9/main" objectType="Drop" dropLines="5" dropStyle="combo" dx="25" fmlaLink="H69" fmlaRange="'MENU OPTIONS'!$A$1:$A$29" sel="1" val="4"/>
</file>

<file path=xl/ctrlProps/ctrlProp47.xml><?xml version="1.0" encoding="utf-8"?>
<formControlPr xmlns="http://schemas.microsoft.com/office/spreadsheetml/2009/9/main" objectType="Drop" dropLines="5" dropStyle="combo" dx="25" fmlaLink="H70" fmlaRange="'MENU OPTIONS'!$A$1:$A$29" sel="1" val="0"/>
</file>

<file path=xl/ctrlProps/ctrlProp48.xml><?xml version="1.0" encoding="utf-8"?>
<formControlPr xmlns="http://schemas.microsoft.com/office/spreadsheetml/2009/9/main" objectType="Drop" dropLines="5" dropStyle="combo" dx="25" fmlaLink="H71" fmlaRange="'MENU OPTIONS'!$A$1:$A$29" sel="1" val="0"/>
</file>

<file path=xl/ctrlProps/ctrlProp49.xml><?xml version="1.0" encoding="utf-8"?>
<formControlPr xmlns="http://schemas.microsoft.com/office/spreadsheetml/2009/9/main" objectType="Drop" dropLines="5" dropStyle="combo" dx="25" fmlaLink="H72" fmlaRange="'MENU OPTIONS'!$A$1:$A$29" sel="1" val="4"/>
</file>

<file path=xl/ctrlProps/ctrlProp50.xml><?xml version="1.0" encoding="utf-8"?>
<formControlPr xmlns="http://schemas.microsoft.com/office/spreadsheetml/2009/9/main" objectType="Drop" dropLines="5" dropStyle="combo" dx="25" fmlaLink="H73" fmlaRange="'MENU OPTIONS'!$A$1:$A$29" sel="1" val="0"/>
</file>

<file path=xl/ctrlProps/ctrlProp51.xml><?xml version="1.0" encoding="utf-8"?>
<formControlPr xmlns="http://schemas.microsoft.com/office/spreadsheetml/2009/9/main" objectType="Drop" dropLines="5" dropStyle="combo" dx="25" fmlaLink="H74" fmlaRange="'MENU OPTIONS'!$A$1:$A$29" sel="1" val="0"/>
</file>

<file path=xl/ctrlProps/ctrlProp52.xml><?xml version="1.0" encoding="utf-8"?>
<formControlPr xmlns="http://schemas.microsoft.com/office/spreadsheetml/2009/9/main" objectType="Drop" dropLines="5" dropStyle="combo" dx="25" fmlaLink="H75" fmlaRange="'MENU OPTIONS'!$A$1:$A$29" sel="1" val="0"/>
</file>

<file path=xl/ctrlProps/ctrlProp53.xml><?xml version="1.0" encoding="utf-8"?>
<formControlPr xmlns="http://schemas.microsoft.com/office/spreadsheetml/2009/9/main" objectType="Drop" dropLines="5" dropStyle="combo" dx="25" fmlaLink="H76" fmlaRange="'MENU OPTIONS'!$A$1:$A$29"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Lines="5" dropStyle="combo" dx="25" fmlaLink="E75" fmlaRange="'MENU OPTIONS'!$A$1:$A$29" sel="9" val="7"/>
</file>

<file path=xl/ctrlProps/ctrlProp56.xml><?xml version="1.0" encoding="utf-8"?>
<formControlPr xmlns="http://schemas.microsoft.com/office/spreadsheetml/2009/9/main" objectType="Drop" dropLines="5" dropStyle="combo" dx="25" fmlaLink="D75" fmlaRange="'MENU OPTIONS'!$A$1:$A$29" sel="9" val="4"/>
</file>

<file path=xl/ctrlProps/ctrlProp57.xml><?xml version="1.0" encoding="utf-8"?>
<formControlPr xmlns="http://schemas.microsoft.com/office/spreadsheetml/2009/9/main" objectType="Drop" dropLines="5" dropStyle="combo" dx="25" fmlaLink="E76" fmlaRange="'MENU OPTIONS'!$A$1:$A$29" sel="9" val="4"/>
</file>

<file path=xl/ctrlProps/ctrlProp58.xml><?xml version="1.0" encoding="utf-8"?>
<formControlPr xmlns="http://schemas.microsoft.com/office/spreadsheetml/2009/9/main" objectType="Drop" dropLines="5" dropStyle="combo" dx="25" fmlaLink="D76" fmlaRange="'MENU OPTIONS'!$A$1:$A$29" sel="9" val="4"/>
</file>

<file path=xl/ctrlProps/ctrlProp59.xml><?xml version="1.0" encoding="utf-8"?>
<formControlPr xmlns="http://schemas.microsoft.com/office/spreadsheetml/2009/9/main" objectType="Drop" dropLines="5" dropStyle="combo" dx="25" fmlaLink="E77" fmlaRange="'MENU OPTIONS'!$A$1:$A$29" sel="9" val="8"/>
</file>

<file path=xl/ctrlProps/ctrlProp60.xml><?xml version="1.0" encoding="utf-8"?>
<formControlPr xmlns="http://schemas.microsoft.com/office/spreadsheetml/2009/9/main" objectType="Drop" dropLines="5" dropStyle="combo" dx="25" fmlaLink="D77" fmlaRange="'MENU OPTIONS'!$A$1:$A$29" sel="9" val="5"/>
</file>

<file path=xl/ctrlProps/ctrlProp61.xml><?xml version="1.0" encoding="utf-8"?>
<formControlPr xmlns="http://schemas.microsoft.com/office/spreadsheetml/2009/9/main" objectType="Drop" dropLines="5" dropStyle="combo" dx="25" fmlaLink="E78" fmlaRange="'MENU OPTIONS'!$A$1:$A$29" sel="19" val="15"/>
</file>

<file path=xl/ctrlProps/ctrlProp62.xml><?xml version="1.0" encoding="utf-8"?>
<formControlPr xmlns="http://schemas.microsoft.com/office/spreadsheetml/2009/9/main" objectType="Drop" dropLines="5" dropStyle="combo" dx="25" fmlaLink="D78" fmlaRange="'MENU OPTIONS'!$A$1:$A$29" sel="14" val="10"/>
</file>

<file path=xl/ctrlProps/ctrlProp63.xml><?xml version="1.0" encoding="utf-8"?>
<formControlPr xmlns="http://schemas.microsoft.com/office/spreadsheetml/2009/9/main" objectType="Drop" dropLines="5" dropStyle="combo" dx="25" fmlaLink="E83" fmlaRange="'MENU OPTIONS'!$A$1:$A$29" sel="9" val="6"/>
</file>

<file path=xl/ctrlProps/ctrlProp64.xml><?xml version="1.0" encoding="utf-8"?>
<formControlPr xmlns="http://schemas.microsoft.com/office/spreadsheetml/2009/9/main" objectType="Drop" dropLines="5" dropStyle="combo" dx="25" fmlaLink="D83" fmlaRange="'MENU OPTIONS'!$A$1:$A$29" sel="9" val="4"/>
</file>

<file path=xl/ctrlProps/ctrlProp65.xml><?xml version="1.0" encoding="utf-8"?>
<formControlPr xmlns="http://schemas.microsoft.com/office/spreadsheetml/2009/9/main" objectType="Drop" dropLines="5" dropStyle="combo" dx="25" fmlaLink="E84" fmlaRange="'MENU OPTIONS'!$A$1:$A$29" sel="9" val="8"/>
</file>

<file path=xl/ctrlProps/ctrlProp66.xml><?xml version="1.0" encoding="utf-8"?>
<formControlPr xmlns="http://schemas.microsoft.com/office/spreadsheetml/2009/9/main" objectType="Drop" dropLines="5" dropStyle="combo" dx="25" fmlaLink="D84" fmlaRange="'MENU OPTIONS'!$A$1:$A$29" sel="9" val="5"/>
</file>

<file path=xl/ctrlProps/ctrlProp67.xml><?xml version="1.0" encoding="utf-8"?>
<formControlPr xmlns="http://schemas.microsoft.com/office/spreadsheetml/2009/9/main" objectType="Drop" dropLines="5" dropStyle="combo" dx="25" fmlaLink="E85" fmlaRange="'MENU OPTIONS'!$A$1:$A$29" sel="9" val="8"/>
</file>

<file path=xl/ctrlProps/ctrlProp68.xml><?xml version="1.0" encoding="utf-8"?>
<formControlPr xmlns="http://schemas.microsoft.com/office/spreadsheetml/2009/9/main" objectType="Drop" dropLines="5" dropStyle="combo" dx="25" fmlaLink="D85" fmlaRange="'MENU OPTIONS'!$A$1:$A$29" sel="9" val="8"/>
</file>

<file path=xl/ctrlProps/ctrlProp69.xml><?xml version="1.0" encoding="utf-8"?>
<formControlPr xmlns="http://schemas.microsoft.com/office/spreadsheetml/2009/9/main" objectType="Drop" dropLines="5" dropStyle="combo" dx="25" fmlaLink="E86" fmlaRange="'MENU OPTIONS'!$A$1:$A$29" sel="9" val="8"/>
</file>

<file path=xl/ctrlProps/ctrlProp70.xml><?xml version="1.0" encoding="utf-8"?>
<formControlPr xmlns="http://schemas.microsoft.com/office/spreadsheetml/2009/9/main" objectType="Drop" dropLines="5" dropStyle="combo" dx="25" fmlaLink="D86" fmlaRange="'MENU OPTIONS'!$A$1:$A$29" sel="9" val="8"/>
</file>

<file path=xl/ctrlProps/ctrlProp71.xml><?xml version="1.0" encoding="utf-8"?>
<formControlPr xmlns="http://schemas.microsoft.com/office/spreadsheetml/2009/9/main" objectType="Drop" dropLines="5" dropStyle="combo" dx="25" fmlaLink="E87" fmlaRange="'MENU OPTIONS'!$A$1:$A$29" sel="9" val="4"/>
</file>

<file path=xl/ctrlProps/ctrlProp72.xml><?xml version="1.0" encoding="utf-8"?>
<formControlPr xmlns="http://schemas.microsoft.com/office/spreadsheetml/2009/9/main" objectType="Drop" dropLines="5" dropStyle="combo" dx="25" fmlaLink="D87" fmlaRange="'MENU OPTIONS'!$A$1:$A$29" sel="9" val="4"/>
</file>

<file path=xl/ctrlProps/ctrlProp73.xml><?xml version="1.0" encoding="utf-8"?>
<formControlPr xmlns="http://schemas.microsoft.com/office/spreadsheetml/2009/9/main" objectType="Drop" dropLines="5" dropStyle="combo" dx="25" fmlaLink="E88" fmlaRange="'MENU OPTIONS'!$A$1:$A$29" sel="9" val="4"/>
</file>

<file path=xl/ctrlProps/ctrlProp74.xml><?xml version="1.0" encoding="utf-8"?>
<formControlPr xmlns="http://schemas.microsoft.com/office/spreadsheetml/2009/9/main" objectType="Drop" dropLines="5" dropStyle="combo" dx="25" fmlaLink="D88" fmlaRange="'MENU OPTIONS'!$A$1:$A$29" sel="9" val="4"/>
</file>

<file path=xl/ctrlProps/ctrlProp75.xml><?xml version="1.0" encoding="utf-8"?>
<formControlPr xmlns="http://schemas.microsoft.com/office/spreadsheetml/2009/9/main" objectType="Drop" dropLines="5" dropStyle="combo" dx="25" fmlaLink="E114" fmlaRange="'MENU OPTIONS'!$D$2:$D$8" sel="1" val="0"/>
</file>

<file path=xl/ctrlProps/ctrlProp76.xml><?xml version="1.0" encoding="utf-8"?>
<formControlPr xmlns="http://schemas.microsoft.com/office/spreadsheetml/2009/9/main" objectType="Drop" dropLines="5" dropStyle="combo" dx="25" fmlaLink="D114" fmlaRange="'MENU OPTIONS'!$D$2:$D$8" sel="4" val="2"/>
</file>

<file path=xl/ctrlProps/ctrlProp77.xml><?xml version="1.0" encoding="utf-8"?>
<formControlPr xmlns="http://schemas.microsoft.com/office/spreadsheetml/2009/9/main" objectType="Drop" dropLines="5" dropStyle="combo" dx="25" fmlaLink="E115" fmlaRange="'MENU OPTIONS'!$D$2:$D$8" sel="1" val="0"/>
</file>

<file path=xl/ctrlProps/ctrlProp78.xml><?xml version="1.0" encoding="utf-8"?>
<formControlPr xmlns="http://schemas.microsoft.com/office/spreadsheetml/2009/9/main" objectType="Drop" dropLines="5" dropStyle="combo" dx="25" fmlaLink="D115" fmlaRange="'MENU OPTIONS'!$D$2:$D$8" sel="5" val="0"/>
</file>

<file path=xl/ctrlProps/ctrlProp79.xml><?xml version="1.0" encoding="utf-8"?>
<formControlPr xmlns="http://schemas.microsoft.com/office/spreadsheetml/2009/9/main" objectType="Drop" dropLines="5" dropStyle="combo" dx="25" fmlaLink="E116" fmlaRange="'MENU OPTIONS'!$D$2:$D$8" sel="1" val="0"/>
</file>

<file path=xl/ctrlProps/ctrlProp80.xml><?xml version="1.0" encoding="utf-8"?>
<formControlPr xmlns="http://schemas.microsoft.com/office/spreadsheetml/2009/9/main" objectType="Drop" dropLines="5" dropStyle="combo" dx="25" fmlaLink="D116" fmlaRange="'MENU OPTIONS'!$D$2:$D$8" sel="5" val="0"/>
</file>

<file path=xl/ctrlProps/ctrlProp81.xml><?xml version="1.0" encoding="utf-8"?>
<formControlPr xmlns="http://schemas.microsoft.com/office/spreadsheetml/2009/9/main" objectType="Drop" dropLines="5" dropStyle="combo" dx="25" fmlaLink="E117" fmlaRange="'MENU OPTIONS'!$D$2:$D$8" sel="1" val="0"/>
</file>

<file path=xl/ctrlProps/ctrlProp82.xml><?xml version="1.0" encoding="utf-8"?>
<formControlPr xmlns="http://schemas.microsoft.com/office/spreadsheetml/2009/9/main" objectType="Drop" dropLines="5" dropStyle="combo" dx="25" fmlaLink="D117" fmlaRange="'MENU OPTIONS'!$D$2:$D$8" sel="5" val="0"/>
</file>

<file path=xl/ctrlProps/ctrlProp83.xml><?xml version="1.0" encoding="utf-8"?>
<formControlPr xmlns="http://schemas.microsoft.com/office/spreadsheetml/2009/9/main" objectType="Drop" dropLines="5" dropStyle="combo" dx="25" fmlaLink="E118" fmlaRange="'MENU OPTIONS'!$D$2:$D$8" sel="1" val="0"/>
</file>

<file path=xl/ctrlProps/ctrlProp84.xml><?xml version="1.0" encoding="utf-8"?>
<formControlPr xmlns="http://schemas.microsoft.com/office/spreadsheetml/2009/9/main" objectType="Drop" dropLines="5" dropStyle="combo" dx="25" fmlaLink="D118" fmlaRange="'MENU OPTIONS'!$D$2:$D$8" sel="5" val="0"/>
</file>

<file path=xl/ctrlProps/ctrlProp85.xml><?xml version="1.0" encoding="utf-8"?>
<formControlPr xmlns="http://schemas.microsoft.com/office/spreadsheetml/2009/9/main" objectType="Drop" dropLines="5" dropStyle="combo" dx="25" fmlaLink="E119" fmlaRange="'MENU OPTIONS'!$D$2:$D$8" sel="1" val="0"/>
</file>

<file path=xl/ctrlProps/ctrlProp86.xml><?xml version="1.0" encoding="utf-8"?>
<formControlPr xmlns="http://schemas.microsoft.com/office/spreadsheetml/2009/9/main" objectType="Drop" dropLines="5" dropStyle="combo" dx="25" fmlaLink="D119" fmlaRange="'MENU OPTIONS'!$D$2:$D$8" sel="5" val="0"/>
</file>

<file path=xl/ctrlProps/ctrlProp87.xml><?xml version="1.0" encoding="utf-8"?>
<formControlPr xmlns="http://schemas.microsoft.com/office/spreadsheetml/2009/9/main" objectType="Drop" dropLines="4" dropStyle="combo" dx="25" fmlaLink="A114" fmlaRange="'MENU OPTIONS'!$B$27:$B$30" sel="1" val="0"/>
</file>

<file path=xl/ctrlProps/ctrlProp88.xml><?xml version="1.0" encoding="utf-8"?>
<formControlPr xmlns="http://schemas.microsoft.com/office/spreadsheetml/2009/9/main" objectType="Drop" dropLines="4" dropStyle="combo" dx="25" fmlaLink="A115" fmlaRange="'MENU OPTIONS'!$B$27:$B$30" sel="4" val="0"/>
</file>

<file path=xl/ctrlProps/ctrlProp89.xml><?xml version="1.0" encoding="utf-8"?>
<formControlPr xmlns="http://schemas.microsoft.com/office/spreadsheetml/2009/9/main" objectType="Drop" dropLines="4" dropStyle="combo" dx="25" fmlaLink="A116" fmlaRange="'MENU OPTIONS'!$B$27:$B$30" sel="2" val="0"/>
</file>

<file path=xl/ctrlProps/ctrlProp90.xml><?xml version="1.0" encoding="utf-8"?>
<formControlPr xmlns="http://schemas.microsoft.com/office/spreadsheetml/2009/9/main" objectType="Drop" dropLines="4" dropStyle="combo" dx="25" fmlaLink="A117" fmlaRange="'MENU OPTIONS'!$B$27:$B$30" sel="2" val="0"/>
</file>

<file path=xl/ctrlProps/ctrlProp91.xml><?xml version="1.0" encoding="utf-8"?>
<formControlPr xmlns="http://schemas.microsoft.com/office/spreadsheetml/2009/9/main" objectType="Drop" dropLines="4" dropStyle="combo" dx="25" fmlaLink="A118" fmlaRange="'MENU OPTIONS'!$B$27:$B$30" sel="2" val="0"/>
</file>

<file path=xl/ctrlProps/ctrlProp92.xml><?xml version="1.0" encoding="utf-8"?>
<formControlPr xmlns="http://schemas.microsoft.com/office/spreadsheetml/2009/9/main" objectType="Drop" dropLines="4" dropStyle="combo" dx="25" fmlaLink="A119" fmlaRange="'MENU OPTIONS'!$B$27:$B$30" sel="2" val="0"/>
</file>

<file path=xl/ctrlProps/ctrlProp93.xml><?xml version="1.0" encoding="utf-8"?>
<formControlPr xmlns="http://schemas.microsoft.com/office/spreadsheetml/2009/9/main" objectType="Drop" dropLines="6" dropStyle="combo" dx="25" fmlaLink="A124" fmlaRange="'MENU OPTIONS'!$B$31:$B$36" sel="2" val="0"/>
</file>

<file path=xl/ctrlProps/ctrlProp94.xml><?xml version="1.0" encoding="utf-8"?>
<formControlPr xmlns="http://schemas.microsoft.com/office/spreadsheetml/2009/9/main" objectType="Drop" dropLines="6" dropStyle="combo" dx="25" fmlaLink="A125" fmlaRange="'MENU OPTIONS'!$B$31:$B$36" sel="2" val="0"/>
</file>

<file path=xl/ctrlProps/ctrlProp95.xml><?xml version="1.0" encoding="utf-8"?>
<formControlPr xmlns="http://schemas.microsoft.com/office/spreadsheetml/2009/9/main" objectType="Drop" dropLines="6" dropStyle="combo" dx="25" fmlaLink="A126" fmlaRange="'MENU OPTIONS'!$B$31:$B$36" sel="2" val="0"/>
</file>

<file path=xl/ctrlProps/ctrlProp96.xml><?xml version="1.0" encoding="utf-8"?>
<formControlPr xmlns="http://schemas.microsoft.com/office/spreadsheetml/2009/9/main" objectType="Drop" dropLines="6" dropStyle="combo" dx="25" fmlaLink="A127" fmlaRange="'MENU OPTIONS'!$B$31:$B$36" sel="2" val="0"/>
</file>

<file path=xl/ctrlProps/ctrlProp97.xml><?xml version="1.0" encoding="utf-8"?>
<formControlPr xmlns="http://schemas.microsoft.com/office/spreadsheetml/2009/9/main" objectType="Drop" dropLines="6" dropStyle="combo" dx="25" fmlaLink="A128" fmlaRange="'MENU OPTIONS'!$B$31:$B$37" sel="2" val="0"/>
</file>

<file path=xl/ctrlProps/ctrlProp98.xml><?xml version="1.0" encoding="utf-8"?>
<formControlPr xmlns="http://schemas.microsoft.com/office/spreadsheetml/2009/9/main" objectType="Drop" dropLines="6" dropStyle="combo" dx="25" fmlaLink="A129" fmlaRange="'MENU OPTIONS'!$B$31:$B$36" sel="2" val="0"/>
</file>

<file path=xl/ctrlProps/ctrlProp99.xml><?xml version="1.0" encoding="utf-8"?>
<formControlPr xmlns="http://schemas.microsoft.com/office/spreadsheetml/2009/9/main" objectType="Drop" dropLines="5" dropStyle="combo" dx="25" fmlaLink="J114" fmlaRange="'MENU OPTIONS'!$A$1:$A$29" sel="9" val="4"/>
</file>

<file path=xl/ctrlProps/ctrlProp100.xml><?xml version="1.0" encoding="utf-8"?>
<formControlPr xmlns="http://schemas.microsoft.com/office/spreadsheetml/2009/9/main" objectType="Drop" dropLines="5" dropStyle="combo" dx="25" fmlaLink="I114" fmlaRange="'MENU OPTIONS'!$A$1:$A$29" sel="9" val="4"/>
</file>

<file path=xl/ctrlProps/ctrlProp101.xml><?xml version="1.0" encoding="utf-8"?>
<formControlPr xmlns="http://schemas.microsoft.com/office/spreadsheetml/2009/9/main" objectType="Drop" dropLines="5" dropStyle="combo" dx="25" fmlaLink="J115" fmlaRange="'MENU OPTIONS'!$A$1:$A$29" sel="14" val="9"/>
</file>

<file path=xl/ctrlProps/ctrlProp102.xml><?xml version="1.0" encoding="utf-8"?>
<formControlPr xmlns="http://schemas.microsoft.com/office/spreadsheetml/2009/9/main" objectType="Drop" dropLines="5" dropStyle="combo" dx="25" fmlaLink="I115" fmlaRange="'MENU OPTIONS'!$A$1:$A$29" sel="9" val="7"/>
</file>

<file path=xl/ctrlProps/ctrlProp103.xml><?xml version="1.0" encoding="utf-8"?>
<formControlPr xmlns="http://schemas.microsoft.com/office/spreadsheetml/2009/9/main" objectType="Drop" dropLines="5" dropStyle="combo" dx="25" fmlaLink="J116" fmlaRange="'MENU OPTIONS'!$A$1:$A$29" sel="4" val="3"/>
</file>

<file path=xl/ctrlProps/ctrlProp104.xml><?xml version="1.0" encoding="utf-8"?>
<formControlPr xmlns="http://schemas.microsoft.com/office/spreadsheetml/2009/9/main" objectType="Drop" dropLines="5" dropStyle="combo" dx="25" fmlaLink="I116" fmlaRange="'MENU OPTIONS'!$A$1:$A$29" sel="4" val="2"/>
</file>

<file path=xl/ctrlProps/ctrlProp105.xml><?xml version="1.0" encoding="utf-8"?>
<formControlPr xmlns="http://schemas.microsoft.com/office/spreadsheetml/2009/9/main" objectType="Drop" dropLines="5" dropStyle="combo" dx="25" fmlaLink="J117" fmlaRange="'MENU OPTIONS'!$A$1:$A$29" sel="4" val="3"/>
</file>

<file path=xl/ctrlProps/ctrlProp106.xml><?xml version="1.0" encoding="utf-8"?>
<formControlPr xmlns="http://schemas.microsoft.com/office/spreadsheetml/2009/9/main" objectType="Drop" dropLines="5" dropStyle="combo" dx="25" fmlaLink="I117" fmlaRange="'MENU OPTIONS'!$A$1:$A$29" sel="4" val="0"/>
</file>

<file path=xl/ctrlProps/ctrlProp107.xml><?xml version="1.0" encoding="utf-8"?>
<formControlPr xmlns="http://schemas.microsoft.com/office/spreadsheetml/2009/9/main" objectType="Drop" dropLines="5" dropStyle="combo" dx="25" fmlaLink="J118" fmlaRange="'MENU OPTIONS'!$A$1:$A$29" sel="4" val="3"/>
</file>

<file path=xl/ctrlProps/ctrlProp108.xml><?xml version="1.0" encoding="utf-8"?>
<formControlPr xmlns="http://schemas.microsoft.com/office/spreadsheetml/2009/9/main" objectType="Drop" dropLines="5" dropStyle="combo" dx="25" fmlaLink="I118" fmlaRange="'MENU OPTIONS'!$A$1:$A$29" sel="4" val="3"/>
</file>

<file path=xl/ctrlProps/ctrlProp109.xml><?xml version="1.0" encoding="utf-8"?>
<formControlPr xmlns="http://schemas.microsoft.com/office/spreadsheetml/2009/9/main" objectType="Drop" dropLines="5" dropStyle="combo" dx="25" fmlaLink="J119" fmlaRange="'MENU OPTIONS'!$A$1:$A$29" sel="4" val="2"/>
</file>

<file path=xl/ctrlProps/ctrlProp110.xml><?xml version="1.0" encoding="utf-8"?>
<formControlPr xmlns="http://schemas.microsoft.com/office/spreadsheetml/2009/9/main" objectType="Drop" dropLines="5" dropStyle="combo" dx="25" fmlaLink="I119" fmlaRange="'MENU OPTIONS'!$A$1:$A$29" sel="4" val="2"/>
</file>

<file path=xl/ctrlProps/ctrlProp111.xml><?xml version="1.0" encoding="utf-8"?>
<formControlPr xmlns="http://schemas.microsoft.com/office/spreadsheetml/2009/9/main" objectType="Drop" dropLines="5" dropStyle="combo" dx="25" fmlaLink="E94" fmlaRange="'MENU OPTIONS'!$A$1:$A$29" sel="9" val="4"/>
</file>

<file path=xl/ctrlProps/ctrlProp112.xml><?xml version="1.0" encoding="utf-8"?>
<formControlPr xmlns="http://schemas.microsoft.com/office/spreadsheetml/2009/9/main" objectType="Drop" dropLines="5" dropStyle="combo" dx="25" fmlaLink="D94" fmlaRange="'MENU OPTIONS'!$A$1:$A$29" sel="9" val="4"/>
</file>

<file path=xl/ctrlProps/ctrlProp113.xml><?xml version="1.0" encoding="utf-8"?>
<formControlPr xmlns="http://schemas.microsoft.com/office/spreadsheetml/2009/9/main" objectType="Drop" dropLines="5" dropStyle="combo" dx="25" fmlaLink="E95" fmlaRange="'MENU OPTIONS'!$A$1:$A$29" sel="9" val="4"/>
</file>

<file path=xl/ctrlProps/ctrlProp114.xml><?xml version="1.0" encoding="utf-8"?>
<formControlPr xmlns="http://schemas.microsoft.com/office/spreadsheetml/2009/9/main" objectType="Drop" dropLines="5" dropStyle="combo" dx="25" fmlaLink="D95" fmlaRange="'MENU OPTIONS'!$A$1:$A$29" sel="9" val="4"/>
</file>

<file path=xl/ctrlProps/ctrlProp115.xml><?xml version="1.0" encoding="utf-8"?>
<formControlPr xmlns="http://schemas.microsoft.com/office/spreadsheetml/2009/9/main" objectType="Drop" dropLines="5" dropStyle="combo" dx="25" fmlaLink="E96" fmlaRange="'MENU OPTIONS'!$A$1:$A$29" sel="9" val="7"/>
</file>

<file path=xl/ctrlProps/ctrlProp116.xml><?xml version="1.0" encoding="utf-8"?>
<formControlPr xmlns="http://schemas.microsoft.com/office/spreadsheetml/2009/9/main" objectType="Drop" dropLines="5" dropStyle="combo" dx="25" fmlaLink="D96" fmlaRange="'MENU OPTIONS'!$A$1:$A$29" sel="9" val="6"/>
</file>

<file path=xl/ctrlProps/ctrlProp117.xml><?xml version="1.0" encoding="utf-8"?>
<formControlPr xmlns="http://schemas.microsoft.com/office/spreadsheetml/2009/9/main" objectType="Drop" dropLines="5" dropStyle="combo" dx="25" fmlaLink="E97" fmlaRange="'MENU OPTIONS'!$A$1:$A$29" sel="14" val="10"/>
</file>

<file path=xl/ctrlProps/ctrlProp118.xml><?xml version="1.0" encoding="utf-8"?>
<formControlPr xmlns="http://schemas.microsoft.com/office/spreadsheetml/2009/9/main" objectType="Drop" dropLines="5" dropStyle="combo" dx="25" fmlaLink="D97" fmlaRange="'MENU OPTIONS'!$A$1:$A$29" sel="9" val="4"/>
</file>

<file path=xl/ctrlProps/ctrlProp119.xml><?xml version="1.0" encoding="utf-8"?>
<formControlPr xmlns="http://schemas.microsoft.com/office/spreadsheetml/2009/9/main" objectType="Drop" dropLines="5" dropStyle="combo" dx="25" fmlaLink="E101" fmlaRange="'MENU OPTIONS'!$A$1:$A$29" sel="9" val="5"/>
</file>

<file path=xl/ctrlProps/ctrlProp120.xml><?xml version="1.0" encoding="utf-8"?>
<formControlPr xmlns="http://schemas.microsoft.com/office/spreadsheetml/2009/9/main" objectType="Drop" dropLines="5" dropStyle="combo" dx="25" fmlaLink="D101" fmlaRange="'MENU OPTIONS'!$A$1:$A$29" sel="9" val="5"/>
</file>

<file path=xl/ctrlProps/ctrlProp121.xml><?xml version="1.0" encoding="utf-8"?>
<formControlPr xmlns="http://schemas.microsoft.com/office/spreadsheetml/2009/9/main" objectType="Drop" dropLines="5" dropStyle="combo" dx="25" fmlaLink="E102" fmlaRange="'MENU OPTIONS'!$A$1:$A$29" sel="9" val="5"/>
</file>

<file path=xl/ctrlProps/ctrlProp122.xml><?xml version="1.0" encoding="utf-8"?>
<formControlPr xmlns="http://schemas.microsoft.com/office/spreadsheetml/2009/9/main" objectType="Drop" dropLines="5" dropStyle="combo" dx="25" fmlaLink="D102" fmlaRange="'MENU OPTIONS'!$A$1:$A$29" sel="9" val="4"/>
</file>

<file path=xl/ctrlProps/ctrlProp123.xml><?xml version="1.0" encoding="utf-8"?>
<formControlPr xmlns="http://schemas.microsoft.com/office/spreadsheetml/2009/9/main" objectType="Drop" dropLines="5" dropStyle="combo" dx="25" fmlaLink="E103" fmlaRange="'MENU OPTIONS'!$A$1:$A$29" sel="9" val="5"/>
</file>

<file path=xl/ctrlProps/ctrlProp124.xml><?xml version="1.0" encoding="utf-8"?>
<formControlPr xmlns="http://schemas.microsoft.com/office/spreadsheetml/2009/9/main" objectType="Drop" dropLines="5" dropStyle="combo" dx="25" fmlaLink="D103" fmlaRange="'MENU OPTIONS'!$A$1:$A$29" sel="9" val="4"/>
</file>

<file path=xl/ctrlProps/ctrlProp125.xml><?xml version="1.0" encoding="utf-8"?>
<formControlPr xmlns="http://schemas.microsoft.com/office/spreadsheetml/2009/9/main" objectType="Drop" dropLines="5" dropStyle="combo" dx="25" fmlaLink="E104" fmlaRange="'MENU OPTIONS'!$A$1:$A$29" sel="9" val="5"/>
</file>

<file path=xl/ctrlProps/ctrlProp126.xml><?xml version="1.0" encoding="utf-8"?>
<formControlPr xmlns="http://schemas.microsoft.com/office/spreadsheetml/2009/9/main" objectType="Drop" dropLines="5" dropStyle="combo" dx="25" fmlaLink="D104" fmlaRange="'MENU OPTIONS'!$A$1:$A$29" sel="9" val="4"/>
</file>

<file path=xl/ctrlProps/ctrlProp127.xml><?xml version="1.0" encoding="utf-8"?>
<formControlPr xmlns="http://schemas.microsoft.com/office/spreadsheetml/2009/9/main" objectType="Drop" dropLines="5" dropStyle="combo" dx="25" fmlaLink="E105" fmlaRange="'MENU OPTIONS'!$A$1:$A$29" sel="9" val="5"/>
</file>

<file path=xl/ctrlProps/ctrlProp128.xml><?xml version="1.0" encoding="utf-8"?>
<formControlPr xmlns="http://schemas.microsoft.com/office/spreadsheetml/2009/9/main" objectType="Drop" dropLines="5" dropStyle="combo" dx="25" fmlaLink="D105" fmlaRange="'MENU OPTIONS'!$A$1:$A$29" sel="9" val="4"/>
</file>

<file path=xl/ctrlProps/ctrlProp129.xml><?xml version="1.0" encoding="utf-8"?>
<formControlPr xmlns="http://schemas.microsoft.com/office/spreadsheetml/2009/9/main" objectType="Drop" dropLines="5" dropStyle="combo" dx="25" fmlaLink="E106" fmlaRange="'MENU OPTIONS'!$A$1:$A$29" sel="9" val="5"/>
</file>

<file path=xl/ctrlProps/ctrlProp130.xml><?xml version="1.0" encoding="utf-8"?>
<formControlPr xmlns="http://schemas.microsoft.com/office/spreadsheetml/2009/9/main" objectType="Drop" dropLines="5" dropStyle="combo" dx="25" fmlaLink="D106" fmlaRange="'MENU OPTIONS'!$A$1:$A$29" sel="9" val="4"/>
</file>

<file path=xl/ctrlProps/ctrlProp131.xml><?xml version="1.0" encoding="utf-8"?>
<formControlPr xmlns="http://schemas.microsoft.com/office/spreadsheetml/2009/9/main" objectType="Drop" dropLines="5" dropStyle="combo" dx="25" fmlaLink="J124" fmlaRange="'MENU OPTIONS'!$A$1:$A$29" sel="3" val="0"/>
</file>

<file path=xl/ctrlProps/ctrlProp132.xml><?xml version="1.0" encoding="utf-8"?>
<formControlPr xmlns="http://schemas.microsoft.com/office/spreadsheetml/2009/9/main" objectType="Drop" dropLines="5" dropStyle="combo" dx="25" fmlaLink="I124" fmlaRange="'MENU OPTIONS'!$A$1:$A$29" sel="2" val="0"/>
</file>

<file path=xl/ctrlProps/ctrlProp133.xml><?xml version="1.0" encoding="utf-8"?>
<formControlPr xmlns="http://schemas.microsoft.com/office/spreadsheetml/2009/9/main" objectType="Drop" dropLines="5" dropStyle="combo" dx="25" fmlaLink="J125" fmlaRange="'MENU OPTIONS'!$A$1:$A$29" sel="3" val="0"/>
</file>

<file path=xl/ctrlProps/ctrlProp134.xml><?xml version="1.0" encoding="utf-8"?>
<formControlPr xmlns="http://schemas.microsoft.com/office/spreadsheetml/2009/9/main" objectType="Drop" dropLines="5" dropStyle="combo" dx="25" fmlaLink="I125" fmlaRange="'MENU OPTIONS'!$A$1:$A$29" sel="2" val="0"/>
</file>

<file path=xl/ctrlProps/ctrlProp135.xml><?xml version="1.0" encoding="utf-8"?>
<formControlPr xmlns="http://schemas.microsoft.com/office/spreadsheetml/2009/9/main" objectType="Drop" dropLines="5" dropStyle="combo" dx="25" fmlaLink="J126" fmlaRange="'MENU OPTIONS'!$A$1:$A$29" sel="3" val="0"/>
</file>

<file path=xl/ctrlProps/ctrlProp136.xml><?xml version="1.0" encoding="utf-8"?>
<formControlPr xmlns="http://schemas.microsoft.com/office/spreadsheetml/2009/9/main" objectType="Drop" dropLines="5" dropStyle="combo" dx="25" fmlaLink="I126" fmlaRange="'MENU OPTIONS'!$A$1:$A$29" sel="2" val="0"/>
</file>

<file path=xl/ctrlProps/ctrlProp137.xml><?xml version="1.0" encoding="utf-8"?>
<formControlPr xmlns="http://schemas.microsoft.com/office/spreadsheetml/2009/9/main" objectType="Drop" dropLines="5" dropStyle="combo" dx="25" fmlaLink="J127" fmlaRange="'MENU OPTIONS'!$A$1:$A$29" sel="3" val="0"/>
</file>

<file path=xl/ctrlProps/ctrlProp138.xml><?xml version="1.0" encoding="utf-8"?>
<formControlPr xmlns="http://schemas.microsoft.com/office/spreadsheetml/2009/9/main" objectType="Drop" dropLines="5" dropStyle="combo" dx="25" fmlaLink="I127" fmlaRange="'MENU OPTIONS'!$A$1:$A$29" sel="2" val="0"/>
</file>

<file path=xl/ctrlProps/ctrlProp139.xml><?xml version="1.0" encoding="utf-8"?>
<formControlPr xmlns="http://schemas.microsoft.com/office/spreadsheetml/2009/9/main" objectType="Drop" dropLines="5" dropStyle="combo" dx="25" fmlaLink="J128" fmlaRange="'MENU OPTIONS'!$A$1:$A$29" sel="3" val="0"/>
</file>

<file path=xl/ctrlProps/ctrlProp140.xml><?xml version="1.0" encoding="utf-8"?>
<formControlPr xmlns="http://schemas.microsoft.com/office/spreadsheetml/2009/9/main" objectType="Drop" dropLines="5" dropStyle="combo" dx="25" fmlaLink="I128" fmlaRange="'MENU OPTIONS'!$A$1:$A$29" sel="2" val="0"/>
</file>

<file path=xl/ctrlProps/ctrlProp141.xml><?xml version="1.0" encoding="utf-8"?>
<formControlPr xmlns="http://schemas.microsoft.com/office/spreadsheetml/2009/9/main" objectType="Drop" dropLines="5" dropStyle="combo" dx="25" fmlaLink="J129" fmlaRange="'MENU OPTIONS'!$A$1:$A$29" sel="3" val="0"/>
</file>

<file path=xl/ctrlProps/ctrlProp142.xml><?xml version="1.0" encoding="utf-8"?>
<formControlPr xmlns="http://schemas.microsoft.com/office/spreadsheetml/2009/9/main" objectType="Drop" dropLines="5" dropStyle="combo" dx="25" fmlaLink="I129" fmlaRange="'MENU OPTIONS'!$A$1:$A$29" sel="2" val="0"/>
</file>

<file path=xl/ctrlProps/ctrlProp143.xml><?xml version="1.0" encoding="utf-8"?>
<formControlPr xmlns="http://schemas.microsoft.com/office/spreadsheetml/2009/9/main" objectType="Drop" dropLines="5" dropStyle="combo" dx="25" fmlaLink="J135" fmlaRange="'MENU OPTIONS'!$A$1:$A$29" sel="14" val="9"/>
</file>

<file path=xl/ctrlProps/ctrlProp144.xml><?xml version="1.0" encoding="utf-8"?>
<formControlPr xmlns="http://schemas.microsoft.com/office/spreadsheetml/2009/9/main" objectType="Drop" dropLines="5" dropStyle="combo" dx="25" fmlaLink="I135" fmlaRange="'MENU OPTIONS'!$A$1:$A$29" sel="14" val="9"/>
</file>

<file path=xl/ctrlProps/ctrlProp145.xml><?xml version="1.0" encoding="utf-8"?>
<formControlPr xmlns="http://schemas.microsoft.com/office/spreadsheetml/2009/9/main" objectType="Drop" dropLines="5" dropStyle="combo" dx="25" fmlaLink="J136" fmlaRange="'MENU OPTIONS'!$A$1:$A$29" sel="3" val="0"/>
</file>

<file path=xl/ctrlProps/ctrlProp146.xml><?xml version="1.0" encoding="utf-8"?>
<formControlPr xmlns="http://schemas.microsoft.com/office/spreadsheetml/2009/9/main" objectType="Drop" dropLines="5" dropStyle="combo" dx="25" fmlaLink="I136" fmlaRange="'MENU OPTIONS'!$A$1:$A$29" sel="3" val="0"/>
</file>

<file path=xl/ctrlProps/ctrlProp147.xml><?xml version="1.0" encoding="utf-8"?>
<formControlPr xmlns="http://schemas.microsoft.com/office/spreadsheetml/2009/9/main" objectType="Drop" dropLines="5" dropStyle="combo" dx="25" fmlaLink="J137" fmlaRange="'MENU OPTIONS'!$A$1:$A$29" sel="3" val="0"/>
</file>

<file path=xl/ctrlProps/ctrlProp148.xml><?xml version="1.0" encoding="utf-8"?>
<formControlPr xmlns="http://schemas.microsoft.com/office/spreadsheetml/2009/9/main" objectType="Drop" dropLines="5" dropStyle="combo" dx="25" fmlaLink="I137" fmlaRange="'MENU OPTIONS'!$A$1:$A$29" sel="2" val="0"/>
</file>

<file path=xl/ctrlProps/ctrlProp149.xml><?xml version="1.0" encoding="utf-8"?>
<formControlPr xmlns="http://schemas.microsoft.com/office/spreadsheetml/2009/9/main" objectType="Drop" dropLines="5" dropStyle="combo" dx="25" fmlaLink="J138" fmlaRange="'MENU OPTIONS'!$A$1:$A$29" sel="3" val="0"/>
</file>

<file path=xl/ctrlProps/ctrlProp150.xml><?xml version="1.0" encoding="utf-8"?>
<formControlPr xmlns="http://schemas.microsoft.com/office/spreadsheetml/2009/9/main" objectType="Drop" dropLines="5" dropStyle="combo" dx="25" fmlaLink="I138" fmlaRange="'MENU OPTIONS'!$A$1:$A$29" sel="2" val="0"/>
</file>

<file path=xl/ctrlProps/ctrlProp151.xml><?xml version="1.0" encoding="utf-8"?>
<formControlPr xmlns="http://schemas.microsoft.com/office/spreadsheetml/2009/9/main" objectType="Drop" dropLines="5" dropStyle="combo" dx="25" fmlaLink="J139" fmlaRange="'MENU OPTIONS'!$A$1:$A$29" sel="3" val="0"/>
</file>

<file path=xl/ctrlProps/ctrlProp152.xml><?xml version="1.0" encoding="utf-8"?>
<formControlPr xmlns="http://schemas.microsoft.com/office/spreadsheetml/2009/9/main" objectType="Drop" dropLines="5" dropStyle="combo" dx="25" fmlaLink="I139" fmlaRange="'MENU OPTIONS'!$A$1:$A$29" sel="2" val="0"/>
</file>

<file path=xl/ctrlProps/ctrlProp153.xml><?xml version="1.0" encoding="utf-8"?>
<formControlPr xmlns="http://schemas.microsoft.com/office/spreadsheetml/2009/9/main" objectType="Drop" dropLines="5" dropStyle="combo" dx="25" fmlaLink="J140" fmlaRange="'MENU OPTIONS'!$A$1:$A$29" sel="3" val="0"/>
</file>

<file path=xl/ctrlProps/ctrlProp154.xml><?xml version="1.0" encoding="utf-8"?>
<formControlPr xmlns="http://schemas.microsoft.com/office/spreadsheetml/2009/9/main" objectType="Drop" dropLines="5" dropStyle="combo" dx="25" fmlaLink="I140" fmlaRange="'MENU OPTIONS'!$A$1:$A$29" sel="2" val="0"/>
</file>

<file path=xl/ctrlProps/ctrlProp155.xml><?xml version="1.0" encoding="utf-8"?>
<formControlPr xmlns="http://schemas.microsoft.com/office/spreadsheetml/2009/9/main" objectType="Drop" dropLines="6" dropStyle="combo" dx="25" fmlaLink="A135" fmlaRange="'MENU OPTIONS'!$B$27:$B$36" sel="9" val="4"/>
</file>

<file path=xl/ctrlProps/ctrlProp156.xml><?xml version="1.0" encoding="utf-8"?>
<formControlPr xmlns="http://schemas.microsoft.com/office/spreadsheetml/2009/9/main" objectType="Drop" dropLines="6" dropStyle="combo" dx="25" fmlaLink="A136" fmlaRange="'MENU OPTIONS'!$B$27:$B$36" sel="1" val="0"/>
</file>

<file path=xl/ctrlProps/ctrlProp157.xml><?xml version="1.0" encoding="utf-8"?>
<formControlPr xmlns="http://schemas.microsoft.com/office/spreadsheetml/2009/9/main" objectType="Drop" dropLines="6" dropStyle="combo" dx="25" fmlaLink="A137" fmlaRange="'MENU OPTIONS'!$B$27:$B$36" sel="1" val="0"/>
</file>

<file path=xl/ctrlProps/ctrlProp158.xml><?xml version="1.0" encoding="utf-8"?>
<formControlPr xmlns="http://schemas.microsoft.com/office/spreadsheetml/2009/9/main" objectType="Drop" dropLines="6" dropStyle="combo" dx="25" fmlaLink="A138" fmlaRange="'MENU OPTIONS'!$B$27:$B$36" sel="1" val="0"/>
</file>

<file path=xl/ctrlProps/ctrlProp159.xml><?xml version="1.0" encoding="utf-8"?>
<formControlPr xmlns="http://schemas.microsoft.com/office/spreadsheetml/2009/9/main" objectType="Drop" dropLines="6" dropStyle="combo" dx="25" fmlaLink="A139" fmlaRange="'MENU OPTIONS'!$B$27:$B$36" sel="1" val="0"/>
</file>

<file path=xl/ctrlProps/ctrlProp160.xml><?xml version="1.0" encoding="utf-8"?>
<formControlPr xmlns="http://schemas.microsoft.com/office/spreadsheetml/2009/9/main" objectType="Drop" dropLines="6" dropStyle="combo" dx="25" fmlaLink="A140" fmlaRange="'MENU OPTIONS'!$B$27:$B$36" sel="1" val="0"/>
</file>

<file path=xl/ctrlProps/ctrlProp161.xml><?xml version="1.0" encoding="utf-8"?>
<formControlPr xmlns="http://schemas.microsoft.com/office/spreadsheetml/2009/9/main" objectType="Drop" dropLines="6" dropStyle="combo" dx="25" fmlaLink="C135" fmlaRange="'MENU OPTIONS'!$B$27:$B$36" sel="1" val="0"/>
</file>

<file path=xl/ctrlProps/ctrlProp162.xml><?xml version="1.0" encoding="utf-8"?>
<formControlPr xmlns="http://schemas.microsoft.com/office/spreadsheetml/2009/9/main" objectType="Drop" dropLines="6" dropStyle="combo" dx="25" fmlaLink="C136" fmlaRange="'MENU OPTIONS'!$B$27:$B$36" sel="2" val="0"/>
</file>

<file path=xl/ctrlProps/ctrlProp163.xml><?xml version="1.0" encoding="utf-8"?>
<formControlPr xmlns="http://schemas.microsoft.com/office/spreadsheetml/2009/9/main" objectType="Drop" dropLines="6" dropStyle="combo" dx="25" fmlaLink="C137" fmlaRange="'MENU OPTIONS'!$B$27:$B$36" sel="3" val="0"/>
</file>

<file path=xl/ctrlProps/ctrlProp164.xml><?xml version="1.0" encoding="utf-8"?>
<formControlPr xmlns="http://schemas.microsoft.com/office/spreadsheetml/2009/9/main" objectType="Drop" dropLines="6" dropStyle="combo" dx="25" fmlaLink="C138" fmlaRange="'MENU OPTIONS'!$B$27:$B$35" sel="4" val="0"/>
</file>

<file path=xl/ctrlProps/ctrlProp165.xml><?xml version="1.0" encoding="utf-8"?>
<formControlPr xmlns="http://schemas.microsoft.com/office/spreadsheetml/2009/9/main" objectType="Drop" dropLines="6" dropStyle="combo" dx="25" fmlaLink="C139" fmlaRange="'MENU OPTIONS'!$B$27:$B$36" sel="5" val="0"/>
</file>

<file path=xl/ctrlProps/ctrlProp166.xml><?xml version="1.0" encoding="utf-8"?>
<formControlPr xmlns="http://schemas.microsoft.com/office/spreadsheetml/2009/9/main" objectType="Drop" dropLines="6" dropStyle="combo" dx="25" fmlaLink="C140" fmlaRange="'MENU OPTIONS'!$B$27:$B$36" sel="6" val="0"/>
</file>

<file path=xl/ctrlProps/ctrlProp167.xml><?xml version="1.0" encoding="utf-8"?>
<formControlPr xmlns="http://schemas.microsoft.com/office/spreadsheetml/2009/9/main" objectType="Drop" dropStyle="combo" dx="25" fmlaLink="'LOCAL DATASET'!B4" fmlaRange="'DEFAULT DATA'!$A$9:$A$40" sel="17" val="14"/>
</file>

<file path=xl/drawings/_rels/drawing1.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4" Type="http://schemas.openxmlformats.org/officeDocument/2006/relationships/hyperlink" Target="#RESULTS!A1"/></Relationships>
</file>

<file path=xl/drawings/_rels/drawing2.xml.rels><?xml version="1.0" encoding="UTF-8" standalone="yes"?>
<Relationships xmlns="http://schemas.openxmlformats.org/package/2006/relationships"><Relationship Id="rId8" Type="http://schemas.openxmlformats.org/officeDocument/2006/relationships/hyperlink" Target="#'LAND USE CHANGE'!A1"/><Relationship Id="rId13" Type="http://schemas.openxmlformats.org/officeDocument/2006/relationships/chart" Target="../charts/chart9.xml"/><Relationship Id="rId3" Type="http://schemas.openxmlformats.org/officeDocument/2006/relationships/chart" Target="../charts/chart3.xml"/><Relationship Id="rId7" Type="http://schemas.openxmlformats.org/officeDocument/2006/relationships/hyperlink" Target="#START!A1"/><Relationship Id="rId12" Type="http://schemas.openxmlformats.org/officeDocument/2006/relationships/chart" Target="../charts/chart8.xml"/><Relationship Id="rId2" Type="http://schemas.openxmlformats.org/officeDocument/2006/relationships/chart" Target="../charts/chart2.xml"/><Relationship Id="rId16"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7.xml"/><Relationship Id="rId5" Type="http://schemas.openxmlformats.org/officeDocument/2006/relationships/chart" Target="../charts/chart5.xml"/><Relationship Id="rId15" Type="http://schemas.openxmlformats.org/officeDocument/2006/relationships/chart" Target="../charts/chart11.xml"/><Relationship Id="rId10" Type="http://schemas.openxmlformats.org/officeDocument/2006/relationships/hyperlink" Target="#RESULTS!A1"/><Relationship Id="rId4" Type="http://schemas.openxmlformats.org/officeDocument/2006/relationships/chart" Target="../charts/chart4.xml"/><Relationship Id="rId9" Type="http://schemas.openxmlformats.org/officeDocument/2006/relationships/hyperlink" Target="#BUILDINGS!A1"/><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hyperlink" Target="#BUILDINGS!A1"/><Relationship Id="rId7" Type="http://schemas.openxmlformats.org/officeDocument/2006/relationships/chart" Target="../charts/chart15.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hyperlink" Target="#RESULTS!A1"/><Relationship Id="rId9" Type="http://schemas.openxmlformats.org/officeDocument/2006/relationships/chart" Target="../charts/chart17.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hyperlink" Target="#'LAND USE CHANGE'!A1"/><Relationship Id="rId7" Type="http://schemas.openxmlformats.org/officeDocument/2006/relationships/chart" Target="../charts/chart20.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hyperlink" Target="#RESULTS!A1"/><Relationship Id="rId5" Type="http://schemas.openxmlformats.org/officeDocument/2006/relationships/chart" Target="../charts/chart19.xml"/><Relationship Id="rId10" Type="http://schemas.openxmlformats.org/officeDocument/2006/relationships/chart" Target="../charts/chart23.xml"/><Relationship Id="rId4" Type="http://schemas.openxmlformats.org/officeDocument/2006/relationships/chart" Target="../charts/chart18.xml"/><Relationship Id="rId9" Type="http://schemas.openxmlformats.org/officeDocument/2006/relationships/chart" Target="../charts/chart22.xml"/></Relationships>
</file>

<file path=xl/drawings/_rels/drawing5.xml.rels><?xml version="1.0" encoding="UTF-8" standalone="yes"?>
<Relationships xmlns="http://schemas.openxmlformats.org/package/2006/relationships"><Relationship Id="rId3" Type="http://schemas.openxmlformats.org/officeDocument/2006/relationships/hyperlink" Target="#START!A1"/><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hyperlink" Target="#BUILDINGS!A1"/><Relationship Id="rId5" Type="http://schemas.openxmlformats.org/officeDocument/2006/relationships/hyperlink" Target="#'LAND USE CHANGE'!A1"/><Relationship Id="rId4" Type="http://schemas.openxmlformats.org/officeDocument/2006/relationships/hyperlink" Target="#TRANSPORT!A1"/></Relationships>
</file>

<file path=xl/drawings/_rels/drawing6.xml.rels><?xml version="1.0" encoding="UTF-8" standalone="yes"?>
<Relationships xmlns="http://schemas.openxmlformats.org/package/2006/relationships"><Relationship Id="rId3" Type="http://schemas.openxmlformats.org/officeDocument/2006/relationships/hyperlink" Target="#BUILDINGS!A1"/><Relationship Id="rId7" Type="http://schemas.openxmlformats.org/officeDocument/2006/relationships/image" Target="../media/image2.emf"/><Relationship Id="rId2" Type="http://schemas.openxmlformats.org/officeDocument/2006/relationships/hyperlink" Target="#'LAND USE CHANGE'!A1"/><Relationship Id="rId1" Type="http://schemas.openxmlformats.org/officeDocument/2006/relationships/hyperlink" Target="#TRANSPORT!A1"/><Relationship Id="rId6" Type="http://schemas.openxmlformats.org/officeDocument/2006/relationships/image" Target="../media/image1.emf"/><Relationship Id="rId5" Type="http://schemas.openxmlformats.org/officeDocument/2006/relationships/hyperlink" Target="https://www.youtube.com/watch?v=BcMUDxOC5Tg" TargetMode="External"/><Relationship Id="rId4" Type="http://schemas.openxmlformats.org/officeDocument/2006/relationships/hyperlink" Target="#RESULTS!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xdr:row>
          <xdr:rowOff>9525</xdr:rowOff>
        </xdr:from>
        <xdr:to>
          <xdr:col>3</xdr:col>
          <xdr:colOff>0</xdr:colOff>
          <xdr:row>2</xdr:row>
          <xdr:rowOff>238125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xdr:row>
          <xdr:rowOff>9525</xdr:rowOff>
        </xdr:from>
        <xdr:to>
          <xdr:col>3</xdr:col>
          <xdr:colOff>0</xdr:colOff>
          <xdr:row>1</xdr:row>
          <xdr:rowOff>238125</xdr:rowOff>
        </xdr:to>
        <xdr:sp macro="" textlink="">
          <xdr:nvSpPr>
            <xdr:cNvPr id="8195" name="Drop Dow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819150</xdr:colOff>
      <xdr:row>0</xdr:row>
      <xdr:rowOff>85726</xdr:rowOff>
    </xdr:from>
    <xdr:to>
      <xdr:col>6</xdr:col>
      <xdr:colOff>200025</xdr:colOff>
      <xdr:row>0</xdr:row>
      <xdr:rowOff>314326</xdr:rowOff>
    </xdr:to>
    <xdr:sp macro="" textlink="">
      <xdr:nvSpPr>
        <xdr:cNvPr id="2" name="Rectangle 1">
          <a:hlinkClick xmlns:r="http://schemas.openxmlformats.org/officeDocument/2006/relationships" r:id="rId1"/>
        </xdr:cNvPr>
        <xdr:cNvSpPr/>
      </xdr:nvSpPr>
      <xdr:spPr>
        <a:xfrm>
          <a:off x="594360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6</xdr:col>
      <xdr:colOff>247650</xdr:colOff>
      <xdr:row>0</xdr:row>
      <xdr:rowOff>85726</xdr:rowOff>
    </xdr:from>
    <xdr:to>
      <xdr:col>8</xdr:col>
      <xdr:colOff>400050</xdr:colOff>
      <xdr:row>0</xdr:row>
      <xdr:rowOff>314326</xdr:rowOff>
    </xdr:to>
    <xdr:sp macro="" textlink="">
      <xdr:nvSpPr>
        <xdr:cNvPr id="7" name="Rectangle 6">
          <a:hlinkClick xmlns:r="http://schemas.openxmlformats.org/officeDocument/2006/relationships" r:id="rId2"/>
        </xdr:cNvPr>
        <xdr:cNvSpPr/>
      </xdr:nvSpPr>
      <xdr:spPr>
        <a:xfrm>
          <a:off x="736282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8</xdr:col>
      <xdr:colOff>447675</xdr:colOff>
      <xdr:row>0</xdr:row>
      <xdr:rowOff>85725</xdr:rowOff>
    </xdr:from>
    <xdr:to>
      <xdr:col>10</xdr:col>
      <xdr:colOff>600075</xdr:colOff>
      <xdr:row>0</xdr:row>
      <xdr:rowOff>314325</xdr:rowOff>
    </xdr:to>
    <xdr:sp macro="" textlink="">
      <xdr:nvSpPr>
        <xdr:cNvPr id="8" name="Rectangle 7">
          <a:hlinkClick xmlns:r="http://schemas.openxmlformats.org/officeDocument/2006/relationships" r:id="rId3"/>
        </xdr:cNvPr>
        <xdr:cNvSpPr/>
      </xdr:nvSpPr>
      <xdr:spPr>
        <a:xfrm>
          <a:off x="87820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2</xdr:row>
          <xdr:rowOff>9525</xdr:rowOff>
        </xdr:from>
        <xdr:to>
          <xdr:col>5</xdr:col>
          <xdr:colOff>0</xdr:colOff>
          <xdr:row>2</xdr:row>
          <xdr:rowOff>238125</xdr:rowOff>
        </xdr:to>
        <xdr:sp macro="" textlink="">
          <xdr:nvSpPr>
            <xdr:cNvPr id="8198" name="Drop Down 6" hidden="1">
              <a:extLst>
                <a:ext uri="{63B3BB69-23CF-44E3-9099-C40C66FF867C}">
                  <a14:compatExt spid="_x0000_s8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38100</xdr:colOff>
      <xdr:row>0</xdr:row>
      <xdr:rowOff>85725</xdr:rowOff>
    </xdr:from>
    <xdr:to>
      <xdr:col>13</xdr:col>
      <xdr:colOff>190500</xdr:colOff>
      <xdr:row>0</xdr:row>
      <xdr:rowOff>314325</xdr:rowOff>
    </xdr:to>
    <xdr:sp macro="" textlink="">
      <xdr:nvSpPr>
        <xdr:cNvPr id="9" name="Rectangle 8">
          <a:hlinkClick xmlns:r="http://schemas.openxmlformats.org/officeDocument/2006/relationships" r:id="rId4"/>
        </xdr:cNvPr>
        <xdr:cNvSpPr/>
      </xdr:nvSpPr>
      <xdr:spPr>
        <a:xfrm>
          <a:off x="1020127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781050</xdr:colOff>
      <xdr:row>0</xdr:row>
      <xdr:rowOff>85725</xdr:rowOff>
    </xdr:from>
    <xdr:to>
      <xdr:col>4</xdr:col>
      <xdr:colOff>771525</xdr:colOff>
      <xdr:row>0</xdr:row>
      <xdr:rowOff>314325</xdr:rowOff>
    </xdr:to>
    <xdr:sp macro="" textlink="">
      <xdr:nvSpPr>
        <xdr:cNvPr id="11" name="Rectangle 10"/>
        <xdr:cNvSpPr/>
      </xdr:nvSpPr>
      <xdr:spPr>
        <a:xfrm>
          <a:off x="452437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START</a:t>
          </a:r>
          <a:endParaRPr lang="en-US" sz="1100" b="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292554</xdr:colOff>
      <xdr:row>167</xdr:row>
      <xdr:rowOff>206943</xdr:rowOff>
    </xdr:from>
    <xdr:to>
      <xdr:col>13</xdr:col>
      <xdr:colOff>488156</xdr:colOff>
      <xdr:row>175</xdr:row>
      <xdr:rowOff>185775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304799</xdr:colOff>
      <xdr:row>167</xdr:row>
      <xdr:rowOff>53975</xdr:rowOff>
    </xdr:from>
    <xdr:to>
      <xdr:col>11</xdr:col>
      <xdr:colOff>383380</xdr:colOff>
      <xdr:row>174</xdr:row>
      <xdr:rowOff>245988</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527</xdr:colOff>
      <xdr:row>85</xdr:row>
      <xdr:rowOff>57150</xdr:rowOff>
    </xdr:from>
    <xdr:to>
      <xdr:col>12</xdr:col>
      <xdr:colOff>76199</xdr:colOff>
      <xdr:row>97</xdr:row>
      <xdr:rowOff>107156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66675</xdr:colOff>
      <xdr:row>5</xdr:row>
      <xdr:rowOff>228599</xdr:rowOff>
    </xdr:from>
    <xdr:to>
      <xdr:col>11</xdr:col>
      <xdr:colOff>600075</xdr:colOff>
      <xdr:row>14</xdr:row>
      <xdr:rowOff>9524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314325</xdr:colOff>
          <xdr:row>17</xdr:row>
          <xdr:rowOff>228600</xdr:rowOff>
        </xdr:from>
        <xdr:to>
          <xdr:col>6</xdr:col>
          <xdr:colOff>838200</xdr:colOff>
          <xdr:row>18</xdr:row>
          <xdr:rowOff>219075</xdr:rowOff>
        </xdr:to>
        <xdr:sp macro="" textlink="">
          <xdr:nvSpPr>
            <xdr:cNvPr id="7452" name="Drop Down 284" hidden="1">
              <a:extLst>
                <a:ext uri="{63B3BB69-23CF-44E3-9099-C40C66FF867C}">
                  <a14:compatExt spid="_x0000_s7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18</xdr:row>
          <xdr:rowOff>238125</xdr:rowOff>
        </xdr:from>
        <xdr:to>
          <xdr:col>6</xdr:col>
          <xdr:colOff>838200</xdr:colOff>
          <xdr:row>19</xdr:row>
          <xdr:rowOff>219075</xdr:rowOff>
        </xdr:to>
        <xdr:sp macro="" textlink="">
          <xdr:nvSpPr>
            <xdr:cNvPr id="7453" name="Drop Down 285" hidden="1">
              <a:extLst>
                <a:ext uri="{63B3BB69-23CF-44E3-9099-C40C66FF867C}">
                  <a14:compatExt spid="_x0000_s74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19</xdr:row>
          <xdr:rowOff>238125</xdr:rowOff>
        </xdr:from>
        <xdr:to>
          <xdr:col>6</xdr:col>
          <xdr:colOff>838200</xdr:colOff>
          <xdr:row>20</xdr:row>
          <xdr:rowOff>219075</xdr:rowOff>
        </xdr:to>
        <xdr:sp macro="" textlink="">
          <xdr:nvSpPr>
            <xdr:cNvPr id="7454" name="Drop Down 286" hidden="1">
              <a:extLst>
                <a:ext uri="{63B3BB69-23CF-44E3-9099-C40C66FF867C}">
                  <a14:compatExt spid="_x0000_s74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20</xdr:row>
          <xdr:rowOff>238125</xdr:rowOff>
        </xdr:from>
        <xdr:to>
          <xdr:col>6</xdr:col>
          <xdr:colOff>838200</xdr:colOff>
          <xdr:row>21</xdr:row>
          <xdr:rowOff>219075</xdr:rowOff>
        </xdr:to>
        <xdr:sp macro="" textlink="">
          <xdr:nvSpPr>
            <xdr:cNvPr id="7455" name="Drop Down 287" hidden="1">
              <a:extLst>
                <a:ext uri="{63B3BB69-23CF-44E3-9099-C40C66FF867C}">
                  <a14:compatExt spid="_x0000_s74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128</xdr:row>
          <xdr:rowOff>9525</xdr:rowOff>
        </xdr:from>
        <xdr:to>
          <xdr:col>5</xdr:col>
          <xdr:colOff>685800</xdr:colOff>
          <xdr:row>129</xdr:row>
          <xdr:rowOff>0</xdr:rowOff>
        </xdr:to>
        <xdr:sp macro="" textlink="">
          <xdr:nvSpPr>
            <xdr:cNvPr id="7458" name="Drop Down 290" hidden="1">
              <a:extLst>
                <a:ext uri="{63B3BB69-23CF-44E3-9099-C40C66FF867C}">
                  <a14:compatExt spid="_x0000_s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752475</xdr:colOff>
          <xdr:row>128</xdr:row>
          <xdr:rowOff>9525</xdr:rowOff>
        </xdr:from>
        <xdr:to>
          <xdr:col>6</xdr:col>
          <xdr:colOff>828675</xdr:colOff>
          <xdr:row>129</xdr:row>
          <xdr:rowOff>0</xdr:rowOff>
        </xdr:to>
        <xdr:sp macro="" textlink="">
          <xdr:nvSpPr>
            <xdr:cNvPr id="7459" name="Drop Down 291" hidden="1">
              <a:extLst>
                <a:ext uri="{63B3BB69-23CF-44E3-9099-C40C66FF867C}">
                  <a14:compatExt spid="_x0000_s74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47626</xdr:colOff>
      <xdr:row>134</xdr:row>
      <xdr:rowOff>76075</xdr:rowOff>
    </xdr:from>
    <xdr:to>
      <xdr:col>12</xdr:col>
      <xdr:colOff>108858</xdr:colOff>
      <xdr:row>144</xdr:row>
      <xdr:rowOff>81643</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777875</xdr:colOff>
      <xdr:row>127</xdr:row>
      <xdr:rowOff>152400</xdr:rowOff>
    </xdr:from>
    <xdr:to>
      <xdr:col>14</xdr:col>
      <xdr:colOff>476249</xdr:colOff>
      <xdr:row>137</xdr:row>
      <xdr:rowOff>3174</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809625</xdr:colOff>
          <xdr:row>150</xdr:row>
          <xdr:rowOff>9525</xdr:rowOff>
        </xdr:from>
        <xdr:to>
          <xdr:col>6</xdr:col>
          <xdr:colOff>9525</xdr:colOff>
          <xdr:row>151</xdr:row>
          <xdr:rowOff>0</xdr:rowOff>
        </xdr:to>
        <xdr:sp macro="" textlink="">
          <xdr:nvSpPr>
            <xdr:cNvPr id="7462" name="Drop Down 294" hidden="1">
              <a:extLst>
                <a:ext uri="{63B3BB69-23CF-44E3-9099-C40C66FF867C}">
                  <a14:compatExt spid="_x0000_s74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150</xdr:row>
          <xdr:rowOff>9525</xdr:rowOff>
        </xdr:from>
        <xdr:to>
          <xdr:col>7</xdr:col>
          <xdr:colOff>57150</xdr:colOff>
          <xdr:row>151</xdr:row>
          <xdr:rowOff>0</xdr:rowOff>
        </xdr:to>
        <xdr:sp macro="" textlink="">
          <xdr:nvSpPr>
            <xdr:cNvPr id="7463" name="Drop Down 295" hidden="1">
              <a:extLst>
                <a:ext uri="{63B3BB69-23CF-44E3-9099-C40C66FF867C}">
                  <a14:compatExt spid="_x0000_s74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176</xdr:row>
          <xdr:rowOff>9525</xdr:rowOff>
        </xdr:from>
        <xdr:to>
          <xdr:col>7</xdr:col>
          <xdr:colOff>57150</xdr:colOff>
          <xdr:row>177</xdr:row>
          <xdr:rowOff>0</xdr:rowOff>
        </xdr:to>
        <xdr:sp macro="" textlink="">
          <xdr:nvSpPr>
            <xdr:cNvPr id="7475" name="Drop Down 307" hidden="1">
              <a:extLst>
                <a:ext uri="{63B3BB69-23CF-44E3-9099-C40C66FF867C}">
                  <a14:compatExt spid="_x0000_s74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176</xdr:row>
          <xdr:rowOff>9525</xdr:rowOff>
        </xdr:from>
        <xdr:to>
          <xdr:col>6</xdr:col>
          <xdr:colOff>0</xdr:colOff>
          <xdr:row>177</xdr:row>
          <xdr:rowOff>0</xdr:rowOff>
        </xdr:to>
        <xdr:sp macro="" textlink="">
          <xdr:nvSpPr>
            <xdr:cNvPr id="7476" name="Drop Down 308" hidden="1">
              <a:extLst>
                <a:ext uri="{63B3BB69-23CF-44E3-9099-C40C66FF867C}">
                  <a14:compatExt spid="_x0000_s7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159</xdr:row>
          <xdr:rowOff>9525</xdr:rowOff>
        </xdr:from>
        <xdr:to>
          <xdr:col>6</xdr:col>
          <xdr:colOff>9525</xdr:colOff>
          <xdr:row>160</xdr:row>
          <xdr:rowOff>0</xdr:rowOff>
        </xdr:to>
        <xdr:sp macro="" textlink="">
          <xdr:nvSpPr>
            <xdr:cNvPr id="7486" name="Drop Down 318" hidden="1">
              <a:extLst>
                <a:ext uri="{63B3BB69-23CF-44E3-9099-C40C66FF867C}">
                  <a14:compatExt spid="_x0000_s74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159</xdr:row>
          <xdr:rowOff>9525</xdr:rowOff>
        </xdr:from>
        <xdr:to>
          <xdr:col>7</xdr:col>
          <xdr:colOff>57150</xdr:colOff>
          <xdr:row>160</xdr:row>
          <xdr:rowOff>0</xdr:rowOff>
        </xdr:to>
        <xdr:sp macro="" textlink="">
          <xdr:nvSpPr>
            <xdr:cNvPr id="7487" name="Drop Down 319" hidden="1">
              <a:extLst>
                <a:ext uri="{63B3BB69-23CF-44E3-9099-C40C66FF867C}">
                  <a14:compatExt spid="_x0000_s7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390524</xdr:colOff>
      <xdr:row>0</xdr:row>
      <xdr:rowOff>85726</xdr:rowOff>
    </xdr:from>
    <xdr:to>
      <xdr:col>7</xdr:col>
      <xdr:colOff>71437</xdr:colOff>
      <xdr:row>0</xdr:row>
      <xdr:rowOff>314326</xdr:rowOff>
    </xdr:to>
    <xdr:sp macro="" textlink="">
      <xdr:nvSpPr>
        <xdr:cNvPr id="31" name="Rectangle 30">
          <a:hlinkClick xmlns:r="http://schemas.openxmlformats.org/officeDocument/2006/relationships" r:id="rId7"/>
        </xdr:cNvPr>
        <xdr:cNvSpPr/>
      </xdr:nvSpPr>
      <xdr:spPr>
        <a:xfrm>
          <a:off x="4095749" y="85726"/>
          <a:ext cx="1376363"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a:t>
          </a:r>
          <a:r>
            <a:rPr lang="en-US" sz="1100">
              <a:solidFill>
                <a:schemeClr val="bg1"/>
              </a:solidFill>
            </a:rPr>
            <a:t>T</a:t>
          </a:r>
        </a:p>
      </xdr:txBody>
    </xdr:sp>
    <xdr:clientData/>
  </xdr:twoCellAnchor>
  <xdr:twoCellAnchor>
    <xdr:from>
      <xdr:col>8</xdr:col>
      <xdr:colOff>692943</xdr:colOff>
      <xdr:row>0</xdr:row>
      <xdr:rowOff>85726</xdr:rowOff>
    </xdr:from>
    <xdr:to>
      <xdr:col>10</xdr:col>
      <xdr:colOff>371474</xdr:colOff>
      <xdr:row>0</xdr:row>
      <xdr:rowOff>314326</xdr:rowOff>
    </xdr:to>
    <xdr:sp macro="" textlink="">
      <xdr:nvSpPr>
        <xdr:cNvPr id="32" name="Rectangle 31">
          <a:hlinkClick xmlns:r="http://schemas.openxmlformats.org/officeDocument/2006/relationships" r:id="rId8"/>
        </xdr:cNvPr>
        <xdr:cNvSpPr/>
      </xdr:nvSpPr>
      <xdr:spPr>
        <a:xfrm>
          <a:off x="6941343" y="85726"/>
          <a:ext cx="1373981"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10</xdr:col>
      <xdr:colOff>416719</xdr:colOff>
      <xdr:row>0</xdr:row>
      <xdr:rowOff>85725</xdr:rowOff>
    </xdr:from>
    <xdr:to>
      <xdr:col>12</xdr:col>
      <xdr:colOff>226219</xdr:colOff>
      <xdr:row>0</xdr:row>
      <xdr:rowOff>314325</xdr:rowOff>
    </xdr:to>
    <xdr:sp macro="" textlink="">
      <xdr:nvSpPr>
        <xdr:cNvPr id="33" name="Rectangle 32">
          <a:hlinkClick xmlns:r="http://schemas.openxmlformats.org/officeDocument/2006/relationships" r:id="rId9"/>
        </xdr:cNvPr>
        <xdr:cNvSpPr/>
      </xdr:nvSpPr>
      <xdr:spPr>
        <a:xfrm>
          <a:off x="8360569"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12</xdr:col>
      <xdr:colOff>273324</xdr:colOff>
      <xdr:row>0</xdr:row>
      <xdr:rowOff>85725</xdr:rowOff>
    </xdr:from>
    <xdr:to>
      <xdr:col>14</xdr:col>
      <xdr:colOff>216174</xdr:colOff>
      <xdr:row>0</xdr:row>
      <xdr:rowOff>314325</xdr:rowOff>
    </xdr:to>
    <xdr:sp macro="" textlink="">
      <xdr:nvSpPr>
        <xdr:cNvPr id="34" name="Rectangle 33">
          <a:hlinkClick xmlns:r="http://schemas.openxmlformats.org/officeDocument/2006/relationships" r:id="rId10"/>
        </xdr:cNvPr>
        <xdr:cNvSpPr/>
      </xdr:nvSpPr>
      <xdr:spPr>
        <a:xfrm>
          <a:off x="9779274"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186</xdr:row>
          <xdr:rowOff>9525</xdr:rowOff>
        </xdr:from>
        <xdr:to>
          <xdr:col>7</xdr:col>
          <xdr:colOff>57150</xdr:colOff>
          <xdr:row>187</xdr:row>
          <xdr:rowOff>0</xdr:rowOff>
        </xdr:to>
        <xdr:sp macro="" textlink="">
          <xdr:nvSpPr>
            <xdr:cNvPr id="7522" name="Drop Down 354" hidden="1">
              <a:extLst>
                <a:ext uri="{63B3BB69-23CF-44E3-9099-C40C66FF867C}">
                  <a14:compatExt spid="_x0000_s75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186</xdr:row>
          <xdr:rowOff>9525</xdr:rowOff>
        </xdr:from>
        <xdr:to>
          <xdr:col>6</xdr:col>
          <xdr:colOff>0</xdr:colOff>
          <xdr:row>187</xdr:row>
          <xdr:rowOff>0</xdr:rowOff>
        </xdr:to>
        <xdr:sp macro="" textlink="">
          <xdr:nvSpPr>
            <xdr:cNvPr id="7523" name="Drop Down 355" hidden="1">
              <a:extLst>
                <a:ext uri="{63B3BB69-23CF-44E3-9099-C40C66FF867C}">
                  <a14:compatExt spid="_x0000_s75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197</xdr:row>
          <xdr:rowOff>19050</xdr:rowOff>
        </xdr:from>
        <xdr:to>
          <xdr:col>7</xdr:col>
          <xdr:colOff>57150</xdr:colOff>
          <xdr:row>198</xdr:row>
          <xdr:rowOff>9525</xdr:rowOff>
        </xdr:to>
        <xdr:sp macro="" textlink="">
          <xdr:nvSpPr>
            <xdr:cNvPr id="7526" name="Drop Down 358" hidden="1">
              <a:extLst>
                <a:ext uri="{63B3BB69-23CF-44E3-9099-C40C66FF867C}">
                  <a14:compatExt spid="_x0000_s7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819150</xdr:colOff>
          <xdr:row>197</xdr:row>
          <xdr:rowOff>28575</xdr:rowOff>
        </xdr:from>
        <xdr:to>
          <xdr:col>6</xdr:col>
          <xdr:colOff>19050</xdr:colOff>
          <xdr:row>198</xdr:row>
          <xdr:rowOff>19050</xdr:rowOff>
        </xdr:to>
        <xdr:sp macro="" textlink="">
          <xdr:nvSpPr>
            <xdr:cNvPr id="7527" name="Drop Down 359" hidden="1">
              <a:extLst>
                <a:ext uri="{63B3BB69-23CF-44E3-9099-C40C66FF867C}">
                  <a14:compatExt spid="_x0000_s7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219</xdr:row>
          <xdr:rowOff>19050</xdr:rowOff>
        </xdr:from>
        <xdr:to>
          <xdr:col>7</xdr:col>
          <xdr:colOff>57150</xdr:colOff>
          <xdr:row>220</xdr:row>
          <xdr:rowOff>9525</xdr:rowOff>
        </xdr:to>
        <xdr:sp macro="" textlink="">
          <xdr:nvSpPr>
            <xdr:cNvPr id="7530" name="Drop Down 362" hidden="1">
              <a:extLst>
                <a:ext uri="{63B3BB69-23CF-44E3-9099-C40C66FF867C}">
                  <a14:compatExt spid="_x0000_s7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219</xdr:row>
          <xdr:rowOff>19050</xdr:rowOff>
        </xdr:from>
        <xdr:to>
          <xdr:col>6</xdr:col>
          <xdr:colOff>9525</xdr:colOff>
          <xdr:row>220</xdr:row>
          <xdr:rowOff>9525</xdr:rowOff>
        </xdr:to>
        <xdr:sp macro="" textlink="">
          <xdr:nvSpPr>
            <xdr:cNvPr id="7531" name="Drop Down 363" hidden="1">
              <a:extLst>
                <a:ext uri="{63B3BB69-23CF-44E3-9099-C40C66FF867C}">
                  <a14:compatExt spid="_x0000_s75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229</xdr:row>
          <xdr:rowOff>19050</xdr:rowOff>
        </xdr:from>
        <xdr:to>
          <xdr:col>7</xdr:col>
          <xdr:colOff>85725</xdr:colOff>
          <xdr:row>230</xdr:row>
          <xdr:rowOff>9525</xdr:rowOff>
        </xdr:to>
        <xdr:sp macro="" textlink="">
          <xdr:nvSpPr>
            <xdr:cNvPr id="7534" name="Drop Down 366" hidden="1">
              <a:extLst>
                <a:ext uri="{63B3BB69-23CF-44E3-9099-C40C66FF867C}">
                  <a14:compatExt spid="_x0000_s75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229</xdr:row>
          <xdr:rowOff>19050</xdr:rowOff>
        </xdr:from>
        <xdr:to>
          <xdr:col>6</xdr:col>
          <xdr:colOff>19050</xdr:colOff>
          <xdr:row>230</xdr:row>
          <xdr:rowOff>9525</xdr:rowOff>
        </xdr:to>
        <xdr:sp macro="" textlink="">
          <xdr:nvSpPr>
            <xdr:cNvPr id="7535" name="Drop Down 367" hidden="1">
              <a:extLst>
                <a:ext uri="{63B3BB69-23CF-44E3-9099-C40C66FF867C}">
                  <a14:compatExt spid="_x0000_s75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1257300</xdr:colOff>
      <xdr:row>0</xdr:row>
      <xdr:rowOff>85725</xdr:rowOff>
    </xdr:from>
    <xdr:to>
      <xdr:col>8</xdr:col>
      <xdr:colOff>2628900</xdr:colOff>
      <xdr:row>0</xdr:row>
      <xdr:rowOff>314325</xdr:rowOff>
    </xdr:to>
    <xdr:sp macro="" textlink="">
      <xdr:nvSpPr>
        <xdr:cNvPr id="37" name="Rectangle 36"/>
        <xdr:cNvSpPr/>
      </xdr:nvSpPr>
      <xdr:spPr>
        <a:xfrm>
          <a:off x="5448300"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TRANSPORT</a:t>
          </a:r>
          <a:endParaRPr lang="en-US" sz="1100" b="0"/>
        </a:p>
      </xdr:txBody>
    </xdr:sp>
    <xdr:clientData/>
  </xdr:twoCellAnchor>
  <xdr:twoCellAnchor>
    <xdr:from>
      <xdr:col>1</xdr:col>
      <xdr:colOff>0</xdr:colOff>
      <xdr:row>100</xdr:row>
      <xdr:rowOff>31748</xdr:rowOff>
    </xdr:from>
    <xdr:to>
      <xdr:col>11</xdr:col>
      <xdr:colOff>97971</xdr:colOff>
      <xdr:row>116</xdr:row>
      <xdr:rowOff>227691</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121443</xdr:colOff>
      <xdr:row>0</xdr:row>
      <xdr:rowOff>85726</xdr:rowOff>
    </xdr:from>
    <xdr:to>
      <xdr:col>8</xdr:col>
      <xdr:colOff>647699</xdr:colOff>
      <xdr:row>0</xdr:row>
      <xdr:rowOff>314326</xdr:rowOff>
    </xdr:to>
    <xdr:sp macro="" textlink="">
      <xdr:nvSpPr>
        <xdr:cNvPr id="38" name="Rectangle 37"/>
        <xdr:cNvSpPr/>
      </xdr:nvSpPr>
      <xdr:spPr>
        <a:xfrm>
          <a:off x="5522118" y="85726"/>
          <a:ext cx="1373981"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xdr:col>
      <xdr:colOff>0</xdr:colOff>
      <xdr:row>234</xdr:row>
      <xdr:rowOff>0</xdr:rowOff>
    </xdr:from>
    <xdr:to>
      <xdr:col>11</xdr:col>
      <xdr:colOff>97971</xdr:colOff>
      <xdr:row>250</xdr:row>
      <xdr:rowOff>195943</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250032</xdr:colOff>
      <xdr:row>188</xdr:row>
      <xdr:rowOff>71438</xdr:rowOff>
    </xdr:from>
    <xdr:to>
      <xdr:col>11</xdr:col>
      <xdr:colOff>380999</xdr:colOff>
      <xdr:row>196</xdr:row>
      <xdr:rowOff>190499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285750</xdr:colOff>
      <xdr:row>179</xdr:row>
      <xdr:rowOff>63500</xdr:rowOff>
    </xdr:from>
    <xdr:to>
      <xdr:col>11</xdr:col>
      <xdr:colOff>333375</xdr:colOff>
      <xdr:row>187</xdr:row>
      <xdr:rowOff>1513</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4876800</xdr:colOff>
      <xdr:row>333</xdr:row>
      <xdr:rowOff>114300</xdr:rowOff>
    </xdr:from>
    <xdr:to>
      <xdr:col>17</xdr:col>
      <xdr:colOff>6616700</xdr:colOff>
      <xdr:row>336</xdr:row>
      <xdr:rowOff>100806</xdr:rowOff>
    </xdr:to>
    <xdr:sp macro="" textlink="">
      <xdr:nvSpPr>
        <xdr:cNvPr id="42" name="TextBox 41"/>
        <xdr:cNvSpPr txBox="1"/>
      </xdr:nvSpPr>
      <xdr:spPr>
        <a:xfrm>
          <a:off x="18116550" y="763143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U3.1</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5257800</xdr:colOff>
      <xdr:row>199</xdr:row>
      <xdr:rowOff>209550</xdr:rowOff>
    </xdr:from>
    <xdr:to>
      <xdr:col>18</xdr:col>
      <xdr:colOff>273050</xdr:colOff>
      <xdr:row>202</xdr:row>
      <xdr:rowOff>196056</xdr:rowOff>
    </xdr:to>
    <xdr:sp macro="" textlink="">
      <xdr:nvSpPr>
        <xdr:cNvPr id="43" name="TextBox 42"/>
        <xdr:cNvSpPr txBox="1"/>
      </xdr:nvSpPr>
      <xdr:spPr>
        <a:xfrm>
          <a:off x="18497550" y="499110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355</xdr:row>
      <xdr:rowOff>76200</xdr:rowOff>
    </xdr:from>
    <xdr:to>
      <xdr:col>17</xdr:col>
      <xdr:colOff>6616700</xdr:colOff>
      <xdr:row>358</xdr:row>
      <xdr:rowOff>62706</xdr:rowOff>
    </xdr:to>
    <xdr:sp macro="" textlink="">
      <xdr:nvSpPr>
        <xdr:cNvPr id="44" name="TextBox 43"/>
        <xdr:cNvSpPr txBox="1"/>
      </xdr:nvSpPr>
      <xdr:spPr>
        <a:xfrm>
          <a:off x="18116550" y="81724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U3.3</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4857750</xdr:colOff>
      <xdr:row>388</xdr:row>
      <xdr:rowOff>133350</xdr:rowOff>
    </xdr:from>
    <xdr:to>
      <xdr:col>17</xdr:col>
      <xdr:colOff>6597650</xdr:colOff>
      <xdr:row>391</xdr:row>
      <xdr:rowOff>119856</xdr:rowOff>
    </xdr:to>
    <xdr:sp macro="" textlink="">
      <xdr:nvSpPr>
        <xdr:cNvPr id="45" name="TextBox 44"/>
        <xdr:cNvSpPr txBox="1"/>
      </xdr:nvSpPr>
      <xdr:spPr>
        <a:xfrm>
          <a:off x="18097500" y="899541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403</xdr:row>
      <xdr:rowOff>0</xdr:rowOff>
    </xdr:from>
    <xdr:to>
      <xdr:col>17</xdr:col>
      <xdr:colOff>6616700</xdr:colOff>
      <xdr:row>405</xdr:row>
      <xdr:rowOff>234156</xdr:rowOff>
    </xdr:to>
    <xdr:sp macro="" textlink="">
      <xdr:nvSpPr>
        <xdr:cNvPr id="46" name="TextBox 45"/>
        <xdr:cNvSpPr txBox="1"/>
      </xdr:nvSpPr>
      <xdr:spPr>
        <a:xfrm>
          <a:off x="18116550" y="93535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U3.4</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4863193</xdr:colOff>
      <xdr:row>425</xdr:row>
      <xdr:rowOff>115661</xdr:rowOff>
    </xdr:from>
    <xdr:to>
      <xdr:col>17</xdr:col>
      <xdr:colOff>6603093</xdr:colOff>
      <xdr:row>428</xdr:row>
      <xdr:rowOff>95817</xdr:rowOff>
    </xdr:to>
    <xdr:sp macro="" textlink="">
      <xdr:nvSpPr>
        <xdr:cNvPr id="47" name="TextBox 46"/>
        <xdr:cNvSpPr txBox="1"/>
      </xdr:nvSpPr>
      <xdr:spPr>
        <a:xfrm>
          <a:off x="17939657" y="98032661"/>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U3.5</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4838700</xdr:colOff>
      <xdr:row>486</xdr:row>
      <xdr:rowOff>91169</xdr:rowOff>
    </xdr:from>
    <xdr:to>
      <xdr:col>17</xdr:col>
      <xdr:colOff>6578600</xdr:colOff>
      <xdr:row>489</xdr:row>
      <xdr:rowOff>0</xdr:rowOff>
    </xdr:to>
    <xdr:sp macro="" textlink="">
      <xdr:nvSpPr>
        <xdr:cNvPr id="48" name="TextBox 47"/>
        <xdr:cNvSpPr txBox="1"/>
      </xdr:nvSpPr>
      <xdr:spPr>
        <a:xfrm>
          <a:off x="17915164" y="107560383"/>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U3.6</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4762500</xdr:colOff>
      <xdr:row>584</xdr:row>
      <xdr:rowOff>171450</xdr:rowOff>
    </xdr:from>
    <xdr:to>
      <xdr:col>17</xdr:col>
      <xdr:colOff>6502400</xdr:colOff>
      <xdr:row>587</xdr:row>
      <xdr:rowOff>80281</xdr:rowOff>
    </xdr:to>
    <xdr:sp macro="" textlink="">
      <xdr:nvSpPr>
        <xdr:cNvPr id="49" name="TextBox 48"/>
        <xdr:cNvSpPr txBox="1"/>
      </xdr:nvSpPr>
      <xdr:spPr>
        <a:xfrm>
          <a:off x="18002250" y="130606800"/>
          <a:ext cx="1739900" cy="65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U3.7</a:t>
          </a:r>
        </a:p>
      </xdr:txBody>
    </xdr:sp>
    <xdr:clientData/>
  </xdr:twoCellAnchor>
  <xdr:twoCellAnchor>
    <xdr:from>
      <xdr:col>17</xdr:col>
      <xdr:colOff>1347108</xdr:colOff>
      <xdr:row>597</xdr:row>
      <xdr:rowOff>100693</xdr:rowOff>
    </xdr:from>
    <xdr:to>
      <xdr:col>17</xdr:col>
      <xdr:colOff>6624865</xdr:colOff>
      <xdr:row>600</xdr:row>
      <xdr:rowOff>9523</xdr:rowOff>
    </xdr:to>
    <xdr:sp macro="" textlink="">
      <xdr:nvSpPr>
        <xdr:cNvPr id="50" name="TextBox 49"/>
        <xdr:cNvSpPr txBox="1"/>
      </xdr:nvSpPr>
      <xdr:spPr>
        <a:xfrm>
          <a:off x="14423572" y="132307693"/>
          <a:ext cx="5277757" cy="643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FINAL RESULT</a:t>
          </a:r>
        </a:p>
      </xdr:txBody>
    </xdr:sp>
    <xdr:clientData/>
  </xdr:twoCellAnchor>
  <xdr:twoCellAnchor>
    <xdr:from>
      <xdr:col>1</xdr:col>
      <xdr:colOff>104775</xdr:colOff>
      <xdr:row>1</xdr:row>
      <xdr:rowOff>66675</xdr:rowOff>
    </xdr:from>
    <xdr:to>
      <xdr:col>7</xdr:col>
      <xdr:colOff>340995</xdr:colOff>
      <xdr:row>2</xdr:row>
      <xdr:rowOff>3810</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142875</xdr:colOff>
      <xdr:row>1</xdr:row>
      <xdr:rowOff>9525</xdr:rowOff>
    </xdr:from>
    <xdr:to>
      <xdr:col>15</xdr:col>
      <xdr:colOff>90170</xdr:colOff>
      <xdr:row>1</xdr:row>
      <xdr:rowOff>3118485</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38100</xdr:colOff>
      <xdr:row>0</xdr:row>
      <xdr:rowOff>85726</xdr:rowOff>
    </xdr:from>
    <xdr:to>
      <xdr:col>5</xdr:col>
      <xdr:colOff>561975</xdr:colOff>
      <xdr:row>0</xdr:row>
      <xdr:rowOff>314326</xdr:rowOff>
    </xdr:to>
    <xdr:sp macro="" textlink="">
      <xdr:nvSpPr>
        <xdr:cNvPr id="4" name="Rectangle 3">
          <a:hlinkClick xmlns:r="http://schemas.openxmlformats.org/officeDocument/2006/relationships" r:id="rId1"/>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609600</xdr:colOff>
      <xdr:row>0</xdr:row>
      <xdr:rowOff>85726</xdr:rowOff>
    </xdr:from>
    <xdr:to>
      <xdr:col>7</xdr:col>
      <xdr:colOff>285750</xdr:colOff>
      <xdr:row>0</xdr:row>
      <xdr:rowOff>314326</xdr:rowOff>
    </xdr:to>
    <xdr:sp macro="" textlink="">
      <xdr:nvSpPr>
        <xdr:cNvPr id="5" name="Rectangle 4">
          <a:hlinkClick xmlns:r="http://schemas.openxmlformats.org/officeDocument/2006/relationships" r:id="rId2"/>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9</xdr:col>
      <xdr:colOff>304800</xdr:colOff>
      <xdr:row>0</xdr:row>
      <xdr:rowOff>87923</xdr:rowOff>
    </xdr:from>
    <xdr:to>
      <xdr:col>9</xdr:col>
      <xdr:colOff>1676400</xdr:colOff>
      <xdr:row>0</xdr:row>
      <xdr:rowOff>316523</xdr:rowOff>
    </xdr:to>
    <xdr:sp macro="" textlink="">
      <xdr:nvSpPr>
        <xdr:cNvPr id="6" name="Rectangle 5">
          <a:hlinkClick xmlns:r="http://schemas.openxmlformats.org/officeDocument/2006/relationships" r:id="rId3"/>
        </xdr:cNvPr>
        <xdr:cNvSpPr/>
      </xdr:nvSpPr>
      <xdr:spPr>
        <a:xfrm>
          <a:off x="8362950" y="87923"/>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9</xdr:col>
      <xdr:colOff>1724193</xdr:colOff>
      <xdr:row>0</xdr:row>
      <xdr:rowOff>85725</xdr:rowOff>
    </xdr:from>
    <xdr:to>
      <xdr:col>9</xdr:col>
      <xdr:colOff>3083093</xdr:colOff>
      <xdr:row>0</xdr:row>
      <xdr:rowOff>314325</xdr:rowOff>
    </xdr:to>
    <xdr:sp macro="" textlink="">
      <xdr:nvSpPr>
        <xdr:cNvPr id="8" name="Rectangle 7">
          <a:hlinkClick xmlns:r="http://schemas.openxmlformats.org/officeDocument/2006/relationships" r:id="rId4"/>
        </xdr:cNvPr>
        <xdr:cNvSpPr/>
      </xdr:nvSpPr>
      <xdr:spPr>
        <a:xfrm>
          <a:off x="9782343" y="85725"/>
          <a:ext cx="13589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126207</xdr:colOff>
      <xdr:row>13</xdr:row>
      <xdr:rowOff>111919</xdr:rowOff>
    </xdr:from>
    <xdr:to>
      <xdr:col>7</xdr:col>
      <xdr:colOff>183357</xdr:colOff>
      <xdr:row>23</xdr:row>
      <xdr:rowOff>111919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74083</xdr:colOff>
      <xdr:row>24</xdr:row>
      <xdr:rowOff>0</xdr:rowOff>
    </xdr:from>
    <xdr:to>
      <xdr:col>8</xdr:col>
      <xdr:colOff>404812</xdr:colOff>
      <xdr:row>39</xdr:row>
      <xdr:rowOff>57150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79</xdr:row>
      <xdr:rowOff>200025</xdr:rowOff>
    </xdr:from>
    <xdr:to>
      <xdr:col>8</xdr:col>
      <xdr:colOff>561975</xdr:colOff>
      <xdr:row>95</xdr:row>
      <xdr:rowOff>9525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9525</xdr:colOff>
      <xdr:row>46</xdr:row>
      <xdr:rowOff>0</xdr:rowOff>
    </xdr:from>
    <xdr:to>
      <xdr:col>7</xdr:col>
      <xdr:colOff>828675</xdr:colOff>
      <xdr:row>46</xdr:row>
      <xdr:rowOff>238125</xdr:rowOff>
    </xdr:to>
    <xdr:sp macro="" textlink="">
      <xdr:nvSpPr>
        <xdr:cNvPr id="10270" name="Drop Down 30" hidden="1">
          <a:extLst>
            <a:ext uri="{63B3BB69-23CF-44E3-9099-C40C66FF867C}">
              <a14:compatExt xmlns:a14="http://schemas.microsoft.com/office/drawing/2010/main" spid="_x0000_s1027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47</xdr:row>
      <xdr:rowOff>0</xdr:rowOff>
    </xdr:from>
    <xdr:to>
      <xdr:col>7</xdr:col>
      <xdr:colOff>828675</xdr:colOff>
      <xdr:row>47</xdr:row>
      <xdr:rowOff>238125</xdr:rowOff>
    </xdr:to>
    <xdr:sp macro="" textlink="">
      <xdr:nvSpPr>
        <xdr:cNvPr id="10271" name="Drop Down 31" hidden="1">
          <a:extLst>
            <a:ext uri="{63B3BB69-23CF-44E3-9099-C40C66FF867C}">
              <a14:compatExt xmlns:a14="http://schemas.microsoft.com/office/drawing/2010/main" spid="_x0000_s1027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48</xdr:row>
      <xdr:rowOff>0</xdr:rowOff>
    </xdr:from>
    <xdr:to>
      <xdr:col>7</xdr:col>
      <xdr:colOff>828675</xdr:colOff>
      <xdr:row>48</xdr:row>
      <xdr:rowOff>238125</xdr:rowOff>
    </xdr:to>
    <xdr:sp macro="" textlink="">
      <xdr:nvSpPr>
        <xdr:cNvPr id="10272" name="Drop Down 32" hidden="1">
          <a:extLst>
            <a:ext uri="{63B3BB69-23CF-44E3-9099-C40C66FF867C}">
              <a14:compatExt xmlns:a14="http://schemas.microsoft.com/office/drawing/2010/main" spid="_x0000_s1027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49</xdr:row>
      <xdr:rowOff>0</xdr:rowOff>
    </xdr:from>
    <xdr:to>
      <xdr:col>7</xdr:col>
      <xdr:colOff>828675</xdr:colOff>
      <xdr:row>49</xdr:row>
      <xdr:rowOff>238125</xdr:rowOff>
    </xdr:to>
    <xdr:sp macro="" textlink="">
      <xdr:nvSpPr>
        <xdr:cNvPr id="10273" name="Drop Down 33" hidden="1">
          <a:extLst>
            <a:ext uri="{63B3BB69-23CF-44E3-9099-C40C66FF867C}">
              <a14:compatExt xmlns:a14="http://schemas.microsoft.com/office/drawing/2010/main" spid="_x0000_s1027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50</xdr:row>
      <xdr:rowOff>0</xdr:rowOff>
    </xdr:from>
    <xdr:to>
      <xdr:col>7</xdr:col>
      <xdr:colOff>828675</xdr:colOff>
      <xdr:row>50</xdr:row>
      <xdr:rowOff>238125</xdr:rowOff>
    </xdr:to>
    <xdr:sp macro="" textlink="">
      <xdr:nvSpPr>
        <xdr:cNvPr id="10274" name="Drop Down 34" hidden="1">
          <a:extLst>
            <a:ext uri="{63B3BB69-23CF-44E3-9099-C40C66FF867C}">
              <a14:compatExt xmlns:a14="http://schemas.microsoft.com/office/drawing/2010/main" spid="_x0000_s1027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51</xdr:row>
      <xdr:rowOff>0</xdr:rowOff>
    </xdr:from>
    <xdr:to>
      <xdr:col>7</xdr:col>
      <xdr:colOff>828675</xdr:colOff>
      <xdr:row>51</xdr:row>
      <xdr:rowOff>238125</xdr:rowOff>
    </xdr:to>
    <xdr:sp macro="" textlink="">
      <xdr:nvSpPr>
        <xdr:cNvPr id="10275" name="Drop Down 35" hidden="1">
          <a:extLst>
            <a:ext uri="{63B3BB69-23CF-44E3-9099-C40C66FF867C}">
              <a14:compatExt xmlns:a14="http://schemas.microsoft.com/office/drawing/2010/main" spid="_x0000_s1027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52</xdr:row>
      <xdr:rowOff>0</xdr:rowOff>
    </xdr:from>
    <xdr:to>
      <xdr:col>7</xdr:col>
      <xdr:colOff>828675</xdr:colOff>
      <xdr:row>52</xdr:row>
      <xdr:rowOff>238125</xdr:rowOff>
    </xdr:to>
    <xdr:sp macro="" textlink="">
      <xdr:nvSpPr>
        <xdr:cNvPr id="10276" name="Drop Down 36" hidden="1">
          <a:extLst>
            <a:ext uri="{63B3BB69-23CF-44E3-9099-C40C66FF867C}">
              <a14:compatExt xmlns:a14="http://schemas.microsoft.com/office/drawing/2010/main" spid="_x0000_s1027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53</xdr:row>
      <xdr:rowOff>0</xdr:rowOff>
    </xdr:from>
    <xdr:to>
      <xdr:col>7</xdr:col>
      <xdr:colOff>828675</xdr:colOff>
      <xdr:row>53</xdr:row>
      <xdr:rowOff>238125</xdr:rowOff>
    </xdr:to>
    <xdr:sp macro="" textlink="">
      <xdr:nvSpPr>
        <xdr:cNvPr id="10277" name="Drop Down 37" hidden="1">
          <a:extLst>
            <a:ext uri="{63B3BB69-23CF-44E3-9099-C40C66FF867C}">
              <a14:compatExt xmlns:a14="http://schemas.microsoft.com/office/drawing/2010/main" spid="_x0000_s1027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54</xdr:row>
      <xdr:rowOff>0</xdr:rowOff>
    </xdr:from>
    <xdr:to>
      <xdr:col>7</xdr:col>
      <xdr:colOff>828675</xdr:colOff>
      <xdr:row>54</xdr:row>
      <xdr:rowOff>238125</xdr:rowOff>
    </xdr:to>
    <xdr:sp macro="" textlink="">
      <xdr:nvSpPr>
        <xdr:cNvPr id="10278" name="Drop Down 38" hidden="1">
          <a:extLst>
            <a:ext uri="{63B3BB69-23CF-44E3-9099-C40C66FF867C}">
              <a14:compatExt xmlns:a14="http://schemas.microsoft.com/office/drawing/2010/main" spid="_x0000_s1027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55</xdr:row>
      <xdr:rowOff>0</xdr:rowOff>
    </xdr:from>
    <xdr:to>
      <xdr:col>7</xdr:col>
      <xdr:colOff>828675</xdr:colOff>
      <xdr:row>55</xdr:row>
      <xdr:rowOff>238125</xdr:rowOff>
    </xdr:to>
    <xdr:sp macro="" textlink="">
      <xdr:nvSpPr>
        <xdr:cNvPr id="10279" name="Drop Down 39" hidden="1">
          <a:extLst>
            <a:ext uri="{63B3BB69-23CF-44E3-9099-C40C66FF867C}">
              <a14:compatExt xmlns:a14="http://schemas.microsoft.com/office/drawing/2010/main" spid="_x0000_s1027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56</xdr:row>
      <xdr:rowOff>0</xdr:rowOff>
    </xdr:from>
    <xdr:to>
      <xdr:col>7</xdr:col>
      <xdr:colOff>828675</xdr:colOff>
      <xdr:row>56</xdr:row>
      <xdr:rowOff>238125</xdr:rowOff>
    </xdr:to>
    <xdr:sp macro="" textlink="">
      <xdr:nvSpPr>
        <xdr:cNvPr id="10280" name="Drop Down 40" hidden="1">
          <a:extLst>
            <a:ext uri="{63B3BB69-23CF-44E3-9099-C40C66FF867C}">
              <a14:compatExt xmlns:a14="http://schemas.microsoft.com/office/drawing/2010/main" spid="_x0000_s1028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57</xdr:row>
      <xdr:rowOff>0</xdr:rowOff>
    </xdr:from>
    <xdr:to>
      <xdr:col>7</xdr:col>
      <xdr:colOff>828675</xdr:colOff>
      <xdr:row>57</xdr:row>
      <xdr:rowOff>238125</xdr:rowOff>
    </xdr:to>
    <xdr:sp macro="" textlink="">
      <xdr:nvSpPr>
        <xdr:cNvPr id="10281" name="Drop Down 41" hidden="1">
          <a:extLst>
            <a:ext uri="{63B3BB69-23CF-44E3-9099-C40C66FF867C}">
              <a14:compatExt xmlns:a14="http://schemas.microsoft.com/office/drawing/2010/main" spid="_x0000_s1028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58</xdr:row>
      <xdr:rowOff>0</xdr:rowOff>
    </xdr:from>
    <xdr:to>
      <xdr:col>7</xdr:col>
      <xdr:colOff>828675</xdr:colOff>
      <xdr:row>58</xdr:row>
      <xdr:rowOff>238125</xdr:rowOff>
    </xdr:to>
    <xdr:sp macro="" textlink="">
      <xdr:nvSpPr>
        <xdr:cNvPr id="10282" name="Drop Down 42" hidden="1">
          <a:extLst>
            <a:ext uri="{63B3BB69-23CF-44E3-9099-C40C66FF867C}">
              <a14:compatExt xmlns:a14="http://schemas.microsoft.com/office/drawing/2010/main" spid="_x0000_s1028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59</xdr:row>
      <xdr:rowOff>0</xdr:rowOff>
    </xdr:from>
    <xdr:to>
      <xdr:col>7</xdr:col>
      <xdr:colOff>828675</xdr:colOff>
      <xdr:row>59</xdr:row>
      <xdr:rowOff>238125</xdr:rowOff>
    </xdr:to>
    <xdr:sp macro="" textlink="">
      <xdr:nvSpPr>
        <xdr:cNvPr id="10283" name="Drop Down 43" hidden="1">
          <a:extLst>
            <a:ext uri="{63B3BB69-23CF-44E3-9099-C40C66FF867C}">
              <a14:compatExt xmlns:a14="http://schemas.microsoft.com/office/drawing/2010/main" spid="_x0000_s1028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60</xdr:row>
      <xdr:rowOff>0</xdr:rowOff>
    </xdr:from>
    <xdr:to>
      <xdr:col>7</xdr:col>
      <xdr:colOff>828675</xdr:colOff>
      <xdr:row>60</xdr:row>
      <xdr:rowOff>238125</xdr:rowOff>
    </xdr:to>
    <xdr:sp macro="" textlink="">
      <xdr:nvSpPr>
        <xdr:cNvPr id="10284" name="Drop Down 44" hidden="1">
          <a:extLst>
            <a:ext uri="{63B3BB69-23CF-44E3-9099-C40C66FF867C}">
              <a14:compatExt xmlns:a14="http://schemas.microsoft.com/office/drawing/2010/main" spid="_x0000_s1028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61</xdr:row>
      <xdr:rowOff>0</xdr:rowOff>
    </xdr:from>
    <xdr:to>
      <xdr:col>7</xdr:col>
      <xdr:colOff>828675</xdr:colOff>
      <xdr:row>61</xdr:row>
      <xdr:rowOff>238125</xdr:rowOff>
    </xdr:to>
    <xdr:sp macro="" textlink="">
      <xdr:nvSpPr>
        <xdr:cNvPr id="10285" name="Drop Down 45" hidden="1">
          <a:extLst>
            <a:ext uri="{63B3BB69-23CF-44E3-9099-C40C66FF867C}">
              <a14:compatExt xmlns:a14="http://schemas.microsoft.com/office/drawing/2010/main" spid="_x0000_s1028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62</xdr:row>
      <xdr:rowOff>0</xdr:rowOff>
    </xdr:from>
    <xdr:to>
      <xdr:col>7</xdr:col>
      <xdr:colOff>828675</xdr:colOff>
      <xdr:row>62</xdr:row>
      <xdr:rowOff>238125</xdr:rowOff>
    </xdr:to>
    <xdr:sp macro="" textlink="">
      <xdr:nvSpPr>
        <xdr:cNvPr id="10286" name="Drop Down 46" hidden="1">
          <a:extLst>
            <a:ext uri="{63B3BB69-23CF-44E3-9099-C40C66FF867C}">
              <a14:compatExt xmlns:a14="http://schemas.microsoft.com/office/drawing/2010/main" spid="_x0000_s1028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63</xdr:row>
      <xdr:rowOff>0</xdr:rowOff>
    </xdr:from>
    <xdr:to>
      <xdr:col>7</xdr:col>
      <xdr:colOff>828675</xdr:colOff>
      <xdr:row>63</xdr:row>
      <xdr:rowOff>238125</xdr:rowOff>
    </xdr:to>
    <xdr:sp macro="" textlink="">
      <xdr:nvSpPr>
        <xdr:cNvPr id="10287" name="Drop Down 47" hidden="1">
          <a:extLst>
            <a:ext uri="{63B3BB69-23CF-44E3-9099-C40C66FF867C}">
              <a14:compatExt xmlns:a14="http://schemas.microsoft.com/office/drawing/2010/main" spid="_x0000_s1028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64</xdr:row>
      <xdr:rowOff>0</xdr:rowOff>
    </xdr:from>
    <xdr:to>
      <xdr:col>7</xdr:col>
      <xdr:colOff>828675</xdr:colOff>
      <xdr:row>64</xdr:row>
      <xdr:rowOff>238125</xdr:rowOff>
    </xdr:to>
    <xdr:sp macro="" textlink="">
      <xdr:nvSpPr>
        <xdr:cNvPr id="10288" name="Drop Down 48" hidden="1">
          <a:extLst>
            <a:ext uri="{63B3BB69-23CF-44E3-9099-C40C66FF867C}">
              <a14:compatExt xmlns:a14="http://schemas.microsoft.com/office/drawing/2010/main" spid="_x0000_s1028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65</xdr:row>
      <xdr:rowOff>0</xdr:rowOff>
    </xdr:from>
    <xdr:to>
      <xdr:col>7</xdr:col>
      <xdr:colOff>828675</xdr:colOff>
      <xdr:row>65</xdr:row>
      <xdr:rowOff>238125</xdr:rowOff>
    </xdr:to>
    <xdr:sp macro="" textlink="">
      <xdr:nvSpPr>
        <xdr:cNvPr id="10289" name="Drop Down 49" hidden="1">
          <a:extLst>
            <a:ext uri="{63B3BB69-23CF-44E3-9099-C40C66FF867C}">
              <a14:compatExt xmlns:a14="http://schemas.microsoft.com/office/drawing/2010/main" spid="_x0000_s1028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66</xdr:row>
      <xdr:rowOff>0</xdr:rowOff>
    </xdr:from>
    <xdr:to>
      <xdr:col>7</xdr:col>
      <xdr:colOff>828675</xdr:colOff>
      <xdr:row>66</xdr:row>
      <xdr:rowOff>238125</xdr:rowOff>
    </xdr:to>
    <xdr:sp macro="" textlink="">
      <xdr:nvSpPr>
        <xdr:cNvPr id="10290" name="Drop Down 50" hidden="1">
          <a:extLst>
            <a:ext uri="{63B3BB69-23CF-44E3-9099-C40C66FF867C}">
              <a14:compatExt xmlns:a14="http://schemas.microsoft.com/office/drawing/2010/main" spid="_x0000_s1029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67</xdr:row>
      <xdr:rowOff>0</xdr:rowOff>
    </xdr:from>
    <xdr:to>
      <xdr:col>7</xdr:col>
      <xdr:colOff>828675</xdr:colOff>
      <xdr:row>67</xdr:row>
      <xdr:rowOff>238125</xdr:rowOff>
    </xdr:to>
    <xdr:sp macro="" textlink="">
      <xdr:nvSpPr>
        <xdr:cNvPr id="10291" name="Drop Down 51" hidden="1">
          <a:extLst>
            <a:ext uri="{63B3BB69-23CF-44E3-9099-C40C66FF867C}">
              <a14:compatExt xmlns:a14="http://schemas.microsoft.com/office/drawing/2010/main" spid="_x0000_s1029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68</xdr:row>
      <xdr:rowOff>0</xdr:rowOff>
    </xdr:from>
    <xdr:to>
      <xdr:col>7</xdr:col>
      <xdr:colOff>828675</xdr:colOff>
      <xdr:row>68</xdr:row>
      <xdr:rowOff>238125</xdr:rowOff>
    </xdr:to>
    <xdr:sp macro="" textlink="">
      <xdr:nvSpPr>
        <xdr:cNvPr id="10292" name="Drop Down 52" hidden="1">
          <a:extLst>
            <a:ext uri="{63B3BB69-23CF-44E3-9099-C40C66FF867C}">
              <a14:compatExt xmlns:a14="http://schemas.microsoft.com/office/drawing/2010/main" spid="_x0000_s1029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69</xdr:row>
      <xdr:rowOff>0</xdr:rowOff>
    </xdr:from>
    <xdr:to>
      <xdr:col>7</xdr:col>
      <xdr:colOff>828675</xdr:colOff>
      <xdr:row>69</xdr:row>
      <xdr:rowOff>238125</xdr:rowOff>
    </xdr:to>
    <xdr:sp macro="" textlink="">
      <xdr:nvSpPr>
        <xdr:cNvPr id="10293" name="Drop Down 53" hidden="1">
          <a:extLst>
            <a:ext uri="{63B3BB69-23CF-44E3-9099-C40C66FF867C}">
              <a14:compatExt xmlns:a14="http://schemas.microsoft.com/office/drawing/2010/main" spid="_x0000_s1029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70</xdr:row>
      <xdr:rowOff>0</xdr:rowOff>
    </xdr:from>
    <xdr:to>
      <xdr:col>7</xdr:col>
      <xdr:colOff>828675</xdr:colOff>
      <xdr:row>70</xdr:row>
      <xdr:rowOff>238125</xdr:rowOff>
    </xdr:to>
    <xdr:sp macro="" textlink="">
      <xdr:nvSpPr>
        <xdr:cNvPr id="10294" name="Drop Down 54" hidden="1">
          <a:extLst>
            <a:ext uri="{63B3BB69-23CF-44E3-9099-C40C66FF867C}">
              <a14:compatExt xmlns:a14="http://schemas.microsoft.com/office/drawing/2010/main" spid="_x0000_s1029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71</xdr:row>
      <xdr:rowOff>0</xdr:rowOff>
    </xdr:from>
    <xdr:to>
      <xdr:col>7</xdr:col>
      <xdr:colOff>828675</xdr:colOff>
      <xdr:row>71</xdr:row>
      <xdr:rowOff>238125</xdr:rowOff>
    </xdr:to>
    <xdr:sp macro="" textlink="">
      <xdr:nvSpPr>
        <xdr:cNvPr id="10295" name="Drop Down 55" hidden="1">
          <a:extLst>
            <a:ext uri="{63B3BB69-23CF-44E3-9099-C40C66FF867C}">
              <a14:compatExt xmlns:a14="http://schemas.microsoft.com/office/drawing/2010/main" spid="_x0000_s1029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72</xdr:row>
      <xdr:rowOff>0</xdr:rowOff>
    </xdr:from>
    <xdr:to>
      <xdr:col>7</xdr:col>
      <xdr:colOff>828675</xdr:colOff>
      <xdr:row>72</xdr:row>
      <xdr:rowOff>238125</xdr:rowOff>
    </xdr:to>
    <xdr:sp macro="" textlink="">
      <xdr:nvSpPr>
        <xdr:cNvPr id="10296" name="Drop Down 56" hidden="1">
          <a:extLst>
            <a:ext uri="{63B3BB69-23CF-44E3-9099-C40C66FF867C}">
              <a14:compatExt xmlns:a14="http://schemas.microsoft.com/office/drawing/2010/main" spid="_x0000_s1029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73</xdr:row>
      <xdr:rowOff>0</xdr:rowOff>
    </xdr:from>
    <xdr:to>
      <xdr:col>7</xdr:col>
      <xdr:colOff>828675</xdr:colOff>
      <xdr:row>73</xdr:row>
      <xdr:rowOff>238125</xdr:rowOff>
    </xdr:to>
    <xdr:sp macro="" textlink="">
      <xdr:nvSpPr>
        <xdr:cNvPr id="10297" name="Drop Down 57" hidden="1">
          <a:extLst>
            <a:ext uri="{63B3BB69-23CF-44E3-9099-C40C66FF867C}">
              <a14:compatExt xmlns:a14="http://schemas.microsoft.com/office/drawing/2010/main" spid="_x0000_s1029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74</xdr:row>
      <xdr:rowOff>0</xdr:rowOff>
    </xdr:from>
    <xdr:to>
      <xdr:col>7</xdr:col>
      <xdr:colOff>828675</xdr:colOff>
      <xdr:row>74</xdr:row>
      <xdr:rowOff>238125</xdr:rowOff>
    </xdr:to>
    <xdr:sp macro="" textlink="">
      <xdr:nvSpPr>
        <xdr:cNvPr id="10298" name="Drop Down 58" hidden="1">
          <a:extLst>
            <a:ext uri="{63B3BB69-23CF-44E3-9099-C40C66FF867C}">
              <a14:compatExt xmlns:a14="http://schemas.microsoft.com/office/drawing/2010/main" spid="_x0000_s1029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75</xdr:row>
      <xdr:rowOff>0</xdr:rowOff>
    </xdr:from>
    <xdr:to>
      <xdr:col>7</xdr:col>
      <xdr:colOff>828675</xdr:colOff>
      <xdr:row>75</xdr:row>
      <xdr:rowOff>238125</xdr:rowOff>
    </xdr:to>
    <xdr:sp macro="" textlink="">
      <xdr:nvSpPr>
        <xdr:cNvPr id="10299" name="Drop Down 59" hidden="1">
          <a:extLst>
            <a:ext uri="{63B3BB69-23CF-44E3-9099-C40C66FF867C}">
              <a14:compatExt xmlns:a14="http://schemas.microsoft.com/office/drawing/2010/main" spid="_x0000_s1029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38100</xdr:colOff>
      <xdr:row>43</xdr:row>
      <xdr:rowOff>47625</xdr:rowOff>
    </xdr:from>
    <xdr:to>
      <xdr:col>1</xdr:col>
      <xdr:colOff>1009650</xdr:colOff>
      <xdr:row>44</xdr:row>
      <xdr:rowOff>171450</xdr:rowOff>
    </xdr:to>
    <xdr:sp macro="" textlink="">
      <xdr:nvSpPr>
        <xdr:cNvPr id="10303" name="CommandButton1" hidden="1">
          <a:extLst>
            <a:ext uri="{63B3BB69-23CF-44E3-9099-C40C66FF867C}">
              <a14:compatExt xmlns:a14="http://schemas.microsoft.com/office/drawing/2010/main" spid="_x0000_s1030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9525</xdr:colOff>
          <xdr:row>46</xdr:row>
          <xdr:rowOff>0</xdr:rowOff>
        </xdr:from>
        <xdr:to>
          <xdr:col>7</xdr:col>
          <xdr:colOff>828675</xdr:colOff>
          <xdr:row>46</xdr:row>
          <xdr:rowOff>238125</xdr:rowOff>
        </xdr:to>
        <xdr:sp macro="" textlink="">
          <xdr:nvSpPr>
            <xdr:cNvPr id="2" name="Drop Down 30" hidden="1">
              <a:extLst>
                <a:ext uri="{63B3BB69-23CF-44E3-9099-C40C66FF867C}">
                  <a14:compatExt spid="_x0000_s10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47</xdr:row>
          <xdr:rowOff>0</xdr:rowOff>
        </xdr:from>
        <xdr:to>
          <xdr:col>7</xdr:col>
          <xdr:colOff>828675</xdr:colOff>
          <xdr:row>47</xdr:row>
          <xdr:rowOff>238125</xdr:rowOff>
        </xdr:to>
        <xdr:sp macro="" textlink="">
          <xdr:nvSpPr>
            <xdr:cNvPr id="3" name="Drop Down 31" hidden="1">
              <a:extLst>
                <a:ext uri="{63B3BB69-23CF-44E3-9099-C40C66FF867C}">
                  <a14:compatExt spid="_x0000_s10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48</xdr:row>
          <xdr:rowOff>0</xdr:rowOff>
        </xdr:from>
        <xdr:to>
          <xdr:col>7</xdr:col>
          <xdr:colOff>828675</xdr:colOff>
          <xdr:row>48</xdr:row>
          <xdr:rowOff>238125</xdr:rowOff>
        </xdr:to>
        <xdr:sp macro="" textlink="">
          <xdr:nvSpPr>
            <xdr:cNvPr id="7" name="Drop Down 32" hidden="1">
              <a:extLst>
                <a:ext uri="{63B3BB69-23CF-44E3-9099-C40C66FF867C}">
                  <a14:compatExt spid="_x0000_s10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49</xdr:row>
          <xdr:rowOff>0</xdr:rowOff>
        </xdr:from>
        <xdr:to>
          <xdr:col>7</xdr:col>
          <xdr:colOff>828675</xdr:colOff>
          <xdr:row>49</xdr:row>
          <xdr:rowOff>238125</xdr:rowOff>
        </xdr:to>
        <xdr:sp macro="" textlink="">
          <xdr:nvSpPr>
            <xdr:cNvPr id="10" name="Drop Down 33" hidden="1">
              <a:extLst>
                <a:ext uri="{63B3BB69-23CF-44E3-9099-C40C66FF867C}">
                  <a14:compatExt spid="_x0000_s1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50</xdr:row>
          <xdr:rowOff>0</xdr:rowOff>
        </xdr:from>
        <xdr:to>
          <xdr:col>7</xdr:col>
          <xdr:colOff>828675</xdr:colOff>
          <xdr:row>50</xdr:row>
          <xdr:rowOff>238125</xdr:rowOff>
        </xdr:to>
        <xdr:sp macro="" textlink="">
          <xdr:nvSpPr>
            <xdr:cNvPr id="12" name="Drop Down 34" hidden="1">
              <a:extLst>
                <a:ext uri="{63B3BB69-23CF-44E3-9099-C40C66FF867C}">
                  <a14:compatExt spid="_x0000_s10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51</xdr:row>
          <xdr:rowOff>0</xdr:rowOff>
        </xdr:from>
        <xdr:to>
          <xdr:col>7</xdr:col>
          <xdr:colOff>828675</xdr:colOff>
          <xdr:row>51</xdr:row>
          <xdr:rowOff>238125</xdr:rowOff>
        </xdr:to>
        <xdr:sp macro="" textlink="">
          <xdr:nvSpPr>
            <xdr:cNvPr id="13" name="Drop Down 35" hidden="1">
              <a:extLst>
                <a:ext uri="{63B3BB69-23CF-44E3-9099-C40C66FF867C}">
                  <a14:compatExt spid="_x0000_s10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52</xdr:row>
          <xdr:rowOff>0</xdr:rowOff>
        </xdr:from>
        <xdr:to>
          <xdr:col>7</xdr:col>
          <xdr:colOff>828675</xdr:colOff>
          <xdr:row>52</xdr:row>
          <xdr:rowOff>238125</xdr:rowOff>
        </xdr:to>
        <xdr:sp macro="" textlink="">
          <xdr:nvSpPr>
            <xdr:cNvPr id="14" name="Drop Down 36" hidden="1">
              <a:extLst>
                <a:ext uri="{63B3BB69-23CF-44E3-9099-C40C66FF867C}">
                  <a14:compatExt spid="_x0000_s10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53</xdr:row>
          <xdr:rowOff>0</xdr:rowOff>
        </xdr:from>
        <xdr:to>
          <xdr:col>7</xdr:col>
          <xdr:colOff>828675</xdr:colOff>
          <xdr:row>53</xdr:row>
          <xdr:rowOff>238125</xdr:rowOff>
        </xdr:to>
        <xdr:sp macro="" textlink="">
          <xdr:nvSpPr>
            <xdr:cNvPr id="15" name="Drop Down 37" hidden="1">
              <a:extLst>
                <a:ext uri="{63B3BB69-23CF-44E3-9099-C40C66FF867C}">
                  <a14:compatExt spid="_x0000_s10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54</xdr:row>
          <xdr:rowOff>0</xdr:rowOff>
        </xdr:from>
        <xdr:to>
          <xdr:col>7</xdr:col>
          <xdr:colOff>828675</xdr:colOff>
          <xdr:row>54</xdr:row>
          <xdr:rowOff>238125</xdr:rowOff>
        </xdr:to>
        <xdr:sp macro="" textlink="">
          <xdr:nvSpPr>
            <xdr:cNvPr id="17" name="Drop Down 38" hidden="1">
              <a:extLst>
                <a:ext uri="{63B3BB69-23CF-44E3-9099-C40C66FF867C}">
                  <a14:compatExt spid="_x0000_s10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55</xdr:row>
          <xdr:rowOff>0</xdr:rowOff>
        </xdr:from>
        <xdr:to>
          <xdr:col>7</xdr:col>
          <xdr:colOff>828675</xdr:colOff>
          <xdr:row>55</xdr:row>
          <xdr:rowOff>238125</xdr:rowOff>
        </xdr:to>
        <xdr:sp macro="" textlink="">
          <xdr:nvSpPr>
            <xdr:cNvPr id="18" name="Drop Down 39" hidden="1">
              <a:extLst>
                <a:ext uri="{63B3BB69-23CF-44E3-9099-C40C66FF867C}">
                  <a14:compatExt spid="_x0000_s10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56</xdr:row>
          <xdr:rowOff>0</xdr:rowOff>
        </xdr:from>
        <xdr:to>
          <xdr:col>7</xdr:col>
          <xdr:colOff>828675</xdr:colOff>
          <xdr:row>56</xdr:row>
          <xdr:rowOff>238125</xdr:rowOff>
        </xdr:to>
        <xdr:sp macro="" textlink="">
          <xdr:nvSpPr>
            <xdr:cNvPr id="19" name="Drop Down 40" hidden="1">
              <a:extLst>
                <a:ext uri="{63B3BB69-23CF-44E3-9099-C40C66FF867C}">
                  <a14:compatExt spid="_x0000_s10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57</xdr:row>
          <xdr:rowOff>0</xdr:rowOff>
        </xdr:from>
        <xdr:to>
          <xdr:col>7</xdr:col>
          <xdr:colOff>828675</xdr:colOff>
          <xdr:row>57</xdr:row>
          <xdr:rowOff>238125</xdr:rowOff>
        </xdr:to>
        <xdr:sp macro="" textlink="">
          <xdr:nvSpPr>
            <xdr:cNvPr id="20" name="Drop Down 41" hidden="1">
              <a:extLst>
                <a:ext uri="{63B3BB69-23CF-44E3-9099-C40C66FF867C}">
                  <a14:compatExt spid="_x0000_s10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58</xdr:row>
          <xdr:rowOff>0</xdr:rowOff>
        </xdr:from>
        <xdr:to>
          <xdr:col>7</xdr:col>
          <xdr:colOff>828675</xdr:colOff>
          <xdr:row>58</xdr:row>
          <xdr:rowOff>238125</xdr:rowOff>
        </xdr:to>
        <xdr:sp macro="" textlink="">
          <xdr:nvSpPr>
            <xdr:cNvPr id="21" name="Drop Down 42" hidden="1">
              <a:extLst>
                <a:ext uri="{63B3BB69-23CF-44E3-9099-C40C66FF867C}">
                  <a14:compatExt spid="_x0000_s10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59</xdr:row>
          <xdr:rowOff>0</xdr:rowOff>
        </xdr:from>
        <xdr:to>
          <xdr:col>7</xdr:col>
          <xdr:colOff>828675</xdr:colOff>
          <xdr:row>59</xdr:row>
          <xdr:rowOff>238125</xdr:rowOff>
        </xdr:to>
        <xdr:sp macro="" textlink="">
          <xdr:nvSpPr>
            <xdr:cNvPr id="22" name="Drop Down 43" hidden="1">
              <a:extLst>
                <a:ext uri="{63B3BB69-23CF-44E3-9099-C40C66FF867C}">
                  <a14:compatExt spid="_x0000_s10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60</xdr:row>
          <xdr:rowOff>0</xdr:rowOff>
        </xdr:from>
        <xdr:to>
          <xdr:col>7</xdr:col>
          <xdr:colOff>828675</xdr:colOff>
          <xdr:row>60</xdr:row>
          <xdr:rowOff>238125</xdr:rowOff>
        </xdr:to>
        <xdr:sp macro="" textlink="">
          <xdr:nvSpPr>
            <xdr:cNvPr id="23" name="Drop Down 44" hidden="1">
              <a:extLst>
                <a:ext uri="{63B3BB69-23CF-44E3-9099-C40C66FF867C}">
                  <a14:compatExt spid="_x0000_s10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61</xdr:row>
          <xdr:rowOff>0</xdr:rowOff>
        </xdr:from>
        <xdr:to>
          <xdr:col>7</xdr:col>
          <xdr:colOff>828675</xdr:colOff>
          <xdr:row>61</xdr:row>
          <xdr:rowOff>238125</xdr:rowOff>
        </xdr:to>
        <xdr:sp macro="" textlink="">
          <xdr:nvSpPr>
            <xdr:cNvPr id="24" name="Drop Down 45" hidden="1">
              <a:extLst>
                <a:ext uri="{63B3BB69-23CF-44E3-9099-C40C66FF867C}">
                  <a14:compatExt spid="_x0000_s10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62</xdr:row>
          <xdr:rowOff>0</xdr:rowOff>
        </xdr:from>
        <xdr:to>
          <xdr:col>7</xdr:col>
          <xdr:colOff>828675</xdr:colOff>
          <xdr:row>62</xdr:row>
          <xdr:rowOff>238125</xdr:rowOff>
        </xdr:to>
        <xdr:sp macro="" textlink="">
          <xdr:nvSpPr>
            <xdr:cNvPr id="25" name="Drop Down 46" hidden="1">
              <a:extLst>
                <a:ext uri="{63B3BB69-23CF-44E3-9099-C40C66FF867C}">
                  <a14:compatExt spid="_x0000_s102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63</xdr:row>
          <xdr:rowOff>0</xdr:rowOff>
        </xdr:from>
        <xdr:to>
          <xdr:col>7</xdr:col>
          <xdr:colOff>828675</xdr:colOff>
          <xdr:row>63</xdr:row>
          <xdr:rowOff>238125</xdr:rowOff>
        </xdr:to>
        <xdr:sp macro="" textlink="">
          <xdr:nvSpPr>
            <xdr:cNvPr id="26" name="Drop Down 47" hidden="1">
              <a:extLst>
                <a:ext uri="{63B3BB69-23CF-44E3-9099-C40C66FF867C}">
                  <a14:compatExt spid="_x0000_s10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7</xdr:col>
          <xdr:colOff>828675</xdr:colOff>
          <xdr:row>64</xdr:row>
          <xdr:rowOff>238125</xdr:rowOff>
        </xdr:to>
        <xdr:sp macro="" textlink="">
          <xdr:nvSpPr>
            <xdr:cNvPr id="27" name="Drop Down 48" hidden="1">
              <a:extLst>
                <a:ext uri="{63B3BB69-23CF-44E3-9099-C40C66FF867C}">
                  <a14:compatExt spid="_x0000_s102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65</xdr:row>
          <xdr:rowOff>0</xdr:rowOff>
        </xdr:from>
        <xdr:to>
          <xdr:col>7</xdr:col>
          <xdr:colOff>828675</xdr:colOff>
          <xdr:row>65</xdr:row>
          <xdr:rowOff>238125</xdr:rowOff>
        </xdr:to>
        <xdr:sp macro="" textlink="">
          <xdr:nvSpPr>
            <xdr:cNvPr id="28" name="Drop Down 49" hidden="1">
              <a:extLst>
                <a:ext uri="{63B3BB69-23CF-44E3-9099-C40C66FF867C}">
                  <a14:compatExt spid="_x0000_s1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66</xdr:row>
          <xdr:rowOff>0</xdr:rowOff>
        </xdr:from>
        <xdr:to>
          <xdr:col>7</xdr:col>
          <xdr:colOff>828675</xdr:colOff>
          <xdr:row>66</xdr:row>
          <xdr:rowOff>238125</xdr:rowOff>
        </xdr:to>
        <xdr:sp macro="" textlink="">
          <xdr:nvSpPr>
            <xdr:cNvPr id="29" name="Drop Down 50" hidden="1">
              <a:extLst>
                <a:ext uri="{63B3BB69-23CF-44E3-9099-C40C66FF867C}">
                  <a14:compatExt spid="_x0000_s1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67</xdr:row>
          <xdr:rowOff>0</xdr:rowOff>
        </xdr:from>
        <xdr:to>
          <xdr:col>7</xdr:col>
          <xdr:colOff>828675</xdr:colOff>
          <xdr:row>67</xdr:row>
          <xdr:rowOff>238125</xdr:rowOff>
        </xdr:to>
        <xdr:sp macro="" textlink="">
          <xdr:nvSpPr>
            <xdr:cNvPr id="30" name="Drop Down 51" hidden="1">
              <a:extLst>
                <a:ext uri="{63B3BB69-23CF-44E3-9099-C40C66FF867C}">
                  <a14:compatExt spid="_x0000_s10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68</xdr:row>
          <xdr:rowOff>0</xdr:rowOff>
        </xdr:from>
        <xdr:to>
          <xdr:col>7</xdr:col>
          <xdr:colOff>828675</xdr:colOff>
          <xdr:row>68</xdr:row>
          <xdr:rowOff>238125</xdr:rowOff>
        </xdr:to>
        <xdr:sp macro="" textlink="">
          <xdr:nvSpPr>
            <xdr:cNvPr id="31" name="Drop Down 52" hidden="1">
              <a:extLst>
                <a:ext uri="{63B3BB69-23CF-44E3-9099-C40C66FF867C}">
                  <a14:compatExt spid="_x0000_s10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69</xdr:row>
          <xdr:rowOff>0</xdr:rowOff>
        </xdr:from>
        <xdr:to>
          <xdr:col>7</xdr:col>
          <xdr:colOff>828675</xdr:colOff>
          <xdr:row>69</xdr:row>
          <xdr:rowOff>238125</xdr:rowOff>
        </xdr:to>
        <xdr:sp macro="" textlink="">
          <xdr:nvSpPr>
            <xdr:cNvPr id="32" name="Drop Down 53" hidden="1">
              <a:extLst>
                <a:ext uri="{63B3BB69-23CF-44E3-9099-C40C66FF867C}">
                  <a14:compatExt spid="_x0000_s10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70</xdr:row>
          <xdr:rowOff>0</xdr:rowOff>
        </xdr:from>
        <xdr:to>
          <xdr:col>7</xdr:col>
          <xdr:colOff>828675</xdr:colOff>
          <xdr:row>70</xdr:row>
          <xdr:rowOff>238125</xdr:rowOff>
        </xdr:to>
        <xdr:sp macro="" textlink="">
          <xdr:nvSpPr>
            <xdr:cNvPr id="33" name="Drop Down 54" hidden="1">
              <a:extLst>
                <a:ext uri="{63B3BB69-23CF-44E3-9099-C40C66FF867C}">
                  <a14:compatExt spid="_x0000_s102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71</xdr:row>
          <xdr:rowOff>0</xdr:rowOff>
        </xdr:from>
        <xdr:to>
          <xdr:col>7</xdr:col>
          <xdr:colOff>828675</xdr:colOff>
          <xdr:row>71</xdr:row>
          <xdr:rowOff>238125</xdr:rowOff>
        </xdr:to>
        <xdr:sp macro="" textlink="">
          <xdr:nvSpPr>
            <xdr:cNvPr id="34" name="Drop Down 55" hidden="1">
              <a:extLst>
                <a:ext uri="{63B3BB69-23CF-44E3-9099-C40C66FF867C}">
                  <a14:compatExt spid="_x0000_s102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72</xdr:row>
          <xdr:rowOff>0</xdr:rowOff>
        </xdr:from>
        <xdr:to>
          <xdr:col>7</xdr:col>
          <xdr:colOff>828675</xdr:colOff>
          <xdr:row>72</xdr:row>
          <xdr:rowOff>238125</xdr:rowOff>
        </xdr:to>
        <xdr:sp macro="" textlink="">
          <xdr:nvSpPr>
            <xdr:cNvPr id="35" name="Drop Down 56" hidden="1">
              <a:extLst>
                <a:ext uri="{63B3BB69-23CF-44E3-9099-C40C66FF867C}">
                  <a14:compatExt spid="_x0000_s102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73</xdr:row>
          <xdr:rowOff>0</xdr:rowOff>
        </xdr:from>
        <xdr:to>
          <xdr:col>7</xdr:col>
          <xdr:colOff>828675</xdr:colOff>
          <xdr:row>73</xdr:row>
          <xdr:rowOff>238125</xdr:rowOff>
        </xdr:to>
        <xdr:sp macro="" textlink="">
          <xdr:nvSpPr>
            <xdr:cNvPr id="36" name="Drop Down 57" hidden="1">
              <a:extLst>
                <a:ext uri="{63B3BB69-23CF-44E3-9099-C40C66FF867C}">
                  <a14:compatExt spid="_x0000_s10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74</xdr:row>
          <xdr:rowOff>0</xdr:rowOff>
        </xdr:from>
        <xdr:to>
          <xdr:col>7</xdr:col>
          <xdr:colOff>828675</xdr:colOff>
          <xdr:row>74</xdr:row>
          <xdr:rowOff>238125</xdr:rowOff>
        </xdr:to>
        <xdr:sp macro="" textlink="">
          <xdr:nvSpPr>
            <xdr:cNvPr id="37" name="Drop Down 58" hidden="1">
              <a:extLst>
                <a:ext uri="{63B3BB69-23CF-44E3-9099-C40C66FF867C}">
                  <a14:compatExt spid="_x0000_s10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75</xdr:row>
          <xdr:rowOff>0</xdr:rowOff>
        </xdr:from>
        <xdr:to>
          <xdr:col>7</xdr:col>
          <xdr:colOff>828675</xdr:colOff>
          <xdr:row>75</xdr:row>
          <xdr:rowOff>238125</xdr:rowOff>
        </xdr:to>
        <xdr:sp macro="" textlink="">
          <xdr:nvSpPr>
            <xdr:cNvPr id="38" name="Drop Down 59" hidden="1">
              <a:extLst>
                <a:ext uri="{63B3BB69-23CF-44E3-9099-C40C66FF867C}">
                  <a14:compatExt spid="_x0000_s10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85725</xdr:colOff>
      <xdr:row>43</xdr:row>
      <xdr:rowOff>57150</xdr:rowOff>
    </xdr:from>
    <xdr:to>
      <xdr:col>1</xdr:col>
      <xdr:colOff>1162050</xdr:colOff>
      <xdr:row>44</xdr:row>
      <xdr:rowOff>209550</xdr:rowOff>
    </xdr:to>
    <xdr:sp macro="" textlink="">
      <xdr:nvSpPr>
        <xdr:cNvPr id="10301" name="CommandButton1" hidden="1">
          <a:extLst>
            <a:ext uri="{63B3BB69-23CF-44E3-9099-C40C66FF867C}">
              <a14:compatExt xmlns:a14="http://schemas.microsoft.com/office/drawing/2010/main" spid="_x0000_s103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4</xdr:col>
          <xdr:colOff>28575</xdr:colOff>
          <xdr:row>43</xdr:row>
          <xdr:rowOff>104775</xdr:rowOff>
        </xdr:from>
        <xdr:to>
          <xdr:col>5</xdr:col>
          <xdr:colOff>171450</xdr:colOff>
          <xdr:row>44</xdr:row>
          <xdr:rowOff>180975</xdr:rowOff>
        </xdr:to>
        <xdr:sp macro="" textlink="">
          <xdr:nvSpPr>
            <xdr:cNvPr id="10300" name="Button 60" hidden="1">
              <a:extLst>
                <a:ext uri="{63B3BB69-23CF-44E3-9099-C40C66FF867C}">
                  <a14:compatExt spid="_x0000_s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twoCellAnchor>
    <xdr:from>
      <xdr:col>7</xdr:col>
      <xdr:colOff>342900</xdr:colOff>
      <xdr:row>0</xdr:row>
      <xdr:rowOff>85725</xdr:rowOff>
    </xdr:from>
    <xdr:to>
      <xdr:col>9</xdr:col>
      <xdr:colOff>257175</xdr:colOff>
      <xdr:row>0</xdr:row>
      <xdr:rowOff>314325</xdr:rowOff>
    </xdr:to>
    <xdr:sp macro="" textlink="">
      <xdr:nvSpPr>
        <xdr:cNvPr id="41" name="Rectangle 40"/>
        <xdr:cNvSpPr/>
      </xdr:nvSpPr>
      <xdr:spPr>
        <a:xfrm>
          <a:off x="694372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LAND-USE CHANGE</a:t>
          </a:r>
          <a:endParaRPr lang="en-US" sz="1100" b="0"/>
        </a:p>
      </xdr:txBody>
    </xdr:sp>
    <xdr:clientData/>
  </xdr:twoCellAnchor>
  <xdr:twoCellAnchor>
    <xdr:from>
      <xdr:col>1</xdr:col>
      <xdr:colOff>0</xdr:colOff>
      <xdr:row>1</xdr:row>
      <xdr:rowOff>28575</xdr:rowOff>
    </xdr:from>
    <xdr:to>
      <xdr:col>5</xdr:col>
      <xdr:colOff>731520</xdr:colOff>
      <xdr:row>1</xdr:row>
      <xdr:rowOff>3137535</xdr:rowOff>
    </xdr:to>
    <xdr:graphicFrame macro="">
      <xdr:nvGraphicFramePr>
        <xdr:cNvPr id="73"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xdr:row>
      <xdr:rowOff>38100</xdr:rowOff>
    </xdr:from>
    <xdr:to>
      <xdr:col>9</xdr:col>
      <xdr:colOff>3042920</xdr:colOff>
      <xdr:row>1</xdr:row>
      <xdr:rowOff>3147060</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323850</xdr:colOff>
      <xdr:row>0</xdr:row>
      <xdr:rowOff>85726</xdr:rowOff>
    </xdr:from>
    <xdr:to>
      <xdr:col>5</xdr:col>
      <xdr:colOff>0</xdr:colOff>
      <xdr:row>0</xdr:row>
      <xdr:rowOff>314326</xdr:rowOff>
    </xdr:to>
    <xdr:sp macro="" textlink="">
      <xdr:nvSpPr>
        <xdr:cNvPr id="2" name="Rectangle 1">
          <a:hlinkClick xmlns:r="http://schemas.openxmlformats.org/officeDocument/2006/relationships" r:id="rId1"/>
        </xdr:cNvPr>
        <xdr:cNvSpPr/>
      </xdr:nvSpPr>
      <xdr:spPr>
        <a:xfrm>
          <a:off x="40671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47625</xdr:colOff>
      <xdr:row>0</xdr:row>
      <xdr:rowOff>85726</xdr:rowOff>
    </xdr:from>
    <xdr:to>
      <xdr:col>6</xdr:col>
      <xdr:colOff>571500</xdr:colOff>
      <xdr:row>0</xdr:row>
      <xdr:rowOff>314326</xdr:rowOff>
    </xdr:to>
    <xdr:sp macro="" textlink="">
      <xdr:nvSpPr>
        <xdr:cNvPr id="3" name="Rectangle 2">
          <a:hlinkClick xmlns:r="http://schemas.openxmlformats.org/officeDocument/2006/relationships" r:id="rId2"/>
        </xdr:cNvPr>
        <xdr:cNvSpPr/>
      </xdr:nvSpPr>
      <xdr:spPr>
        <a:xfrm>
          <a:off x="548640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6</xdr:col>
      <xdr:colOff>619125</xdr:colOff>
      <xdr:row>0</xdr:row>
      <xdr:rowOff>85725</xdr:rowOff>
    </xdr:from>
    <xdr:to>
      <xdr:col>8</xdr:col>
      <xdr:colOff>295275</xdr:colOff>
      <xdr:row>0</xdr:row>
      <xdr:rowOff>314325</xdr:rowOff>
    </xdr:to>
    <xdr:sp macro="" textlink="">
      <xdr:nvSpPr>
        <xdr:cNvPr id="4" name="Rectangle 3">
          <a:hlinkClick xmlns:r="http://schemas.openxmlformats.org/officeDocument/2006/relationships" r:id="rId3"/>
        </xdr:cNvPr>
        <xdr:cNvSpPr/>
      </xdr:nvSpPr>
      <xdr:spPr>
        <a:xfrm>
          <a:off x="69056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LAND-USE</a:t>
          </a:r>
          <a:r>
            <a:rPr lang="et-EE" sz="1100" baseline="0">
              <a:solidFill>
                <a:schemeClr val="bg1"/>
              </a:solidFill>
            </a:rPr>
            <a:t> CHANGE</a:t>
          </a:r>
          <a:endParaRPr lang="en-US" sz="1100">
            <a:solidFill>
              <a:schemeClr val="bg1"/>
            </a:solidFill>
          </a:endParaRPr>
        </a:p>
      </xdr:txBody>
    </xdr:sp>
    <xdr:clientData/>
  </xdr:twoCellAnchor>
  <xdr:twoCellAnchor>
    <xdr:from>
      <xdr:col>8</xdr:col>
      <xdr:colOff>345268</xdr:colOff>
      <xdr:row>0</xdr:row>
      <xdr:rowOff>85725</xdr:rowOff>
    </xdr:from>
    <xdr:to>
      <xdr:col>10</xdr:col>
      <xdr:colOff>21418</xdr:colOff>
      <xdr:row>0</xdr:row>
      <xdr:rowOff>314325</xdr:rowOff>
    </xdr:to>
    <xdr:sp macro="" textlink="">
      <xdr:nvSpPr>
        <xdr:cNvPr id="5" name="Rectangle 4"/>
        <xdr:cNvSpPr/>
      </xdr:nvSpPr>
      <xdr:spPr>
        <a:xfrm>
          <a:off x="8327218"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BUILDINGS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74</xdr:row>
          <xdr:rowOff>9525</xdr:rowOff>
        </xdr:from>
        <xdr:to>
          <xdr:col>4</xdr:col>
          <xdr:colOff>838200</xdr:colOff>
          <xdr:row>75</xdr:row>
          <xdr:rowOff>0</xdr:rowOff>
        </xdr:to>
        <xdr:sp macro="" textlink="">
          <xdr:nvSpPr>
            <xdr:cNvPr id="13313" name="Drop Dow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74</xdr:row>
          <xdr:rowOff>9525</xdr:rowOff>
        </xdr:from>
        <xdr:to>
          <xdr:col>4</xdr:col>
          <xdr:colOff>0</xdr:colOff>
          <xdr:row>75</xdr:row>
          <xdr:rowOff>0</xdr:rowOff>
        </xdr:to>
        <xdr:sp macro="" textlink="">
          <xdr:nvSpPr>
            <xdr:cNvPr id="13337" name="Drop Down 25" hidden="1">
              <a:extLst>
                <a:ext uri="{63B3BB69-23CF-44E3-9099-C40C66FF867C}">
                  <a14:compatExt spid="_x0000_s13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38100</xdr:colOff>
      <xdr:row>3</xdr:row>
      <xdr:rowOff>238125</xdr:rowOff>
    </xdr:from>
    <xdr:to>
      <xdr:col>6</xdr:col>
      <xdr:colOff>485774</xdr:colOff>
      <xdr:row>12</xdr:row>
      <xdr:rowOff>9525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11</xdr:row>
      <xdr:rowOff>228599</xdr:rowOff>
    </xdr:from>
    <xdr:to>
      <xdr:col>6</xdr:col>
      <xdr:colOff>466724</xdr:colOff>
      <xdr:row>20</xdr:row>
      <xdr:rowOff>219074</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104775</xdr:colOff>
      <xdr:row>0</xdr:row>
      <xdr:rowOff>85725</xdr:rowOff>
    </xdr:from>
    <xdr:to>
      <xdr:col>11</xdr:col>
      <xdr:colOff>632732</xdr:colOff>
      <xdr:row>0</xdr:row>
      <xdr:rowOff>314325</xdr:rowOff>
    </xdr:to>
    <xdr:sp macro="" textlink="">
      <xdr:nvSpPr>
        <xdr:cNvPr id="41" name="Rectangle 40">
          <a:hlinkClick xmlns:r="http://schemas.openxmlformats.org/officeDocument/2006/relationships" r:id="rId6"/>
        </xdr:cNvPr>
        <xdr:cNvSpPr/>
      </xdr:nvSpPr>
      <xdr:spPr>
        <a:xfrm>
          <a:off x="97821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75</xdr:row>
          <xdr:rowOff>9525</xdr:rowOff>
        </xdr:from>
        <xdr:to>
          <xdr:col>4</xdr:col>
          <xdr:colOff>838200</xdr:colOff>
          <xdr:row>76</xdr:row>
          <xdr:rowOff>0</xdr:rowOff>
        </xdr:to>
        <xdr:sp macro="" textlink="">
          <xdr:nvSpPr>
            <xdr:cNvPr id="13363" name="Drop Down 51" hidden="1">
              <a:extLst>
                <a:ext uri="{63B3BB69-23CF-44E3-9099-C40C66FF867C}">
                  <a14:compatExt spid="_x0000_s13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75</xdr:row>
          <xdr:rowOff>9525</xdr:rowOff>
        </xdr:from>
        <xdr:to>
          <xdr:col>4</xdr:col>
          <xdr:colOff>0</xdr:colOff>
          <xdr:row>76</xdr:row>
          <xdr:rowOff>0</xdr:rowOff>
        </xdr:to>
        <xdr:sp macro="" textlink="">
          <xdr:nvSpPr>
            <xdr:cNvPr id="13364" name="Drop Down 52" hidden="1">
              <a:extLst>
                <a:ext uri="{63B3BB69-23CF-44E3-9099-C40C66FF867C}">
                  <a14:compatExt spid="_x0000_s13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76</xdr:row>
          <xdr:rowOff>9525</xdr:rowOff>
        </xdr:from>
        <xdr:to>
          <xdr:col>4</xdr:col>
          <xdr:colOff>838200</xdr:colOff>
          <xdr:row>77</xdr:row>
          <xdr:rowOff>0</xdr:rowOff>
        </xdr:to>
        <xdr:sp macro="" textlink="">
          <xdr:nvSpPr>
            <xdr:cNvPr id="13365" name="Drop Down 53" hidden="1">
              <a:extLst>
                <a:ext uri="{63B3BB69-23CF-44E3-9099-C40C66FF867C}">
                  <a14:compatExt spid="_x0000_s13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76</xdr:row>
          <xdr:rowOff>9525</xdr:rowOff>
        </xdr:from>
        <xdr:to>
          <xdr:col>4</xdr:col>
          <xdr:colOff>0</xdr:colOff>
          <xdr:row>77</xdr:row>
          <xdr:rowOff>0</xdr:rowOff>
        </xdr:to>
        <xdr:sp macro="" textlink="">
          <xdr:nvSpPr>
            <xdr:cNvPr id="13366" name="Drop Down 54" hidden="1">
              <a:extLst>
                <a:ext uri="{63B3BB69-23CF-44E3-9099-C40C66FF867C}">
                  <a14:compatExt spid="_x0000_s13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77</xdr:row>
          <xdr:rowOff>9525</xdr:rowOff>
        </xdr:from>
        <xdr:to>
          <xdr:col>4</xdr:col>
          <xdr:colOff>838200</xdr:colOff>
          <xdr:row>78</xdr:row>
          <xdr:rowOff>0</xdr:rowOff>
        </xdr:to>
        <xdr:sp macro="" textlink="">
          <xdr:nvSpPr>
            <xdr:cNvPr id="13367" name="Drop Down 55" hidden="1">
              <a:extLst>
                <a:ext uri="{63B3BB69-23CF-44E3-9099-C40C66FF867C}">
                  <a14:compatExt spid="_x0000_s13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77</xdr:row>
          <xdr:rowOff>9525</xdr:rowOff>
        </xdr:from>
        <xdr:to>
          <xdr:col>4</xdr:col>
          <xdr:colOff>0</xdr:colOff>
          <xdr:row>78</xdr:row>
          <xdr:rowOff>0</xdr:rowOff>
        </xdr:to>
        <xdr:sp macro="" textlink="">
          <xdr:nvSpPr>
            <xdr:cNvPr id="13368" name="Drop Down 56" hidden="1">
              <a:extLst>
                <a:ext uri="{63B3BB69-23CF-44E3-9099-C40C66FF867C}">
                  <a14:compatExt spid="_x0000_s133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82</xdr:row>
          <xdr:rowOff>9525</xdr:rowOff>
        </xdr:from>
        <xdr:to>
          <xdr:col>4</xdr:col>
          <xdr:colOff>838200</xdr:colOff>
          <xdr:row>83</xdr:row>
          <xdr:rowOff>0</xdr:rowOff>
        </xdr:to>
        <xdr:sp macro="" textlink="">
          <xdr:nvSpPr>
            <xdr:cNvPr id="13369" name="Drop Down 57" hidden="1">
              <a:extLst>
                <a:ext uri="{63B3BB69-23CF-44E3-9099-C40C66FF867C}">
                  <a14:compatExt spid="_x0000_s13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82</xdr:row>
          <xdr:rowOff>9525</xdr:rowOff>
        </xdr:from>
        <xdr:to>
          <xdr:col>4</xdr:col>
          <xdr:colOff>0</xdr:colOff>
          <xdr:row>83</xdr:row>
          <xdr:rowOff>0</xdr:rowOff>
        </xdr:to>
        <xdr:sp macro="" textlink="">
          <xdr:nvSpPr>
            <xdr:cNvPr id="13370" name="Drop Down 58" hidden="1">
              <a:extLst>
                <a:ext uri="{63B3BB69-23CF-44E3-9099-C40C66FF867C}">
                  <a14:compatExt spid="_x0000_s13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83</xdr:row>
          <xdr:rowOff>9525</xdr:rowOff>
        </xdr:from>
        <xdr:to>
          <xdr:col>4</xdr:col>
          <xdr:colOff>838200</xdr:colOff>
          <xdr:row>84</xdr:row>
          <xdr:rowOff>0</xdr:rowOff>
        </xdr:to>
        <xdr:sp macro="" textlink="">
          <xdr:nvSpPr>
            <xdr:cNvPr id="13371" name="Drop Down 59" hidden="1">
              <a:extLst>
                <a:ext uri="{63B3BB69-23CF-44E3-9099-C40C66FF867C}">
                  <a14:compatExt spid="_x0000_s133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83</xdr:row>
          <xdr:rowOff>9525</xdr:rowOff>
        </xdr:from>
        <xdr:to>
          <xdr:col>4</xdr:col>
          <xdr:colOff>0</xdr:colOff>
          <xdr:row>84</xdr:row>
          <xdr:rowOff>0</xdr:rowOff>
        </xdr:to>
        <xdr:sp macro="" textlink="">
          <xdr:nvSpPr>
            <xdr:cNvPr id="13372" name="Drop Down 60" hidden="1">
              <a:extLst>
                <a:ext uri="{63B3BB69-23CF-44E3-9099-C40C66FF867C}">
                  <a14:compatExt spid="_x0000_s133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84</xdr:row>
          <xdr:rowOff>9525</xdr:rowOff>
        </xdr:from>
        <xdr:to>
          <xdr:col>4</xdr:col>
          <xdr:colOff>838200</xdr:colOff>
          <xdr:row>85</xdr:row>
          <xdr:rowOff>0</xdr:rowOff>
        </xdr:to>
        <xdr:sp macro="" textlink="">
          <xdr:nvSpPr>
            <xdr:cNvPr id="13373" name="Drop Down 61" hidden="1">
              <a:extLst>
                <a:ext uri="{63B3BB69-23CF-44E3-9099-C40C66FF867C}">
                  <a14:compatExt spid="_x0000_s133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84</xdr:row>
          <xdr:rowOff>9525</xdr:rowOff>
        </xdr:from>
        <xdr:to>
          <xdr:col>4</xdr:col>
          <xdr:colOff>0</xdr:colOff>
          <xdr:row>85</xdr:row>
          <xdr:rowOff>0</xdr:rowOff>
        </xdr:to>
        <xdr:sp macro="" textlink="">
          <xdr:nvSpPr>
            <xdr:cNvPr id="13374" name="Drop Down 62" hidden="1">
              <a:extLst>
                <a:ext uri="{63B3BB69-23CF-44E3-9099-C40C66FF867C}">
                  <a14:compatExt spid="_x0000_s133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85</xdr:row>
          <xdr:rowOff>9525</xdr:rowOff>
        </xdr:from>
        <xdr:to>
          <xdr:col>4</xdr:col>
          <xdr:colOff>838200</xdr:colOff>
          <xdr:row>86</xdr:row>
          <xdr:rowOff>0</xdr:rowOff>
        </xdr:to>
        <xdr:sp macro="" textlink="">
          <xdr:nvSpPr>
            <xdr:cNvPr id="13375" name="Drop Down 63" hidden="1">
              <a:extLst>
                <a:ext uri="{63B3BB69-23CF-44E3-9099-C40C66FF867C}">
                  <a14:compatExt spid="_x0000_s133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85</xdr:row>
          <xdr:rowOff>9525</xdr:rowOff>
        </xdr:from>
        <xdr:to>
          <xdr:col>4</xdr:col>
          <xdr:colOff>0</xdr:colOff>
          <xdr:row>86</xdr:row>
          <xdr:rowOff>0</xdr:rowOff>
        </xdr:to>
        <xdr:sp macro="" textlink="">
          <xdr:nvSpPr>
            <xdr:cNvPr id="13376" name="Drop Down 64" hidden="1">
              <a:extLst>
                <a:ext uri="{63B3BB69-23CF-44E3-9099-C40C66FF867C}">
                  <a14:compatExt spid="_x0000_s13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86</xdr:row>
          <xdr:rowOff>9525</xdr:rowOff>
        </xdr:from>
        <xdr:to>
          <xdr:col>4</xdr:col>
          <xdr:colOff>838200</xdr:colOff>
          <xdr:row>87</xdr:row>
          <xdr:rowOff>0</xdr:rowOff>
        </xdr:to>
        <xdr:sp macro="" textlink="">
          <xdr:nvSpPr>
            <xdr:cNvPr id="13377" name="Drop Down 65" hidden="1">
              <a:extLst>
                <a:ext uri="{63B3BB69-23CF-44E3-9099-C40C66FF867C}">
                  <a14:compatExt spid="_x0000_s1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86</xdr:row>
          <xdr:rowOff>9525</xdr:rowOff>
        </xdr:from>
        <xdr:to>
          <xdr:col>4</xdr:col>
          <xdr:colOff>0</xdr:colOff>
          <xdr:row>87</xdr:row>
          <xdr:rowOff>0</xdr:rowOff>
        </xdr:to>
        <xdr:sp macro="" textlink="">
          <xdr:nvSpPr>
            <xdr:cNvPr id="13378" name="Drop Down 66" hidden="1">
              <a:extLst>
                <a:ext uri="{63B3BB69-23CF-44E3-9099-C40C66FF867C}">
                  <a14:compatExt spid="_x0000_s13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87</xdr:row>
          <xdr:rowOff>9525</xdr:rowOff>
        </xdr:from>
        <xdr:to>
          <xdr:col>4</xdr:col>
          <xdr:colOff>838200</xdr:colOff>
          <xdr:row>88</xdr:row>
          <xdr:rowOff>0</xdr:rowOff>
        </xdr:to>
        <xdr:sp macro="" textlink="">
          <xdr:nvSpPr>
            <xdr:cNvPr id="13379" name="Drop Down 67" hidden="1">
              <a:extLst>
                <a:ext uri="{63B3BB69-23CF-44E3-9099-C40C66FF867C}">
                  <a14:compatExt spid="_x0000_s13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87</xdr:row>
          <xdr:rowOff>9525</xdr:rowOff>
        </xdr:from>
        <xdr:to>
          <xdr:col>4</xdr:col>
          <xdr:colOff>0</xdr:colOff>
          <xdr:row>88</xdr:row>
          <xdr:rowOff>0</xdr:rowOff>
        </xdr:to>
        <xdr:sp macro="" textlink="">
          <xdr:nvSpPr>
            <xdr:cNvPr id="13380" name="Drop Down 68" hidden="1">
              <a:extLst>
                <a:ext uri="{63B3BB69-23CF-44E3-9099-C40C66FF867C}">
                  <a14:compatExt spid="_x0000_s133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113</xdr:row>
          <xdr:rowOff>9525</xdr:rowOff>
        </xdr:from>
        <xdr:to>
          <xdr:col>4</xdr:col>
          <xdr:colOff>838200</xdr:colOff>
          <xdr:row>114</xdr:row>
          <xdr:rowOff>0</xdr:rowOff>
        </xdr:to>
        <xdr:sp macro="" textlink="">
          <xdr:nvSpPr>
            <xdr:cNvPr id="13381" name="Drop Down 69" hidden="1">
              <a:extLst>
                <a:ext uri="{63B3BB69-23CF-44E3-9099-C40C66FF867C}">
                  <a14:compatExt spid="_x0000_s133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113</xdr:row>
          <xdr:rowOff>9525</xdr:rowOff>
        </xdr:from>
        <xdr:to>
          <xdr:col>4</xdr:col>
          <xdr:colOff>0</xdr:colOff>
          <xdr:row>114</xdr:row>
          <xdr:rowOff>0</xdr:rowOff>
        </xdr:to>
        <xdr:sp macro="" textlink="">
          <xdr:nvSpPr>
            <xdr:cNvPr id="13382" name="Drop Down 70" hidden="1">
              <a:extLst>
                <a:ext uri="{63B3BB69-23CF-44E3-9099-C40C66FF867C}">
                  <a14:compatExt spid="_x0000_s133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114</xdr:row>
          <xdr:rowOff>9525</xdr:rowOff>
        </xdr:from>
        <xdr:to>
          <xdr:col>4</xdr:col>
          <xdr:colOff>838200</xdr:colOff>
          <xdr:row>115</xdr:row>
          <xdr:rowOff>0</xdr:rowOff>
        </xdr:to>
        <xdr:sp macro="" textlink="">
          <xdr:nvSpPr>
            <xdr:cNvPr id="13383" name="Drop Down 71" hidden="1">
              <a:extLst>
                <a:ext uri="{63B3BB69-23CF-44E3-9099-C40C66FF867C}">
                  <a14:compatExt spid="_x0000_s13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114</xdr:row>
          <xdr:rowOff>9525</xdr:rowOff>
        </xdr:from>
        <xdr:to>
          <xdr:col>4</xdr:col>
          <xdr:colOff>0</xdr:colOff>
          <xdr:row>115</xdr:row>
          <xdr:rowOff>0</xdr:rowOff>
        </xdr:to>
        <xdr:sp macro="" textlink="">
          <xdr:nvSpPr>
            <xdr:cNvPr id="13384" name="Drop Down 72" hidden="1">
              <a:extLst>
                <a:ext uri="{63B3BB69-23CF-44E3-9099-C40C66FF867C}">
                  <a14:compatExt spid="_x0000_s133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115</xdr:row>
          <xdr:rowOff>9525</xdr:rowOff>
        </xdr:from>
        <xdr:to>
          <xdr:col>4</xdr:col>
          <xdr:colOff>838200</xdr:colOff>
          <xdr:row>116</xdr:row>
          <xdr:rowOff>0</xdr:rowOff>
        </xdr:to>
        <xdr:sp macro="" textlink="">
          <xdr:nvSpPr>
            <xdr:cNvPr id="13385" name="Drop Down 73" hidden="1">
              <a:extLst>
                <a:ext uri="{63B3BB69-23CF-44E3-9099-C40C66FF867C}">
                  <a14:compatExt spid="_x0000_s13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115</xdr:row>
          <xdr:rowOff>9525</xdr:rowOff>
        </xdr:from>
        <xdr:to>
          <xdr:col>4</xdr:col>
          <xdr:colOff>0</xdr:colOff>
          <xdr:row>116</xdr:row>
          <xdr:rowOff>0</xdr:rowOff>
        </xdr:to>
        <xdr:sp macro="" textlink="">
          <xdr:nvSpPr>
            <xdr:cNvPr id="13386" name="Drop Down 74" hidden="1">
              <a:extLst>
                <a:ext uri="{63B3BB69-23CF-44E3-9099-C40C66FF867C}">
                  <a14:compatExt spid="_x0000_s13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116</xdr:row>
          <xdr:rowOff>9525</xdr:rowOff>
        </xdr:from>
        <xdr:to>
          <xdr:col>4</xdr:col>
          <xdr:colOff>838200</xdr:colOff>
          <xdr:row>117</xdr:row>
          <xdr:rowOff>0</xdr:rowOff>
        </xdr:to>
        <xdr:sp macro="" textlink="">
          <xdr:nvSpPr>
            <xdr:cNvPr id="13387" name="Drop Down 75" hidden="1">
              <a:extLst>
                <a:ext uri="{63B3BB69-23CF-44E3-9099-C40C66FF867C}">
                  <a14:compatExt spid="_x0000_s13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116</xdr:row>
          <xdr:rowOff>9525</xdr:rowOff>
        </xdr:from>
        <xdr:to>
          <xdr:col>4</xdr:col>
          <xdr:colOff>0</xdr:colOff>
          <xdr:row>117</xdr:row>
          <xdr:rowOff>0</xdr:rowOff>
        </xdr:to>
        <xdr:sp macro="" textlink="">
          <xdr:nvSpPr>
            <xdr:cNvPr id="13388" name="Drop Down 76" hidden="1">
              <a:extLst>
                <a:ext uri="{63B3BB69-23CF-44E3-9099-C40C66FF867C}">
                  <a14:compatExt spid="_x0000_s13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117</xdr:row>
          <xdr:rowOff>9525</xdr:rowOff>
        </xdr:from>
        <xdr:to>
          <xdr:col>4</xdr:col>
          <xdr:colOff>838200</xdr:colOff>
          <xdr:row>118</xdr:row>
          <xdr:rowOff>0</xdr:rowOff>
        </xdr:to>
        <xdr:sp macro="" textlink="">
          <xdr:nvSpPr>
            <xdr:cNvPr id="13389" name="Drop Down 77" hidden="1">
              <a:extLst>
                <a:ext uri="{63B3BB69-23CF-44E3-9099-C40C66FF867C}">
                  <a14:compatExt spid="_x0000_s13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117</xdr:row>
          <xdr:rowOff>9525</xdr:rowOff>
        </xdr:from>
        <xdr:to>
          <xdr:col>4</xdr:col>
          <xdr:colOff>0</xdr:colOff>
          <xdr:row>118</xdr:row>
          <xdr:rowOff>0</xdr:rowOff>
        </xdr:to>
        <xdr:sp macro="" textlink="">
          <xdr:nvSpPr>
            <xdr:cNvPr id="13390" name="Drop Down 78" hidden="1">
              <a:extLst>
                <a:ext uri="{63B3BB69-23CF-44E3-9099-C40C66FF867C}">
                  <a14:compatExt spid="_x0000_s13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118</xdr:row>
          <xdr:rowOff>9525</xdr:rowOff>
        </xdr:from>
        <xdr:to>
          <xdr:col>4</xdr:col>
          <xdr:colOff>838200</xdr:colOff>
          <xdr:row>119</xdr:row>
          <xdr:rowOff>0</xdr:rowOff>
        </xdr:to>
        <xdr:sp macro="" textlink="">
          <xdr:nvSpPr>
            <xdr:cNvPr id="13391" name="Drop Down 79" hidden="1">
              <a:extLst>
                <a:ext uri="{63B3BB69-23CF-44E3-9099-C40C66FF867C}">
                  <a14:compatExt spid="_x0000_s13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118</xdr:row>
          <xdr:rowOff>9525</xdr:rowOff>
        </xdr:from>
        <xdr:to>
          <xdr:col>4</xdr:col>
          <xdr:colOff>0</xdr:colOff>
          <xdr:row>119</xdr:row>
          <xdr:rowOff>0</xdr:rowOff>
        </xdr:to>
        <xdr:sp macro="" textlink="">
          <xdr:nvSpPr>
            <xdr:cNvPr id="13392" name="Drop Down 80" hidden="1">
              <a:extLst>
                <a:ext uri="{63B3BB69-23CF-44E3-9099-C40C66FF867C}">
                  <a14:compatExt spid="_x0000_s13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113</xdr:row>
          <xdr:rowOff>9525</xdr:rowOff>
        </xdr:from>
        <xdr:to>
          <xdr:col>1</xdr:col>
          <xdr:colOff>180975</xdr:colOff>
          <xdr:row>114</xdr:row>
          <xdr:rowOff>0</xdr:rowOff>
        </xdr:to>
        <xdr:sp macro="" textlink="">
          <xdr:nvSpPr>
            <xdr:cNvPr id="13393" name="Drop Down 81" hidden="1">
              <a:extLst>
                <a:ext uri="{63B3BB69-23CF-44E3-9099-C40C66FF867C}">
                  <a14:compatExt spid="_x0000_s13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114</xdr:row>
          <xdr:rowOff>9525</xdr:rowOff>
        </xdr:from>
        <xdr:to>
          <xdr:col>1</xdr:col>
          <xdr:colOff>180975</xdr:colOff>
          <xdr:row>115</xdr:row>
          <xdr:rowOff>0</xdr:rowOff>
        </xdr:to>
        <xdr:sp macro="" textlink="">
          <xdr:nvSpPr>
            <xdr:cNvPr id="13394" name="Drop Down 82" hidden="1">
              <a:extLst>
                <a:ext uri="{63B3BB69-23CF-44E3-9099-C40C66FF867C}">
                  <a14:compatExt spid="_x0000_s13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9525</xdr:rowOff>
        </xdr:from>
        <xdr:to>
          <xdr:col>1</xdr:col>
          <xdr:colOff>180975</xdr:colOff>
          <xdr:row>116</xdr:row>
          <xdr:rowOff>0</xdr:rowOff>
        </xdr:to>
        <xdr:sp macro="" textlink="">
          <xdr:nvSpPr>
            <xdr:cNvPr id="13395" name="Drop Down 83" hidden="1">
              <a:extLst>
                <a:ext uri="{63B3BB69-23CF-44E3-9099-C40C66FF867C}">
                  <a14:compatExt spid="_x0000_s13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116</xdr:row>
          <xdr:rowOff>9525</xdr:rowOff>
        </xdr:from>
        <xdr:to>
          <xdr:col>1</xdr:col>
          <xdr:colOff>180975</xdr:colOff>
          <xdr:row>117</xdr:row>
          <xdr:rowOff>0</xdr:rowOff>
        </xdr:to>
        <xdr:sp macro="" textlink="">
          <xdr:nvSpPr>
            <xdr:cNvPr id="13396" name="Drop Down 84" hidden="1">
              <a:extLst>
                <a:ext uri="{63B3BB69-23CF-44E3-9099-C40C66FF867C}">
                  <a14:compatExt spid="_x0000_s13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117</xdr:row>
          <xdr:rowOff>9525</xdr:rowOff>
        </xdr:from>
        <xdr:to>
          <xdr:col>1</xdr:col>
          <xdr:colOff>180975</xdr:colOff>
          <xdr:row>118</xdr:row>
          <xdr:rowOff>0</xdr:rowOff>
        </xdr:to>
        <xdr:sp macro="" textlink="">
          <xdr:nvSpPr>
            <xdr:cNvPr id="13397" name="Drop Down 85" hidden="1">
              <a:extLst>
                <a:ext uri="{63B3BB69-23CF-44E3-9099-C40C66FF867C}">
                  <a14:compatExt spid="_x0000_s133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118</xdr:row>
          <xdr:rowOff>9525</xdr:rowOff>
        </xdr:from>
        <xdr:to>
          <xdr:col>1</xdr:col>
          <xdr:colOff>180975</xdr:colOff>
          <xdr:row>119</xdr:row>
          <xdr:rowOff>0</xdr:rowOff>
        </xdr:to>
        <xdr:sp macro="" textlink="">
          <xdr:nvSpPr>
            <xdr:cNvPr id="13398" name="Drop Down 86" hidden="1">
              <a:extLst>
                <a:ext uri="{63B3BB69-23CF-44E3-9099-C40C66FF867C}">
                  <a14:compatExt spid="_x0000_s13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123</xdr:row>
          <xdr:rowOff>9525</xdr:rowOff>
        </xdr:from>
        <xdr:to>
          <xdr:col>1</xdr:col>
          <xdr:colOff>180975</xdr:colOff>
          <xdr:row>124</xdr:row>
          <xdr:rowOff>0</xdr:rowOff>
        </xdr:to>
        <xdr:sp macro="" textlink="">
          <xdr:nvSpPr>
            <xdr:cNvPr id="13399" name="Drop Down 87" hidden="1">
              <a:extLst>
                <a:ext uri="{63B3BB69-23CF-44E3-9099-C40C66FF867C}">
                  <a14:compatExt spid="_x0000_s133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124</xdr:row>
          <xdr:rowOff>9525</xdr:rowOff>
        </xdr:from>
        <xdr:to>
          <xdr:col>1</xdr:col>
          <xdr:colOff>180975</xdr:colOff>
          <xdr:row>125</xdr:row>
          <xdr:rowOff>0</xdr:rowOff>
        </xdr:to>
        <xdr:sp macro="" textlink="">
          <xdr:nvSpPr>
            <xdr:cNvPr id="13400" name="Drop Down 88" hidden="1">
              <a:extLst>
                <a:ext uri="{63B3BB69-23CF-44E3-9099-C40C66FF867C}">
                  <a14:compatExt spid="_x0000_s13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125</xdr:row>
          <xdr:rowOff>9525</xdr:rowOff>
        </xdr:from>
        <xdr:to>
          <xdr:col>1</xdr:col>
          <xdr:colOff>180975</xdr:colOff>
          <xdr:row>126</xdr:row>
          <xdr:rowOff>0</xdr:rowOff>
        </xdr:to>
        <xdr:sp macro="" textlink="">
          <xdr:nvSpPr>
            <xdr:cNvPr id="13401" name="Drop Down 89" hidden="1">
              <a:extLst>
                <a:ext uri="{63B3BB69-23CF-44E3-9099-C40C66FF867C}">
                  <a14:compatExt spid="_x0000_s13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126</xdr:row>
          <xdr:rowOff>9525</xdr:rowOff>
        </xdr:from>
        <xdr:to>
          <xdr:col>1</xdr:col>
          <xdr:colOff>180975</xdr:colOff>
          <xdr:row>127</xdr:row>
          <xdr:rowOff>0</xdr:rowOff>
        </xdr:to>
        <xdr:sp macro="" textlink="">
          <xdr:nvSpPr>
            <xdr:cNvPr id="13402" name="Drop Down 90" hidden="1">
              <a:extLst>
                <a:ext uri="{63B3BB69-23CF-44E3-9099-C40C66FF867C}">
                  <a14:compatExt spid="_x0000_s13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127</xdr:row>
          <xdr:rowOff>9525</xdr:rowOff>
        </xdr:from>
        <xdr:to>
          <xdr:col>1</xdr:col>
          <xdr:colOff>180975</xdr:colOff>
          <xdr:row>128</xdr:row>
          <xdr:rowOff>0</xdr:rowOff>
        </xdr:to>
        <xdr:sp macro="" textlink="">
          <xdr:nvSpPr>
            <xdr:cNvPr id="13403" name="Drop Down 91" hidden="1">
              <a:extLst>
                <a:ext uri="{63B3BB69-23CF-44E3-9099-C40C66FF867C}">
                  <a14:compatExt spid="_x0000_s13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128</xdr:row>
          <xdr:rowOff>9525</xdr:rowOff>
        </xdr:from>
        <xdr:to>
          <xdr:col>1</xdr:col>
          <xdr:colOff>180975</xdr:colOff>
          <xdr:row>129</xdr:row>
          <xdr:rowOff>0</xdr:rowOff>
        </xdr:to>
        <xdr:sp macro="" textlink="">
          <xdr:nvSpPr>
            <xdr:cNvPr id="13404" name="Drop Down 92" hidden="1">
              <a:extLst>
                <a:ext uri="{63B3BB69-23CF-44E3-9099-C40C66FF867C}">
                  <a14:compatExt spid="_x0000_s13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51</xdr:row>
      <xdr:rowOff>189308</xdr:rowOff>
    </xdr:from>
    <xdr:to>
      <xdr:col>10</xdr:col>
      <xdr:colOff>438150</xdr:colOff>
      <xdr:row>67</xdr:row>
      <xdr:rowOff>240108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19050</xdr:colOff>
          <xdr:row>113</xdr:row>
          <xdr:rowOff>9525</xdr:rowOff>
        </xdr:from>
        <xdr:to>
          <xdr:col>9</xdr:col>
          <xdr:colOff>838200</xdr:colOff>
          <xdr:row>114</xdr:row>
          <xdr:rowOff>0</xdr:rowOff>
        </xdr:to>
        <xdr:sp macro="" textlink="">
          <xdr:nvSpPr>
            <xdr:cNvPr id="13409" name="Drop Down 97" hidden="1">
              <a:extLst>
                <a:ext uri="{63B3BB69-23CF-44E3-9099-C40C66FF867C}">
                  <a14:compatExt spid="_x0000_s13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113</xdr:row>
          <xdr:rowOff>9525</xdr:rowOff>
        </xdr:from>
        <xdr:to>
          <xdr:col>9</xdr:col>
          <xdr:colOff>0</xdr:colOff>
          <xdr:row>114</xdr:row>
          <xdr:rowOff>0</xdr:rowOff>
        </xdr:to>
        <xdr:sp macro="" textlink="">
          <xdr:nvSpPr>
            <xdr:cNvPr id="13410" name="Drop Down 98" hidden="1">
              <a:extLst>
                <a:ext uri="{63B3BB69-23CF-44E3-9099-C40C66FF867C}">
                  <a14:compatExt spid="_x0000_s13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114</xdr:row>
          <xdr:rowOff>9525</xdr:rowOff>
        </xdr:from>
        <xdr:to>
          <xdr:col>9</xdr:col>
          <xdr:colOff>838200</xdr:colOff>
          <xdr:row>115</xdr:row>
          <xdr:rowOff>0</xdr:rowOff>
        </xdr:to>
        <xdr:sp macro="" textlink="">
          <xdr:nvSpPr>
            <xdr:cNvPr id="13411" name="Drop Down 99" hidden="1">
              <a:extLst>
                <a:ext uri="{63B3BB69-23CF-44E3-9099-C40C66FF867C}">
                  <a14:compatExt spid="_x0000_s134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9525</xdr:rowOff>
        </xdr:from>
        <xdr:to>
          <xdr:col>8</xdr:col>
          <xdr:colOff>847725</xdr:colOff>
          <xdr:row>115</xdr:row>
          <xdr:rowOff>0</xdr:rowOff>
        </xdr:to>
        <xdr:sp macro="" textlink="">
          <xdr:nvSpPr>
            <xdr:cNvPr id="13412" name="Drop Down 100" hidden="1">
              <a:extLst>
                <a:ext uri="{63B3BB69-23CF-44E3-9099-C40C66FF867C}">
                  <a14:compatExt spid="_x0000_s13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115</xdr:row>
          <xdr:rowOff>9525</xdr:rowOff>
        </xdr:from>
        <xdr:to>
          <xdr:col>9</xdr:col>
          <xdr:colOff>838200</xdr:colOff>
          <xdr:row>116</xdr:row>
          <xdr:rowOff>0</xdr:rowOff>
        </xdr:to>
        <xdr:sp macro="" textlink="">
          <xdr:nvSpPr>
            <xdr:cNvPr id="13413" name="Drop Down 101" hidden="1">
              <a:extLst>
                <a:ext uri="{63B3BB69-23CF-44E3-9099-C40C66FF867C}">
                  <a14:compatExt spid="_x0000_s13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115</xdr:row>
          <xdr:rowOff>9525</xdr:rowOff>
        </xdr:from>
        <xdr:to>
          <xdr:col>8</xdr:col>
          <xdr:colOff>847725</xdr:colOff>
          <xdr:row>116</xdr:row>
          <xdr:rowOff>0</xdr:rowOff>
        </xdr:to>
        <xdr:sp macro="" textlink="">
          <xdr:nvSpPr>
            <xdr:cNvPr id="13414" name="Drop Down 102" hidden="1">
              <a:extLst>
                <a:ext uri="{63B3BB69-23CF-44E3-9099-C40C66FF867C}">
                  <a14:compatExt spid="_x0000_s134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116</xdr:row>
          <xdr:rowOff>9525</xdr:rowOff>
        </xdr:from>
        <xdr:to>
          <xdr:col>9</xdr:col>
          <xdr:colOff>838200</xdr:colOff>
          <xdr:row>117</xdr:row>
          <xdr:rowOff>0</xdr:rowOff>
        </xdr:to>
        <xdr:sp macro="" textlink="">
          <xdr:nvSpPr>
            <xdr:cNvPr id="13415" name="Drop Down 103" hidden="1">
              <a:extLst>
                <a:ext uri="{63B3BB69-23CF-44E3-9099-C40C66FF867C}">
                  <a14:compatExt spid="_x0000_s134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116</xdr:row>
          <xdr:rowOff>9525</xdr:rowOff>
        </xdr:from>
        <xdr:to>
          <xdr:col>8</xdr:col>
          <xdr:colOff>847725</xdr:colOff>
          <xdr:row>117</xdr:row>
          <xdr:rowOff>0</xdr:rowOff>
        </xdr:to>
        <xdr:sp macro="" textlink="">
          <xdr:nvSpPr>
            <xdr:cNvPr id="13416" name="Drop Down 104" hidden="1">
              <a:extLst>
                <a:ext uri="{63B3BB69-23CF-44E3-9099-C40C66FF867C}">
                  <a14:compatExt spid="_x0000_s13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117</xdr:row>
          <xdr:rowOff>9525</xdr:rowOff>
        </xdr:from>
        <xdr:to>
          <xdr:col>9</xdr:col>
          <xdr:colOff>838200</xdr:colOff>
          <xdr:row>118</xdr:row>
          <xdr:rowOff>0</xdr:rowOff>
        </xdr:to>
        <xdr:sp macro="" textlink="">
          <xdr:nvSpPr>
            <xdr:cNvPr id="13417" name="Drop Down 105" hidden="1">
              <a:extLst>
                <a:ext uri="{63B3BB69-23CF-44E3-9099-C40C66FF867C}">
                  <a14:compatExt spid="_x0000_s13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117</xdr:row>
          <xdr:rowOff>9525</xdr:rowOff>
        </xdr:from>
        <xdr:to>
          <xdr:col>9</xdr:col>
          <xdr:colOff>0</xdr:colOff>
          <xdr:row>118</xdr:row>
          <xdr:rowOff>0</xdr:rowOff>
        </xdr:to>
        <xdr:sp macro="" textlink="">
          <xdr:nvSpPr>
            <xdr:cNvPr id="13418" name="Drop Down 106" hidden="1">
              <a:extLst>
                <a:ext uri="{63B3BB69-23CF-44E3-9099-C40C66FF867C}">
                  <a14:compatExt spid="_x0000_s134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118</xdr:row>
          <xdr:rowOff>9525</xdr:rowOff>
        </xdr:from>
        <xdr:to>
          <xdr:col>9</xdr:col>
          <xdr:colOff>838200</xdr:colOff>
          <xdr:row>119</xdr:row>
          <xdr:rowOff>0</xdr:rowOff>
        </xdr:to>
        <xdr:sp macro="" textlink="">
          <xdr:nvSpPr>
            <xdr:cNvPr id="13419" name="Drop Down 107" hidden="1">
              <a:extLst>
                <a:ext uri="{63B3BB69-23CF-44E3-9099-C40C66FF867C}">
                  <a14:compatExt spid="_x0000_s134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118</xdr:row>
          <xdr:rowOff>9525</xdr:rowOff>
        </xdr:from>
        <xdr:to>
          <xdr:col>9</xdr:col>
          <xdr:colOff>0</xdr:colOff>
          <xdr:row>119</xdr:row>
          <xdr:rowOff>0</xdr:rowOff>
        </xdr:to>
        <xdr:sp macro="" textlink="">
          <xdr:nvSpPr>
            <xdr:cNvPr id="13420" name="Drop Down 108" hidden="1">
              <a:extLst>
                <a:ext uri="{63B3BB69-23CF-44E3-9099-C40C66FF867C}">
                  <a14:compatExt spid="_x0000_s134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93</xdr:row>
          <xdr:rowOff>9525</xdr:rowOff>
        </xdr:from>
        <xdr:to>
          <xdr:col>4</xdr:col>
          <xdr:colOff>838200</xdr:colOff>
          <xdr:row>94</xdr:row>
          <xdr:rowOff>0</xdr:rowOff>
        </xdr:to>
        <xdr:sp macro="" textlink="">
          <xdr:nvSpPr>
            <xdr:cNvPr id="13421" name="Drop Down 109" hidden="1">
              <a:extLst>
                <a:ext uri="{63B3BB69-23CF-44E3-9099-C40C66FF867C}">
                  <a14:compatExt spid="_x0000_s134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93</xdr:row>
          <xdr:rowOff>9525</xdr:rowOff>
        </xdr:from>
        <xdr:to>
          <xdr:col>4</xdr:col>
          <xdr:colOff>0</xdr:colOff>
          <xdr:row>94</xdr:row>
          <xdr:rowOff>0</xdr:rowOff>
        </xdr:to>
        <xdr:sp macro="" textlink="">
          <xdr:nvSpPr>
            <xdr:cNvPr id="13422" name="Drop Down 110" hidden="1">
              <a:extLst>
                <a:ext uri="{63B3BB69-23CF-44E3-9099-C40C66FF867C}">
                  <a14:compatExt spid="_x0000_s134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94</xdr:row>
          <xdr:rowOff>9525</xdr:rowOff>
        </xdr:from>
        <xdr:to>
          <xdr:col>4</xdr:col>
          <xdr:colOff>838200</xdr:colOff>
          <xdr:row>95</xdr:row>
          <xdr:rowOff>0</xdr:rowOff>
        </xdr:to>
        <xdr:sp macro="" textlink="">
          <xdr:nvSpPr>
            <xdr:cNvPr id="13423" name="Drop Down 111" hidden="1">
              <a:extLst>
                <a:ext uri="{63B3BB69-23CF-44E3-9099-C40C66FF867C}">
                  <a14:compatExt spid="_x0000_s134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94</xdr:row>
          <xdr:rowOff>9525</xdr:rowOff>
        </xdr:from>
        <xdr:to>
          <xdr:col>4</xdr:col>
          <xdr:colOff>0</xdr:colOff>
          <xdr:row>95</xdr:row>
          <xdr:rowOff>0</xdr:rowOff>
        </xdr:to>
        <xdr:sp macro="" textlink="">
          <xdr:nvSpPr>
            <xdr:cNvPr id="13424" name="Drop Down 112" hidden="1">
              <a:extLst>
                <a:ext uri="{63B3BB69-23CF-44E3-9099-C40C66FF867C}">
                  <a14:compatExt spid="_x0000_s13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95</xdr:row>
          <xdr:rowOff>9525</xdr:rowOff>
        </xdr:from>
        <xdr:to>
          <xdr:col>4</xdr:col>
          <xdr:colOff>838200</xdr:colOff>
          <xdr:row>96</xdr:row>
          <xdr:rowOff>0</xdr:rowOff>
        </xdr:to>
        <xdr:sp macro="" textlink="">
          <xdr:nvSpPr>
            <xdr:cNvPr id="13425" name="Drop Down 113" hidden="1">
              <a:extLst>
                <a:ext uri="{63B3BB69-23CF-44E3-9099-C40C66FF867C}">
                  <a14:compatExt spid="_x0000_s13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95</xdr:row>
          <xdr:rowOff>9525</xdr:rowOff>
        </xdr:from>
        <xdr:to>
          <xdr:col>4</xdr:col>
          <xdr:colOff>0</xdr:colOff>
          <xdr:row>96</xdr:row>
          <xdr:rowOff>0</xdr:rowOff>
        </xdr:to>
        <xdr:sp macro="" textlink="">
          <xdr:nvSpPr>
            <xdr:cNvPr id="13426" name="Drop Down 114" hidden="1">
              <a:extLst>
                <a:ext uri="{63B3BB69-23CF-44E3-9099-C40C66FF867C}">
                  <a14:compatExt spid="_x0000_s13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96</xdr:row>
          <xdr:rowOff>9525</xdr:rowOff>
        </xdr:from>
        <xdr:to>
          <xdr:col>4</xdr:col>
          <xdr:colOff>838200</xdr:colOff>
          <xdr:row>97</xdr:row>
          <xdr:rowOff>0</xdr:rowOff>
        </xdr:to>
        <xdr:sp macro="" textlink="">
          <xdr:nvSpPr>
            <xdr:cNvPr id="13427" name="Drop Down 115" hidden="1">
              <a:extLst>
                <a:ext uri="{63B3BB69-23CF-44E3-9099-C40C66FF867C}">
                  <a14:compatExt spid="_x0000_s134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96</xdr:row>
          <xdr:rowOff>9525</xdr:rowOff>
        </xdr:from>
        <xdr:to>
          <xdr:col>4</xdr:col>
          <xdr:colOff>0</xdr:colOff>
          <xdr:row>97</xdr:row>
          <xdr:rowOff>0</xdr:rowOff>
        </xdr:to>
        <xdr:sp macro="" textlink="">
          <xdr:nvSpPr>
            <xdr:cNvPr id="13428" name="Drop Down 116" hidden="1">
              <a:extLst>
                <a:ext uri="{63B3BB69-23CF-44E3-9099-C40C66FF867C}">
                  <a14:compatExt spid="_x0000_s134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100</xdr:row>
          <xdr:rowOff>9525</xdr:rowOff>
        </xdr:from>
        <xdr:to>
          <xdr:col>4</xdr:col>
          <xdr:colOff>838200</xdr:colOff>
          <xdr:row>101</xdr:row>
          <xdr:rowOff>0</xdr:rowOff>
        </xdr:to>
        <xdr:sp macro="" textlink="">
          <xdr:nvSpPr>
            <xdr:cNvPr id="13429" name="Drop Down 117" hidden="1">
              <a:extLst>
                <a:ext uri="{63B3BB69-23CF-44E3-9099-C40C66FF867C}">
                  <a14:compatExt spid="_x0000_s134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100</xdr:row>
          <xdr:rowOff>9525</xdr:rowOff>
        </xdr:from>
        <xdr:to>
          <xdr:col>4</xdr:col>
          <xdr:colOff>0</xdr:colOff>
          <xdr:row>101</xdr:row>
          <xdr:rowOff>0</xdr:rowOff>
        </xdr:to>
        <xdr:sp macro="" textlink="">
          <xdr:nvSpPr>
            <xdr:cNvPr id="13430" name="Drop Down 118" hidden="1">
              <a:extLst>
                <a:ext uri="{63B3BB69-23CF-44E3-9099-C40C66FF867C}">
                  <a14:compatExt spid="_x0000_s13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101</xdr:row>
          <xdr:rowOff>9525</xdr:rowOff>
        </xdr:from>
        <xdr:to>
          <xdr:col>4</xdr:col>
          <xdr:colOff>838200</xdr:colOff>
          <xdr:row>102</xdr:row>
          <xdr:rowOff>0</xdr:rowOff>
        </xdr:to>
        <xdr:sp macro="" textlink="">
          <xdr:nvSpPr>
            <xdr:cNvPr id="13431" name="Drop Down 119" hidden="1">
              <a:extLst>
                <a:ext uri="{63B3BB69-23CF-44E3-9099-C40C66FF867C}">
                  <a14:compatExt spid="_x0000_s134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101</xdr:row>
          <xdr:rowOff>9525</xdr:rowOff>
        </xdr:from>
        <xdr:to>
          <xdr:col>4</xdr:col>
          <xdr:colOff>0</xdr:colOff>
          <xdr:row>102</xdr:row>
          <xdr:rowOff>0</xdr:rowOff>
        </xdr:to>
        <xdr:sp macro="" textlink="">
          <xdr:nvSpPr>
            <xdr:cNvPr id="13432" name="Drop Down 120" hidden="1">
              <a:extLst>
                <a:ext uri="{63B3BB69-23CF-44E3-9099-C40C66FF867C}">
                  <a14:compatExt spid="_x0000_s134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102</xdr:row>
          <xdr:rowOff>9525</xdr:rowOff>
        </xdr:from>
        <xdr:to>
          <xdr:col>4</xdr:col>
          <xdr:colOff>838200</xdr:colOff>
          <xdr:row>103</xdr:row>
          <xdr:rowOff>0</xdr:rowOff>
        </xdr:to>
        <xdr:sp macro="" textlink="">
          <xdr:nvSpPr>
            <xdr:cNvPr id="13433" name="Drop Down 121" hidden="1">
              <a:extLst>
                <a:ext uri="{63B3BB69-23CF-44E3-9099-C40C66FF867C}">
                  <a14:compatExt spid="_x0000_s13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102</xdr:row>
          <xdr:rowOff>9525</xdr:rowOff>
        </xdr:from>
        <xdr:to>
          <xdr:col>4</xdr:col>
          <xdr:colOff>0</xdr:colOff>
          <xdr:row>103</xdr:row>
          <xdr:rowOff>0</xdr:rowOff>
        </xdr:to>
        <xdr:sp macro="" textlink="">
          <xdr:nvSpPr>
            <xdr:cNvPr id="13434" name="Drop Down 122" hidden="1">
              <a:extLst>
                <a:ext uri="{63B3BB69-23CF-44E3-9099-C40C66FF867C}">
                  <a14:compatExt spid="_x0000_s13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103</xdr:row>
          <xdr:rowOff>9525</xdr:rowOff>
        </xdr:from>
        <xdr:to>
          <xdr:col>4</xdr:col>
          <xdr:colOff>838200</xdr:colOff>
          <xdr:row>104</xdr:row>
          <xdr:rowOff>0</xdr:rowOff>
        </xdr:to>
        <xdr:sp macro="" textlink="">
          <xdr:nvSpPr>
            <xdr:cNvPr id="13435" name="Drop Down 123" hidden="1">
              <a:extLst>
                <a:ext uri="{63B3BB69-23CF-44E3-9099-C40C66FF867C}">
                  <a14:compatExt spid="_x0000_s13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103</xdr:row>
          <xdr:rowOff>9525</xdr:rowOff>
        </xdr:from>
        <xdr:to>
          <xdr:col>4</xdr:col>
          <xdr:colOff>0</xdr:colOff>
          <xdr:row>104</xdr:row>
          <xdr:rowOff>0</xdr:rowOff>
        </xdr:to>
        <xdr:sp macro="" textlink="">
          <xdr:nvSpPr>
            <xdr:cNvPr id="13436" name="Drop Down 124" hidden="1">
              <a:extLst>
                <a:ext uri="{63B3BB69-23CF-44E3-9099-C40C66FF867C}">
                  <a14:compatExt spid="_x0000_s13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104</xdr:row>
          <xdr:rowOff>9525</xdr:rowOff>
        </xdr:from>
        <xdr:to>
          <xdr:col>4</xdr:col>
          <xdr:colOff>838200</xdr:colOff>
          <xdr:row>105</xdr:row>
          <xdr:rowOff>0</xdr:rowOff>
        </xdr:to>
        <xdr:sp macro="" textlink="">
          <xdr:nvSpPr>
            <xdr:cNvPr id="13437" name="Drop Down 125" hidden="1">
              <a:extLst>
                <a:ext uri="{63B3BB69-23CF-44E3-9099-C40C66FF867C}">
                  <a14:compatExt spid="_x0000_s13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104</xdr:row>
          <xdr:rowOff>9525</xdr:rowOff>
        </xdr:from>
        <xdr:to>
          <xdr:col>4</xdr:col>
          <xdr:colOff>0</xdr:colOff>
          <xdr:row>105</xdr:row>
          <xdr:rowOff>0</xdr:rowOff>
        </xdr:to>
        <xdr:sp macro="" textlink="">
          <xdr:nvSpPr>
            <xdr:cNvPr id="13438" name="Drop Down 126" hidden="1">
              <a:extLst>
                <a:ext uri="{63B3BB69-23CF-44E3-9099-C40C66FF867C}">
                  <a14:compatExt spid="_x0000_s13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105</xdr:row>
          <xdr:rowOff>9525</xdr:rowOff>
        </xdr:from>
        <xdr:to>
          <xdr:col>4</xdr:col>
          <xdr:colOff>838200</xdr:colOff>
          <xdr:row>106</xdr:row>
          <xdr:rowOff>0</xdr:rowOff>
        </xdr:to>
        <xdr:sp macro="" textlink="">
          <xdr:nvSpPr>
            <xdr:cNvPr id="13439" name="Drop Down 127" hidden="1">
              <a:extLst>
                <a:ext uri="{63B3BB69-23CF-44E3-9099-C40C66FF867C}">
                  <a14:compatExt spid="_x0000_s13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105</xdr:row>
          <xdr:rowOff>9525</xdr:rowOff>
        </xdr:from>
        <xdr:to>
          <xdr:col>4</xdr:col>
          <xdr:colOff>0</xdr:colOff>
          <xdr:row>106</xdr:row>
          <xdr:rowOff>0</xdr:rowOff>
        </xdr:to>
        <xdr:sp macro="" textlink="">
          <xdr:nvSpPr>
            <xdr:cNvPr id="13440" name="Drop Down 128" hidden="1">
              <a:extLst>
                <a:ext uri="{63B3BB69-23CF-44E3-9099-C40C66FF867C}">
                  <a14:compatExt spid="_x0000_s13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123</xdr:row>
          <xdr:rowOff>9525</xdr:rowOff>
        </xdr:from>
        <xdr:to>
          <xdr:col>9</xdr:col>
          <xdr:colOff>838200</xdr:colOff>
          <xdr:row>124</xdr:row>
          <xdr:rowOff>0</xdr:rowOff>
        </xdr:to>
        <xdr:sp macro="" textlink="">
          <xdr:nvSpPr>
            <xdr:cNvPr id="13441" name="Drop Down 129" hidden="1">
              <a:extLst>
                <a:ext uri="{63B3BB69-23CF-44E3-9099-C40C66FF867C}">
                  <a14:compatExt spid="_x0000_s13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123</xdr:row>
          <xdr:rowOff>9525</xdr:rowOff>
        </xdr:from>
        <xdr:to>
          <xdr:col>8</xdr:col>
          <xdr:colOff>847725</xdr:colOff>
          <xdr:row>124</xdr:row>
          <xdr:rowOff>0</xdr:rowOff>
        </xdr:to>
        <xdr:sp macro="" textlink="">
          <xdr:nvSpPr>
            <xdr:cNvPr id="13442" name="Drop Down 130" hidden="1">
              <a:extLst>
                <a:ext uri="{63B3BB69-23CF-44E3-9099-C40C66FF867C}">
                  <a14:compatExt spid="_x0000_s13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124</xdr:row>
          <xdr:rowOff>9525</xdr:rowOff>
        </xdr:from>
        <xdr:to>
          <xdr:col>9</xdr:col>
          <xdr:colOff>838200</xdr:colOff>
          <xdr:row>125</xdr:row>
          <xdr:rowOff>0</xdr:rowOff>
        </xdr:to>
        <xdr:sp macro="" textlink="">
          <xdr:nvSpPr>
            <xdr:cNvPr id="13443" name="Drop Down 131" hidden="1">
              <a:extLst>
                <a:ext uri="{63B3BB69-23CF-44E3-9099-C40C66FF867C}">
                  <a14:compatExt spid="_x0000_s13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124</xdr:row>
          <xdr:rowOff>9525</xdr:rowOff>
        </xdr:from>
        <xdr:to>
          <xdr:col>8</xdr:col>
          <xdr:colOff>847725</xdr:colOff>
          <xdr:row>125</xdr:row>
          <xdr:rowOff>0</xdr:rowOff>
        </xdr:to>
        <xdr:sp macro="" textlink="">
          <xdr:nvSpPr>
            <xdr:cNvPr id="13444" name="Drop Down 132" hidden="1">
              <a:extLst>
                <a:ext uri="{63B3BB69-23CF-44E3-9099-C40C66FF867C}">
                  <a14:compatExt spid="_x0000_s134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125</xdr:row>
          <xdr:rowOff>9525</xdr:rowOff>
        </xdr:from>
        <xdr:to>
          <xdr:col>9</xdr:col>
          <xdr:colOff>838200</xdr:colOff>
          <xdr:row>126</xdr:row>
          <xdr:rowOff>0</xdr:rowOff>
        </xdr:to>
        <xdr:sp macro="" textlink="">
          <xdr:nvSpPr>
            <xdr:cNvPr id="13445" name="Drop Down 133" hidden="1">
              <a:extLst>
                <a:ext uri="{63B3BB69-23CF-44E3-9099-C40C66FF867C}">
                  <a14:compatExt spid="_x0000_s134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125</xdr:row>
          <xdr:rowOff>9525</xdr:rowOff>
        </xdr:from>
        <xdr:to>
          <xdr:col>8</xdr:col>
          <xdr:colOff>847725</xdr:colOff>
          <xdr:row>126</xdr:row>
          <xdr:rowOff>0</xdr:rowOff>
        </xdr:to>
        <xdr:sp macro="" textlink="">
          <xdr:nvSpPr>
            <xdr:cNvPr id="13446" name="Drop Down 134" hidden="1">
              <a:extLst>
                <a:ext uri="{63B3BB69-23CF-44E3-9099-C40C66FF867C}">
                  <a14:compatExt spid="_x0000_s134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126</xdr:row>
          <xdr:rowOff>9525</xdr:rowOff>
        </xdr:from>
        <xdr:to>
          <xdr:col>9</xdr:col>
          <xdr:colOff>838200</xdr:colOff>
          <xdr:row>127</xdr:row>
          <xdr:rowOff>0</xdr:rowOff>
        </xdr:to>
        <xdr:sp macro="" textlink="">
          <xdr:nvSpPr>
            <xdr:cNvPr id="13447" name="Drop Down 135" hidden="1">
              <a:extLst>
                <a:ext uri="{63B3BB69-23CF-44E3-9099-C40C66FF867C}">
                  <a14:compatExt spid="_x0000_s134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126</xdr:row>
          <xdr:rowOff>9525</xdr:rowOff>
        </xdr:from>
        <xdr:to>
          <xdr:col>8</xdr:col>
          <xdr:colOff>847725</xdr:colOff>
          <xdr:row>127</xdr:row>
          <xdr:rowOff>0</xdr:rowOff>
        </xdr:to>
        <xdr:sp macro="" textlink="">
          <xdr:nvSpPr>
            <xdr:cNvPr id="13448" name="Drop Down 136" hidden="1">
              <a:extLst>
                <a:ext uri="{63B3BB69-23CF-44E3-9099-C40C66FF867C}">
                  <a14:compatExt spid="_x0000_s13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127</xdr:row>
          <xdr:rowOff>9525</xdr:rowOff>
        </xdr:from>
        <xdr:to>
          <xdr:col>9</xdr:col>
          <xdr:colOff>838200</xdr:colOff>
          <xdr:row>128</xdr:row>
          <xdr:rowOff>0</xdr:rowOff>
        </xdr:to>
        <xdr:sp macro="" textlink="">
          <xdr:nvSpPr>
            <xdr:cNvPr id="13449" name="Drop Down 137" hidden="1">
              <a:extLst>
                <a:ext uri="{63B3BB69-23CF-44E3-9099-C40C66FF867C}">
                  <a14:compatExt spid="_x0000_s13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127</xdr:row>
          <xdr:rowOff>9525</xdr:rowOff>
        </xdr:from>
        <xdr:to>
          <xdr:col>8</xdr:col>
          <xdr:colOff>847725</xdr:colOff>
          <xdr:row>128</xdr:row>
          <xdr:rowOff>0</xdr:rowOff>
        </xdr:to>
        <xdr:sp macro="" textlink="">
          <xdr:nvSpPr>
            <xdr:cNvPr id="13450" name="Drop Down 138" hidden="1">
              <a:extLst>
                <a:ext uri="{63B3BB69-23CF-44E3-9099-C40C66FF867C}">
                  <a14:compatExt spid="_x0000_s134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128</xdr:row>
          <xdr:rowOff>9525</xdr:rowOff>
        </xdr:from>
        <xdr:to>
          <xdr:col>9</xdr:col>
          <xdr:colOff>838200</xdr:colOff>
          <xdr:row>129</xdr:row>
          <xdr:rowOff>0</xdr:rowOff>
        </xdr:to>
        <xdr:sp macro="" textlink="">
          <xdr:nvSpPr>
            <xdr:cNvPr id="13451" name="Drop Down 139" hidden="1">
              <a:extLst>
                <a:ext uri="{63B3BB69-23CF-44E3-9099-C40C66FF867C}">
                  <a14:compatExt spid="_x0000_s13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128</xdr:row>
          <xdr:rowOff>9525</xdr:rowOff>
        </xdr:from>
        <xdr:to>
          <xdr:col>8</xdr:col>
          <xdr:colOff>847725</xdr:colOff>
          <xdr:row>129</xdr:row>
          <xdr:rowOff>0</xdr:rowOff>
        </xdr:to>
        <xdr:sp macro="" textlink="">
          <xdr:nvSpPr>
            <xdr:cNvPr id="13452" name="Drop Down 140" hidden="1">
              <a:extLst>
                <a:ext uri="{63B3BB69-23CF-44E3-9099-C40C66FF867C}">
                  <a14:compatExt spid="_x0000_s13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134</xdr:row>
          <xdr:rowOff>9525</xdr:rowOff>
        </xdr:from>
        <xdr:to>
          <xdr:col>9</xdr:col>
          <xdr:colOff>838200</xdr:colOff>
          <xdr:row>135</xdr:row>
          <xdr:rowOff>0</xdr:rowOff>
        </xdr:to>
        <xdr:sp macro="" textlink="">
          <xdr:nvSpPr>
            <xdr:cNvPr id="13495" name="Drop Down 183" hidden="1">
              <a:extLst>
                <a:ext uri="{63B3BB69-23CF-44E3-9099-C40C66FF867C}">
                  <a14:compatExt spid="_x0000_s13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134</xdr:row>
          <xdr:rowOff>9525</xdr:rowOff>
        </xdr:from>
        <xdr:to>
          <xdr:col>9</xdr:col>
          <xdr:colOff>0</xdr:colOff>
          <xdr:row>135</xdr:row>
          <xdr:rowOff>0</xdr:rowOff>
        </xdr:to>
        <xdr:sp macro="" textlink="">
          <xdr:nvSpPr>
            <xdr:cNvPr id="13496" name="Drop Down 184" hidden="1">
              <a:extLst>
                <a:ext uri="{63B3BB69-23CF-44E3-9099-C40C66FF867C}">
                  <a14:compatExt spid="_x0000_s13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135</xdr:row>
          <xdr:rowOff>9525</xdr:rowOff>
        </xdr:from>
        <xdr:to>
          <xdr:col>9</xdr:col>
          <xdr:colOff>838200</xdr:colOff>
          <xdr:row>136</xdr:row>
          <xdr:rowOff>0</xdr:rowOff>
        </xdr:to>
        <xdr:sp macro="" textlink="">
          <xdr:nvSpPr>
            <xdr:cNvPr id="13497" name="Drop Down 185" hidden="1">
              <a:extLst>
                <a:ext uri="{63B3BB69-23CF-44E3-9099-C40C66FF867C}">
                  <a14:compatExt spid="_x0000_s13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135</xdr:row>
          <xdr:rowOff>9525</xdr:rowOff>
        </xdr:from>
        <xdr:to>
          <xdr:col>9</xdr:col>
          <xdr:colOff>0</xdr:colOff>
          <xdr:row>136</xdr:row>
          <xdr:rowOff>0</xdr:rowOff>
        </xdr:to>
        <xdr:sp macro="" textlink="">
          <xdr:nvSpPr>
            <xdr:cNvPr id="13498" name="Drop Down 186" hidden="1">
              <a:extLst>
                <a:ext uri="{63B3BB69-23CF-44E3-9099-C40C66FF867C}">
                  <a14:compatExt spid="_x0000_s13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136</xdr:row>
          <xdr:rowOff>9525</xdr:rowOff>
        </xdr:from>
        <xdr:to>
          <xdr:col>9</xdr:col>
          <xdr:colOff>838200</xdr:colOff>
          <xdr:row>137</xdr:row>
          <xdr:rowOff>0</xdr:rowOff>
        </xdr:to>
        <xdr:sp macro="" textlink="">
          <xdr:nvSpPr>
            <xdr:cNvPr id="13499" name="Drop Down 187" hidden="1">
              <a:extLst>
                <a:ext uri="{63B3BB69-23CF-44E3-9099-C40C66FF867C}">
                  <a14:compatExt spid="_x0000_s13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136</xdr:row>
          <xdr:rowOff>9525</xdr:rowOff>
        </xdr:from>
        <xdr:to>
          <xdr:col>9</xdr:col>
          <xdr:colOff>0</xdr:colOff>
          <xdr:row>137</xdr:row>
          <xdr:rowOff>0</xdr:rowOff>
        </xdr:to>
        <xdr:sp macro="" textlink="">
          <xdr:nvSpPr>
            <xdr:cNvPr id="13500" name="Drop Down 188" hidden="1">
              <a:extLst>
                <a:ext uri="{63B3BB69-23CF-44E3-9099-C40C66FF867C}">
                  <a14:compatExt spid="_x0000_s13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137</xdr:row>
          <xdr:rowOff>9525</xdr:rowOff>
        </xdr:from>
        <xdr:to>
          <xdr:col>9</xdr:col>
          <xdr:colOff>838200</xdr:colOff>
          <xdr:row>138</xdr:row>
          <xdr:rowOff>0</xdr:rowOff>
        </xdr:to>
        <xdr:sp macro="" textlink="">
          <xdr:nvSpPr>
            <xdr:cNvPr id="13501" name="Drop Down 189" hidden="1">
              <a:extLst>
                <a:ext uri="{63B3BB69-23CF-44E3-9099-C40C66FF867C}">
                  <a14:compatExt spid="_x0000_s13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137</xdr:row>
          <xdr:rowOff>9525</xdr:rowOff>
        </xdr:from>
        <xdr:to>
          <xdr:col>9</xdr:col>
          <xdr:colOff>0</xdr:colOff>
          <xdr:row>138</xdr:row>
          <xdr:rowOff>0</xdr:rowOff>
        </xdr:to>
        <xdr:sp macro="" textlink="">
          <xdr:nvSpPr>
            <xdr:cNvPr id="13502" name="Drop Down 190" hidden="1">
              <a:extLst>
                <a:ext uri="{63B3BB69-23CF-44E3-9099-C40C66FF867C}">
                  <a14:compatExt spid="_x0000_s13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138</xdr:row>
          <xdr:rowOff>9525</xdr:rowOff>
        </xdr:from>
        <xdr:to>
          <xdr:col>9</xdr:col>
          <xdr:colOff>838200</xdr:colOff>
          <xdr:row>139</xdr:row>
          <xdr:rowOff>0</xdr:rowOff>
        </xdr:to>
        <xdr:sp macro="" textlink="">
          <xdr:nvSpPr>
            <xdr:cNvPr id="13503" name="Drop Down 191" hidden="1">
              <a:extLst>
                <a:ext uri="{63B3BB69-23CF-44E3-9099-C40C66FF867C}">
                  <a14:compatExt spid="_x0000_s13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138</xdr:row>
          <xdr:rowOff>9525</xdr:rowOff>
        </xdr:from>
        <xdr:to>
          <xdr:col>9</xdr:col>
          <xdr:colOff>0</xdr:colOff>
          <xdr:row>139</xdr:row>
          <xdr:rowOff>0</xdr:rowOff>
        </xdr:to>
        <xdr:sp macro="" textlink="">
          <xdr:nvSpPr>
            <xdr:cNvPr id="13504" name="Drop Down 192" hidden="1">
              <a:extLst>
                <a:ext uri="{63B3BB69-23CF-44E3-9099-C40C66FF867C}">
                  <a14:compatExt spid="_x0000_s13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139</xdr:row>
          <xdr:rowOff>9525</xdr:rowOff>
        </xdr:from>
        <xdr:to>
          <xdr:col>9</xdr:col>
          <xdr:colOff>838200</xdr:colOff>
          <xdr:row>140</xdr:row>
          <xdr:rowOff>0</xdr:rowOff>
        </xdr:to>
        <xdr:sp macro="" textlink="">
          <xdr:nvSpPr>
            <xdr:cNvPr id="13505" name="Drop Down 193" hidden="1">
              <a:extLst>
                <a:ext uri="{63B3BB69-23CF-44E3-9099-C40C66FF867C}">
                  <a14:compatExt spid="_x0000_s13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139</xdr:row>
          <xdr:rowOff>9525</xdr:rowOff>
        </xdr:from>
        <xdr:to>
          <xdr:col>9</xdr:col>
          <xdr:colOff>0</xdr:colOff>
          <xdr:row>140</xdr:row>
          <xdr:rowOff>0</xdr:rowOff>
        </xdr:to>
        <xdr:sp macro="" textlink="">
          <xdr:nvSpPr>
            <xdr:cNvPr id="13506" name="Drop Down 194" hidden="1">
              <a:extLst>
                <a:ext uri="{63B3BB69-23CF-44E3-9099-C40C66FF867C}">
                  <a14:compatExt spid="_x0000_s13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134</xdr:row>
          <xdr:rowOff>9525</xdr:rowOff>
        </xdr:from>
        <xdr:to>
          <xdr:col>1</xdr:col>
          <xdr:colOff>180975</xdr:colOff>
          <xdr:row>135</xdr:row>
          <xdr:rowOff>0</xdr:rowOff>
        </xdr:to>
        <xdr:sp macro="" textlink="">
          <xdr:nvSpPr>
            <xdr:cNvPr id="13507" name="Drop Down 195" hidden="1">
              <a:extLst>
                <a:ext uri="{63B3BB69-23CF-44E3-9099-C40C66FF867C}">
                  <a14:compatExt spid="_x0000_s13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135</xdr:row>
          <xdr:rowOff>9525</xdr:rowOff>
        </xdr:from>
        <xdr:to>
          <xdr:col>1</xdr:col>
          <xdr:colOff>180975</xdr:colOff>
          <xdr:row>136</xdr:row>
          <xdr:rowOff>0</xdr:rowOff>
        </xdr:to>
        <xdr:sp macro="" textlink="">
          <xdr:nvSpPr>
            <xdr:cNvPr id="13508" name="Drop Down 196" hidden="1">
              <a:extLst>
                <a:ext uri="{63B3BB69-23CF-44E3-9099-C40C66FF867C}">
                  <a14:compatExt spid="_x0000_s13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136</xdr:row>
          <xdr:rowOff>9525</xdr:rowOff>
        </xdr:from>
        <xdr:to>
          <xdr:col>1</xdr:col>
          <xdr:colOff>180975</xdr:colOff>
          <xdr:row>137</xdr:row>
          <xdr:rowOff>0</xdr:rowOff>
        </xdr:to>
        <xdr:sp macro="" textlink="">
          <xdr:nvSpPr>
            <xdr:cNvPr id="13509" name="Drop Down 197" hidden="1">
              <a:extLst>
                <a:ext uri="{63B3BB69-23CF-44E3-9099-C40C66FF867C}">
                  <a14:compatExt spid="_x0000_s135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137</xdr:row>
          <xdr:rowOff>9525</xdr:rowOff>
        </xdr:from>
        <xdr:to>
          <xdr:col>1</xdr:col>
          <xdr:colOff>180975</xdr:colOff>
          <xdr:row>138</xdr:row>
          <xdr:rowOff>0</xdr:rowOff>
        </xdr:to>
        <xdr:sp macro="" textlink="">
          <xdr:nvSpPr>
            <xdr:cNvPr id="13510" name="Drop Down 198" hidden="1">
              <a:extLst>
                <a:ext uri="{63B3BB69-23CF-44E3-9099-C40C66FF867C}">
                  <a14:compatExt spid="_x0000_s13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138</xdr:row>
          <xdr:rowOff>9525</xdr:rowOff>
        </xdr:from>
        <xdr:to>
          <xdr:col>1</xdr:col>
          <xdr:colOff>180975</xdr:colOff>
          <xdr:row>139</xdr:row>
          <xdr:rowOff>0</xdr:rowOff>
        </xdr:to>
        <xdr:sp macro="" textlink="">
          <xdr:nvSpPr>
            <xdr:cNvPr id="13511" name="Drop Down 199" hidden="1">
              <a:extLst>
                <a:ext uri="{63B3BB69-23CF-44E3-9099-C40C66FF867C}">
                  <a14:compatExt spid="_x0000_s135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139</xdr:row>
          <xdr:rowOff>9525</xdr:rowOff>
        </xdr:from>
        <xdr:to>
          <xdr:col>1</xdr:col>
          <xdr:colOff>180975</xdr:colOff>
          <xdr:row>140</xdr:row>
          <xdr:rowOff>0</xdr:rowOff>
        </xdr:to>
        <xdr:sp macro="" textlink="">
          <xdr:nvSpPr>
            <xdr:cNvPr id="13512" name="Drop Down 200" hidden="1">
              <a:extLst>
                <a:ext uri="{63B3BB69-23CF-44E3-9099-C40C66FF867C}">
                  <a14:compatExt spid="_x0000_s135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134</xdr:row>
          <xdr:rowOff>19050</xdr:rowOff>
        </xdr:from>
        <xdr:to>
          <xdr:col>3</xdr:col>
          <xdr:colOff>695325</xdr:colOff>
          <xdr:row>135</xdr:row>
          <xdr:rowOff>9525</xdr:rowOff>
        </xdr:to>
        <xdr:sp macro="" textlink="">
          <xdr:nvSpPr>
            <xdr:cNvPr id="13513" name="Drop Down 201" hidden="1">
              <a:extLst>
                <a:ext uri="{63B3BB69-23CF-44E3-9099-C40C66FF867C}">
                  <a14:compatExt spid="_x0000_s13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135</xdr:row>
          <xdr:rowOff>19050</xdr:rowOff>
        </xdr:from>
        <xdr:to>
          <xdr:col>3</xdr:col>
          <xdr:colOff>685800</xdr:colOff>
          <xdr:row>136</xdr:row>
          <xdr:rowOff>9525</xdr:rowOff>
        </xdr:to>
        <xdr:sp macro="" textlink="">
          <xdr:nvSpPr>
            <xdr:cNvPr id="13526" name="Drop Down 214" hidden="1">
              <a:extLst>
                <a:ext uri="{63B3BB69-23CF-44E3-9099-C40C66FF867C}">
                  <a14:compatExt spid="_x0000_s13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136</xdr:row>
          <xdr:rowOff>19050</xdr:rowOff>
        </xdr:from>
        <xdr:to>
          <xdr:col>3</xdr:col>
          <xdr:colOff>685800</xdr:colOff>
          <xdr:row>137</xdr:row>
          <xdr:rowOff>9525</xdr:rowOff>
        </xdr:to>
        <xdr:sp macro="" textlink="">
          <xdr:nvSpPr>
            <xdr:cNvPr id="13527" name="Drop Down 215" hidden="1">
              <a:extLst>
                <a:ext uri="{63B3BB69-23CF-44E3-9099-C40C66FF867C}">
                  <a14:compatExt spid="_x0000_s13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137</xdr:row>
          <xdr:rowOff>19050</xdr:rowOff>
        </xdr:from>
        <xdr:to>
          <xdr:col>3</xdr:col>
          <xdr:colOff>685800</xdr:colOff>
          <xdr:row>138</xdr:row>
          <xdr:rowOff>9525</xdr:rowOff>
        </xdr:to>
        <xdr:sp macro="" textlink="">
          <xdr:nvSpPr>
            <xdr:cNvPr id="13528" name="Drop Down 216" hidden="1">
              <a:extLst>
                <a:ext uri="{63B3BB69-23CF-44E3-9099-C40C66FF867C}">
                  <a14:compatExt spid="_x0000_s135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138</xdr:row>
          <xdr:rowOff>19050</xdr:rowOff>
        </xdr:from>
        <xdr:to>
          <xdr:col>3</xdr:col>
          <xdr:colOff>685800</xdr:colOff>
          <xdr:row>139</xdr:row>
          <xdr:rowOff>9525</xdr:rowOff>
        </xdr:to>
        <xdr:sp macro="" textlink="">
          <xdr:nvSpPr>
            <xdr:cNvPr id="13529" name="Drop Down 217" hidden="1">
              <a:extLst>
                <a:ext uri="{63B3BB69-23CF-44E3-9099-C40C66FF867C}">
                  <a14:compatExt spid="_x0000_s13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139</xdr:row>
          <xdr:rowOff>19050</xdr:rowOff>
        </xdr:from>
        <xdr:to>
          <xdr:col>3</xdr:col>
          <xdr:colOff>685800</xdr:colOff>
          <xdr:row>140</xdr:row>
          <xdr:rowOff>9525</xdr:rowOff>
        </xdr:to>
        <xdr:sp macro="" textlink="">
          <xdr:nvSpPr>
            <xdr:cNvPr id="13530" name="Drop Down 218" hidden="1">
              <a:extLst>
                <a:ext uri="{63B3BB69-23CF-44E3-9099-C40C66FF867C}">
                  <a14:compatExt spid="_x0000_s13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800101</xdr:colOff>
      <xdr:row>515</xdr:row>
      <xdr:rowOff>190499</xdr:rowOff>
    </xdr:from>
    <xdr:to>
      <xdr:col>31</xdr:col>
      <xdr:colOff>214312</xdr:colOff>
      <xdr:row>519</xdr:row>
      <xdr:rowOff>47620</xdr:rowOff>
    </xdr:to>
    <xdr:sp macro="" textlink="">
      <xdr:nvSpPr>
        <xdr:cNvPr id="6" name="TextBox 5"/>
        <xdr:cNvSpPr txBox="1"/>
      </xdr:nvSpPr>
      <xdr:spPr>
        <a:xfrm>
          <a:off x="26850976" y="123443999"/>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30</xdr:col>
      <xdr:colOff>23813</xdr:colOff>
      <xdr:row>616</xdr:row>
      <xdr:rowOff>23812</xdr:rowOff>
    </xdr:from>
    <xdr:to>
      <xdr:col>31</xdr:col>
      <xdr:colOff>71437</xdr:colOff>
      <xdr:row>619</xdr:row>
      <xdr:rowOff>95245</xdr:rowOff>
    </xdr:to>
    <xdr:sp macro="" textlink="">
      <xdr:nvSpPr>
        <xdr:cNvPr id="128" name="TextBox 127"/>
        <xdr:cNvSpPr txBox="1"/>
      </xdr:nvSpPr>
      <xdr:spPr>
        <a:xfrm>
          <a:off x="26931938" y="147327937"/>
          <a:ext cx="904874" cy="785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29</xdr:col>
      <xdr:colOff>735806</xdr:colOff>
      <xdr:row>626</xdr:row>
      <xdr:rowOff>176207</xdr:rowOff>
    </xdr:from>
    <xdr:to>
      <xdr:col>31</xdr:col>
      <xdr:colOff>259556</xdr:colOff>
      <xdr:row>631</xdr:row>
      <xdr:rowOff>33332</xdr:rowOff>
    </xdr:to>
    <xdr:sp macro="" textlink="">
      <xdr:nvSpPr>
        <xdr:cNvPr id="129" name="TextBox 128"/>
        <xdr:cNvSpPr txBox="1"/>
      </xdr:nvSpPr>
      <xdr:spPr>
        <a:xfrm>
          <a:off x="26786681" y="149861582"/>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p>
      </xdr:txBody>
    </xdr:sp>
    <xdr:clientData/>
  </xdr:twoCellAnchor>
  <xdr:twoCellAnchor>
    <xdr:from>
      <xdr:col>29</xdr:col>
      <xdr:colOff>781051</xdr:colOff>
      <xdr:row>637</xdr:row>
      <xdr:rowOff>150016</xdr:rowOff>
    </xdr:from>
    <xdr:to>
      <xdr:col>31</xdr:col>
      <xdr:colOff>304801</xdr:colOff>
      <xdr:row>642</xdr:row>
      <xdr:rowOff>19047</xdr:rowOff>
    </xdr:to>
    <xdr:sp macro="" textlink="">
      <xdr:nvSpPr>
        <xdr:cNvPr id="130" name="TextBox 129"/>
        <xdr:cNvSpPr txBox="1"/>
      </xdr:nvSpPr>
      <xdr:spPr>
        <a:xfrm>
          <a:off x="26831926" y="15245476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p>
      </xdr:txBody>
    </xdr:sp>
    <xdr:clientData/>
  </xdr:twoCellAnchor>
  <xdr:twoCellAnchor>
    <xdr:from>
      <xdr:col>29</xdr:col>
      <xdr:colOff>766760</xdr:colOff>
      <xdr:row>648</xdr:row>
      <xdr:rowOff>183357</xdr:rowOff>
    </xdr:from>
    <xdr:to>
      <xdr:col>31</xdr:col>
      <xdr:colOff>290510</xdr:colOff>
      <xdr:row>653</xdr:row>
      <xdr:rowOff>52388</xdr:rowOff>
    </xdr:to>
    <xdr:sp macro="" textlink="">
      <xdr:nvSpPr>
        <xdr:cNvPr id="131" name="TextBox 130"/>
        <xdr:cNvSpPr txBox="1"/>
      </xdr:nvSpPr>
      <xdr:spPr>
        <a:xfrm>
          <a:off x="26817635" y="15510748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p>
      </xdr:txBody>
    </xdr:sp>
    <xdr:clientData/>
  </xdr:twoCellAnchor>
  <xdr:twoCellAnchor>
    <xdr:from>
      <xdr:col>29</xdr:col>
      <xdr:colOff>728662</xdr:colOff>
      <xdr:row>659</xdr:row>
      <xdr:rowOff>157164</xdr:rowOff>
    </xdr:from>
    <xdr:to>
      <xdr:col>31</xdr:col>
      <xdr:colOff>285749</xdr:colOff>
      <xdr:row>664</xdr:row>
      <xdr:rowOff>26195</xdr:rowOff>
    </xdr:to>
    <xdr:sp macro="" textlink="">
      <xdr:nvSpPr>
        <xdr:cNvPr id="132" name="TextBox 131"/>
        <xdr:cNvSpPr txBox="1"/>
      </xdr:nvSpPr>
      <xdr:spPr>
        <a:xfrm>
          <a:off x="26779537" y="157700664"/>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p>
      </xdr:txBody>
    </xdr:sp>
    <xdr:clientData/>
  </xdr:twoCellAnchor>
  <xdr:twoCellAnchor>
    <xdr:from>
      <xdr:col>29</xdr:col>
      <xdr:colOff>761999</xdr:colOff>
      <xdr:row>670</xdr:row>
      <xdr:rowOff>202379</xdr:rowOff>
    </xdr:from>
    <xdr:to>
      <xdr:col>31</xdr:col>
      <xdr:colOff>285749</xdr:colOff>
      <xdr:row>675</xdr:row>
      <xdr:rowOff>71410</xdr:rowOff>
    </xdr:to>
    <xdr:sp macro="" textlink="">
      <xdr:nvSpPr>
        <xdr:cNvPr id="133" name="TextBox 132"/>
        <xdr:cNvSpPr txBox="1"/>
      </xdr:nvSpPr>
      <xdr:spPr>
        <a:xfrm>
          <a:off x="26812874" y="16036525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p>
      </xdr:txBody>
    </xdr:sp>
    <xdr:clientData/>
  </xdr:twoCellAnchor>
  <xdr:twoCellAnchor>
    <xdr:from>
      <xdr:col>29</xdr:col>
      <xdr:colOff>666751</xdr:colOff>
      <xdr:row>721</xdr:row>
      <xdr:rowOff>226214</xdr:rowOff>
    </xdr:from>
    <xdr:to>
      <xdr:col>31</xdr:col>
      <xdr:colOff>190501</xdr:colOff>
      <xdr:row>726</xdr:row>
      <xdr:rowOff>95245</xdr:rowOff>
    </xdr:to>
    <xdr:sp macro="" textlink="">
      <xdr:nvSpPr>
        <xdr:cNvPr id="134" name="TextBox 133"/>
        <xdr:cNvSpPr txBox="1"/>
      </xdr:nvSpPr>
      <xdr:spPr>
        <a:xfrm>
          <a:off x="26717626" y="17253346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592931</xdr:colOff>
      <xdr:row>732</xdr:row>
      <xdr:rowOff>33332</xdr:rowOff>
    </xdr:from>
    <xdr:to>
      <xdr:col>31</xdr:col>
      <xdr:colOff>116681</xdr:colOff>
      <xdr:row>736</xdr:row>
      <xdr:rowOff>128582</xdr:rowOff>
    </xdr:to>
    <xdr:sp macro="" textlink="">
      <xdr:nvSpPr>
        <xdr:cNvPr id="135" name="TextBox 134"/>
        <xdr:cNvSpPr txBox="1"/>
      </xdr:nvSpPr>
      <xdr:spPr>
        <a:xfrm>
          <a:off x="26643806" y="174959957"/>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743</xdr:row>
      <xdr:rowOff>150016</xdr:rowOff>
    </xdr:from>
    <xdr:to>
      <xdr:col>31</xdr:col>
      <xdr:colOff>138115</xdr:colOff>
      <xdr:row>748</xdr:row>
      <xdr:rowOff>19047</xdr:rowOff>
    </xdr:to>
    <xdr:sp macro="" textlink="">
      <xdr:nvSpPr>
        <xdr:cNvPr id="136" name="TextBox 135"/>
        <xdr:cNvSpPr txBox="1"/>
      </xdr:nvSpPr>
      <xdr:spPr>
        <a:xfrm>
          <a:off x="26665240" y="17769601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754</xdr:row>
      <xdr:rowOff>183357</xdr:rowOff>
    </xdr:from>
    <xdr:to>
      <xdr:col>31</xdr:col>
      <xdr:colOff>123823</xdr:colOff>
      <xdr:row>759</xdr:row>
      <xdr:rowOff>52388</xdr:rowOff>
    </xdr:to>
    <xdr:sp macro="" textlink="">
      <xdr:nvSpPr>
        <xdr:cNvPr id="137" name="TextBox 136"/>
        <xdr:cNvSpPr txBox="1"/>
      </xdr:nvSpPr>
      <xdr:spPr>
        <a:xfrm>
          <a:off x="26650948" y="18034873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585787</xdr:colOff>
      <xdr:row>765</xdr:row>
      <xdr:rowOff>180977</xdr:rowOff>
    </xdr:from>
    <xdr:to>
      <xdr:col>31</xdr:col>
      <xdr:colOff>142874</xdr:colOff>
      <xdr:row>770</xdr:row>
      <xdr:rowOff>50008</xdr:rowOff>
    </xdr:to>
    <xdr:sp macro="" textlink="">
      <xdr:nvSpPr>
        <xdr:cNvPr id="138" name="TextBox 137"/>
        <xdr:cNvSpPr txBox="1"/>
      </xdr:nvSpPr>
      <xdr:spPr>
        <a:xfrm>
          <a:off x="26636662" y="182965727"/>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776</xdr:row>
      <xdr:rowOff>130942</xdr:rowOff>
    </xdr:from>
    <xdr:to>
      <xdr:col>31</xdr:col>
      <xdr:colOff>119062</xdr:colOff>
      <xdr:row>780</xdr:row>
      <xdr:rowOff>238098</xdr:rowOff>
    </xdr:to>
    <xdr:sp macro="" textlink="">
      <xdr:nvSpPr>
        <xdr:cNvPr id="139" name="TextBox 138"/>
        <xdr:cNvSpPr txBox="1"/>
      </xdr:nvSpPr>
      <xdr:spPr>
        <a:xfrm>
          <a:off x="26646187" y="185535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595313</xdr:colOff>
      <xdr:row>788</xdr:row>
      <xdr:rowOff>130965</xdr:rowOff>
    </xdr:from>
    <xdr:to>
      <xdr:col>31</xdr:col>
      <xdr:colOff>119063</xdr:colOff>
      <xdr:row>792</xdr:row>
      <xdr:rowOff>238121</xdr:rowOff>
    </xdr:to>
    <xdr:sp macro="" textlink="">
      <xdr:nvSpPr>
        <xdr:cNvPr id="140" name="TextBox 139"/>
        <xdr:cNvSpPr txBox="1"/>
      </xdr:nvSpPr>
      <xdr:spPr>
        <a:xfrm>
          <a:off x="26646188" y="188392590"/>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616744</xdr:colOff>
      <xdr:row>799</xdr:row>
      <xdr:rowOff>128583</xdr:rowOff>
    </xdr:from>
    <xdr:to>
      <xdr:col>31</xdr:col>
      <xdr:colOff>140494</xdr:colOff>
      <xdr:row>803</xdr:row>
      <xdr:rowOff>223833</xdr:rowOff>
    </xdr:to>
    <xdr:sp macro="" textlink="">
      <xdr:nvSpPr>
        <xdr:cNvPr id="141" name="TextBox 140"/>
        <xdr:cNvSpPr txBox="1"/>
      </xdr:nvSpPr>
      <xdr:spPr>
        <a:xfrm>
          <a:off x="26667619" y="191009583"/>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810</xdr:row>
      <xdr:rowOff>126204</xdr:rowOff>
    </xdr:from>
    <xdr:to>
      <xdr:col>31</xdr:col>
      <xdr:colOff>138115</xdr:colOff>
      <xdr:row>814</xdr:row>
      <xdr:rowOff>233360</xdr:rowOff>
    </xdr:to>
    <xdr:sp macro="" textlink="">
      <xdr:nvSpPr>
        <xdr:cNvPr id="142" name="TextBox 141"/>
        <xdr:cNvSpPr txBox="1"/>
      </xdr:nvSpPr>
      <xdr:spPr>
        <a:xfrm>
          <a:off x="26665240" y="193626579"/>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821</xdr:row>
      <xdr:rowOff>159545</xdr:rowOff>
    </xdr:from>
    <xdr:to>
      <xdr:col>31</xdr:col>
      <xdr:colOff>123823</xdr:colOff>
      <xdr:row>826</xdr:row>
      <xdr:rowOff>28576</xdr:rowOff>
    </xdr:to>
    <xdr:sp macro="" textlink="">
      <xdr:nvSpPr>
        <xdr:cNvPr id="143" name="TextBox 142"/>
        <xdr:cNvSpPr txBox="1"/>
      </xdr:nvSpPr>
      <xdr:spPr>
        <a:xfrm>
          <a:off x="26650948" y="196279295"/>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633414</xdr:colOff>
      <xdr:row>832</xdr:row>
      <xdr:rowOff>180976</xdr:rowOff>
    </xdr:from>
    <xdr:to>
      <xdr:col>31</xdr:col>
      <xdr:colOff>130969</xdr:colOff>
      <xdr:row>837</xdr:row>
      <xdr:rowOff>50007</xdr:rowOff>
    </xdr:to>
    <xdr:sp macro="" textlink="">
      <xdr:nvSpPr>
        <xdr:cNvPr id="144" name="TextBox 143"/>
        <xdr:cNvSpPr txBox="1"/>
      </xdr:nvSpPr>
      <xdr:spPr>
        <a:xfrm>
          <a:off x="26684289" y="198920101"/>
          <a:ext cx="1212055"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843</xdr:row>
      <xdr:rowOff>178567</xdr:rowOff>
    </xdr:from>
    <xdr:to>
      <xdr:col>31</xdr:col>
      <xdr:colOff>119062</xdr:colOff>
      <xdr:row>848</xdr:row>
      <xdr:rowOff>47598</xdr:rowOff>
    </xdr:to>
    <xdr:sp macro="" textlink="">
      <xdr:nvSpPr>
        <xdr:cNvPr id="145" name="TextBox 144"/>
        <xdr:cNvSpPr txBox="1"/>
      </xdr:nvSpPr>
      <xdr:spPr>
        <a:xfrm>
          <a:off x="26646187" y="201537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158</xdr:row>
      <xdr:rowOff>75008</xdr:rowOff>
    </xdr:from>
    <xdr:to>
      <xdr:col>10</xdr:col>
      <xdr:colOff>438150</xdr:colOff>
      <xdr:row>174</xdr:row>
      <xdr:rowOff>125808</xdr:rowOff>
    </xdr:to>
    <xdr:graphicFrame macro="">
      <xdr:nvGraphicFramePr>
        <xdr:cNvPr id="146" name="Chart 1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90942</xdr:colOff>
      <xdr:row>473</xdr:row>
      <xdr:rowOff>166687</xdr:rowOff>
    </xdr:from>
    <xdr:to>
      <xdr:col>31</xdr:col>
      <xdr:colOff>119063</xdr:colOff>
      <xdr:row>476</xdr:row>
      <xdr:rowOff>134937</xdr:rowOff>
    </xdr:to>
    <xdr:sp macro="" textlink="">
      <xdr:nvSpPr>
        <xdr:cNvPr id="147" name="TextBox 146"/>
        <xdr:cNvSpPr txBox="1"/>
      </xdr:nvSpPr>
      <xdr:spPr>
        <a:xfrm>
          <a:off x="26141817" y="113418937"/>
          <a:ext cx="1742621" cy="68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a:t>
          </a:r>
          <a:r>
            <a:rPr lang="en-US" sz="4800">
              <a:solidFill>
                <a:schemeClr val="bg1">
                  <a:lumMod val="65000"/>
                </a:schemeClr>
              </a:solidFill>
              <a:latin typeface="Arial Black" panose="020B0A04020102020204" pitchFamily="34" charset="0"/>
            </a:rPr>
            <a:t>1</a:t>
          </a:r>
        </a:p>
      </xdr:txBody>
    </xdr:sp>
    <xdr:clientData/>
  </xdr:twoCellAnchor>
  <xdr:twoCellAnchor>
    <xdr:from>
      <xdr:col>28</xdr:col>
      <xdr:colOff>847726</xdr:colOff>
      <xdr:row>356</xdr:row>
      <xdr:rowOff>142875</xdr:rowOff>
    </xdr:from>
    <xdr:to>
      <xdr:col>31</xdr:col>
      <xdr:colOff>166688</xdr:colOff>
      <xdr:row>359</xdr:row>
      <xdr:rowOff>64294</xdr:rowOff>
    </xdr:to>
    <xdr:sp macro="" textlink="">
      <xdr:nvSpPr>
        <xdr:cNvPr id="149" name="TextBox 148"/>
        <xdr:cNvSpPr txBox="1"/>
      </xdr:nvSpPr>
      <xdr:spPr>
        <a:xfrm>
          <a:off x="26041351" y="85534500"/>
          <a:ext cx="1890712" cy="635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U7.3</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11512550</xdr:colOff>
      <xdr:row>293</xdr:row>
      <xdr:rowOff>123825</xdr:rowOff>
    </xdr:from>
    <xdr:to>
      <xdr:col>12</xdr:col>
      <xdr:colOff>13369925</xdr:colOff>
      <xdr:row>297</xdr:row>
      <xdr:rowOff>224631</xdr:rowOff>
    </xdr:to>
    <xdr:sp macro="" textlink="">
      <xdr:nvSpPr>
        <xdr:cNvPr id="150" name="TextBox 149"/>
        <xdr:cNvSpPr txBox="1"/>
      </xdr:nvSpPr>
      <xdr:spPr>
        <a:xfrm>
          <a:off x="22999700" y="73237725"/>
          <a:ext cx="1857375" cy="109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17462</xdr:colOff>
      <xdr:row>238</xdr:row>
      <xdr:rowOff>119062</xdr:rowOff>
    </xdr:from>
    <xdr:to>
      <xdr:col>31</xdr:col>
      <xdr:colOff>71437</xdr:colOff>
      <xdr:row>241</xdr:row>
      <xdr:rowOff>105568</xdr:rowOff>
    </xdr:to>
    <xdr:sp macro="" textlink="">
      <xdr:nvSpPr>
        <xdr:cNvPr id="151" name="TextBox 150"/>
        <xdr:cNvSpPr txBox="1"/>
      </xdr:nvSpPr>
      <xdr:spPr>
        <a:xfrm>
          <a:off x="20924837" y="57411937"/>
          <a:ext cx="1768475"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U7.1</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2667000</xdr:colOff>
      <xdr:row>216</xdr:row>
      <xdr:rowOff>155575</xdr:rowOff>
    </xdr:from>
    <xdr:to>
      <xdr:col>12</xdr:col>
      <xdr:colOff>13363575</xdr:colOff>
      <xdr:row>221</xdr:row>
      <xdr:rowOff>8731</xdr:rowOff>
    </xdr:to>
    <xdr:sp macro="" textlink="">
      <xdr:nvSpPr>
        <xdr:cNvPr id="152" name="TextBox 151"/>
        <xdr:cNvSpPr txBox="1"/>
      </xdr:nvSpPr>
      <xdr:spPr>
        <a:xfrm>
          <a:off x="14144625" y="52209700"/>
          <a:ext cx="10696575" cy="1043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70</xdr:col>
      <xdr:colOff>127000</xdr:colOff>
      <xdr:row>244</xdr:row>
      <xdr:rowOff>222250</xdr:rowOff>
    </xdr:from>
    <xdr:to>
      <xdr:col>72</xdr:col>
      <xdr:colOff>592666</xdr:colOff>
      <xdr:row>254</xdr:row>
      <xdr:rowOff>42333</xdr:rowOff>
    </xdr:to>
    <xdr:cxnSp macro="">
      <xdr:nvCxnSpPr>
        <xdr:cNvPr id="9" name="Straight Arrow Connector 8"/>
        <xdr:cNvCxnSpPr/>
      </xdr:nvCxnSpPr>
      <xdr:spPr>
        <a:xfrm>
          <a:off x="41941750" y="60198000"/>
          <a:ext cx="1693333" cy="2254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837861</xdr:colOff>
      <xdr:row>579</xdr:row>
      <xdr:rowOff>70752</xdr:rowOff>
    </xdr:from>
    <xdr:to>
      <xdr:col>31</xdr:col>
      <xdr:colOff>23812</xdr:colOff>
      <xdr:row>582</xdr:row>
      <xdr:rowOff>142874</xdr:rowOff>
    </xdr:to>
    <xdr:sp macro="" textlink="">
      <xdr:nvSpPr>
        <xdr:cNvPr id="153" name="TextBox 152"/>
        <xdr:cNvSpPr txBox="1"/>
      </xdr:nvSpPr>
      <xdr:spPr>
        <a:xfrm>
          <a:off x="26031486" y="138564252"/>
          <a:ext cx="1757701" cy="786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U8.2</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764041</xdr:colOff>
      <xdr:row>678</xdr:row>
      <xdr:rowOff>119061</xdr:rowOff>
    </xdr:from>
    <xdr:to>
      <xdr:col>31</xdr:col>
      <xdr:colOff>119062</xdr:colOff>
      <xdr:row>681</xdr:row>
      <xdr:rowOff>92183</xdr:rowOff>
    </xdr:to>
    <xdr:sp macro="" textlink="">
      <xdr:nvSpPr>
        <xdr:cNvPr id="154" name="TextBox 153"/>
        <xdr:cNvSpPr txBox="1"/>
      </xdr:nvSpPr>
      <xdr:spPr>
        <a:xfrm>
          <a:off x="25957666" y="162186936"/>
          <a:ext cx="1926771" cy="68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U8.3</a:t>
          </a:r>
          <a:endParaRPr lang="en-US" sz="4800">
            <a:solidFill>
              <a:schemeClr val="bg1">
                <a:lumMod val="65000"/>
              </a:schemeClr>
            </a:solidFill>
            <a:latin typeface="Arial Black" panose="020B0A04020102020204" pitchFamily="34" charset="0"/>
          </a:endParaRPr>
        </a:p>
      </xdr:txBody>
    </xdr:sp>
    <xdr:clientData/>
  </xdr:twoCellAnchor>
  <xdr:twoCellAnchor>
    <xdr:from>
      <xdr:col>18</xdr:col>
      <xdr:colOff>295275</xdr:colOff>
      <xdr:row>976</xdr:row>
      <xdr:rowOff>190500</xdr:rowOff>
    </xdr:from>
    <xdr:to>
      <xdr:col>30</xdr:col>
      <xdr:colOff>720725</xdr:colOff>
      <xdr:row>980</xdr:row>
      <xdr:rowOff>211931</xdr:rowOff>
    </xdr:to>
    <xdr:sp macro="" textlink="">
      <xdr:nvSpPr>
        <xdr:cNvPr id="155" name="TextBox 154"/>
        <xdr:cNvSpPr txBox="1"/>
      </xdr:nvSpPr>
      <xdr:spPr>
        <a:xfrm>
          <a:off x="16932275" y="248570750"/>
          <a:ext cx="10712450" cy="1037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POLICY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801688</xdr:colOff>
      <xdr:row>294</xdr:row>
      <xdr:rowOff>127000</xdr:rowOff>
    </xdr:from>
    <xdr:to>
      <xdr:col>31</xdr:col>
      <xdr:colOff>71438</xdr:colOff>
      <xdr:row>297</xdr:row>
      <xdr:rowOff>113506</xdr:rowOff>
    </xdr:to>
    <xdr:sp macro="" textlink="">
      <xdr:nvSpPr>
        <xdr:cNvPr id="165" name="TextBox 164"/>
        <xdr:cNvSpPr txBox="1"/>
      </xdr:nvSpPr>
      <xdr:spPr>
        <a:xfrm>
          <a:off x="25995313" y="70754875"/>
          <a:ext cx="1841500"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14</xdr:col>
      <xdr:colOff>619126</xdr:colOff>
      <xdr:row>217</xdr:row>
      <xdr:rowOff>71437</xdr:rowOff>
    </xdr:from>
    <xdr:to>
      <xdr:col>30</xdr:col>
      <xdr:colOff>738188</xdr:colOff>
      <xdr:row>220</xdr:row>
      <xdr:rowOff>57943</xdr:rowOff>
    </xdr:to>
    <xdr:sp macro="" textlink="">
      <xdr:nvSpPr>
        <xdr:cNvPr id="166" name="TextBox 165"/>
        <xdr:cNvSpPr txBox="1"/>
      </xdr:nvSpPr>
      <xdr:spPr>
        <a:xfrm>
          <a:off x="13604876" y="55697437"/>
          <a:ext cx="8532812" cy="748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a:t>
          </a:r>
          <a:r>
            <a:rPr lang="et-EE" sz="4800" baseline="0">
              <a:solidFill>
                <a:schemeClr val="bg1">
                  <a:lumMod val="65000"/>
                </a:schemeClr>
              </a:solidFill>
              <a:latin typeface="Arial Black" panose="020B0A04020102020204" pitchFamily="34" charset="0"/>
            </a:rPr>
            <a:t>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809626</xdr:colOff>
      <xdr:row>527</xdr:row>
      <xdr:rowOff>128575</xdr:rowOff>
    </xdr:from>
    <xdr:to>
      <xdr:col>31</xdr:col>
      <xdr:colOff>223837</xdr:colOff>
      <xdr:row>530</xdr:row>
      <xdr:rowOff>223821</xdr:rowOff>
    </xdr:to>
    <xdr:sp macro="" textlink="">
      <xdr:nvSpPr>
        <xdr:cNvPr id="167" name="TextBox 166"/>
        <xdr:cNvSpPr txBox="1"/>
      </xdr:nvSpPr>
      <xdr:spPr>
        <a:xfrm>
          <a:off x="26860501" y="12623957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842963</xdr:colOff>
      <xdr:row>538</xdr:row>
      <xdr:rowOff>42850</xdr:rowOff>
    </xdr:from>
    <xdr:to>
      <xdr:col>31</xdr:col>
      <xdr:colOff>257174</xdr:colOff>
      <xdr:row>541</xdr:row>
      <xdr:rowOff>138096</xdr:rowOff>
    </xdr:to>
    <xdr:sp macro="" textlink="">
      <xdr:nvSpPr>
        <xdr:cNvPr id="168" name="TextBox 167"/>
        <xdr:cNvSpPr txBox="1"/>
      </xdr:nvSpPr>
      <xdr:spPr>
        <a:xfrm>
          <a:off x="26893838" y="12877322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3</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771526</xdr:colOff>
      <xdr:row>549</xdr:row>
      <xdr:rowOff>52375</xdr:rowOff>
    </xdr:from>
    <xdr:to>
      <xdr:col>31</xdr:col>
      <xdr:colOff>195262</xdr:colOff>
      <xdr:row>552</xdr:row>
      <xdr:rowOff>147621</xdr:rowOff>
    </xdr:to>
    <xdr:sp macro="" textlink="">
      <xdr:nvSpPr>
        <xdr:cNvPr id="169" name="TextBox 168"/>
        <xdr:cNvSpPr txBox="1"/>
      </xdr:nvSpPr>
      <xdr:spPr>
        <a:xfrm>
          <a:off x="26822401" y="13140212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4</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757239</xdr:colOff>
      <xdr:row>560</xdr:row>
      <xdr:rowOff>61896</xdr:rowOff>
    </xdr:from>
    <xdr:to>
      <xdr:col>31</xdr:col>
      <xdr:colOff>180975</xdr:colOff>
      <xdr:row>563</xdr:row>
      <xdr:rowOff>157142</xdr:rowOff>
    </xdr:to>
    <xdr:sp macro="" textlink="">
      <xdr:nvSpPr>
        <xdr:cNvPr id="170" name="TextBox 169"/>
        <xdr:cNvSpPr txBox="1"/>
      </xdr:nvSpPr>
      <xdr:spPr>
        <a:xfrm>
          <a:off x="26808114" y="134031021"/>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5</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790577</xdr:colOff>
      <xdr:row>571</xdr:row>
      <xdr:rowOff>119035</xdr:rowOff>
    </xdr:from>
    <xdr:to>
      <xdr:col>31</xdr:col>
      <xdr:colOff>214313</xdr:colOff>
      <xdr:row>574</xdr:row>
      <xdr:rowOff>214281</xdr:rowOff>
    </xdr:to>
    <xdr:sp macro="" textlink="">
      <xdr:nvSpPr>
        <xdr:cNvPr id="171" name="TextBox 170"/>
        <xdr:cNvSpPr txBox="1"/>
      </xdr:nvSpPr>
      <xdr:spPr>
        <a:xfrm>
          <a:off x="26841452" y="13670753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6</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xdr:row>
      <xdr:rowOff>0</xdr:rowOff>
    </xdr:from>
    <xdr:to>
      <xdr:col>4</xdr:col>
      <xdr:colOff>731520</xdr:colOff>
      <xdr:row>1</xdr:row>
      <xdr:rowOff>3108960</xdr:rowOff>
    </xdr:to>
    <xdr:graphicFrame macro="">
      <xdr:nvGraphicFramePr>
        <xdr:cNvPr id="172" name="Chart 1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730250</xdr:colOff>
      <xdr:row>1</xdr:row>
      <xdr:rowOff>31750</xdr:rowOff>
    </xdr:from>
    <xdr:to>
      <xdr:col>11</xdr:col>
      <xdr:colOff>144145</xdr:colOff>
      <xdr:row>1</xdr:row>
      <xdr:rowOff>3140710</xdr:rowOff>
    </xdr:to>
    <xdr:graphicFrame macro="">
      <xdr:nvGraphicFramePr>
        <xdr:cNvPr id="173" name="Chart 1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25</xdr:row>
      <xdr:rowOff>57150</xdr:rowOff>
    </xdr:from>
    <xdr:to>
      <xdr:col>14</xdr:col>
      <xdr:colOff>238125</xdr:colOff>
      <xdr:row>41</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25</xdr:row>
      <xdr:rowOff>66675</xdr:rowOff>
    </xdr:from>
    <xdr:to>
      <xdr:col>31</xdr:col>
      <xdr:colOff>9525</xdr:colOff>
      <xdr:row>41</xdr:row>
      <xdr:rowOff>90487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104775</xdr:colOff>
      <xdr:row>0</xdr:row>
      <xdr:rowOff>85725</xdr:rowOff>
    </xdr:from>
    <xdr:to>
      <xdr:col>12</xdr:col>
      <xdr:colOff>333375</xdr:colOff>
      <xdr:row>0</xdr:row>
      <xdr:rowOff>314325</xdr:rowOff>
    </xdr:to>
    <xdr:sp macro="" textlink="">
      <xdr:nvSpPr>
        <xdr:cNvPr id="4" name="Rectangle 3">
          <a:hlinkClick xmlns:r="http://schemas.openxmlformats.org/officeDocument/2006/relationships" r:id="rId3"/>
        </xdr:cNvPr>
        <xdr:cNvSpPr/>
      </xdr:nvSpPr>
      <xdr:spPr>
        <a:xfrm>
          <a:off x="44672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13</xdr:col>
      <xdr:colOff>0</xdr:colOff>
      <xdr:row>0</xdr:row>
      <xdr:rowOff>85725</xdr:rowOff>
    </xdr:from>
    <xdr:to>
      <xdr:col>16</xdr:col>
      <xdr:colOff>228600</xdr:colOff>
      <xdr:row>0</xdr:row>
      <xdr:rowOff>314325</xdr:rowOff>
    </xdr:to>
    <xdr:sp macro="" textlink="">
      <xdr:nvSpPr>
        <xdr:cNvPr id="5" name="Rectangle 4">
          <a:hlinkClick xmlns:r="http://schemas.openxmlformats.org/officeDocument/2006/relationships" r:id="rId4"/>
        </xdr:cNvPr>
        <xdr:cNvSpPr/>
      </xdr:nvSpPr>
      <xdr:spPr>
        <a:xfrm>
          <a:off x="58864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16</xdr:col>
      <xdr:colOff>276225</xdr:colOff>
      <xdr:row>0</xdr:row>
      <xdr:rowOff>85725</xdr:rowOff>
    </xdr:from>
    <xdr:to>
      <xdr:col>20</xdr:col>
      <xdr:colOff>123825</xdr:colOff>
      <xdr:row>0</xdr:row>
      <xdr:rowOff>314325</xdr:rowOff>
    </xdr:to>
    <xdr:sp macro="" textlink="">
      <xdr:nvSpPr>
        <xdr:cNvPr id="6" name="Rectangle 5">
          <a:hlinkClick xmlns:r="http://schemas.openxmlformats.org/officeDocument/2006/relationships" r:id="rId5"/>
        </xdr:cNvPr>
        <xdr:cNvSpPr/>
      </xdr:nvSpPr>
      <xdr:spPr>
        <a:xfrm>
          <a:off x="730567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t-EE" sz="1100">
              <a:solidFill>
                <a:schemeClr val="bg1"/>
              </a:solidFill>
            </a:rPr>
            <a:t>-USE</a:t>
          </a:r>
          <a:r>
            <a:rPr lang="et-EE" sz="1100" baseline="0">
              <a:solidFill>
                <a:schemeClr val="bg1"/>
              </a:solidFill>
            </a:rPr>
            <a:t> CHANGE</a:t>
          </a:r>
          <a:endParaRPr lang="en-US" sz="1100">
            <a:solidFill>
              <a:schemeClr val="bg1"/>
            </a:solidFill>
          </a:endParaRPr>
        </a:p>
      </xdr:txBody>
    </xdr:sp>
    <xdr:clientData/>
  </xdr:twoCellAnchor>
  <xdr:twoCellAnchor>
    <xdr:from>
      <xdr:col>20</xdr:col>
      <xdr:colOff>171450</xdr:colOff>
      <xdr:row>0</xdr:row>
      <xdr:rowOff>85725</xdr:rowOff>
    </xdr:from>
    <xdr:to>
      <xdr:col>24</xdr:col>
      <xdr:colOff>23132</xdr:colOff>
      <xdr:row>0</xdr:row>
      <xdr:rowOff>314325</xdr:rowOff>
    </xdr:to>
    <xdr:sp macro="" textlink="">
      <xdr:nvSpPr>
        <xdr:cNvPr id="7" name="Rectangle 6">
          <a:hlinkClick xmlns:r="http://schemas.openxmlformats.org/officeDocument/2006/relationships" r:id="rId6"/>
        </xdr:cNvPr>
        <xdr:cNvSpPr/>
      </xdr:nvSpPr>
      <xdr:spPr>
        <a:xfrm>
          <a:off x="8724900"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24</xdr:col>
      <xdr:colOff>66675</xdr:colOff>
      <xdr:row>0</xdr:row>
      <xdr:rowOff>85725</xdr:rowOff>
    </xdr:from>
    <xdr:to>
      <xdr:col>27</xdr:col>
      <xdr:colOff>299357</xdr:colOff>
      <xdr:row>0</xdr:row>
      <xdr:rowOff>314325</xdr:rowOff>
    </xdr:to>
    <xdr:sp macro="" textlink="">
      <xdr:nvSpPr>
        <xdr:cNvPr id="8" name="Rectangle 7"/>
        <xdr:cNvSpPr/>
      </xdr:nvSpPr>
      <xdr:spPr>
        <a:xfrm>
          <a:off x="10144125" y="85725"/>
          <a:ext cx="1375682"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3</xdr:row>
      <xdr:rowOff>19050</xdr:rowOff>
    </xdr:from>
    <xdr:to>
      <xdr:col>2</xdr:col>
      <xdr:colOff>657225</xdr:colOff>
      <xdr:row>4</xdr:row>
      <xdr:rowOff>0</xdr:rowOff>
    </xdr:to>
    <xdr:sp macro="" textlink="">
      <xdr:nvSpPr>
        <xdr:cNvPr id="11265" name="Drop Down 1"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2</xdr:col>
      <xdr:colOff>600075</xdr:colOff>
      <xdr:row>0</xdr:row>
      <xdr:rowOff>76201</xdr:rowOff>
    </xdr:from>
    <xdr:to>
      <xdr:col>5</xdr:col>
      <xdr:colOff>142875</xdr:colOff>
      <xdr:row>0</xdr:row>
      <xdr:rowOff>304801</xdr:rowOff>
    </xdr:to>
    <xdr:sp macro="" textlink="">
      <xdr:nvSpPr>
        <xdr:cNvPr id="3" name="Rectangle 2">
          <a:hlinkClick xmlns:r="http://schemas.openxmlformats.org/officeDocument/2006/relationships" r:id="rId1"/>
        </xdr:cNvPr>
        <xdr:cNvSpPr/>
      </xdr:nvSpPr>
      <xdr:spPr>
        <a:xfrm>
          <a:off x="4029075" y="76201"/>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5</xdr:col>
      <xdr:colOff>209550</xdr:colOff>
      <xdr:row>0</xdr:row>
      <xdr:rowOff>76201</xdr:rowOff>
    </xdr:from>
    <xdr:to>
      <xdr:col>7</xdr:col>
      <xdr:colOff>361950</xdr:colOff>
      <xdr:row>0</xdr:row>
      <xdr:rowOff>304801</xdr:rowOff>
    </xdr:to>
    <xdr:sp macro="" textlink="">
      <xdr:nvSpPr>
        <xdr:cNvPr id="4" name="Rectangle 3">
          <a:hlinkClick xmlns:r="http://schemas.openxmlformats.org/officeDocument/2006/relationships" r:id="rId2"/>
        </xdr:cNvPr>
        <xdr:cNvSpPr/>
      </xdr:nvSpPr>
      <xdr:spPr>
        <a:xfrm>
          <a:off x="5467350" y="76201"/>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7</xdr:col>
      <xdr:colOff>419100</xdr:colOff>
      <xdr:row>0</xdr:row>
      <xdr:rowOff>76200</xdr:rowOff>
    </xdr:from>
    <xdr:to>
      <xdr:col>9</xdr:col>
      <xdr:colOff>571500</xdr:colOff>
      <xdr:row>0</xdr:row>
      <xdr:rowOff>304800</xdr:rowOff>
    </xdr:to>
    <xdr:sp macro="" textlink="">
      <xdr:nvSpPr>
        <xdr:cNvPr id="5" name="Rectangle 4">
          <a:hlinkClick xmlns:r="http://schemas.openxmlformats.org/officeDocument/2006/relationships" r:id="rId3"/>
        </xdr:cNvPr>
        <xdr:cNvSpPr/>
      </xdr:nvSpPr>
      <xdr:spPr>
        <a:xfrm>
          <a:off x="6896100" y="76200"/>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10</xdr:col>
      <xdr:colOff>19050</xdr:colOff>
      <xdr:row>0</xdr:row>
      <xdr:rowOff>76200</xdr:rowOff>
    </xdr:from>
    <xdr:to>
      <xdr:col>12</xdr:col>
      <xdr:colOff>171450</xdr:colOff>
      <xdr:row>0</xdr:row>
      <xdr:rowOff>304800</xdr:rowOff>
    </xdr:to>
    <xdr:sp macro="" textlink="">
      <xdr:nvSpPr>
        <xdr:cNvPr id="6" name="Rectangle 5">
          <a:hlinkClick xmlns:r="http://schemas.openxmlformats.org/officeDocument/2006/relationships" r:id="rId4"/>
        </xdr:cNvPr>
        <xdr:cNvSpPr/>
      </xdr:nvSpPr>
      <xdr:spPr>
        <a:xfrm>
          <a:off x="8324850" y="76200"/>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12</xdr:col>
      <xdr:colOff>228600</xdr:colOff>
      <xdr:row>0</xdr:row>
      <xdr:rowOff>76200</xdr:rowOff>
    </xdr:from>
    <xdr:to>
      <xdr:col>14</xdr:col>
      <xdr:colOff>381000</xdr:colOff>
      <xdr:row>0</xdr:row>
      <xdr:rowOff>304800</xdr:rowOff>
    </xdr:to>
    <xdr:sp macro="" textlink="">
      <xdr:nvSpPr>
        <xdr:cNvPr id="7" name="Rectangle 6">
          <a:hlinkClick xmlns:r="http://schemas.openxmlformats.org/officeDocument/2006/relationships" r:id="rId5"/>
        </xdr:cNvPr>
        <xdr:cNvSpPr/>
      </xdr:nvSpPr>
      <xdr:spPr>
        <a:xfrm>
          <a:off x="9753600" y="76200"/>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USER</a:t>
          </a:r>
          <a:r>
            <a:rPr lang="et-EE" sz="1100" baseline="0">
              <a:solidFill>
                <a:schemeClr val="bg1"/>
              </a:solidFill>
            </a:rPr>
            <a:t> GUIDE</a:t>
          </a:r>
          <a:endParaRPr lang="en-US" sz="1100">
            <a:solidFill>
              <a:schemeClr val="bg1"/>
            </a:solidFill>
          </a:endParaRPr>
        </a:p>
      </xdr:txBody>
    </xdr:sp>
    <xdr:clientData/>
  </xdr:twoCellAnchor>
  <xdr:twoCellAnchor editAs="oneCell">
    <xdr:from>
      <xdr:col>0</xdr:col>
      <xdr:colOff>485775</xdr:colOff>
      <xdr:row>180</xdr:row>
      <xdr:rowOff>0</xdr:rowOff>
    </xdr:from>
    <xdr:to>
      <xdr:col>0</xdr:col>
      <xdr:colOff>2105025</xdr:colOff>
      <xdr:row>181</xdr:row>
      <xdr:rowOff>209550</xdr:rowOff>
    </xdr:to>
    <xdr:sp macro="" textlink="">
      <xdr:nvSpPr>
        <xdr:cNvPr id="11266" name="CommandButton1" hidden="1">
          <a:extLst>
            <a:ext uri="{63B3BB69-23CF-44E3-9099-C40C66FF867C}">
              <a14:compatExt xmlns:a14="http://schemas.microsoft.com/office/drawing/2010/main" spid="_x0000_s112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2</xdr:col>
          <xdr:colOff>657225</xdr:colOff>
          <xdr:row>4</xdr:row>
          <xdr:rowOff>0</xdr:rowOff>
        </xdr:to>
        <xdr:sp macro="" textlink="">
          <xdr:nvSpPr>
            <xdr:cNvPr id="2" name="Drop Down 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542925</xdr:colOff>
      <xdr:row>177</xdr:row>
      <xdr:rowOff>238125</xdr:rowOff>
    </xdr:from>
    <xdr:to>
      <xdr:col>0</xdr:col>
      <xdr:colOff>2076450</xdr:colOff>
      <xdr:row>179</xdr:row>
      <xdr:rowOff>180975</xdr:rowOff>
    </xdr:to>
    <xdr:sp macro="" textlink="">
      <xdr:nvSpPr>
        <xdr:cNvPr id="11268" name="CommandButton1" hidden="1">
          <a:extLst>
            <a:ext uri="{63B3BB69-23CF-44E3-9099-C40C66FF867C}">
              <a14:compatExt xmlns:a14="http://schemas.microsoft.com/office/drawing/2010/main" spid="_x0000_s1126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1</xdr:col>
      <xdr:colOff>485775</xdr:colOff>
      <xdr:row>180</xdr:row>
      <xdr:rowOff>0</xdr:rowOff>
    </xdr:from>
    <xdr:ext cx="1619250" cy="457200"/>
    <xdr:sp macro="" textlink="">
      <xdr:nvSpPr>
        <xdr:cNvPr id="11" name="CommandButton1" hidden="1">
          <a:extLst>
            <a:ext uri="{63B3BB69-23CF-44E3-9099-C40C66FF867C}">
              <a14:compatExt xmlns:a14="http://schemas.microsoft.com/office/drawing/2010/main" spid="_x0000_s11266"/>
            </a:ext>
          </a:extLst>
        </xdr:cNvPr>
        <xdr:cNvSpPr/>
      </xdr:nvSpPr>
      <xdr:spPr bwMode="auto">
        <a:xfrm>
          <a:off x="485775" y="44710350"/>
          <a:ext cx="161925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xdr:col>
      <xdr:colOff>542925</xdr:colOff>
      <xdr:row>177</xdr:row>
      <xdr:rowOff>238125</xdr:rowOff>
    </xdr:from>
    <xdr:to>
      <xdr:col>3</xdr:col>
      <xdr:colOff>647700</xdr:colOff>
      <xdr:row>179</xdr:row>
      <xdr:rowOff>180975</xdr:rowOff>
    </xdr:to>
    <xdr:sp macro="" textlink="">
      <xdr:nvSpPr>
        <xdr:cNvPr id="11269" name="CommandButton2" hidden="1">
          <a:extLst>
            <a:ext uri="{63B3BB69-23CF-44E3-9099-C40C66FF867C}">
              <a14:compatExt xmlns:a14="http://schemas.microsoft.com/office/drawing/2010/main" spid="_x0000_s1126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542925</xdr:colOff>
      <xdr:row>177</xdr:row>
      <xdr:rowOff>238125</xdr:rowOff>
    </xdr:from>
    <xdr:to>
      <xdr:col>0</xdr:col>
      <xdr:colOff>2076450</xdr:colOff>
      <xdr:row>179</xdr:row>
      <xdr:rowOff>180975</xdr:rowOff>
    </xdr:to>
    <xdr:pic>
      <xdr:nvPicPr>
        <xdr:cNvPr id="8" name="CommandButton1"/>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42925" y="442055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xdr:col>
      <xdr:colOff>542925</xdr:colOff>
      <xdr:row>177</xdr:row>
      <xdr:rowOff>238125</xdr:rowOff>
    </xdr:from>
    <xdr:to>
      <xdr:col>3</xdr:col>
      <xdr:colOff>647700</xdr:colOff>
      <xdr:row>179</xdr:row>
      <xdr:rowOff>180975</xdr:rowOff>
    </xdr:to>
    <xdr:pic>
      <xdr:nvPicPr>
        <xdr:cNvPr id="9" name="CommandButton2"/>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57550" y="442055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omments" Target="../comments2.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26" Type="http://schemas.openxmlformats.org/officeDocument/2006/relationships/ctrlProp" Target="../ctrlProps/ctrlProp46.xml"/><Relationship Id="rId3" Type="http://schemas.openxmlformats.org/officeDocument/2006/relationships/vmlDrawing" Target="../drawings/vmlDrawing3.vml"/><Relationship Id="rId21" Type="http://schemas.openxmlformats.org/officeDocument/2006/relationships/ctrlProp" Target="../ctrlProps/ctrlProp41.xml"/><Relationship Id="rId34" Type="http://schemas.openxmlformats.org/officeDocument/2006/relationships/ctrlProp" Target="../ctrlProps/ctrlProp54.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5" Type="http://schemas.openxmlformats.org/officeDocument/2006/relationships/ctrlProp" Target="../ctrlProps/ctrlProp45.xml"/><Relationship Id="rId33" Type="http://schemas.openxmlformats.org/officeDocument/2006/relationships/ctrlProp" Target="../ctrlProps/ctrlProp53.xml"/><Relationship Id="rId2" Type="http://schemas.openxmlformats.org/officeDocument/2006/relationships/drawing" Target="../drawings/drawing3.xml"/><Relationship Id="rId16" Type="http://schemas.openxmlformats.org/officeDocument/2006/relationships/ctrlProp" Target="../ctrlProps/ctrlProp36.xml"/><Relationship Id="rId20" Type="http://schemas.openxmlformats.org/officeDocument/2006/relationships/ctrlProp" Target="../ctrlProps/ctrlProp40.xml"/><Relationship Id="rId29" Type="http://schemas.openxmlformats.org/officeDocument/2006/relationships/ctrlProp" Target="../ctrlProps/ctrlProp49.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32" Type="http://schemas.openxmlformats.org/officeDocument/2006/relationships/ctrlProp" Target="../ctrlProps/ctrlProp52.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28" Type="http://schemas.openxmlformats.org/officeDocument/2006/relationships/ctrlProp" Target="../ctrlProps/ctrlProp48.xml"/><Relationship Id="rId10" Type="http://schemas.openxmlformats.org/officeDocument/2006/relationships/ctrlProp" Target="../ctrlProps/ctrlProp30.xml"/><Relationship Id="rId19" Type="http://schemas.openxmlformats.org/officeDocument/2006/relationships/ctrlProp" Target="../ctrlProps/ctrlProp39.xml"/><Relationship Id="rId31" Type="http://schemas.openxmlformats.org/officeDocument/2006/relationships/ctrlProp" Target="../ctrlProps/ctrlProp51.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 Id="rId27" Type="http://schemas.openxmlformats.org/officeDocument/2006/relationships/ctrlProp" Target="../ctrlProps/ctrlProp47.xml"/><Relationship Id="rId30" Type="http://schemas.openxmlformats.org/officeDocument/2006/relationships/ctrlProp" Target="../ctrlProps/ctrlProp5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77.xml"/><Relationship Id="rId21" Type="http://schemas.openxmlformats.org/officeDocument/2006/relationships/ctrlProp" Target="../ctrlProps/ctrlProp72.xml"/><Relationship Id="rId42" Type="http://schemas.openxmlformats.org/officeDocument/2006/relationships/ctrlProp" Target="../ctrlProps/ctrlProp93.xml"/><Relationship Id="rId47" Type="http://schemas.openxmlformats.org/officeDocument/2006/relationships/ctrlProp" Target="../ctrlProps/ctrlProp98.xml"/><Relationship Id="rId63" Type="http://schemas.openxmlformats.org/officeDocument/2006/relationships/ctrlProp" Target="../ctrlProps/ctrlProp114.xml"/><Relationship Id="rId68" Type="http://schemas.openxmlformats.org/officeDocument/2006/relationships/ctrlProp" Target="../ctrlProps/ctrlProp119.xml"/><Relationship Id="rId84" Type="http://schemas.openxmlformats.org/officeDocument/2006/relationships/ctrlProp" Target="../ctrlProps/ctrlProp135.xml"/><Relationship Id="rId89" Type="http://schemas.openxmlformats.org/officeDocument/2006/relationships/ctrlProp" Target="../ctrlProps/ctrlProp140.xml"/><Relationship Id="rId112" Type="http://schemas.openxmlformats.org/officeDocument/2006/relationships/ctrlProp" Target="../ctrlProps/ctrlProp163.xml"/><Relationship Id="rId16" Type="http://schemas.openxmlformats.org/officeDocument/2006/relationships/ctrlProp" Target="../ctrlProps/ctrlProp67.xml"/><Relationship Id="rId107" Type="http://schemas.openxmlformats.org/officeDocument/2006/relationships/ctrlProp" Target="../ctrlProps/ctrlProp158.xml"/><Relationship Id="rId11" Type="http://schemas.openxmlformats.org/officeDocument/2006/relationships/ctrlProp" Target="../ctrlProps/ctrlProp62.xml"/><Relationship Id="rId24" Type="http://schemas.openxmlformats.org/officeDocument/2006/relationships/ctrlProp" Target="../ctrlProps/ctrlProp75.xml"/><Relationship Id="rId32" Type="http://schemas.openxmlformats.org/officeDocument/2006/relationships/ctrlProp" Target="../ctrlProps/ctrlProp83.xml"/><Relationship Id="rId37" Type="http://schemas.openxmlformats.org/officeDocument/2006/relationships/ctrlProp" Target="../ctrlProps/ctrlProp88.xml"/><Relationship Id="rId40" Type="http://schemas.openxmlformats.org/officeDocument/2006/relationships/ctrlProp" Target="../ctrlProps/ctrlProp91.xml"/><Relationship Id="rId45" Type="http://schemas.openxmlformats.org/officeDocument/2006/relationships/ctrlProp" Target="../ctrlProps/ctrlProp96.xml"/><Relationship Id="rId53" Type="http://schemas.openxmlformats.org/officeDocument/2006/relationships/ctrlProp" Target="../ctrlProps/ctrlProp104.xml"/><Relationship Id="rId58" Type="http://schemas.openxmlformats.org/officeDocument/2006/relationships/ctrlProp" Target="../ctrlProps/ctrlProp109.xml"/><Relationship Id="rId66" Type="http://schemas.openxmlformats.org/officeDocument/2006/relationships/ctrlProp" Target="../ctrlProps/ctrlProp117.xml"/><Relationship Id="rId74" Type="http://schemas.openxmlformats.org/officeDocument/2006/relationships/ctrlProp" Target="../ctrlProps/ctrlProp125.xml"/><Relationship Id="rId79" Type="http://schemas.openxmlformats.org/officeDocument/2006/relationships/ctrlProp" Target="../ctrlProps/ctrlProp130.xml"/><Relationship Id="rId87" Type="http://schemas.openxmlformats.org/officeDocument/2006/relationships/ctrlProp" Target="../ctrlProps/ctrlProp138.xml"/><Relationship Id="rId102" Type="http://schemas.openxmlformats.org/officeDocument/2006/relationships/ctrlProp" Target="../ctrlProps/ctrlProp153.xml"/><Relationship Id="rId110" Type="http://schemas.openxmlformats.org/officeDocument/2006/relationships/ctrlProp" Target="../ctrlProps/ctrlProp161.xml"/><Relationship Id="rId115" Type="http://schemas.openxmlformats.org/officeDocument/2006/relationships/ctrlProp" Target="../ctrlProps/ctrlProp166.xml"/><Relationship Id="rId5" Type="http://schemas.openxmlformats.org/officeDocument/2006/relationships/ctrlProp" Target="../ctrlProps/ctrlProp56.xml"/><Relationship Id="rId61" Type="http://schemas.openxmlformats.org/officeDocument/2006/relationships/ctrlProp" Target="../ctrlProps/ctrlProp112.xml"/><Relationship Id="rId82" Type="http://schemas.openxmlformats.org/officeDocument/2006/relationships/ctrlProp" Target="../ctrlProps/ctrlProp133.xml"/><Relationship Id="rId90" Type="http://schemas.openxmlformats.org/officeDocument/2006/relationships/ctrlProp" Target="../ctrlProps/ctrlProp141.xml"/><Relationship Id="rId95" Type="http://schemas.openxmlformats.org/officeDocument/2006/relationships/ctrlProp" Target="../ctrlProps/ctrlProp146.xml"/><Relationship Id="rId19" Type="http://schemas.openxmlformats.org/officeDocument/2006/relationships/ctrlProp" Target="../ctrlProps/ctrlProp70.xml"/><Relationship Id="rId14" Type="http://schemas.openxmlformats.org/officeDocument/2006/relationships/ctrlProp" Target="../ctrlProps/ctrlProp65.xml"/><Relationship Id="rId22" Type="http://schemas.openxmlformats.org/officeDocument/2006/relationships/ctrlProp" Target="../ctrlProps/ctrlProp73.xml"/><Relationship Id="rId27" Type="http://schemas.openxmlformats.org/officeDocument/2006/relationships/ctrlProp" Target="../ctrlProps/ctrlProp78.xml"/><Relationship Id="rId30" Type="http://schemas.openxmlformats.org/officeDocument/2006/relationships/ctrlProp" Target="../ctrlProps/ctrlProp81.xml"/><Relationship Id="rId35" Type="http://schemas.openxmlformats.org/officeDocument/2006/relationships/ctrlProp" Target="../ctrlProps/ctrlProp86.xml"/><Relationship Id="rId43" Type="http://schemas.openxmlformats.org/officeDocument/2006/relationships/ctrlProp" Target="../ctrlProps/ctrlProp94.xml"/><Relationship Id="rId48" Type="http://schemas.openxmlformats.org/officeDocument/2006/relationships/ctrlProp" Target="../ctrlProps/ctrlProp99.xml"/><Relationship Id="rId56" Type="http://schemas.openxmlformats.org/officeDocument/2006/relationships/ctrlProp" Target="../ctrlProps/ctrlProp107.xml"/><Relationship Id="rId64" Type="http://schemas.openxmlformats.org/officeDocument/2006/relationships/ctrlProp" Target="../ctrlProps/ctrlProp115.xml"/><Relationship Id="rId69" Type="http://schemas.openxmlformats.org/officeDocument/2006/relationships/ctrlProp" Target="../ctrlProps/ctrlProp120.xml"/><Relationship Id="rId77" Type="http://schemas.openxmlformats.org/officeDocument/2006/relationships/ctrlProp" Target="../ctrlProps/ctrlProp128.xml"/><Relationship Id="rId100" Type="http://schemas.openxmlformats.org/officeDocument/2006/relationships/ctrlProp" Target="../ctrlProps/ctrlProp151.xml"/><Relationship Id="rId105" Type="http://schemas.openxmlformats.org/officeDocument/2006/relationships/ctrlProp" Target="../ctrlProps/ctrlProp156.xml"/><Relationship Id="rId113" Type="http://schemas.openxmlformats.org/officeDocument/2006/relationships/ctrlProp" Target="../ctrlProps/ctrlProp164.xml"/><Relationship Id="rId8" Type="http://schemas.openxmlformats.org/officeDocument/2006/relationships/ctrlProp" Target="../ctrlProps/ctrlProp59.xml"/><Relationship Id="rId51" Type="http://schemas.openxmlformats.org/officeDocument/2006/relationships/ctrlProp" Target="../ctrlProps/ctrlProp102.xml"/><Relationship Id="rId72" Type="http://schemas.openxmlformats.org/officeDocument/2006/relationships/ctrlProp" Target="../ctrlProps/ctrlProp123.xml"/><Relationship Id="rId80" Type="http://schemas.openxmlformats.org/officeDocument/2006/relationships/ctrlProp" Target="../ctrlProps/ctrlProp131.xml"/><Relationship Id="rId85" Type="http://schemas.openxmlformats.org/officeDocument/2006/relationships/ctrlProp" Target="../ctrlProps/ctrlProp136.xml"/><Relationship Id="rId93" Type="http://schemas.openxmlformats.org/officeDocument/2006/relationships/ctrlProp" Target="../ctrlProps/ctrlProp144.xml"/><Relationship Id="rId98"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63.xml"/><Relationship Id="rId17" Type="http://schemas.openxmlformats.org/officeDocument/2006/relationships/ctrlProp" Target="../ctrlProps/ctrlProp68.xml"/><Relationship Id="rId25" Type="http://schemas.openxmlformats.org/officeDocument/2006/relationships/ctrlProp" Target="../ctrlProps/ctrlProp76.xml"/><Relationship Id="rId33" Type="http://schemas.openxmlformats.org/officeDocument/2006/relationships/ctrlProp" Target="../ctrlProps/ctrlProp84.xml"/><Relationship Id="rId38" Type="http://schemas.openxmlformats.org/officeDocument/2006/relationships/ctrlProp" Target="../ctrlProps/ctrlProp89.xml"/><Relationship Id="rId46" Type="http://schemas.openxmlformats.org/officeDocument/2006/relationships/ctrlProp" Target="../ctrlProps/ctrlProp97.xml"/><Relationship Id="rId59" Type="http://schemas.openxmlformats.org/officeDocument/2006/relationships/ctrlProp" Target="../ctrlProps/ctrlProp110.xml"/><Relationship Id="rId67" Type="http://schemas.openxmlformats.org/officeDocument/2006/relationships/ctrlProp" Target="../ctrlProps/ctrlProp118.xml"/><Relationship Id="rId103" Type="http://schemas.openxmlformats.org/officeDocument/2006/relationships/ctrlProp" Target="../ctrlProps/ctrlProp154.xml"/><Relationship Id="rId108" Type="http://schemas.openxmlformats.org/officeDocument/2006/relationships/ctrlProp" Target="../ctrlProps/ctrlProp159.xml"/><Relationship Id="rId20" Type="http://schemas.openxmlformats.org/officeDocument/2006/relationships/ctrlProp" Target="../ctrlProps/ctrlProp71.xml"/><Relationship Id="rId41" Type="http://schemas.openxmlformats.org/officeDocument/2006/relationships/ctrlProp" Target="../ctrlProps/ctrlProp92.xml"/><Relationship Id="rId54" Type="http://schemas.openxmlformats.org/officeDocument/2006/relationships/ctrlProp" Target="../ctrlProps/ctrlProp105.xml"/><Relationship Id="rId62" Type="http://schemas.openxmlformats.org/officeDocument/2006/relationships/ctrlProp" Target="../ctrlProps/ctrlProp113.xml"/><Relationship Id="rId70" Type="http://schemas.openxmlformats.org/officeDocument/2006/relationships/ctrlProp" Target="../ctrlProps/ctrlProp121.xml"/><Relationship Id="rId75" Type="http://schemas.openxmlformats.org/officeDocument/2006/relationships/ctrlProp" Target="../ctrlProps/ctrlProp126.xml"/><Relationship Id="rId83" Type="http://schemas.openxmlformats.org/officeDocument/2006/relationships/ctrlProp" Target="../ctrlProps/ctrlProp134.xml"/><Relationship Id="rId88" Type="http://schemas.openxmlformats.org/officeDocument/2006/relationships/ctrlProp" Target="../ctrlProps/ctrlProp139.xml"/><Relationship Id="rId91" Type="http://schemas.openxmlformats.org/officeDocument/2006/relationships/ctrlProp" Target="../ctrlProps/ctrlProp142.xml"/><Relationship Id="rId96" Type="http://schemas.openxmlformats.org/officeDocument/2006/relationships/ctrlProp" Target="../ctrlProps/ctrlProp147.xml"/><Relationship Id="rId111" Type="http://schemas.openxmlformats.org/officeDocument/2006/relationships/ctrlProp" Target="../ctrlProps/ctrlProp162.xml"/><Relationship Id="rId1" Type="http://schemas.openxmlformats.org/officeDocument/2006/relationships/printerSettings" Target="../printerSettings/printerSettings4.bin"/><Relationship Id="rId6" Type="http://schemas.openxmlformats.org/officeDocument/2006/relationships/ctrlProp" Target="../ctrlProps/ctrlProp57.xml"/><Relationship Id="rId15" Type="http://schemas.openxmlformats.org/officeDocument/2006/relationships/ctrlProp" Target="../ctrlProps/ctrlProp66.xml"/><Relationship Id="rId23" Type="http://schemas.openxmlformats.org/officeDocument/2006/relationships/ctrlProp" Target="../ctrlProps/ctrlProp74.xml"/><Relationship Id="rId28" Type="http://schemas.openxmlformats.org/officeDocument/2006/relationships/ctrlProp" Target="../ctrlProps/ctrlProp79.xml"/><Relationship Id="rId36" Type="http://schemas.openxmlformats.org/officeDocument/2006/relationships/ctrlProp" Target="../ctrlProps/ctrlProp87.xml"/><Relationship Id="rId49" Type="http://schemas.openxmlformats.org/officeDocument/2006/relationships/ctrlProp" Target="../ctrlProps/ctrlProp100.xml"/><Relationship Id="rId57" Type="http://schemas.openxmlformats.org/officeDocument/2006/relationships/ctrlProp" Target="../ctrlProps/ctrlProp108.xml"/><Relationship Id="rId106" Type="http://schemas.openxmlformats.org/officeDocument/2006/relationships/ctrlProp" Target="../ctrlProps/ctrlProp157.xml"/><Relationship Id="rId114" Type="http://schemas.openxmlformats.org/officeDocument/2006/relationships/ctrlProp" Target="../ctrlProps/ctrlProp165.xml"/><Relationship Id="rId10" Type="http://schemas.openxmlformats.org/officeDocument/2006/relationships/ctrlProp" Target="../ctrlProps/ctrlProp61.xml"/><Relationship Id="rId31" Type="http://schemas.openxmlformats.org/officeDocument/2006/relationships/ctrlProp" Target="../ctrlProps/ctrlProp82.xml"/><Relationship Id="rId44" Type="http://schemas.openxmlformats.org/officeDocument/2006/relationships/ctrlProp" Target="../ctrlProps/ctrlProp95.xml"/><Relationship Id="rId52" Type="http://schemas.openxmlformats.org/officeDocument/2006/relationships/ctrlProp" Target="../ctrlProps/ctrlProp103.xml"/><Relationship Id="rId60" Type="http://schemas.openxmlformats.org/officeDocument/2006/relationships/ctrlProp" Target="../ctrlProps/ctrlProp111.xml"/><Relationship Id="rId65" Type="http://schemas.openxmlformats.org/officeDocument/2006/relationships/ctrlProp" Target="../ctrlProps/ctrlProp116.xml"/><Relationship Id="rId73" Type="http://schemas.openxmlformats.org/officeDocument/2006/relationships/ctrlProp" Target="../ctrlProps/ctrlProp124.xml"/><Relationship Id="rId78" Type="http://schemas.openxmlformats.org/officeDocument/2006/relationships/ctrlProp" Target="../ctrlProps/ctrlProp129.xml"/><Relationship Id="rId81" Type="http://schemas.openxmlformats.org/officeDocument/2006/relationships/ctrlProp" Target="../ctrlProps/ctrlProp132.xml"/><Relationship Id="rId86" Type="http://schemas.openxmlformats.org/officeDocument/2006/relationships/ctrlProp" Target="../ctrlProps/ctrlProp137.xml"/><Relationship Id="rId94" Type="http://schemas.openxmlformats.org/officeDocument/2006/relationships/ctrlProp" Target="../ctrlProps/ctrlProp145.xml"/><Relationship Id="rId99" Type="http://schemas.openxmlformats.org/officeDocument/2006/relationships/ctrlProp" Target="../ctrlProps/ctrlProp150.xml"/><Relationship Id="rId101" Type="http://schemas.openxmlformats.org/officeDocument/2006/relationships/ctrlProp" Target="../ctrlProps/ctrlProp152.xml"/><Relationship Id="rId4" Type="http://schemas.openxmlformats.org/officeDocument/2006/relationships/ctrlProp" Target="../ctrlProps/ctrlProp55.xml"/><Relationship Id="rId9" Type="http://schemas.openxmlformats.org/officeDocument/2006/relationships/ctrlProp" Target="../ctrlProps/ctrlProp60.xml"/><Relationship Id="rId13" Type="http://schemas.openxmlformats.org/officeDocument/2006/relationships/ctrlProp" Target="../ctrlProps/ctrlProp64.xml"/><Relationship Id="rId18" Type="http://schemas.openxmlformats.org/officeDocument/2006/relationships/ctrlProp" Target="../ctrlProps/ctrlProp69.xml"/><Relationship Id="rId39" Type="http://schemas.openxmlformats.org/officeDocument/2006/relationships/ctrlProp" Target="../ctrlProps/ctrlProp90.xml"/><Relationship Id="rId109" Type="http://schemas.openxmlformats.org/officeDocument/2006/relationships/ctrlProp" Target="../ctrlProps/ctrlProp160.xml"/><Relationship Id="rId34" Type="http://schemas.openxmlformats.org/officeDocument/2006/relationships/ctrlProp" Target="../ctrlProps/ctrlProp85.xml"/><Relationship Id="rId50" Type="http://schemas.openxmlformats.org/officeDocument/2006/relationships/ctrlProp" Target="../ctrlProps/ctrlProp101.xml"/><Relationship Id="rId55" Type="http://schemas.openxmlformats.org/officeDocument/2006/relationships/ctrlProp" Target="../ctrlProps/ctrlProp106.xml"/><Relationship Id="rId76" Type="http://schemas.openxmlformats.org/officeDocument/2006/relationships/ctrlProp" Target="../ctrlProps/ctrlProp127.xml"/><Relationship Id="rId97" Type="http://schemas.openxmlformats.org/officeDocument/2006/relationships/ctrlProp" Target="../ctrlProps/ctrlProp148.xml"/><Relationship Id="rId104" Type="http://schemas.openxmlformats.org/officeDocument/2006/relationships/ctrlProp" Target="../ctrlProps/ctrlProp155.xml"/><Relationship Id="rId7" Type="http://schemas.openxmlformats.org/officeDocument/2006/relationships/ctrlProp" Target="../ctrlProps/ctrlProp58.xml"/><Relationship Id="rId71" Type="http://schemas.openxmlformats.org/officeDocument/2006/relationships/ctrlProp" Target="../ctrlProps/ctrlProp122.xml"/><Relationship Id="rId92" Type="http://schemas.openxmlformats.org/officeDocument/2006/relationships/ctrlProp" Target="../ctrlProps/ctrlProp143.xml"/><Relationship Id="rId2" Type="http://schemas.openxmlformats.org/officeDocument/2006/relationships/drawing" Target="../drawings/drawing4.xml"/><Relationship Id="rId29" Type="http://schemas.openxmlformats.org/officeDocument/2006/relationships/ctrlProp" Target="../ctrlProps/ctrlProp80.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6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B1:L7"/>
  <sheetViews>
    <sheetView showRowColHeaders="0" tabSelected="1" zoomScaleNormal="100" workbookViewId="0"/>
  </sheetViews>
  <sheetFormatPr defaultRowHeight="20.100000000000001" customHeight="1"/>
  <cols>
    <col min="1" max="1" width="4.7109375" style="14" customWidth="1"/>
    <col min="2" max="2" width="30.7109375" style="14" customWidth="1"/>
    <col min="3" max="5" width="20.7109375" style="14" customWidth="1"/>
    <col min="6" max="16384" width="9.140625" style="14"/>
  </cols>
  <sheetData>
    <row r="1" spans="2:12" s="13" customFormat="1" ht="30" customHeight="1">
      <c r="B1" s="12" t="s">
        <v>1509</v>
      </c>
    </row>
    <row r="2" spans="2:12" ht="20.100000000000001" customHeight="1">
      <c r="B2" s="16" t="s">
        <v>138</v>
      </c>
      <c r="C2" s="1078">
        <v>2</v>
      </c>
      <c r="D2" s="1078"/>
      <c r="E2" s="1078"/>
      <c r="F2" s="15"/>
      <c r="G2" s="1078"/>
      <c r="H2" s="1078"/>
      <c r="I2" s="1078"/>
      <c r="J2" s="1078"/>
      <c r="K2" s="1078"/>
      <c r="L2" s="1078"/>
    </row>
    <row r="3" spans="2:12" ht="20.100000000000001" customHeight="1">
      <c r="B3" s="25" t="s">
        <v>33</v>
      </c>
      <c r="C3" s="16">
        <v>9</v>
      </c>
      <c r="D3" s="1605" t="str">
        <f>IF(C3=33,"Select local dataset","Not active")</f>
        <v>Not active</v>
      </c>
      <c r="E3" s="1078">
        <v>4</v>
      </c>
      <c r="F3" s="16"/>
      <c r="G3" s="1078"/>
      <c r="H3" s="1078"/>
      <c r="I3" s="1078"/>
      <c r="J3" s="1078"/>
      <c r="K3" s="1078"/>
      <c r="L3" s="1078"/>
    </row>
    <row r="4" spans="2:12" ht="20.100000000000001" customHeight="1">
      <c r="B4" s="25" t="s">
        <v>31</v>
      </c>
      <c r="C4" s="1606">
        <v>194942</v>
      </c>
      <c r="D4" s="16"/>
      <c r="E4" s="16"/>
      <c r="F4" s="1078"/>
      <c r="G4" s="1078"/>
      <c r="H4" s="1078"/>
      <c r="I4" s="1078"/>
      <c r="J4" s="1078"/>
      <c r="K4" s="1078"/>
      <c r="L4" s="1078"/>
    </row>
    <row r="5" spans="2:12" ht="20.100000000000001" customHeight="1">
      <c r="B5" s="141"/>
      <c r="C5" s="1078"/>
      <c r="D5" s="1078"/>
      <c r="E5" s="1078"/>
      <c r="F5" s="1078"/>
      <c r="G5" s="1078"/>
      <c r="H5" s="1078"/>
      <c r="I5" s="1078"/>
      <c r="J5" s="1078"/>
      <c r="K5" s="1078"/>
      <c r="L5" s="1078"/>
    </row>
    <row r="7" spans="2:12" ht="20.100000000000001" customHeight="1">
      <c r="F7" s="1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Line="0" autoPict="0">
                <anchor moveWithCells="1">
                  <from>
                    <xdr:col>2</xdr:col>
                    <xdr:colOff>9525</xdr:colOff>
                    <xdr:row>2</xdr:row>
                    <xdr:rowOff>9525</xdr:rowOff>
                  </from>
                  <to>
                    <xdr:col>3</xdr:col>
                    <xdr:colOff>0</xdr:colOff>
                    <xdr:row>2</xdr:row>
                    <xdr:rowOff>238125</xdr:rowOff>
                  </to>
                </anchor>
              </controlPr>
            </control>
          </mc:Choice>
        </mc:AlternateContent>
        <mc:AlternateContent xmlns:mc="http://schemas.openxmlformats.org/markup-compatibility/2006">
          <mc:Choice Requires="x14">
            <control shapeId="8195" r:id="rId5" name="Drop Down 3">
              <controlPr defaultSize="0" autoLine="0" autoPict="0">
                <anchor moveWithCells="1">
                  <from>
                    <xdr:col>2</xdr:col>
                    <xdr:colOff>9525</xdr:colOff>
                    <xdr:row>1</xdr:row>
                    <xdr:rowOff>9525</xdr:rowOff>
                  </from>
                  <to>
                    <xdr:col>3</xdr:col>
                    <xdr:colOff>0</xdr:colOff>
                    <xdr:row>1</xdr:row>
                    <xdr:rowOff>238125</xdr:rowOff>
                  </to>
                </anchor>
              </controlPr>
            </control>
          </mc:Choice>
        </mc:AlternateContent>
        <mc:AlternateContent xmlns:mc="http://schemas.openxmlformats.org/markup-compatibility/2006">
          <mc:Choice Requires="x14">
            <control shapeId="8198" r:id="rId6" name="Drop Down 6">
              <controlPr defaultSize="0" autoLine="0" autoPict="0">
                <anchor moveWithCells="1">
                  <from>
                    <xdr:col>4</xdr:col>
                    <xdr:colOff>9525</xdr:colOff>
                    <xdr:row>2</xdr:row>
                    <xdr:rowOff>9525</xdr:rowOff>
                  </from>
                  <to>
                    <xdr:col>5</xdr:col>
                    <xdr:colOff>0</xdr:colOff>
                    <xdr:row>2</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ul1">
    <tabColor theme="5"/>
  </sheetPr>
  <dimension ref="A1:BN616"/>
  <sheetViews>
    <sheetView showGridLines="0" showRowColHeaders="0" zoomScaleNormal="100" zoomScaleSheetLayoutView="100" workbookViewId="0">
      <pane ySplit="1" topLeftCell="A2" activePane="bottomLeft" state="frozen"/>
      <selection pane="bottomLeft"/>
    </sheetView>
  </sheetViews>
  <sheetFormatPr defaultRowHeight="20.100000000000001" customHeight="1" outlineLevelRow="1"/>
  <cols>
    <col min="1" max="1" width="4.7109375" style="14" customWidth="1"/>
    <col min="2" max="11" width="12.7109375" style="14" customWidth="1"/>
    <col min="12" max="17" width="10.7109375" style="14" customWidth="1"/>
    <col min="18" max="18" width="100.7109375" style="14" customWidth="1"/>
    <col min="19" max="19" width="30.7109375" style="14" customWidth="1"/>
    <col min="20" max="20" width="65.7109375" style="14" customWidth="1"/>
    <col min="21" max="84" width="13.7109375" style="14" customWidth="1"/>
    <col min="85" max="16384" width="9.140625" style="14"/>
  </cols>
  <sheetData>
    <row r="1" spans="1:55" s="19" customFormat="1" ht="30" customHeight="1" thickBot="1">
      <c r="B1" s="53" t="s">
        <v>266</v>
      </c>
      <c r="C1" s="53"/>
      <c r="D1" s="53"/>
      <c r="E1" s="53"/>
      <c r="G1" s="13"/>
      <c r="H1" s="13"/>
      <c r="I1" s="13"/>
      <c r="J1" s="13"/>
      <c r="K1" s="13"/>
      <c r="L1" s="13"/>
      <c r="M1" s="13"/>
      <c r="N1" s="13"/>
      <c r="O1" s="13"/>
      <c r="P1" s="13"/>
      <c r="Q1" s="13"/>
      <c r="R1" s="13"/>
      <c r="S1" s="13"/>
      <c r="T1" s="13"/>
      <c r="U1" s="13"/>
      <c r="V1" s="13"/>
      <c r="W1" s="13"/>
      <c r="X1" s="13"/>
      <c r="Y1" s="13"/>
      <c r="Z1" s="13"/>
      <c r="AA1" s="13"/>
      <c r="AB1" s="13"/>
    </row>
    <row r="2" spans="1:55" s="1336" customFormat="1" ht="249.95" hidden="1" customHeight="1" outlineLevel="1" thickBot="1">
      <c r="B2" s="1337"/>
      <c r="C2" s="1337"/>
      <c r="D2" s="1337"/>
      <c r="E2" s="1337"/>
      <c r="G2" s="980"/>
      <c r="H2" s="980"/>
      <c r="I2" s="980"/>
      <c r="J2" s="980"/>
      <c r="K2" s="980"/>
      <c r="L2" s="980"/>
      <c r="M2" s="980"/>
      <c r="N2" s="980"/>
      <c r="O2" s="980"/>
      <c r="P2" s="980"/>
      <c r="Q2" s="980"/>
      <c r="R2" s="980"/>
      <c r="S2" s="980"/>
      <c r="T2" s="980"/>
      <c r="U2" s="980"/>
      <c r="V2" s="980"/>
      <c r="W2" s="980"/>
      <c r="X2" s="980"/>
      <c r="Y2" s="980"/>
      <c r="Z2" s="980"/>
      <c r="AA2" s="980"/>
      <c r="AB2" s="980"/>
    </row>
    <row r="3" spans="1:55" s="401" customFormat="1" ht="30" customHeight="1" collapsed="1" thickBot="1">
      <c r="A3" s="1131"/>
      <c r="B3" s="1083" t="s">
        <v>34</v>
      </c>
      <c r="C3" s="1083"/>
      <c r="D3" s="1083"/>
      <c r="E3" s="1083"/>
      <c r="F3" s="1083"/>
      <c r="G3" s="1083"/>
      <c r="H3" s="1083"/>
      <c r="I3" s="1083"/>
      <c r="J3" s="1083"/>
      <c r="K3" s="1083"/>
      <c r="L3" s="630"/>
      <c r="M3" s="630"/>
      <c r="N3" s="630"/>
      <c r="O3" s="631"/>
      <c r="P3" s="382"/>
      <c r="Q3" s="382"/>
      <c r="R3" s="382"/>
      <c r="S3" s="853" t="s">
        <v>2440</v>
      </c>
    </row>
    <row r="4" spans="1:55" ht="20.100000000000001" customHeight="1">
      <c r="A4" s="48"/>
      <c r="B4" s="632" t="str">
        <f>IF(START!C3=33,INDEX('DEFAULT DATA'!A42:A100,START!E3,1),INDEX('DEFAULT DATA'!A9:A41,START!C3,1))</f>
        <v>Finland</v>
      </c>
      <c r="C4" s="632"/>
      <c r="D4" s="632"/>
      <c r="E4" s="632"/>
      <c r="F4" s="632"/>
      <c r="G4" s="633">
        <f>INDEX('MENU OPTIONS'!A1:A29,START!C2,1)</f>
        <v>2023</v>
      </c>
      <c r="H4" s="634"/>
      <c r="I4" s="383"/>
      <c r="J4" s="383"/>
      <c r="K4" s="383"/>
      <c r="L4" s="383"/>
      <c r="M4" s="383"/>
      <c r="N4" s="383"/>
      <c r="O4" s="433"/>
      <c r="P4" s="1024"/>
      <c r="Q4" s="1024"/>
      <c r="R4" s="29"/>
      <c r="S4" s="865" t="s">
        <v>2441</v>
      </c>
      <c r="T4" s="866" t="s">
        <v>2692</v>
      </c>
      <c r="U4" s="867"/>
      <c r="V4" s="317">
        <v>2019</v>
      </c>
      <c r="W4" s="317">
        <v>2020</v>
      </c>
      <c r="X4" s="313">
        <v>2021</v>
      </c>
      <c r="Y4" s="313">
        <f>X4+1</f>
        <v>2022</v>
      </c>
      <c r="Z4" s="313">
        <f t="shared" ref="Z4:BA4" si="0">Y4+1</f>
        <v>2023</v>
      </c>
      <c r="AA4" s="313">
        <f t="shared" si="0"/>
        <v>2024</v>
      </c>
      <c r="AB4" s="313">
        <f t="shared" si="0"/>
        <v>2025</v>
      </c>
      <c r="AC4" s="313">
        <f t="shared" si="0"/>
        <v>2026</v>
      </c>
      <c r="AD4" s="313">
        <f t="shared" si="0"/>
        <v>2027</v>
      </c>
      <c r="AE4" s="313">
        <f t="shared" si="0"/>
        <v>2028</v>
      </c>
      <c r="AF4" s="313">
        <f t="shared" si="0"/>
        <v>2029</v>
      </c>
      <c r="AG4" s="313">
        <f t="shared" si="0"/>
        <v>2030</v>
      </c>
      <c r="AH4" s="313">
        <f t="shared" si="0"/>
        <v>2031</v>
      </c>
      <c r="AI4" s="313">
        <f t="shared" si="0"/>
        <v>2032</v>
      </c>
      <c r="AJ4" s="313">
        <f t="shared" si="0"/>
        <v>2033</v>
      </c>
      <c r="AK4" s="313">
        <f t="shared" si="0"/>
        <v>2034</v>
      </c>
      <c r="AL4" s="313">
        <f t="shared" si="0"/>
        <v>2035</v>
      </c>
      <c r="AM4" s="313">
        <f t="shared" si="0"/>
        <v>2036</v>
      </c>
      <c r="AN4" s="313">
        <f t="shared" si="0"/>
        <v>2037</v>
      </c>
      <c r="AO4" s="313">
        <f t="shared" si="0"/>
        <v>2038</v>
      </c>
      <c r="AP4" s="313">
        <f t="shared" si="0"/>
        <v>2039</v>
      </c>
      <c r="AQ4" s="313">
        <f t="shared" si="0"/>
        <v>2040</v>
      </c>
      <c r="AR4" s="313">
        <f t="shared" si="0"/>
        <v>2041</v>
      </c>
      <c r="AS4" s="313">
        <f t="shared" si="0"/>
        <v>2042</v>
      </c>
      <c r="AT4" s="313">
        <f t="shared" si="0"/>
        <v>2043</v>
      </c>
      <c r="AU4" s="313">
        <f t="shared" si="0"/>
        <v>2044</v>
      </c>
      <c r="AV4" s="313">
        <f t="shared" si="0"/>
        <v>2045</v>
      </c>
      <c r="AW4" s="313">
        <f t="shared" si="0"/>
        <v>2046</v>
      </c>
      <c r="AX4" s="313">
        <f t="shared" si="0"/>
        <v>2047</v>
      </c>
      <c r="AY4" s="313">
        <f t="shared" si="0"/>
        <v>2048</v>
      </c>
      <c r="AZ4" s="313">
        <f t="shared" si="0"/>
        <v>2049</v>
      </c>
      <c r="BA4" s="868">
        <f t="shared" si="0"/>
        <v>2050</v>
      </c>
      <c r="BC4" s="1026"/>
    </row>
    <row r="5" spans="1:55" ht="20.100000000000001" customHeight="1" thickBot="1">
      <c r="A5" s="28"/>
      <c r="B5" s="1108" t="s">
        <v>1507</v>
      </c>
      <c r="C5" s="1108"/>
      <c r="D5" s="1108"/>
      <c r="E5" s="1108"/>
      <c r="F5" s="635"/>
      <c r="G5" s="636"/>
      <c r="H5" s="636"/>
      <c r="I5" s="1024"/>
      <c r="J5" s="1024"/>
      <c r="K5" s="1024"/>
      <c r="L5" s="1024"/>
      <c r="M5" s="1024"/>
      <c r="N5" s="1024"/>
      <c r="O5" s="460"/>
      <c r="P5" s="1024"/>
      <c r="Q5" s="1024"/>
      <c r="R5" s="29"/>
      <c r="S5" s="869" t="s">
        <v>2442</v>
      </c>
      <c r="T5" s="870" t="s">
        <v>2693</v>
      </c>
      <c r="U5" s="871"/>
      <c r="V5" s="871"/>
      <c r="W5" s="871"/>
      <c r="X5" s="440">
        <f>INDEX('DEFAULT DATA'!$E$9:E$41,START!C$3,1)</f>
        <v>100.05590062111801</v>
      </c>
      <c r="Y5" s="440">
        <f>(100+INDEX('DEFAULT DATA'!$F$9:$H$41,START!$C$3,1))/100*X5</f>
        <v>99.055341614906837</v>
      </c>
      <c r="Z5" s="440">
        <f>(100+INDEX('DEFAULT DATA'!$F$9:$H$41,START!$C$3,1))/100*Y5</f>
        <v>98.064788198757768</v>
      </c>
      <c r="AA5" s="440">
        <f>(100+INDEX('DEFAULT DATA'!$F$9:$H$41,START!$C$3,1))/100*Z5</f>
        <v>97.084140316770188</v>
      </c>
      <c r="AB5" s="440">
        <f>(100+INDEX('DEFAULT DATA'!$F$9:$H$41,START!$C$3,1))/100*AA5</f>
        <v>96.113298913602492</v>
      </c>
      <c r="AC5" s="440">
        <f>(100+INDEX('DEFAULT DATA'!$F$9:$H$41,START!$C$3,1))/100*AB5</f>
        <v>95.152165924466459</v>
      </c>
      <c r="AD5" s="440">
        <f>(100+INDEX('DEFAULT DATA'!$F$9:$H$41,START!$C$3,1))/100*AC5</f>
        <v>94.200644265221797</v>
      </c>
      <c r="AE5" s="440">
        <f>(100+INDEX('DEFAULT DATA'!$F$9:$H$41,START!$C$3,1))/100*AD5</f>
        <v>93.258637822569582</v>
      </c>
      <c r="AF5" s="440">
        <f>(100+INDEX('DEFAULT DATA'!$F$9:$H$41,START!$C$3,1))/100*AE5</f>
        <v>92.326051444343889</v>
      </c>
      <c r="AG5" s="440">
        <f>(100+INDEX('DEFAULT DATA'!$F$9:$H$41,START!$C$3,1))/100*AF5</f>
        <v>91.402790929900448</v>
      </c>
      <c r="AH5" s="440">
        <f>(100+INDEX('DEFAULT DATA'!$F$9:$H$41,START!$C$3,2))/100*AG5</f>
        <v>86.375637428755923</v>
      </c>
      <c r="AI5" s="440">
        <f>(100+INDEX('DEFAULT DATA'!$F$9:$H$41,START!$C$3,2))/100*AH5</f>
        <v>81.624977370174349</v>
      </c>
      <c r="AJ5" s="440">
        <f>(100+INDEX('DEFAULT DATA'!$F$9:$H$41,START!$C$3,2))/100*AI5</f>
        <v>77.135603614814755</v>
      </c>
      <c r="AK5" s="440">
        <f>(100+INDEX('DEFAULT DATA'!$F$9:$H$41,START!$C$3,2))/100*AJ5</f>
        <v>72.893145415999939</v>
      </c>
      <c r="AL5" s="440">
        <f>(100+INDEX('DEFAULT DATA'!$F$9:$H$41,START!$C$3,2))/100*AK5</f>
        <v>68.88402241811994</v>
      </c>
      <c r="AM5" s="440">
        <f>(100+INDEX('DEFAULT DATA'!$F$9:$H$41,START!$C$3,2))/100*AL5</f>
        <v>65.095401185123336</v>
      </c>
      <c r="AN5" s="440">
        <f>(100+INDEX('DEFAULT DATA'!$F$9:$H$41,START!$C$3,2))/100*AM5</f>
        <v>61.515154119941549</v>
      </c>
      <c r="AO5" s="440">
        <f>(100+INDEX('DEFAULT DATA'!$F$9:$H$41,START!$C$3,2))/100*AN5</f>
        <v>58.13182064334476</v>
      </c>
      <c r="AP5" s="440">
        <f>(100+INDEX('DEFAULT DATA'!$F$9:$H$41,START!$C$3,2))/100*AO5</f>
        <v>54.934570507960792</v>
      </c>
      <c r="AQ5" s="440">
        <f>(100+INDEX('DEFAULT DATA'!$F$9:$H$41,START!$C$3,2))/100*AP5</f>
        <v>51.913169130022943</v>
      </c>
      <c r="AR5" s="440">
        <f>(100+INDEX('DEFAULT DATA'!$F$9:$H$41,START!$C$3,3))/100*AQ5</f>
        <v>49.05794482787168</v>
      </c>
      <c r="AS5" s="440">
        <f>(100+INDEX('DEFAULT DATA'!$F$9:$H$41,START!$C$3,3))/100*AR5</f>
        <v>46.359757862338732</v>
      </c>
      <c r="AT5" s="440">
        <f>(100+INDEX('DEFAULT DATA'!$F$9:$H$41,START!$C$3,3))/100*AS5</f>
        <v>43.8099711799101</v>
      </c>
      <c r="AU5" s="440">
        <f>(100+INDEX('DEFAULT DATA'!$F$9:$H$41,START!$C$3,3))/100*AT5</f>
        <v>41.400422765015044</v>
      </c>
      <c r="AV5" s="440">
        <f>(100+INDEX('DEFAULT DATA'!$F$9:$H$41,START!$C$3,3))/100*AU5</f>
        <v>39.123399512939216</v>
      </c>
      <c r="AW5" s="440">
        <f>(100+INDEX('DEFAULT DATA'!$F$9:$H$41,START!$C$3,3))/100*AV5</f>
        <v>36.971612539727559</v>
      </c>
      <c r="AX5" s="440">
        <f>(100+INDEX('DEFAULT DATA'!$F$9:$H$41,START!$C$3,3))/100*AW5</f>
        <v>34.938173850042539</v>
      </c>
      <c r="AY5" s="440">
        <f>(100+INDEX('DEFAULT DATA'!$F$9:$H$41,START!$C$3,3))/100*AX5</f>
        <v>33.016574288290194</v>
      </c>
      <c r="AZ5" s="440">
        <f>(100+INDEX('DEFAULT DATA'!$F$9:$H$41,START!$C$3,3))/100*AY5</f>
        <v>31.200662702434233</v>
      </c>
      <c r="BA5" s="450">
        <f>(100+INDEX('DEFAULT DATA'!$F$9:$H$41,START!$C$3,3))/100*AZ5</f>
        <v>29.48462625380035</v>
      </c>
      <c r="BC5" s="1026"/>
    </row>
    <row r="6" spans="1:55" ht="20.100000000000001" customHeight="1" thickBot="1">
      <c r="A6" s="28"/>
      <c r="B6" s="1108" t="s">
        <v>1508</v>
      </c>
      <c r="C6" s="1108"/>
      <c r="D6" s="1108"/>
      <c r="E6" s="1108"/>
      <c r="F6" s="635"/>
      <c r="G6" s="636"/>
      <c r="H6" s="636"/>
      <c r="I6" s="1024"/>
      <c r="J6" s="1024"/>
      <c r="K6" s="1024"/>
      <c r="L6" s="1024"/>
      <c r="M6" s="1024"/>
      <c r="N6" s="1024"/>
      <c r="O6" s="460"/>
      <c r="P6" s="1024"/>
      <c r="Q6" s="1024"/>
      <c r="R6" s="29"/>
      <c r="S6" s="849" t="s">
        <v>312</v>
      </c>
      <c r="BC6" s="1026"/>
    </row>
    <row r="7" spans="1:55" ht="20.100000000000001" customHeight="1">
      <c r="A7" s="1132"/>
      <c r="B7" s="637" t="s">
        <v>148</v>
      </c>
      <c r="C7" s="1109"/>
      <c r="D7" s="1109"/>
      <c r="E7" s="1109"/>
      <c r="F7" s="637"/>
      <c r="G7" s="638" t="s">
        <v>89</v>
      </c>
      <c r="H7" s="638"/>
      <c r="I7" s="429"/>
      <c r="J7" s="429"/>
      <c r="K7" s="429"/>
      <c r="L7" s="429"/>
      <c r="M7" s="429"/>
      <c r="N7" s="429"/>
      <c r="O7" s="639"/>
      <c r="P7" s="1024"/>
      <c r="Q7" s="1024"/>
      <c r="R7" s="29"/>
      <c r="S7" s="872"/>
      <c r="T7" s="866" t="s">
        <v>2695</v>
      </c>
      <c r="U7" s="867"/>
      <c r="V7" s="1020">
        <v>2019</v>
      </c>
      <c r="W7" s="1020">
        <v>2020</v>
      </c>
      <c r="X7" s="313">
        <v>2021</v>
      </c>
      <c r="Y7" s="313">
        <f>X7+1</f>
        <v>2022</v>
      </c>
      <c r="Z7" s="313">
        <f t="shared" ref="Z7" si="1">Y7+1</f>
        <v>2023</v>
      </c>
      <c r="AA7" s="313">
        <f t="shared" ref="AA7" si="2">Z7+1</f>
        <v>2024</v>
      </c>
      <c r="AB7" s="313">
        <f t="shared" ref="AB7" si="3">AA7+1</f>
        <v>2025</v>
      </c>
      <c r="AC7" s="313">
        <f t="shared" ref="AC7" si="4">AB7+1</f>
        <v>2026</v>
      </c>
      <c r="AD7" s="313">
        <f t="shared" ref="AD7" si="5">AC7+1</f>
        <v>2027</v>
      </c>
      <c r="AE7" s="313">
        <f t="shared" ref="AE7" si="6">AD7+1</f>
        <v>2028</v>
      </c>
      <c r="AF7" s="313">
        <f t="shared" ref="AF7" si="7">AE7+1</f>
        <v>2029</v>
      </c>
      <c r="AG7" s="313">
        <f t="shared" ref="AG7" si="8">AF7+1</f>
        <v>2030</v>
      </c>
      <c r="AH7" s="313">
        <f t="shared" ref="AH7" si="9">AG7+1</f>
        <v>2031</v>
      </c>
      <c r="AI7" s="313">
        <f t="shared" ref="AI7" si="10">AH7+1</f>
        <v>2032</v>
      </c>
      <c r="AJ7" s="313">
        <f t="shared" ref="AJ7" si="11">AI7+1</f>
        <v>2033</v>
      </c>
      <c r="AK7" s="313">
        <f t="shared" ref="AK7" si="12">AJ7+1</f>
        <v>2034</v>
      </c>
      <c r="AL7" s="313">
        <f t="shared" ref="AL7" si="13">AK7+1</f>
        <v>2035</v>
      </c>
      <c r="AM7" s="313">
        <f t="shared" ref="AM7" si="14">AL7+1</f>
        <v>2036</v>
      </c>
      <c r="AN7" s="313">
        <f t="shared" ref="AN7" si="15">AM7+1</f>
        <v>2037</v>
      </c>
      <c r="AO7" s="313">
        <f t="shared" ref="AO7" si="16">AN7+1</f>
        <v>2038</v>
      </c>
      <c r="AP7" s="313">
        <f t="shared" ref="AP7" si="17">AO7+1</f>
        <v>2039</v>
      </c>
      <c r="AQ7" s="313">
        <f t="shared" ref="AQ7" si="18">AP7+1</f>
        <v>2040</v>
      </c>
      <c r="AR7" s="313">
        <f t="shared" ref="AR7" si="19">AQ7+1</f>
        <v>2041</v>
      </c>
      <c r="AS7" s="313">
        <f t="shared" ref="AS7" si="20">AR7+1</f>
        <v>2042</v>
      </c>
      <c r="AT7" s="313">
        <f t="shared" ref="AT7" si="21">AS7+1</f>
        <v>2043</v>
      </c>
      <c r="AU7" s="313">
        <f t="shared" ref="AU7" si="22">AT7+1</f>
        <v>2044</v>
      </c>
      <c r="AV7" s="313">
        <f t="shared" ref="AV7" si="23">AU7+1</f>
        <v>2045</v>
      </c>
      <c r="AW7" s="313">
        <f t="shared" ref="AW7" si="24">AV7+1</f>
        <v>2046</v>
      </c>
      <c r="AX7" s="313">
        <f t="shared" ref="AX7" si="25">AW7+1</f>
        <v>2047</v>
      </c>
      <c r="AY7" s="313">
        <f t="shared" ref="AY7" si="26">AX7+1</f>
        <v>2048</v>
      </c>
      <c r="AZ7" s="313">
        <f t="shared" ref="AZ7" si="27">AY7+1</f>
        <v>2049</v>
      </c>
      <c r="BA7" s="868">
        <f t="shared" ref="BA7" si="28">AZ7+1</f>
        <v>2050</v>
      </c>
      <c r="BC7" s="1026"/>
    </row>
    <row r="8" spans="1:55" ht="20.100000000000001" customHeight="1" thickBot="1">
      <c r="A8" s="28"/>
      <c r="B8" s="1428" t="s">
        <v>84</v>
      </c>
      <c r="C8" s="1428"/>
      <c r="D8" s="1428"/>
      <c r="E8" s="1428"/>
      <c r="F8" s="1428"/>
      <c r="G8" s="495">
        <v>75</v>
      </c>
      <c r="H8" s="640"/>
      <c r="I8" s="1024"/>
      <c r="J8" s="1024"/>
      <c r="K8" s="1024"/>
      <c r="L8" s="1024"/>
      <c r="M8" s="1024"/>
      <c r="N8" s="1024"/>
      <c r="O8" s="460"/>
      <c r="P8" s="1024"/>
      <c r="Q8" s="1024"/>
      <c r="R8" s="29"/>
      <c r="S8" s="845"/>
      <c r="T8" s="870" t="s">
        <v>2694</v>
      </c>
      <c r="U8" s="871"/>
      <c r="V8" s="871"/>
      <c r="W8" s="871"/>
      <c r="X8" s="368"/>
      <c r="Y8" s="320">
        <f>IF(Y7=(2021+START!$C$2),START!$C$4,ROUNDUP(X8*(100+INDEX('DEFAULT DATA'!$B$9:$D$41,START!$C$3,1))/100,0))</f>
        <v>0</v>
      </c>
      <c r="Z8" s="320">
        <f>IF(Z7=(2021+START!$C$2),START!$C$4,ROUNDUP(Y8*(100+INDEX('DEFAULT DATA'!$B$9:$D$41,START!$C$3,1))/100,0))</f>
        <v>194942</v>
      </c>
      <c r="AA8" s="320">
        <f>IF(AA7=(2021+START!$C$2),START!$C$4,ROUNDUP(Z8*(100+INDEX('DEFAULT DATA'!$B$9:$D$41,START!$C$3,1))/100,0))</f>
        <v>195917</v>
      </c>
      <c r="AB8" s="320">
        <f>IF(AB7=(2021+START!$C$2),START!$C$4,ROUNDUP(AA8*(100+INDEX('DEFAULT DATA'!$B$9:$D$41,START!$C$3,1))/100,0))</f>
        <v>196897</v>
      </c>
      <c r="AC8" s="320">
        <f>IF(AC7=(2021+START!$C$2),START!$C$4,ROUNDUP(AB8*(100+INDEX('DEFAULT DATA'!$B$9:$D$41,START!$C$3,1))/100,0))</f>
        <v>197882</v>
      </c>
      <c r="AD8" s="320">
        <f>IF(AD7=(2021+START!$C$2),START!$C$4,ROUNDUP(AC8*(100+INDEX('DEFAULT DATA'!$B$9:$D$41,START!$C$3,1))/100,0))</f>
        <v>198872</v>
      </c>
      <c r="AE8" s="320">
        <f>IF(AE7=(2021+START!$C$2),START!$C$4,ROUNDUP(AD8*(100+INDEX('DEFAULT DATA'!$B$9:$D$41,START!$C$3,1))/100,0))</f>
        <v>199867</v>
      </c>
      <c r="AF8" s="320">
        <f>IF(AF7=(2021+START!$C$2),START!$C$4,ROUNDUP(AE8*(100+INDEX('DEFAULT DATA'!$B$9:$D$41,START!$C$3,1))/100,0))</f>
        <v>200867</v>
      </c>
      <c r="AG8" s="320">
        <f>IF(AG7=(2021+START!$C$2),START!$C$4,ROUNDUP(AF8*(100+INDEX('DEFAULT DATA'!$B$9:$D$41,START!$C$3,1))/100,0))</f>
        <v>201872</v>
      </c>
      <c r="AH8" s="320">
        <f>IF(AH7=(2021+START!$C$2),START!$C$4,ROUNDUP(AG8*(100+INDEX('DEFAULT DATA'!$B$9:$D$41,START!$C$3,2))/100,0))</f>
        <v>202276</v>
      </c>
      <c r="AI8" s="320">
        <f>IF(AI7=(2021+START!$C$2),START!$C$4,ROUNDUP(AH8*(100+INDEX('DEFAULT DATA'!$B$9:$D$41,START!$C$3,2))/100,0))</f>
        <v>202681</v>
      </c>
      <c r="AJ8" s="320">
        <f>IF(AJ7=(2021+START!$C$2),START!$C$4,ROUNDUP(AI8*(100+INDEX('DEFAULT DATA'!$B$9:$D$41,START!$C$3,2))/100,0))</f>
        <v>203087</v>
      </c>
      <c r="AK8" s="320">
        <f>IF(AK7=(2021+START!$C$2),START!$C$4,ROUNDUP(AJ8*(100+INDEX('DEFAULT DATA'!$B$9:$D$41,START!$C$3,2))/100,0))</f>
        <v>203494</v>
      </c>
      <c r="AL8" s="320">
        <f>IF(AL7=(2021+START!$C$2),START!$C$4,ROUNDUP(AK8*(100+INDEX('DEFAULT DATA'!$B$9:$D$41,START!$C$3,2))/100,0))</f>
        <v>203901</v>
      </c>
      <c r="AM8" s="320">
        <f>IF(AM7=(2021+START!$C$2),START!$C$4,ROUNDUP(AL8*(100+INDEX('DEFAULT DATA'!$B$9:$D$41,START!$C$3,2))/100,0))</f>
        <v>204309</v>
      </c>
      <c r="AN8" s="320">
        <f>IF(AN7=(2021+START!$C$2),START!$C$4,ROUNDUP(AM8*(100+INDEX('DEFAULT DATA'!$B$9:$D$41,START!$C$3,2))/100,0))</f>
        <v>204718</v>
      </c>
      <c r="AO8" s="320">
        <f>IF(AO7=(2021+START!$C$2),START!$C$4,ROUNDUP(AN8*(100+INDEX('DEFAULT DATA'!$B$9:$D$41,START!$C$3,2))/100,0))</f>
        <v>205128</v>
      </c>
      <c r="AP8" s="320">
        <f>IF(AP7=(2021+START!$C$2),START!$C$4,ROUNDUP(AO8*(100+INDEX('DEFAULT DATA'!$B$9:$D$41,START!$C$3,2))/100,0))</f>
        <v>205539</v>
      </c>
      <c r="AQ8" s="320">
        <f>IF(AQ7=(2021+START!$C$2),START!$C$4,ROUNDUP(AP8*(100+INDEX('DEFAULT DATA'!$B$9:$D$41,START!$C$3,2))/100,0))</f>
        <v>205951</v>
      </c>
      <c r="AR8" s="320">
        <f>IF(AR7=(2021+START!$C$2),START!$C$4,ROUNDUP(AQ8*(100+INDEX('DEFAULT DATA'!$B$9:$D$41,START!$C$3,3))/100,0))</f>
        <v>206363</v>
      </c>
      <c r="AS8" s="320">
        <f>IF(AS7=(2021+START!$C$2),START!$C$4,ROUNDUP(AR8*(100+INDEX('DEFAULT DATA'!$B$9:$D$41,START!$C$3,3))/100,0))</f>
        <v>206776</v>
      </c>
      <c r="AT8" s="320">
        <f>IF(AT7=(2021+START!$C$2),START!$C$4,ROUNDUP(AS8*(100+INDEX('DEFAULT DATA'!$B$9:$D$41,START!$C$3,3))/100,0))</f>
        <v>207190</v>
      </c>
      <c r="AU8" s="320">
        <f>IF(AU7=(2021+START!$C$2),START!$C$4,ROUNDUP(AT8*(100+INDEX('DEFAULT DATA'!$B$9:$D$41,START!$C$3,3))/100,0))</f>
        <v>207605</v>
      </c>
      <c r="AV8" s="320">
        <f>IF(AV7=(2021+START!$C$2),START!$C$4,ROUNDUP(AU8*(100+INDEX('DEFAULT DATA'!$B$9:$D$41,START!$C$3,3))/100,0))</f>
        <v>208021</v>
      </c>
      <c r="AW8" s="320">
        <f>IF(AW7=(2021+START!$C$2),START!$C$4,ROUNDUP(AV8*(100+INDEX('DEFAULT DATA'!$B$9:$D$41,START!$C$3,3))/100,0))</f>
        <v>208438</v>
      </c>
      <c r="AX8" s="320">
        <f>IF(AX7=(2021+START!$C$2),START!$C$4,ROUNDUP(AW8*(100+INDEX('DEFAULT DATA'!$B$9:$D$41,START!$C$3,3))/100,0))</f>
        <v>208855</v>
      </c>
      <c r="AY8" s="320">
        <f>IF(AY7=(2021+START!$C$2),START!$C$4,ROUNDUP(AX8*(100+INDEX('DEFAULT DATA'!$B$9:$D$41,START!$C$3,3))/100,0))</f>
        <v>209273</v>
      </c>
      <c r="AZ8" s="320">
        <f>IF(AZ7=(2021+START!$C$2),START!$C$4,ROUNDUP(AY8*(100+INDEX('DEFAULT DATA'!$B$9:$D$41,START!$C$3,3))/100,0))</f>
        <v>209692</v>
      </c>
      <c r="BA8" s="321">
        <f>IF(BA7=(2021+START!$C$2),START!$C$4,ROUNDUP(AZ8*(100+INDEX('DEFAULT DATA'!$B$9:$D$41,START!$C$3,3))/100,0))</f>
        <v>210112</v>
      </c>
      <c r="BC8" s="1026"/>
    </row>
    <row r="9" spans="1:55" ht="20.100000000000001" customHeight="1" thickBot="1">
      <c r="A9" s="28"/>
      <c r="B9" s="1428" t="s">
        <v>85</v>
      </c>
      <c r="C9" s="1428"/>
      <c r="D9" s="1428"/>
      <c r="E9" s="1428"/>
      <c r="F9" s="1428"/>
      <c r="G9" s="282">
        <v>25</v>
      </c>
      <c r="H9" s="640"/>
      <c r="I9" s="1024"/>
      <c r="J9" s="1024"/>
      <c r="K9" s="1024"/>
      <c r="L9" s="1024"/>
      <c r="M9" s="1024"/>
      <c r="N9" s="1024"/>
      <c r="O9" s="460"/>
      <c r="P9" s="1024"/>
      <c r="Q9" s="1024"/>
      <c r="R9" s="29"/>
    </row>
    <row r="10" spans="1:55" ht="20.100000000000001" customHeight="1">
      <c r="A10" s="28"/>
      <c r="B10" s="1428" t="s">
        <v>86</v>
      </c>
      <c r="C10" s="1428"/>
      <c r="D10" s="1428"/>
      <c r="E10" s="1428"/>
      <c r="F10" s="1428"/>
      <c r="G10" s="282">
        <v>0</v>
      </c>
      <c r="H10" s="640"/>
      <c r="I10" s="1024"/>
      <c r="J10" s="1024"/>
      <c r="K10" s="1024"/>
      <c r="L10" s="1024"/>
      <c r="M10" s="1024"/>
      <c r="N10" s="1024"/>
      <c r="O10" s="460"/>
      <c r="P10" s="1024"/>
      <c r="Q10" s="1024"/>
      <c r="R10" s="29"/>
      <c r="S10" s="1006" t="s">
        <v>2687</v>
      </c>
      <c r="T10" s="1007"/>
      <c r="U10" s="417"/>
      <c r="V10" s="417"/>
      <c r="W10" s="417"/>
      <c r="X10" s="417"/>
      <c r="Y10" s="417"/>
      <c r="Z10" s="417"/>
      <c r="AA10" s="417"/>
      <c r="AB10" s="417"/>
      <c r="AC10" s="417"/>
      <c r="AE10" s="1021"/>
    </row>
    <row r="11" spans="1:55" ht="20.100000000000001" customHeight="1">
      <c r="A11" s="28"/>
      <c r="B11" s="1428" t="s">
        <v>87</v>
      </c>
      <c r="C11" s="1428"/>
      <c r="D11" s="1428"/>
      <c r="E11" s="1428"/>
      <c r="F11" s="1428"/>
      <c r="G11" s="282">
        <v>0</v>
      </c>
      <c r="H11" s="640"/>
      <c r="I11" s="1024"/>
      <c r="J11" s="1024"/>
      <c r="K11" s="1024"/>
      <c r="L11" s="1024"/>
      <c r="M11" s="1024"/>
      <c r="N11" s="1024"/>
      <c r="O11" s="460"/>
      <c r="P11" s="1024"/>
      <c r="Q11" s="1024"/>
      <c r="R11" s="29"/>
      <c r="S11" s="1008" t="s">
        <v>2688</v>
      </c>
      <c r="T11" s="1009"/>
      <c r="U11" s="417"/>
      <c r="V11" s="417"/>
      <c r="W11" s="417"/>
      <c r="X11" s="417"/>
      <c r="Y11" s="417"/>
      <c r="Z11" s="417"/>
      <c r="AA11" s="417"/>
      <c r="AB11" s="417"/>
      <c r="AC11" s="417"/>
    </row>
    <row r="12" spans="1:55" ht="20.100000000000001" customHeight="1">
      <c r="A12" s="28"/>
      <c r="B12" s="1428" t="s">
        <v>88</v>
      </c>
      <c r="C12" s="1428"/>
      <c r="D12" s="1428"/>
      <c r="E12" s="1428"/>
      <c r="F12" s="1428"/>
      <c r="G12" s="282">
        <v>0</v>
      </c>
      <c r="H12" s="640"/>
      <c r="I12" s="1024"/>
      <c r="J12" s="1024"/>
      <c r="K12" s="1024"/>
      <c r="L12" s="1024"/>
      <c r="M12" s="1024"/>
      <c r="N12" s="1024"/>
      <c r="O12" s="460"/>
      <c r="P12" s="1024"/>
      <c r="Q12" s="1024"/>
      <c r="R12" s="29"/>
      <c r="S12" s="1010" t="s">
        <v>2689</v>
      </c>
      <c r="T12" s="1009"/>
      <c r="U12" s="417"/>
      <c r="V12" s="417"/>
      <c r="W12" s="417"/>
      <c r="X12" s="417"/>
      <c r="Y12" s="417"/>
      <c r="Z12" s="417"/>
      <c r="AA12" s="417"/>
      <c r="AB12" s="417"/>
      <c r="AC12" s="417"/>
    </row>
    <row r="13" spans="1:55" ht="20.100000000000001" customHeight="1" thickBot="1">
      <c r="A13" s="28"/>
      <c r="B13" s="1110" t="str">
        <f>IF(G13=100,"","The sum is not 100%")</f>
        <v/>
      </c>
      <c r="C13" s="1110"/>
      <c r="D13" s="1110"/>
      <c r="E13" s="1110"/>
      <c r="F13" s="222"/>
      <c r="G13" s="640">
        <f>SUM(G8:G12)</f>
        <v>100</v>
      </c>
      <c r="H13" s="640"/>
      <c r="I13" s="1024"/>
      <c r="J13" s="1024"/>
      <c r="K13" s="1024"/>
      <c r="L13" s="1024"/>
      <c r="M13" s="1024"/>
      <c r="N13" s="1024"/>
      <c r="O13" s="460"/>
      <c r="P13" s="1024"/>
      <c r="Q13" s="1024"/>
      <c r="R13" s="29"/>
      <c r="S13" s="1011" t="s">
        <v>2690</v>
      </c>
      <c r="T13" s="1012"/>
      <c r="U13" s="417"/>
      <c r="V13" s="417"/>
      <c r="W13" s="417"/>
      <c r="X13" s="417"/>
      <c r="Y13" s="417"/>
      <c r="Z13" s="417"/>
      <c r="AA13" s="417"/>
      <c r="AB13" s="417"/>
      <c r="AC13" s="417"/>
    </row>
    <row r="14" spans="1:55" ht="20.100000000000001" customHeight="1" thickBot="1">
      <c r="A14" s="1132"/>
      <c r="B14" s="641" t="s">
        <v>149</v>
      </c>
      <c r="C14" s="274"/>
      <c r="D14" s="274"/>
      <c r="E14" s="274"/>
      <c r="F14" s="641"/>
      <c r="G14" s="1093" t="s">
        <v>139</v>
      </c>
      <c r="H14" s="638"/>
      <c r="I14" s="429"/>
      <c r="J14" s="429"/>
      <c r="K14" s="429"/>
      <c r="L14" s="429"/>
      <c r="M14" s="429"/>
      <c r="N14" s="429"/>
      <c r="O14" s="639"/>
      <c r="P14" s="1024"/>
      <c r="Q14" s="1024"/>
      <c r="R14" s="29"/>
      <c r="S14" s="454" t="s">
        <v>2691</v>
      </c>
      <c r="T14" s="417"/>
      <c r="U14" s="783"/>
      <c r="V14" s="990" t="s">
        <v>2414</v>
      </c>
      <c r="W14" s="990" t="s">
        <v>2650</v>
      </c>
      <c r="X14" s="989" t="s">
        <v>2415</v>
      </c>
      <c r="Y14" s="989" t="s">
        <v>2651</v>
      </c>
      <c r="Z14" s="990" t="s">
        <v>2652</v>
      </c>
      <c r="AA14" s="990" t="s">
        <v>2653</v>
      </c>
      <c r="AB14" s="990" t="s">
        <v>2654</v>
      </c>
      <c r="AC14" s="990" t="s">
        <v>2655</v>
      </c>
      <c r="AD14" s="382"/>
      <c r="AE14" s="382"/>
      <c r="AF14" s="168"/>
      <c r="AG14" s="168"/>
      <c r="AH14" s="401"/>
      <c r="AI14" s="401"/>
      <c r="AJ14" s="401"/>
      <c r="AK14" s="401"/>
      <c r="AL14" s="401"/>
      <c r="AM14" s="401"/>
      <c r="AN14" s="401"/>
      <c r="AO14" s="401"/>
      <c r="AP14" s="401"/>
      <c r="AQ14" s="401"/>
      <c r="AR14" s="401"/>
      <c r="AS14" s="401"/>
      <c r="AT14" s="401"/>
      <c r="AU14" s="401"/>
      <c r="AV14" s="401"/>
      <c r="AW14" s="401"/>
      <c r="AX14" s="401"/>
      <c r="AY14" s="401"/>
      <c r="AZ14" s="401"/>
      <c r="BA14" s="401"/>
    </row>
    <row r="15" spans="1:55" ht="20.100000000000001" customHeight="1">
      <c r="A15" s="28"/>
      <c r="B15" s="222" t="s">
        <v>140</v>
      </c>
      <c r="C15" s="222"/>
      <c r="D15" s="222"/>
      <c r="E15" s="222"/>
      <c r="F15" s="222"/>
      <c r="G15" s="1315">
        <v>100</v>
      </c>
      <c r="H15" s="640"/>
      <c r="I15" s="222"/>
      <c r="J15" s="222"/>
      <c r="K15" s="222"/>
      <c r="L15" s="222"/>
      <c r="M15" s="222"/>
      <c r="N15" s="222"/>
      <c r="O15" s="276"/>
      <c r="P15" s="222"/>
      <c r="Q15" s="222"/>
      <c r="R15" s="25"/>
      <c r="S15" s="906" t="s">
        <v>229</v>
      </c>
      <c r="T15" s="873" t="s">
        <v>1937</v>
      </c>
      <c r="U15" s="983" t="s">
        <v>309</v>
      </c>
      <c r="V15" s="316" t="s">
        <v>91</v>
      </c>
      <c r="W15" s="316" t="s">
        <v>92</v>
      </c>
      <c r="X15" s="316" t="s">
        <v>98</v>
      </c>
      <c r="Y15" s="316" t="s">
        <v>93</v>
      </c>
      <c r="Z15" s="316" t="s">
        <v>94</v>
      </c>
      <c r="AA15" s="316" t="s">
        <v>95</v>
      </c>
      <c r="AB15" s="316" t="s">
        <v>96</v>
      </c>
      <c r="AC15" s="1013" t="s">
        <v>97</v>
      </c>
    </row>
    <row r="16" spans="1:55" ht="20.100000000000001" customHeight="1">
      <c r="A16" s="28"/>
      <c r="B16" s="222" t="s">
        <v>141</v>
      </c>
      <c r="C16" s="222"/>
      <c r="D16" s="222"/>
      <c r="E16" s="222"/>
      <c r="F16" s="222"/>
      <c r="G16" s="1315">
        <v>100</v>
      </c>
      <c r="H16" s="640"/>
      <c r="I16" s="1024"/>
      <c r="J16" s="1024"/>
      <c r="K16" s="1024"/>
      <c r="L16" s="1024"/>
      <c r="M16" s="1024"/>
      <c r="N16" s="1024"/>
      <c r="O16" s="460"/>
      <c r="P16" s="1024"/>
      <c r="Q16" s="1024"/>
      <c r="R16" s="29"/>
      <c r="S16" s="1014"/>
      <c r="T16" s="564" t="s">
        <v>84</v>
      </c>
      <c r="U16" s="282">
        <f>G8</f>
        <v>75</v>
      </c>
      <c r="V16" s="272">
        <f>INDEX('DEFAULT DATA'!$W$9:$AA$41,START!$C$3,1)</f>
        <v>2</v>
      </c>
      <c r="W16" s="272">
        <f>INDEX('DEFAULT DATA'!$CX$9:$DB$41,START!$C$3,1)</f>
        <v>0.3</v>
      </c>
      <c r="X16" s="272">
        <v>1</v>
      </c>
      <c r="Y16" s="272">
        <v>1</v>
      </c>
      <c r="Z16" s="272">
        <f>INDEX('DEFAULT DATA'!$JB$9:$JF$41,START!$C$3,1)</f>
        <v>2</v>
      </c>
      <c r="AA16" s="272">
        <f>INDEX('DEFAULT DATA'!$JN$9:$JR$41,START!$C$3,1)</f>
        <v>2</v>
      </c>
      <c r="AB16" s="272">
        <f>INDEX('DEFAULT DATA'!$JY$9:$KC$41,START!$C$3,1)</f>
        <v>2</v>
      </c>
      <c r="AC16" s="324">
        <f>INDEX('DEFAULT DATA'!$LP$9:$LT$41,START!$C$3,1)</f>
        <v>2</v>
      </c>
    </row>
    <row r="17" spans="1:63" ht="20.100000000000001" customHeight="1">
      <c r="A17" s="28"/>
      <c r="B17" s="1024"/>
      <c r="C17" s="1024"/>
      <c r="D17" s="1024"/>
      <c r="E17" s="1024"/>
      <c r="F17" s="1024"/>
      <c r="G17" s="1024"/>
      <c r="H17" s="640"/>
      <c r="I17" s="1024"/>
      <c r="J17" s="1024"/>
      <c r="K17" s="1024"/>
      <c r="L17" s="1024"/>
      <c r="M17" s="1024"/>
      <c r="N17" s="1024"/>
      <c r="O17" s="460"/>
      <c r="P17" s="1024"/>
      <c r="Q17" s="1024"/>
      <c r="R17" s="29"/>
      <c r="S17" s="1014"/>
      <c r="T17" s="564" t="s">
        <v>85</v>
      </c>
      <c r="U17" s="282">
        <f>G9</f>
        <v>25</v>
      </c>
      <c r="V17" s="272">
        <f>INDEX('DEFAULT DATA'!$W$9:$AA$41,START!$C$3,2)</f>
        <v>1.5</v>
      </c>
      <c r="W17" s="272">
        <f>INDEX('DEFAULT DATA'!$CX$9:$DB$41,START!$C$3,2)</f>
        <v>0.7</v>
      </c>
      <c r="X17" s="272">
        <v>1</v>
      </c>
      <c r="Y17" s="272">
        <v>1</v>
      </c>
      <c r="Z17" s="272">
        <f>INDEX('DEFAULT DATA'!$JB$9:$JF$41,START!$C$3,2)</f>
        <v>1.5</v>
      </c>
      <c r="AA17" s="272">
        <f>INDEX('DEFAULT DATA'!$JN$9:$JR$41,START!$C$3,2)</f>
        <v>2</v>
      </c>
      <c r="AB17" s="272">
        <f>INDEX('DEFAULT DATA'!$JY$9:$KC$41,START!$C$3,2)</f>
        <v>1.5</v>
      </c>
      <c r="AC17" s="324">
        <f>INDEX('DEFAULT DATA'!$LP$9:$LT$41,START!$C$3,2)</f>
        <v>1</v>
      </c>
    </row>
    <row r="18" spans="1:63" ht="20.100000000000001" customHeight="1">
      <c r="A18" s="28"/>
      <c r="B18" s="274" t="s">
        <v>150</v>
      </c>
      <c r="C18" s="274"/>
      <c r="D18" s="274"/>
      <c r="E18" s="274"/>
      <c r="F18" s="641"/>
      <c r="G18" s="1607"/>
      <c r="H18" s="1607"/>
      <c r="I18" s="429"/>
      <c r="J18" s="429"/>
      <c r="K18" s="429"/>
      <c r="L18" s="429"/>
      <c r="M18" s="429"/>
      <c r="N18" s="429"/>
      <c r="O18" s="639"/>
      <c r="P18" s="1024"/>
      <c r="Q18" s="1024"/>
      <c r="R18" s="29"/>
      <c r="S18" s="1014"/>
      <c r="T18" s="564" t="s">
        <v>86</v>
      </c>
      <c r="U18" s="282">
        <f>G10</f>
        <v>0</v>
      </c>
      <c r="V18" s="272">
        <f>INDEX('DEFAULT DATA'!$W$9:$AA$41,START!$C$3,3)</f>
        <v>1</v>
      </c>
      <c r="W18" s="272">
        <f>INDEX('DEFAULT DATA'!$CX$9:$DB$41,START!$C$3,3)</f>
        <v>1.2</v>
      </c>
      <c r="X18" s="272">
        <v>1</v>
      </c>
      <c r="Y18" s="272">
        <v>1</v>
      </c>
      <c r="Z18" s="272">
        <f>INDEX('DEFAULT DATA'!$JB$9:$JF$41,START!$C$3,3)</f>
        <v>0.7</v>
      </c>
      <c r="AA18" s="272">
        <f>INDEX('DEFAULT DATA'!$JN$9:$JR$41,START!$C$3,3)</f>
        <v>1</v>
      </c>
      <c r="AB18" s="272">
        <f>INDEX('DEFAULT DATA'!$JY$9:$KC$41,START!$C$3,3)</f>
        <v>0.5</v>
      </c>
      <c r="AC18" s="324">
        <f>INDEX('DEFAULT DATA'!$LP$9:$LT$41,START!$C$3,3)</f>
        <v>0.5</v>
      </c>
    </row>
    <row r="19" spans="1:63" ht="20.100000000000001" customHeight="1">
      <c r="A19" s="28"/>
      <c r="B19" s="222" t="s">
        <v>142</v>
      </c>
      <c r="C19" s="222"/>
      <c r="D19" s="222"/>
      <c r="E19" s="222"/>
      <c r="F19" s="222"/>
      <c r="G19" s="222">
        <v>2</v>
      </c>
      <c r="H19" s="222"/>
      <c r="I19" s="1024"/>
      <c r="J19" s="1024"/>
      <c r="K19" s="1024"/>
      <c r="L19" s="1024"/>
      <c r="M19" s="1024"/>
      <c r="N19" s="1024"/>
      <c r="O19" s="460"/>
      <c r="P19" s="1024"/>
      <c r="Q19" s="1024"/>
      <c r="R19" s="29"/>
      <c r="S19" s="1014"/>
      <c r="T19" s="564" t="s">
        <v>87</v>
      </c>
      <c r="U19" s="282">
        <f>G11</f>
        <v>0</v>
      </c>
      <c r="V19" s="272">
        <f>INDEX('DEFAULT DATA'!$W$9:$AA$41,START!$C$3,4)</f>
        <v>0.8</v>
      </c>
      <c r="W19" s="272">
        <f>INDEX('DEFAULT DATA'!$CX$9:$DB$41,START!$C$3,4)</f>
        <v>1.2</v>
      </c>
      <c r="X19" s="272">
        <v>1</v>
      </c>
      <c r="Y19" s="272">
        <v>1</v>
      </c>
      <c r="Z19" s="272">
        <f>INDEX('DEFAULT DATA'!$JB$9:$JF$41,START!$C$3,4)</f>
        <v>0.7</v>
      </c>
      <c r="AA19" s="272">
        <f>INDEX('DEFAULT DATA'!$JN$9:$JR$41,START!$C$3,4)</f>
        <v>1</v>
      </c>
      <c r="AB19" s="272">
        <f>INDEX('DEFAULT DATA'!$JY$9:$KC$41,START!$C$3,4)</f>
        <v>1</v>
      </c>
      <c r="AC19" s="324">
        <f>INDEX('DEFAULT DATA'!$LP$9:$LT$41,START!$C$3,4)</f>
        <v>0.7</v>
      </c>
    </row>
    <row r="20" spans="1:63" ht="20.100000000000001" customHeight="1" thickBot="1">
      <c r="A20" s="28"/>
      <c r="B20" s="222" t="s">
        <v>143</v>
      </c>
      <c r="C20" s="222"/>
      <c r="D20" s="222"/>
      <c r="E20" s="222"/>
      <c r="F20" s="222"/>
      <c r="G20" s="222">
        <v>3</v>
      </c>
      <c r="H20" s="222"/>
      <c r="I20" s="1024"/>
      <c r="J20" s="1024"/>
      <c r="K20" s="1024"/>
      <c r="L20" s="1024"/>
      <c r="M20" s="1024"/>
      <c r="N20" s="1024"/>
      <c r="O20" s="460"/>
      <c r="P20" s="1024"/>
      <c r="Q20" s="1024"/>
      <c r="R20" s="29"/>
      <c r="S20" s="907"/>
      <c r="T20" s="778" t="s">
        <v>88</v>
      </c>
      <c r="U20" s="538">
        <f>G12</f>
        <v>0</v>
      </c>
      <c r="V20" s="325">
        <f>INDEX('DEFAULT DATA'!$W$9:$AA$41,START!$C$3,5)</f>
        <v>0.5</v>
      </c>
      <c r="W20" s="325">
        <f>INDEX('DEFAULT DATA'!$CX$9:$DB$41,START!$C$3,5)</f>
        <v>3</v>
      </c>
      <c r="X20" s="325">
        <v>1</v>
      </c>
      <c r="Y20" s="325">
        <v>1</v>
      </c>
      <c r="Z20" s="325">
        <f>INDEX('DEFAULT DATA'!$JB$9:$JF$41,START!$C$3,5)</f>
        <v>0.5</v>
      </c>
      <c r="AA20" s="325">
        <f>INDEX('DEFAULT DATA'!$JN$9:$JR$41,START!$C$3,5)</f>
        <v>0.5</v>
      </c>
      <c r="AB20" s="325">
        <f>INDEX('DEFAULT DATA'!$JY$9:$KC$41,START!$C$3,5)</f>
        <v>0.5</v>
      </c>
      <c r="AC20" s="326">
        <f>INDEX('DEFAULT DATA'!$LP$9:$LT$41,START!$C$3,5)</f>
        <v>0.2</v>
      </c>
    </row>
    <row r="21" spans="1:63" ht="20.100000000000001" customHeight="1" thickBot="1">
      <c r="A21" s="28"/>
      <c r="B21" s="222" t="s">
        <v>144</v>
      </c>
      <c r="C21" s="222"/>
      <c r="D21" s="222"/>
      <c r="E21" s="222"/>
      <c r="F21" s="222"/>
      <c r="G21" s="222">
        <v>3</v>
      </c>
      <c r="H21" s="222"/>
      <c r="I21" s="1024"/>
      <c r="J21" s="1024"/>
      <c r="K21" s="1024"/>
      <c r="L21" s="1024"/>
      <c r="M21" s="1024"/>
      <c r="N21" s="1024"/>
      <c r="O21" s="460"/>
      <c r="P21" s="1024"/>
      <c r="Q21" s="1024"/>
      <c r="R21" s="29"/>
      <c r="S21" s="1015"/>
      <c r="T21" s="874" t="s">
        <v>1938</v>
      </c>
      <c r="U21" s="1016"/>
      <c r="V21" s="899">
        <f>($G$8/100*V16)+($G$9/100*V17)+($G$10/100*V18)+($G$11/100*V19)+($G$12/100*V20)</f>
        <v>1.875</v>
      </c>
      <c r="W21" s="899">
        <f t="shared" ref="W21:AC21" si="29">($G$8/100*W16)+($G$9/100*W17)+($G$10/100*W18)+($G$11/100*W19)+($G$12/100*W20)</f>
        <v>0.39999999999999997</v>
      </c>
      <c r="X21" s="899">
        <f t="shared" si="29"/>
        <v>1</v>
      </c>
      <c r="Y21" s="899">
        <f t="shared" si="29"/>
        <v>1</v>
      </c>
      <c r="Z21" s="899">
        <f t="shared" si="29"/>
        <v>1.875</v>
      </c>
      <c r="AA21" s="899">
        <f t="shared" si="29"/>
        <v>2</v>
      </c>
      <c r="AB21" s="899">
        <f t="shared" si="29"/>
        <v>1.875</v>
      </c>
      <c r="AC21" s="900">
        <f t="shared" si="29"/>
        <v>1.75</v>
      </c>
    </row>
    <row r="22" spans="1:63" ht="20.100000000000001" customHeight="1">
      <c r="A22" s="28"/>
      <c r="B22" s="222" t="s">
        <v>145</v>
      </c>
      <c r="C22" s="222"/>
      <c r="D22" s="222"/>
      <c r="E22" s="222"/>
      <c r="F22" s="222"/>
      <c r="G22" s="222">
        <v>2</v>
      </c>
      <c r="H22" s="222"/>
      <c r="I22" s="1024"/>
      <c r="J22" s="1024"/>
      <c r="K22" s="1024"/>
      <c r="L22" s="1024"/>
      <c r="M22" s="1024"/>
      <c r="N22" s="1024"/>
      <c r="O22" s="460"/>
      <c r="P22" s="1024"/>
      <c r="Q22" s="1024"/>
      <c r="R22" s="29"/>
    </row>
    <row r="23" spans="1:63" ht="20.100000000000001" customHeight="1" thickBot="1">
      <c r="A23" s="28"/>
      <c r="B23" s="1024"/>
      <c r="C23" s="1024"/>
      <c r="D23" s="1024"/>
      <c r="E23" s="1024"/>
      <c r="F23" s="1024"/>
      <c r="G23" s="1024"/>
      <c r="H23" s="1024"/>
      <c r="I23" s="1024"/>
      <c r="J23" s="1024"/>
      <c r="K23" s="1024"/>
      <c r="L23" s="1024"/>
      <c r="M23" s="1024"/>
      <c r="N23" s="1024"/>
      <c r="O23" s="460"/>
      <c r="P23" s="1024"/>
      <c r="Q23" s="1024"/>
      <c r="R23" s="29"/>
      <c r="S23" s="402" t="s">
        <v>2443</v>
      </c>
      <c r="T23" s="14" t="s">
        <v>2418</v>
      </c>
      <c r="AG23" s="403"/>
    </row>
    <row r="24" spans="1:63" ht="20.100000000000001" customHeight="1">
      <c r="A24" s="1132"/>
      <c r="B24" s="641" t="s">
        <v>240</v>
      </c>
      <c r="C24" s="274"/>
      <c r="D24" s="274"/>
      <c r="E24" s="642" t="s">
        <v>89</v>
      </c>
      <c r="F24" s="429"/>
      <c r="G24" s="429"/>
      <c r="H24" s="429"/>
      <c r="I24" s="641" t="s">
        <v>241</v>
      </c>
      <c r="J24" s="274"/>
      <c r="K24" s="274"/>
      <c r="L24" s="408" t="s">
        <v>89</v>
      </c>
      <c r="M24" s="641"/>
      <c r="N24" s="641"/>
      <c r="O24" s="1121"/>
      <c r="P24" s="413"/>
      <c r="Q24" s="413"/>
      <c r="R24" s="141"/>
      <c r="S24" s="374" t="s">
        <v>975</v>
      </c>
      <c r="T24" s="878" t="s">
        <v>973</v>
      </c>
      <c r="U24" s="875"/>
      <c r="V24" s="317">
        <v>2019</v>
      </c>
      <c r="W24" s="317">
        <v>2020</v>
      </c>
      <c r="X24" s="317">
        <v>2021</v>
      </c>
      <c r="Y24" s="317">
        <f>X24+1</f>
        <v>2022</v>
      </c>
      <c r="Z24" s="317">
        <f t="shared" ref="Z24:AZ24" si="30">Y24+1</f>
        <v>2023</v>
      </c>
      <c r="AA24" s="317">
        <f t="shared" si="30"/>
        <v>2024</v>
      </c>
      <c r="AB24" s="317">
        <f t="shared" si="30"/>
        <v>2025</v>
      </c>
      <c r="AC24" s="317">
        <f t="shared" si="30"/>
        <v>2026</v>
      </c>
      <c r="AD24" s="317">
        <f t="shared" si="30"/>
        <v>2027</v>
      </c>
      <c r="AE24" s="317">
        <f t="shared" si="30"/>
        <v>2028</v>
      </c>
      <c r="AF24" s="317">
        <f t="shared" si="30"/>
        <v>2029</v>
      </c>
      <c r="AG24" s="317">
        <f t="shared" si="30"/>
        <v>2030</v>
      </c>
      <c r="AH24" s="317">
        <f t="shared" si="30"/>
        <v>2031</v>
      </c>
      <c r="AI24" s="317">
        <f t="shared" si="30"/>
        <v>2032</v>
      </c>
      <c r="AJ24" s="317">
        <f t="shared" si="30"/>
        <v>2033</v>
      </c>
      <c r="AK24" s="317">
        <f t="shared" si="30"/>
        <v>2034</v>
      </c>
      <c r="AL24" s="317">
        <f t="shared" si="30"/>
        <v>2035</v>
      </c>
      <c r="AM24" s="317">
        <f t="shared" si="30"/>
        <v>2036</v>
      </c>
      <c r="AN24" s="317">
        <f t="shared" si="30"/>
        <v>2037</v>
      </c>
      <c r="AO24" s="317">
        <f t="shared" si="30"/>
        <v>2038</v>
      </c>
      <c r="AP24" s="317">
        <f t="shared" si="30"/>
        <v>2039</v>
      </c>
      <c r="AQ24" s="317">
        <f>AP24+1</f>
        <v>2040</v>
      </c>
      <c r="AR24" s="317">
        <f t="shared" si="30"/>
        <v>2041</v>
      </c>
      <c r="AS24" s="317">
        <f t="shared" si="30"/>
        <v>2042</v>
      </c>
      <c r="AT24" s="317">
        <f t="shared" si="30"/>
        <v>2043</v>
      </c>
      <c r="AU24" s="317">
        <f>AT24+1</f>
        <v>2044</v>
      </c>
      <c r="AV24" s="317">
        <f t="shared" si="30"/>
        <v>2045</v>
      </c>
      <c r="AW24" s="317">
        <f t="shared" si="30"/>
        <v>2046</v>
      </c>
      <c r="AX24" s="317">
        <f t="shared" si="30"/>
        <v>2047</v>
      </c>
      <c r="AY24" s="317">
        <f t="shared" si="30"/>
        <v>2048</v>
      </c>
      <c r="AZ24" s="317">
        <f t="shared" si="30"/>
        <v>2049</v>
      </c>
      <c r="BA24" s="318">
        <f>AZ24+1</f>
        <v>2050</v>
      </c>
    </row>
    <row r="25" spans="1:63" ht="20.100000000000001" customHeight="1" thickBot="1">
      <c r="A25" s="28"/>
      <c r="B25" s="1024" t="str">
        <f>INDEX('MENU OPTIONS'!$F$3:$AK$9,1,START!$C$3)</f>
        <v>Helsinki</v>
      </c>
      <c r="C25" s="1024"/>
      <c r="D25" s="1024"/>
      <c r="E25" s="777">
        <v>0</v>
      </c>
      <c r="F25" s="1024"/>
      <c r="G25" s="1024"/>
      <c r="H25" s="1024"/>
      <c r="I25" s="1024" t="str">
        <f>INDEX('MENU OPTIONS'!$F$23:$AK$80,1,START!$C$3)</f>
        <v>Helsinki</v>
      </c>
      <c r="J25" s="1024"/>
      <c r="K25" s="1024"/>
      <c r="L25" s="777">
        <v>100</v>
      </c>
      <c r="M25" s="1024"/>
      <c r="N25" s="1024"/>
      <c r="O25" s="460"/>
      <c r="P25" s="1024"/>
      <c r="Q25" s="1024"/>
      <c r="R25" s="141"/>
      <c r="S25" s="877" t="s">
        <v>972</v>
      </c>
      <c r="T25" s="876" t="s">
        <v>3062</v>
      </c>
      <c r="U25" s="320" t="s">
        <v>1203</v>
      </c>
      <c r="V25" s="879"/>
      <c r="W25" s="879"/>
      <c r="X25" s="325">
        <f>INDEX('DEFAULT DATA'!$M$9:$M$41,START!$C$3,1)/INDEX('DEFAULT DATA'!$N$9:$N$41,START!$C$3,1)*V21</f>
        <v>227.92391832329096</v>
      </c>
      <c r="Y25" s="325">
        <f>X25*(100+INDEX('DEFAULT DATA'!$O$9:$Q$41,START!$C$3,1))/100</f>
        <v>228.60769007826082</v>
      </c>
      <c r="Z25" s="325">
        <f>Y25*(100+INDEX('DEFAULT DATA'!$O$9:$Q$41,START!$C$3,1))/100</f>
        <v>229.29351314849558</v>
      </c>
      <c r="AA25" s="325">
        <f>Z25*(100+INDEX('DEFAULT DATA'!$O$9:$Q$41,START!$C$3,1))/100</f>
        <v>229.98139368794105</v>
      </c>
      <c r="AB25" s="325">
        <f>AA25*(100+INDEX('DEFAULT DATA'!$O$9:$Q$41,START!$C$3,1))/100</f>
        <v>230.67133786900484</v>
      </c>
      <c r="AC25" s="325">
        <f>AB25*(100+INDEX('DEFAULT DATA'!$O$9:$Q$41,START!$C$3,1))/100</f>
        <v>231.36335188261185</v>
      </c>
      <c r="AD25" s="325">
        <f>AC25*(100+INDEX('DEFAULT DATA'!$O$9:$Q$41,START!$C$3,1))/100</f>
        <v>232.0574419382597</v>
      </c>
      <c r="AE25" s="325">
        <f>AD25*(100+INDEX('DEFAULT DATA'!$O$9:$Q$41,START!$C$3,1))/100</f>
        <v>232.75361426407446</v>
      </c>
      <c r="AF25" s="325">
        <f>AE25*(100+INDEX('DEFAULT DATA'!$O$9:$Q$41,START!$C$3,1))/100</f>
        <v>233.45187510686668</v>
      </c>
      <c r="AG25" s="325">
        <f>AF25*(100+INDEX('DEFAULT DATA'!$O$9:$Q$41,START!$C$3,1))/100</f>
        <v>234.15223073218726</v>
      </c>
      <c r="AH25" s="325">
        <f>AG25*(100+INDEX('DEFAULT DATA'!$O$9:$Q$41,START!$C$3,2))/100</f>
        <v>234.8546874243838</v>
      </c>
      <c r="AI25" s="325">
        <f>AH25*(100+INDEX('DEFAULT DATA'!$O$9:$Q$41,START!$C$3,2))/100</f>
        <v>235.55925148665693</v>
      </c>
      <c r="AJ25" s="325">
        <f>AI25*(100+INDEX('DEFAULT DATA'!$O$9:$Q$41,START!$C$3,2))/100</f>
        <v>236.26592924111691</v>
      </c>
      <c r="AK25" s="325">
        <f>AJ25*(100+INDEX('DEFAULT DATA'!$O$9:$Q$41,START!$C$3,2))/100</f>
        <v>236.97472702884025</v>
      </c>
      <c r="AL25" s="325">
        <f>AK25*(100+INDEX('DEFAULT DATA'!$O$9:$Q$41,START!$C$3,2))/100</f>
        <v>237.68565120992676</v>
      </c>
      <c r="AM25" s="325">
        <f>AL25*(100+INDEX('DEFAULT DATA'!$O$9:$Q$41,START!$C$3,2))/100</f>
        <v>238.39870816355653</v>
      </c>
      <c r="AN25" s="325">
        <f>AM25*(100+INDEX('DEFAULT DATA'!$O$9:$Q$41,START!$C$3,2))/100</f>
        <v>239.11390428804719</v>
      </c>
      <c r="AO25" s="325">
        <f>AN25*(100+INDEX('DEFAULT DATA'!$O$9:$Q$41,START!$C$3,2))/100</f>
        <v>239.83124600091134</v>
      </c>
      <c r="AP25" s="325">
        <f>AO25*(100+INDEX('DEFAULT DATA'!$O$9:$Q$41,START!$C$3,2))/100</f>
        <v>240.55073973891405</v>
      </c>
      <c r="AQ25" s="325">
        <f>AP25*(100+INDEX('DEFAULT DATA'!$O$9:$Q$41,START!$C$3,2))/100</f>
        <v>241.27239195813078</v>
      </c>
      <c r="AR25" s="325">
        <f>AQ25*(100+INDEX('DEFAULT DATA'!$O$9:$Q$41,START!$C$3,3))/100</f>
        <v>241.9962091340052</v>
      </c>
      <c r="AS25" s="325">
        <f>AR25*(100+INDEX('DEFAULT DATA'!$O$9:$Q$41,START!$C$3,3))/100</f>
        <v>242.72219776140722</v>
      </c>
      <c r="AT25" s="325">
        <f>AS25*(100+INDEX('DEFAULT DATA'!$O$9:$Q$41,START!$C$3,3))/100</f>
        <v>243.45036435469146</v>
      </c>
      <c r="AU25" s="325">
        <f>AT25*(100+INDEX('DEFAULT DATA'!$O$9:$Q$41,START!$C$3,3))/100</f>
        <v>244.18071544775555</v>
      </c>
      <c r="AV25" s="325">
        <f>AU25*(100+INDEX('DEFAULT DATA'!$O$9:$Q$41,START!$C$3,3))/100</f>
        <v>244.91325759409881</v>
      </c>
      <c r="AW25" s="325">
        <f>AV25*(100+INDEX('DEFAULT DATA'!$O$9:$Q$41,START!$C$3,3))/100</f>
        <v>245.6479973668811</v>
      </c>
      <c r="AX25" s="325">
        <f>AW25*(100+INDEX('DEFAULT DATA'!$O$9:$Q$41,START!$C$3,3))/100</f>
        <v>246.38494135898173</v>
      </c>
      <c r="AY25" s="325">
        <f>AX25*(100+INDEX('DEFAULT DATA'!$O$9:$Q$41,START!$C$3,3))/100</f>
        <v>247.12409618305867</v>
      </c>
      <c r="AZ25" s="325">
        <f>AY25*(100+INDEX('DEFAULT DATA'!$O$9:$Q$41,START!$C$3,3))/100</f>
        <v>247.86546847160787</v>
      </c>
      <c r="BA25" s="326">
        <f>AZ25*(100+INDEX('DEFAULT DATA'!$O$9:$Q$41,START!$C$3,3))/100</f>
        <v>248.60906487702269</v>
      </c>
      <c r="BB25" s="29"/>
      <c r="BC25" s="29"/>
      <c r="BD25" s="29"/>
    </row>
    <row r="26" spans="1:63" ht="20.100000000000001" customHeight="1" thickBot="1">
      <c r="A26" s="28"/>
      <c r="B26" s="1024" t="str">
        <f>INDEX('MENU OPTIONS'!$F$3:$AK$9,2,START!$C$3)</f>
        <v>-</v>
      </c>
      <c r="C26" s="1024"/>
      <c r="D26" s="1024"/>
      <c r="E26" s="777">
        <v>0</v>
      </c>
      <c r="F26" s="1024"/>
      <c r="G26" s="1024"/>
      <c r="H26" s="1024"/>
      <c r="I26" s="1024" t="str">
        <f>INDEX('MENU OPTIONS'!$F$23:$AK$80,2,START!$C$3)</f>
        <v>Tampere</v>
      </c>
      <c r="J26" s="1024"/>
      <c r="K26" s="1024"/>
      <c r="L26" s="777">
        <v>100</v>
      </c>
      <c r="M26" s="1024"/>
      <c r="N26" s="1024"/>
      <c r="O26" s="460"/>
      <c r="P26" s="1024"/>
      <c r="Q26" s="1024"/>
      <c r="R26" s="141"/>
      <c r="S26" s="29"/>
      <c r="T26" s="29"/>
      <c r="U26" s="29"/>
      <c r="V26" s="29"/>
      <c r="W26" s="29"/>
      <c r="X26" s="1025"/>
      <c r="Y26" s="1025"/>
      <c r="Z26" s="1025"/>
      <c r="AA26" s="1025"/>
      <c r="AB26" s="1025"/>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row>
    <row r="27" spans="1:63" ht="20.100000000000001" customHeight="1" thickBot="1">
      <c r="A27" s="28"/>
      <c r="B27" s="1024" t="str">
        <f>INDEX('MENU OPTIONS'!$F$3:$AK$9,3,START!$C$3)</f>
        <v>-</v>
      </c>
      <c r="C27" s="1024"/>
      <c r="D27" s="1024"/>
      <c r="E27" s="777">
        <v>0</v>
      </c>
      <c r="F27" s="1024"/>
      <c r="G27" s="1024"/>
      <c r="H27" s="1024"/>
      <c r="I27" s="1024" t="str">
        <f>INDEX('MENU OPTIONS'!$F$23:$AK$80,3,START!$C$3)</f>
        <v>-</v>
      </c>
      <c r="J27" s="1024"/>
      <c r="K27" s="1024"/>
      <c r="L27" s="777">
        <v>0</v>
      </c>
      <c r="M27" s="1024"/>
      <c r="N27" s="1024"/>
      <c r="O27" s="460"/>
      <c r="P27" s="1024"/>
      <c r="Q27" s="1024"/>
      <c r="R27" s="141"/>
      <c r="S27" s="982" t="s">
        <v>2407</v>
      </c>
      <c r="T27" s="880" t="s">
        <v>2411</v>
      </c>
      <c r="U27" s="1432" t="s">
        <v>2408</v>
      </c>
      <c r="V27" s="1432"/>
      <c r="W27" s="1432"/>
      <c r="X27" s="1429" t="s">
        <v>989</v>
      </c>
      <c r="Y27" s="1430"/>
      <c r="Z27" s="1430"/>
      <c r="AA27" s="1430"/>
      <c r="AB27" s="1430"/>
      <c r="AC27" s="1430"/>
      <c r="AD27" s="1430"/>
      <c r="AE27" s="1430"/>
      <c r="AF27" s="1430"/>
      <c r="AG27" s="1430"/>
      <c r="AH27" s="1430"/>
      <c r="AI27" s="1430"/>
      <c r="AJ27" s="1430"/>
      <c r="AK27" s="1430"/>
      <c r="AL27" s="1430"/>
      <c r="AM27" s="1430"/>
      <c r="AN27" s="1430"/>
      <c r="AO27" s="1430"/>
      <c r="AP27" s="1430"/>
      <c r="AQ27" s="1430"/>
      <c r="AR27" s="1430"/>
      <c r="AS27" s="1430"/>
      <c r="AT27" s="1430"/>
      <c r="AU27" s="1430"/>
      <c r="AV27" s="1430"/>
      <c r="AW27" s="1430"/>
      <c r="AX27" s="1430"/>
      <c r="AY27" s="1430"/>
      <c r="AZ27" s="1430"/>
      <c r="BA27" s="1431"/>
      <c r="BB27" s="29"/>
      <c r="BC27" s="29"/>
    </row>
    <row r="28" spans="1:63" ht="20.100000000000001" customHeight="1">
      <c r="A28" s="28"/>
      <c r="B28" s="1024" t="str">
        <f>INDEX('MENU OPTIONS'!$F$3:$AK$9,4,START!$C$3)</f>
        <v>-</v>
      </c>
      <c r="C28" s="1024"/>
      <c r="D28" s="1024"/>
      <c r="E28" s="777">
        <v>0</v>
      </c>
      <c r="F28" s="1024"/>
      <c r="G28" s="1024"/>
      <c r="H28" s="1024"/>
      <c r="I28" s="1024" t="str">
        <f>INDEX('MENU OPTIONS'!$F$23:$AK$80,4,START!$C$3)</f>
        <v>-</v>
      </c>
      <c r="J28" s="1024"/>
      <c r="K28" s="1024"/>
      <c r="L28" s="777">
        <v>0</v>
      </c>
      <c r="M28" s="1024"/>
      <c r="N28" s="1024"/>
      <c r="O28" s="460"/>
      <c r="P28" s="1024"/>
      <c r="Q28" s="1024"/>
      <c r="R28" s="141"/>
      <c r="S28" s="881" t="s">
        <v>934</v>
      </c>
      <c r="T28" s="552"/>
      <c r="U28" s="558" t="s">
        <v>935</v>
      </c>
      <c r="V28" s="558" t="s">
        <v>936</v>
      </c>
      <c r="W28" s="558" t="s">
        <v>937</v>
      </c>
      <c r="X28" s="559">
        <f t="shared" ref="X28:BA28" si="31">X24</f>
        <v>2021</v>
      </c>
      <c r="Y28" s="262">
        <f t="shared" si="31"/>
        <v>2022</v>
      </c>
      <c r="Z28" s="262">
        <f t="shared" si="31"/>
        <v>2023</v>
      </c>
      <c r="AA28" s="262">
        <f t="shared" si="31"/>
        <v>2024</v>
      </c>
      <c r="AB28" s="262">
        <f t="shared" si="31"/>
        <v>2025</v>
      </c>
      <c r="AC28" s="262">
        <f t="shared" si="31"/>
        <v>2026</v>
      </c>
      <c r="AD28" s="262">
        <f t="shared" si="31"/>
        <v>2027</v>
      </c>
      <c r="AE28" s="262">
        <f t="shared" si="31"/>
        <v>2028</v>
      </c>
      <c r="AF28" s="262">
        <f t="shared" si="31"/>
        <v>2029</v>
      </c>
      <c r="AG28" s="262">
        <f t="shared" si="31"/>
        <v>2030</v>
      </c>
      <c r="AH28" s="262">
        <f t="shared" si="31"/>
        <v>2031</v>
      </c>
      <c r="AI28" s="262">
        <f t="shared" si="31"/>
        <v>2032</v>
      </c>
      <c r="AJ28" s="262">
        <f t="shared" si="31"/>
        <v>2033</v>
      </c>
      <c r="AK28" s="262">
        <f t="shared" si="31"/>
        <v>2034</v>
      </c>
      <c r="AL28" s="262">
        <f t="shared" si="31"/>
        <v>2035</v>
      </c>
      <c r="AM28" s="262">
        <f t="shared" si="31"/>
        <v>2036</v>
      </c>
      <c r="AN28" s="262">
        <f t="shared" si="31"/>
        <v>2037</v>
      </c>
      <c r="AO28" s="262">
        <f t="shared" si="31"/>
        <v>2038</v>
      </c>
      <c r="AP28" s="262">
        <f t="shared" si="31"/>
        <v>2039</v>
      </c>
      <c r="AQ28" s="262">
        <f t="shared" si="31"/>
        <v>2040</v>
      </c>
      <c r="AR28" s="262">
        <f t="shared" si="31"/>
        <v>2041</v>
      </c>
      <c r="AS28" s="262">
        <f t="shared" si="31"/>
        <v>2042</v>
      </c>
      <c r="AT28" s="262">
        <f t="shared" si="31"/>
        <v>2043</v>
      </c>
      <c r="AU28" s="262">
        <f t="shared" si="31"/>
        <v>2044</v>
      </c>
      <c r="AV28" s="262">
        <f t="shared" si="31"/>
        <v>2045</v>
      </c>
      <c r="AW28" s="262">
        <f t="shared" si="31"/>
        <v>2046</v>
      </c>
      <c r="AX28" s="262">
        <f t="shared" si="31"/>
        <v>2047</v>
      </c>
      <c r="AY28" s="262">
        <f t="shared" si="31"/>
        <v>2048</v>
      </c>
      <c r="AZ28" s="262">
        <f t="shared" si="31"/>
        <v>2049</v>
      </c>
      <c r="BA28" s="492">
        <f t="shared" si="31"/>
        <v>2050</v>
      </c>
      <c r="BB28" s="29"/>
      <c r="BC28" s="889" t="s">
        <v>2410</v>
      </c>
      <c r="BD28" s="828" t="s">
        <v>2409</v>
      </c>
      <c r="BE28" s="890" t="s">
        <v>2165</v>
      </c>
    </row>
    <row r="29" spans="1:63" ht="20.100000000000001" customHeight="1">
      <c r="A29" s="28"/>
      <c r="B29" s="1024" t="str">
        <f>INDEX('MENU OPTIONS'!$F$3:$AK$9,5,START!$C$3)</f>
        <v>-</v>
      </c>
      <c r="C29" s="1024"/>
      <c r="D29" s="1024"/>
      <c r="E29" s="777">
        <v>0</v>
      </c>
      <c r="F29" s="1024"/>
      <c r="G29" s="1024"/>
      <c r="H29" s="1024"/>
      <c r="I29" s="1024" t="str">
        <f>INDEX('MENU OPTIONS'!$F$23:$AK$80,5,START!$C$3)</f>
        <v>-</v>
      </c>
      <c r="J29" s="1024"/>
      <c r="K29" s="1024"/>
      <c r="L29" s="777">
        <v>0</v>
      </c>
      <c r="M29" s="1024"/>
      <c r="N29" s="1024"/>
      <c r="O29" s="460"/>
      <c r="P29" s="1024"/>
      <c r="Q29" s="1024"/>
      <c r="R29" s="141"/>
      <c r="S29" s="881" t="s">
        <v>938</v>
      </c>
      <c r="T29" s="552" t="str">
        <f>CONCATENATE($BD$28,"= ",BC29,"; ",$BC$28,": ",BD29,"; ",$BE$28,": ",BE29)</f>
        <v>EFbus_road= BUS_COL16; EFbus_street: BUS_COL21; Share: BUS_COL6</v>
      </c>
      <c r="U29" s="559">
        <f>0.4*V29+0.6*W29</f>
        <v>364.57793568343214</v>
      </c>
      <c r="V29" s="215">
        <f>INDEX('DEFAULT DATA'!$AG$9:$AK$41,START!$C$3,1)</f>
        <v>261.91600618637949</v>
      </c>
      <c r="W29" s="215">
        <f>INDEX('DEFAULT DATA'!$AB$9:$AF$41,START!$C$3,1)</f>
        <v>433.01922201480062</v>
      </c>
      <c r="X29" s="204">
        <f>INDEX('DEFAULT DATA'!$R$9:$V$41,START!$C$3,1)</f>
        <v>0.2</v>
      </c>
      <c r="Y29" s="558">
        <f>INDEX('DEFAULT DATA'!$R$9:$V$41,START!$C$3,1)</f>
        <v>0.2</v>
      </c>
      <c r="Z29" s="558">
        <f>INDEX('DEFAULT DATA'!$R$9:$V$41,START!$C$3,1)</f>
        <v>0.2</v>
      </c>
      <c r="AA29" s="558">
        <f>INDEX('DEFAULT DATA'!$R$9:$V$41,START!$C$3,1)</f>
        <v>0.2</v>
      </c>
      <c r="AB29" s="558">
        <f>INDEX('DEFAULT DATA'!$R$9:$V$41,START!$C$3,1)</f>
        <v>0.2</v>
      </c>
      <c r="AC29" s="558">
        <f>INDEX('DEFAULT DATA'!$R$9:$V$41,START!$C$3,1)</f>
        <v>0.2</v>
      </c>
      <c r="AD29" s="558">
        <f>INDEX('DEFAULT DATA'!$R$9:$V$41,START!$C$3,1)</f>
        <v>0.2</v>
      </c>
      <c r="AE29" s="558">
        <f>INDEX('DEFAULT DATA'!$R$9:$V$41,START!$C$3,1)</f>
        <v>0.2</v>
      </c>
      <c r="AF29" s="558">
        <f>INDEX('DEFAULT DATA'!$R$9:$V$41,START!$C$3,1)</f>
        <v>0.2</v>
      </c>
      <c r="AG29" s="558">
        <f>INDEX('DEFAULT DATA'!$R$9:$V$41,START!$C$3,1)</f>
        <v>0.2</v>
      </c>
      <c r="AH29" s="558">
        <f>INDEX('DEFAULT DATA'!$R$9:$V$41,START!$C$3,1)</f>
        <v>0.2</v>
      </c>
      <c r="AI29" s="558">
        <f>INDEX('DEFAULT DATA'!$R$9:$V$41,START!$C$3,1)</f>
        <v>0.2</v>
      </c>
      <c r="AJ29" s="558">
        <f>INDEX('DEFAULT DATA'!$R$9:$V$41,START!$C$3,1)</f>
        <v>0.2</v>
      </c>
      <c r="AK29" s="558">
        <f>INDEX('DEFAULT DATA'!$R$9:$V$41,START!$C$3,1)</f>
        <v>0.2</v>
      </c>
      <c r="AL29" s="558">
        <f>INDEX('DEFAULT DATA'!$R$9:$V$41,START!$C$3,1)</f>
        <v>0.2</v>
      </c>
      <c r="AM29" s="558">
        <f>INDEX('DEFAULT DATA'!$R$9:$V$41,START!$C$3,1)</f>
        <v>0.2</v>
      </c>
      <c r="AN29" s="558">
        <f>INDEX('DEFAULT DATA'!$R$9:$V$41,START!$C$3,1)</f>
        <v>0.2</v>
      </c>
      <c r="AO29" s="558">
        <f>INDEX('DEFAULT DATA'!$R$9:$V$41,START!$C$3,1)</f>
        <v>0.2</v>
      </c>
      <c r="AP29" s="558">
        <f>INDEX('DEFAULT DATA'!$R$9:$V$41,START!$C$3,1)</f>
        <v>0.2</v>
      </c>
      <c r="AQ29" s="558">
        <f>INDEX('DEFAULT DATA'!$R$9:$V$41,START!$C$3,1)</f>
        <v>0.2</v>
      </c>
      <c r="AR29" s="558">
        <f>INDEX('DEFAULT DATA'!$R$9:$V$41,START!$C$3,1)</f>
        <v>0.2</v>
      </c>
      <c r="AS29" s="558">
        <f>INDEX('DEFAULT DATA'!$R$9:$V$41,START!$C$3,1)</f>
        <v>0.2</v>
      </c>
      <c r="AT29" s="558">
        <f>INDEX('DEFAULT DATA'!$R$9:$V$41,START!$C$3,1)</f>
        <v>0.2</v>
      </c>
      <c r="AU29" s="558">
        <f>INDEX('DEFAULT DATA'!$R$9:$V$41,START!$C$3,1)</f>
        <v>0.2</v>
      </c>
      <c r="AV29" s="558">
        <f>INDEX('DEFAULT DATA'!$R$9:$V$41,START!$C$3,1)</f>
        <v>0.2</v>
      </c>
      <c r="AW29" s="558">
        <f>INDEX('DEFAULT DATA'!$R$9:$V$41,START!$C$3,1)</f>
        <v>0.2</v>
      </c>
      <c r="AX29" s="558">
        <f>INDEX('DEFAULT DATA'!$R$9:$V$41,START!$C$3,1)</f>
        <v>0.2</v>
      </c>
      <c r="AY29" s="558">
        <f>INDEX('DEFAULT DATA'!$R$9:$V$41,START!$C$3,1)</f>
        <v>0.2</v>
      </c>
      <c r="AZ29" s="558">
        <f>INDEX('DEFAULT DATA'!$R$9:$V$41,START!$C$3,1)</f>
        <v>0.2</v>
      </c>
      <c r="BA29" s="882">
        <f>INDEX('DEFAULT DATA'!$R$9:$V$41,START!$C$3,1)</f>
        <v>0.2</v>
      </c>
      <c r="BB29" s="29"/>
      <c r="BC29" s="891" t="s">
        <v>283</v>
      </c>
      <c r="BD29" s="552" t="s">
        <v>2076</v>
      </c>
      <c r="BE29" s="892" t="s">
        <v>113</v>
      </c>
    </row>
    <row r="30" spans="1:63" ht="20.100000000000001" customHeight="1" thickBot="1">
      <c r="A30" s="28"/>
      <c r="B30" s="1024" t="str">
        <f>INDEX('MENU OPTIONS'!$F$3:$AK$9,6,START!$C$3)</f>
        <v>-</v>
      </c>
      <c r="C30" s="1024"/>
      <c r="D30" s="1024"/>
      <c r="E30" s="777">
        <v>0</v>
      </c>
      <c r="F30" s="1024"/>
      <c r="G30" s="1024"/>
      <c r="H30" s="1024"/>
      <c r="I30" s="1024" t="str">
        <f>INDEX('MENU OPTIONS'!$F$23:$AK$80,6,START!$C$3)</f>
        <v>-</v>
      </c>
      <c r="J30" s="1024"/>
      <c r="K30" s="1024"/>
      <c r="L30" s="777">
        <v>0</v>
      </c>
      <c r="M30" s="1024"/>
      <c r="N30" s="1024"/>
      <c r="O30" s="460"/>
      <c r="P30" s="1024"/>
      <c r="Q30" s="1024"/>
      <c r="R30" s="141"/>
      <c r="S30" s="881" t="s">
        <v>939</v>
      </c>
      <c r="T30" s="552" t="str">
        <f>CONCATENATE($BD$28,"= ",BC30,"; ",$BC$28,": ",BD30,"; ",$BE$28,": ",BE30)</f>
        <v>EFbus_road= BUS_COL17; EFbus_street: BUS_COL22; Share: BUS_COL7</v>
      </c>
      <c r="U30" s="559">
        <f t="shared" ref="U30:U32" si="32">0.4*V30+0.6*W30</f>
        <v>396.28036487329581</v>
      </c>
      <c r="V30" s="215">
        <f>INDEX('DEFAULT DATA'!$AG$9:$AK$41,START!$C$3,2)</f>
        <v>284.69131107215162</v>
      </c>
      <c r="W30" s="559">
        <f>INDEX('DEFAULT DATA'!$AB$9:$AF$41,START!$C$3,2)</f>
        <v>470.67306740739195</v>
      </c>
      <c r="X30" s="558">
        <f>INDEX('DEFAULT DATA'!$R$9:$V$41,START!$C$3,2)</f>
        <v>0</v>
      </c>
      <c r="Y30" s="558">
        <f>INDEX('DEFAULT DATA'!$R$9:$V$41,START!$C$3,2)</f>
        <v>0</v>
      </c>
      <c r="Z30" s="558">
        <f>INDEX('DEFAULT DATA'!$R$9:$V$41,START!$C$3,2)</f>
        <v>0</v>
      </c>
      <c r="AA30" s="558">
        <f>INDEX('DEFAULT DATA'!$R$9:$V$41,START!$C$3,2)</f>
        <v>0</v>
      </c>
      <c r="AB30" s="558">
        <f>INDEX('DEFAULT DATA'!$R$9:$V$41,START!$C$3,2)</f>
        <v>0</v>
      </c>
      <c r="AC30" s="558">
        <f>INDEX('DEFAULT DATA'!$R$9:$V$41,START!$C$3,2)</f>
        <v>0</v>
      </c>
      <c r="AD30" s="558">
        <f>INDEX('DEFAULT DATA'!$R$9:$V$41,START!$C$3,2)</f>
        <v>0</v>
      </c>
      <c r="AE30" s="558">
        <f>INDEX('DEFAULT DATA'!$R$9:$V$41,START!$C$3,2)</f>
        <v>0</v>
      </c>
      <c r="AF30" s="558">
        <f>INDEX('DEFAULT DATA'!$R$9:$V$41,START!$C$3,2)</f>
        <v>0</v>
      </c>
      <c r="AG30" s="558">
        <f>INDEX('DEFAULT DATA'!$R$9:$V$41,START!$C$3,2)</f>
        <v>0</v>
      </c>
      <c r="AH30" s="558">
        <f>INDEX('DEFAULT DATA'!$R$9:$V$41,START!$C$3,2)</f>
        <v>0</v>
      </c>
      <c r="AI30" s="558">
        <f>INDEX('DEFAULT DATA'!$R$9:$V$41,START!$C$3,2)</f>
        <v>0</v>
      </c>
      <c r="AJ30" s="558">
        <f>INDEX('DEFAULT DATA'!$R$9:$V$41,START!$C$3,2)</f>
        <v>0</v>
      </c>
      <c r="AK30" s="558">
        <f>INDEX('DEFAULT DATA'!$R$9:$V$41,START!$C$3,2)</f>
        <v>0</v>
      </c>
      <c r="AL30" s="558">
        <f>INDEX('DEFAULT DATA'!$R$9:$V$41,START!$C$3,2)</f>
        <v>0</v>
      </c>
      <c r="AM30" s="558">
        <f>INDEX('DEFAULT DATA'!$R$9:$V$41,START!$C$3,2)</f>
        <v>0</v>
      </c>
      <c r="AN30" s="558">
        <f>INDEX('DEFAULT DATA'!$R$9:$V$41,START!$C$3,2)</f>
        <v>0</v>
      </c>
      <c r="AO30" s="558">
        <f>INDEX('DEFAULT DATA'!$R$9:$V$41,START!$C$3,2)</f>
        <v>0</v>
      </c>
      <c r="AP30" s="558">
        <f>INDEX('DEFAULT DATA'!$R$9:$V$41,START!$C$3,2)</f>
        <v>0</v>
      </c>
      <c r="AQ30" s="558">
        <f>INDEX('DEFAULT DATA'!$R$9:$V$41,START!$C$3,2)</f>
        <v>0</v>
      </c>
      <c r="AR30" s="558">
        <f>INDEX('DEFAULT DATA'!$R$9:$V$41,START!$C$3,2)</f>
        <v>0</v>
      </c>
      <c r="AS30" s="558">
        <f>INDEX('DEFAULT DATA'!$R$9:$V$41,START!$C$3,2)</f>
        <v>0</v>
      </c>
      <c r="AT30" s="558">
        <f>INDEX('DEFAULT DATA'!$R$9:$V$41,START!$C$3,2)</f>
        <v>0</v>
      </c>
      <c r="AU30" s="558">
        <f>INDEX('DEFAULT DATA'!$R$9:$V$41,START!$C$3,2)</f>
        <v>0</v>
      </c>
      <c r="AV30" s="558">
        <f>INDEX('DEFAULT DATA'!$R$9:$V$41,START!$C$3,2)</f>
        <v>0</v>
      </c>
      <c r="AW30" s="558">
        <f>INDEX('DEFAULT DATA'!$R$9:$V$41,START!$C$3,2)</f>
        <v>0</v>
      </c>
      <c r="AX30" s="558">
        <f>INDEX('DEFAULT DATA'!$R$9:$V$41,START!$C$3,2)</f>
        <v>0</v>
      </c>
      <c r="AY30" s="558">
        <f>INDEX('DEFAULT DATA'!$R$9:$V$41,START!$C$3,2)</f>
        <v>0</v>
      </c>
      <c r="AZ30" s="558">
        <f>INDEX('DEFAULT DATA'!$R$9:$V$41,START!$C$3,2)</f>
        <v>0</v>
      </c>
      <c r="BA30" s="882">
        <f>INDEX('DEFAULT DATA'!$R$9:$V$41,START!$C$3,2)</f>
        <v>0</v>
      </c>
      <c r="BB30" s="29"/>
      <c r="BC30" s="891" t="s">
        <v>2072</v>
      </c>
      <c r="BD30" s="552" t="s">
        <v>2077</v>
      </c>
      <c r="BE30" s="892" t="s">
        <v>201</v>
      </c>
      <c r="BG30" s="279" t="s">
        <v>2679</v>
      </c>
    </row>
    <row r="31" spans="1:63" ht="20.100000000000001" customHeight="1">
      <c r="A31" s="28"/>
      <c r="B31" s="1024" t="str">
        <f>INDEX('MENU OPTIONS'!$F$3:$AK$9,7,START!$C$3)</f>
        <v>-</v>
      </c>
      <c r="C31" s="1024"/>
      <c r="D31" s="1024"/>
      <c r="E31" s="777">
        <v>0</v>
      </c>
      <c r="F31" s="1024"/>
      <c r="G31" s="1024"/>
      <c r="H31" s="1024"/>
      <c r="I31" s="1024" t="str">
        <f>INDEX('MENU OPTIONS'!$F$23:$AK$80,7,START!$C$3)</f>
        <v>-</v>
      </c>
      <c r="J31" s="1024"/>
      <c r="K31" s="1024"/>
      <c r="L31" s="777">
        <v>0</v>
      </c>
      <c r="M31" s="1024"/>
      <c r="N31" s="1024"/>
      <c r="O31" s="460"/>
      <c r="P31" s="1024"/>
      <c r="Q31" s="1024"/>
      <c r="R31" s="141"/>
      <c r="S31" s="881" t="s">
        <v>932</v>
      </c>
      <c r="T31" s="552" t="str">
        <f>CONCATENATE($BD$28,"= ",BC31,"; ",$BC$28,": ",BD31,"; ",$BE$28,": ",BE31)</f>
        <v>EFbus_road= BUS_COL18; EFbus_street: BUS_COL23; Share: 100 - others</v>
      </c>
      <c r="U31" s="559">
        <f t="shared" si="32"/>
        <v>364.87514595708711</v>
      </c>
      <c r="V31" s="215">
        <f>INDEX('DEFAULT DATA'!$AG$9:$AK$41,START!$C$3,3)</f>
        <v>262.12952466968363</v>
      </c>
      <c r="W31" s="559">
        <f>INDEX('DEFAULT DATA'!$AB$9:$AF$41,START!$C$3,3)</f>
        <v>433.37222681535616</v>
      </c>
      <c r="X31" s="558">
        <f>100-(X29+X30+X32+X33)</f>
        <v>99.04</v>
      </c>
      <c r="Y31" s="558">
        <f>100-(Y29+Y30+Y32+Y33)</f>
        <v>98.98</v>
      </c>
      <c r="Z31" s="558">
        <f t="shared" ref="Z31:BA31" si="33">100-(Z29+Z30+Z32+Z33)</f>
        <v>98.92</v>
      </c>
      <c r="AA31" s="558">
        <f t="shared" si="33"/>
        <v>98.86</v>
      </c>
      <c r="AB31" s="558">
        <f t="shared" si="33"/>
        <v>98.8</v>
      </c>
      <c r="AC31" s="558">
        <f t="shared" si="33"/>
        <v>98.62</v>
      </c>
      <c r="AD31" s="558">
        <f t="shared" si="33"/>
        <v>98.44</v>
      </c>
      <c r="AE31" s="558">
        <f t="shared" si="33"/>
        <v>98.26</v>
      </c>
      <c r="AF31" s="558">
        <f t="shared" si="33"/>
        <v>98.08</v>
      </c>
      <c r="AG31" s="558">
        <f t="shared" si="33"/>
        <v>97.9</v>
      </c>
      <c r="AH31" s="558">
        <f t="shared" si="33"/>
        <v>97.84</v>
      </c>
      <c r="AI31" s="558">
        <f t="shared" si="33"/>
        <v>97.78</v>
      </c>
      <c r="AJ31" s="558">
        <f t="shared" si="33"/>
        <v>97.72</v>
      </c>
      <c r="AK31" s="558">
        <f t="shared" si="33"/>
        <v>97.66</v>
      </c>
      <c r="AL31" s="558">
        <f t="shared" si="33"/>
        <v>97.6</v>
      </c>
      <c r="AM31" s="558">
        <f t="shared" si="33"/>
        <v>97.54</v>
      </c>
      <c r="AN31" s="558">
        <f t="shared" si="33"/>
        <v>97.48</v>
      </c>
      <c r="AO31" s="558">
        <f t="shared" si="33"/>
        <v>97.42</v>
      </c>
      <c r="AP31" s="558">
        <f t="shared" si="33"/>
        <v>97.36</v>
      </c>
      <c r="AQ31" s="558">
        <f t="shared" si="33"/>
        <v>97.3</v>
      </c>
      <c r="AR31" s="558">
        <f t="shared" si="33"/>
        <v>97.26</v>
      </c>
      <c r="AS31" s="558">
        <f t="shared" si="33"/>
        <v>97.22</v>
      </c>
      <c r="AT31" s="558">
        <f t="shared" si="33"/>
        <v>97.18</v>
      </c>
      <c r="AU31" s="558">
        <f t="shared" si="33"/>
        <v>97.14</v>
      </c>
      <c r="AV31" s="558">
        <f t="shared" si="33"/>
        <v>97.1</v>
      </c>
      <c r="AW31" s="558">
        <f t="shared" si="33"/>
        <v>97.04</v>
      </c>
      <c r="AX31" s="558">
        <f t="shared" si="33"/>
        <v>96.98</v>
      </c>
      <c r="AY31" s="558">
        <f t="shared" si="33"/>
        <v>96.92</v>
      </c>
      <c r="AZ31" s="558">
        <f t="shared" si="33"/>
        <v>96.86</v>
      </c>
      <c r="BA31" s="882">
        <f t="shared" si="33"/>
        <v>96.8</v>
      </c>
      <c r="BB31" s="29"/>
      <c r="BC31" s="891" t="s">
        <v>2073</v>
      </c>
      <c r="BD31" s="552" t="s">
        <v>2078</v>
      </c>
      <c r="BE31" s="998" t="s">
        <v>2665</v>
      </c>
      <c r="BG31" s="1000">
        <v>2021</v>
      </c>
      <c r="BH31" s="1436" t="s">
        <v>2680</v>
      </c>
      <c r="BI31" s="1436"/>
      <c r="BJ31" s="1436"/>
      <c r="BK31" s="1437"/>
    </row>
    <row r="32" spans="1:63" ht="20.100000000000001" customHeight="1">
      <c r="A32" s="28"/>
      <c r="B32" s="1024"/>
      <c r="C32" s="1024"/>
      <c r="D32" s="1024"/>
      <c r="E32" s="1024"/>
      <c r="F32" s="1024"/>
      <c r="G32" s="1024"/>
      <c r="H32" s="1024"/>
      <c r="I32" s="1024" t="str">
        <f>INDEX('MENU OPTIONS'!$F$23:$AK$80,8,START!$C$3)</f>
        <v>-</v>
      </c>
      <c r="J32" s="1024"/>
      <c r="K32" s="1024"/>
      <c r="L32" s="777">
        <v>0</v>
      </c>
      <c r="M32" s="1024"/>
      <c r="N32" s="1024"/>
      <c r="O32" s="460"/>
      <c r="P32" s="1024"/>
      <c r="Q32" s="1024"/>
      <c r="R32" s="141"/>
      <c r="S32" s="881" t="s">
        <v>940</v>
      </c>
      <c r="T32" s="552" t="str">
        <f>CONCATENATE($BD$28,"= ",BC32,"; ",$BC$28,": ",BD32,"; ",$BE$28,": ",BE32)</f>
        <v>EFbus_road= BUS_COL19; EFbus_street: BUS_COL24; Share: BUS_COL9</v>
      </c>
      <c r="U32" s="559">
        <f t="shared" si="32"/>
        <v>546.47062316027495</v>
      </c>
      <c r="V32" s="215">
        <f>INDEX('DEFAULT DATA'!$AG$9:$AK$41,START!$C$3,4)</f>
        <v>392.58931796849708</v>
      </c>
      <c r="W32" s="559">
        <f>INDEX('DEFAULT DATA'!$AB$9:$AF$41,START!$C$3,4)</f>
        <v>649.0581599547935</v>
      </c>
      <c r="X32" s="558">
        <f>INDEX('DEFAULT DATA'!$R$9:$V$41,START!$C$3,4)</f>
        <v>0.5</v>
      </c>
      <c r="Y32" s="558">
        <f>INDEX('DEFAULT DATA'!$R$9:$V$41,START!$C$3,4)</f>
        <v>0.5</v>
      </c>
      <c r="Z32" s="558">
        <f>INDEX('DEFAULT DATA'!$R$9:$V$41,START!$C$3,4)</f>
        <v>0.5</v>
      </c>
      <c r="AA32" s="558">
        <f>INDEX('DEFAULT DATA'!$R$9:$V$41,START!$C$3,4)</f>
        <v>0.5</v>
      </c>
      <c r="AB32" s="558">
        <f>INDEX('DEFAULT DATA'!$R$9:$V$41,START!$C$3,4)</f>
        <v>0.5</v>
      </c>
      <c r="AC32" s="558">
        <f>INDEX('DEFAULT DATA'!$R$9:$V$41,START!$C$3,4)</f>
        <v>0.5</v>
      </c>
      <c r="AD32" s="558">
        <f>INDEX('DEFAULT DATA'!$R$9:$V$41,START!$C$3,4)</f>
        <v>0.5</v>
      </c>
      <c r="AE32" s="558">
        <f>INDEX('DEFAULT DATA'!$R$9:$V$41,START!$C$3,4)</f>
        <v>0.5</v>
      </c>
      <c r="AF32" s="558">
        <f>INDEX('DEFAULT DATA'!$R$9:$V$41,START!$C$3,4)</f>
        <v>0.5</v>
      </c>
      <c r="AG32" s="558">
        <f>INDEX('DEFAULT DATA'!$R$9:$V$41,START!$C$3,4)</f>
        <v>0.5</v>
      </c>
      <c r="AH32" s="558">
        <f>INDEX('DEFAULT DATA'!$R$9:$V$41,START!$C$3,4)</f>
        <v>0.5</v>
      </c>
      <c r="AI32" s="558">
        <f>INDEX('DEFAULT DATA'!$R$9:$V$41,START!$C$3,4)</f>
        <v>0.5</v>
      </c>
      <c r="AJ32" s="558">
        <f>INDEX('DEFAULT DATA'!$R$9:$V$41,START!$C$3,4)</f>
        <v>0.5</v>
      </c>
      <c r="AK32" s="558">
        <f>INDEX('DEFAULT DATA'!$R$9:$V$41,START!$C$3,4)</f>
        <v>0.5</v>
      </c>
      <c r="AL32" s="558">
        <f>INDEX('DEFAULT DATA'!$R$9:$V$41,START!$C$3,4)</f>
        <v>0.5</v>
      </c>
      <c r="AM32" s="558">
        <f>INDEX('DEFAULT DATA'!$R$9:$V$41,START!$C$3,4)</f>
        <v>0.5</v>
      </c>
      <c r="AN32" s="558">
        <f>INDEX('DEFAULT DATA'!$R$9:$V$41,START!$C$3,4)</f>
        <v>0.5</v>
      </c>
      <c r="AO32" s="558">
        <f>INDEX('DEFAULT DATA'!$R$9:$V$41,START!$C$3,4)</f>
        <v>0.5</v>
      </c>
      <c r="AP32" s="558">
        <f>INDEX('DEFAULT DATA'!$R$9:$V$41,START!$C$3,4)</f>
        <v>0.5</v>
      </c>
      <c r="AQ32" s="558">
        <f>INDEX('DEFAULT DATA'!$R$9:$V$41,START!$C$3,4)</f>
        <v>0.5</v>
      </c>
      <c r="AR32" s="558">
        <f>INDEX('DEFAULT DATA'!$R$9:$V$41,START!$C$3,4)</f>
        <v>0.5</v>
      </c>
      <c r="AS32" s="558">
        <f>INDEX('DEFAULT DATA'!$R$9:$V$41,START!$C$3,4)</f>
        <v>0.5</v>
      </c>
      <c r="AT32" s="558">
        <f>INDEX('DEFAULT DATA'!$R$9:$V$41,START!$C$3,4)</f>
        <v>0.5</v>
      </c>
      <c r="AU32" s="558">
        <f>INDEX('DEFAULT DATA'!$R$9:$V$41,START!$C$3,4)</f>
        <v>0.5</v>
      </c>
      <c r="AV32" s="558">
        <f>INDEX('DEFAULT DATA'!$R$9:$V$41,START!$C$3,4)</f>
        <v>0.5</v>
      </c>
      <c r="AW32" s="558">
        <f>INDEX('DEFAULT DATA'!$R$9:$V$41,START!$C$3,4)</f>
        <v>0.5</v>
      </c>
      <c r="AX32" s="558">
        <f>INDEX('DEFAULT DATA'!$R$9:$V$41,START!$C$3,4)</f>
        <v>0.5</v>
      </c>
      <c r="AY32" s="558">
        <f>INDEX('DEFAULT DATA'!$R$9:$V$41,START!$C$3,4)</f>
        <v>0.5</v>
      </c>
      <c r="AZ32" s="558">
        <f>INDEX('DEFAULT DATA'!$R$9:$V$41,START!$C$3,4)</f>
        <v>0.5</v>
      </c>
      <c r="BA32" s="882">
        <f>INDEX('DEFAULT DATA'!$R$9:$V$41,START!$C$3,4)</f>
        <v>0.5</v>
      </c>
      <c r="BB32" s="29"/>
      <c r="BC32" s="891" t="s">
        <v>2074</v>
      </c>
      <c r="BD32" s="552" t="s">
        <v>2079</v>
      </c>
      <c r="BE32" s="892" t="s">
        <v>203</v>
      </c>
      <c r="BG32" s="1001" t="s">
        <v>2666</v>
      </c>
      <c r="BH32" s="1438" t="s">
        <v>2672</v>
      </c>
      <c r="BI32" s="1438"/>
      <c r="BJ32" s="1438"/>
      <c r="BK32" s="1439"/>
    </row>
    <row r="33" spans="1:63" ht="20.100000000000001" customHeight="1" thickBot="1">
      <c r="A33" s="28"/>
      <c r="B33" s="1024"/>
      <c r="C33" s="1024"/>
      <c r="D33" s="1024"/>
      <c r="E33" s="1024"/>
      <c r="F33" s="1024"/>
      <c r="G33" s="1024"/>
      <c r="H33" s="1024"/>
      <c r="I33" s="1024" t="str">
        <f>INDEX('MENU OPTIONS'!$F$23:$AK$80,9,START!$C$3)</f>
        <v>-</v>
      </c>
      <c r="J33" s="1024"/>
      <c r="K33" s="1024"/>
      <c r="L33" s="777">
        <v>0</v>
      </c>
      <c r="M33" s="1024"/>
      <c r="N33" s="1024"/>
      <c r="O33" s="460"/>
      <c r="P33" s="1024"/>
      <c r="Q33" s="1024"/>
      <c r="R33" s="141"/>
      <c r="S33" s="883" t="s">
        <v>933</v>
      </c>
      <c r="T33" s="782" t="str">
        <f>CONCATENATE($BD$28,"= ",BC33,"; ",$BC$28,": ",BD33,"; ",$BE$28,": ",BE33)</f>
        <v>EFbus_road= BUS_COL20; EFbus_street: BUS_COL25; Share: see equation</v>
      </c>
      <c r="U33" s="1027">
        <v>0.92799999999999994</v>
      </c>
      <c r="V33" s="1028">
        <f>INDEX('DEFAULT DATA'!$AG$9:$AK$41,START!$C$3,5)</f>
        <v>0.96717040125065135</v>
      </c>
      <c r="W33" s="1028">
        <f>INDEX('DEFAULT DATA'!$AB$9:$AF$41,START!$C$3,5)</f>
        <v>0.82209484106305364</v>
      </c>
      <c r="X33" s="1027">
        <f>INDEX('DEFAULT DATA'!$AL$9:$AL$41,START!$C$3,1)+((INDEX('DEFAULT DATA'!$AM$9:$AM$41,START!$C$3,1)-INDEX('DEFAULT DATA'!$AL$9:$AL$41,START!$C$3,1))/5)</f>
        <v>0.26</v>
      </c>
      <c r="Y33" s="1027">
        <f>X33+((INDEX('DEFAULT DATA'!$AM$9:$AM$41,START!$C$3,1)-INDEX('DEFAULT DATA'!$AL$9:$AL$41,START!$C$3,1))/5)</f>
        <v>0.32</v>
      </c>
      <c r="Z33" s="1027">
        <f>Y33+((INDEX('DEFAULT DATA'!$AM$9:$AM$41,START!$C$3,1)-INDEX('DEFAULT DATA'!$AL$9:$AL$41,START!$C$3,1))/5)</f>
        <v>0.38</v>
      </c>
      <c r="AA33" s="1027">
        <f>Z33+((INDEX('DEFAULT DATA'!$AM$9:$AM$41,START!$C$3,1)-INDEX('DEFAULT DATA'!$AL$9:$AL$41,START!$C$3,1))/5)</f>
        <v>0.44</v>
      </c>
      <c r="AB33" s="1027">
        <f>AA33+((INDEX('DEFAULT DATA'!$AM$9:$AM$41,START!$C$3,1)-INDEX('DEFAULT DATA'!$AL$9:$AL$41,START!$C$3,1))/5)</f>
        <v>0.5</v>
      </c>
      <c r="AC33" s="1027">
        <f>AB33+((INDEX('DEFAULT DATA'!$AN$9:$AN$41,START!$C$3,1)-INDEX('DEFAULT DATA'!$AM$9:$AM$41,START!$C$3,1))/5)</f>
        <v>0.67999999999999994</v>
      </c>
      <c r="AD33" s="1027">
        <f>AC33+((INDEX('DEFAULT DATA'!$AN$9:$AN$41,START!$C$3,1)-INDEX('DEFAULT DATA'!$AM$9:$AM$41,START!$C$3,1))/5)</f>
        <v>0.85999999999999988</v>
      </c>
      <c r="AE33" s="1027">
        <f>AD33+((INDEX('DEFAULT DATA'!$AN$9:$AN$41,START!$C$3,1)-INDEX('DEFAULT DATA'!$AM$9:$AM$41,START!$C$3,1))/5)</f>
        <v>1.0399999999999998</v>
      </c>
      <c r="AF33" s="1027">
        <f>AE33+((INDEX('DEFAULT DATA'!$AN$9:$AN$41,START!$C$3,1)-INDEX('DEFAULT DATA'!$AM$9:$AM$41,START!$C$3,1))/5)</f>
        <v>1.2199999999999998</v>
      </c>
      <c r="AG33" s="1027">
        <f>AF33+((INDEX('DEFAULT DATA'!$AN$9:$AN$41,START!$C$3,1)-INDEX('DEFAULT DATA'!$AM$9:$AM$41,START!$C$3,1))/5)</f>
        <v>1.3999999999999997</v>
      </c>
      <c r="AH33" s="1027">
        <f>AG33+((INDEX('DEFAULT DATA'!$AO$9:$AO$41,START!$C$3,1)-INDEX('DEFAULT DATA'!$AN$9:$AN$41,START!$C$3,1))/5)</f>
        <v>1.4599999999999997</v>
      </c>
      <c r="AI33" s="1027">
        <f>AH33+((INDEX('DEFAULT DATA'!$AO$9:$AO$41,START!$C$3,1)-INDEX('DEFAULT DATA'!$AN$9:$AN$41,START!$C$3,1))/5)</f>
        <v>1.5199999999999998</v>
      </c>
      <c r="AJ33" s="1027">
        <f>AI33+((INDEX('DEFAULT DATA'!$AO$9:$AO$41,START!$C$3,1)-INDEX('DEFAULT DATA'!$AN$9:$AN$41,START!$C$3,1))/5)</f>
        <v>1.5799999999999998</v>
      </c>
      <c r="AK33" s="1027">
        <f>AJ33+((INDEX('DEFAULT DATA'!$AO$9:$AO$41,START!$C$3,1)-INDEX('DEFAULT DATA'!$AN$9:$AN$41,START!$C$3,1))/5)</f>
        <v>1.64</v>
      </c>
      <c r="AL33" s="1027">
        <f>AK33+((INDEX('DEFAULT DATA'!$AO$9:$AO$41,START!$C$3,1)-INDEX('DEFAULT DATA'!$AN$9:$AN$41,START!$C$3,1))/5)</f>
        <v>1.7</v>
      </c>
      <c r="AM33" s="1027">
        <f>AL33+((INDEX('DEFAULT DATA'!$AP$9:$AP$41,START!$C$3,1)-INDEX('DEFAULT DATA'!$AO$9:$AO$41,START!$C$3,1))/5)</f>
        <v>1.76</v>
      </c>
      <c r="AN33" s="1027">
        <f>AM33+((INDEX('DEFAULT DATA'!$AP$9:$AP$41,START!$C$3,1)-INDEX('DEFAULT DATA'!$AO$9:$AO$41,START!$C$3,1))/5)</f>
        <v>1.82</v>
      </c>
      <c r="AO33" s="1027">
        <f>AN33+((INDEX('DEFAULT DATA'!$AP$9:$AP$41,START!$C$3,1)-INDEX('DEFAULT DATA'!$AO$9:$AO$41,START!$C$3,1))/5)</f>
        <v>1.8800000000000001</v>
      </c>
      <c r="AP33" s="1027">
        <f>AO33+((INDEX('DEFAULT DATA'!$AP$9:$AP$41,START!$C$3,1)-INDEX('DEFAULT DATA'!$AO$9:$AO$41,START!$C$3,1))/5)</f>
        <v>1.9400000000000002</v>
      </c>
      <c r="AQ33" s="1027">
        <f>AP33+((INDEX('DEFAULT DATA'!$AP$9:$AP$41,START!$C$3,1)-INDEX('DEFAULT DATA'!$AO$9:$AO$41,START!$C$3,1))/5)</f>
        <v>2</v>
      </c>
      <c r="AR33" s="1027">
        <f>AQ33+((INDEX('DEFAULT DATA'!$AQ$9:$AQ$41,START!$C$3,1)-INDEX('DEFAULT DATA'!$AP$9:$AP$41,START!$C$3,1))/5)</f>
        <v>2.04</v>
      </c>
      <c r="AS33" s="1027">
        <f>AR33+((INDEX('DEFAULT DATA'!$AQ$9:$AQ$41,START!$C$3,1)-INDEX('DEFAULT DATA'!$AP$9:$AP$41,START!$C$3,1))/5)</f>
        <v>2.08</v>
      </c>
      <c r="AT33" s="1027">
        <f>AS33+((INDEX('DEFAULT DATA'!$AQ$9:$AQ$41,START!$C$3,1)-INDEX('DEFAULT DATA'!$AP$9:$AP$41,START!$C$3,1))/5)</f>
        <v>2.12</v>
      </c>
      <c r="AU33" s="1027">
        <f>AT33+((INDEX('DEFAULT DATA'!$AQ$9:$AQ$41,START!$C$3,1)-INDEX('DEFAULT DATA'!$AP$9:$AP$41,START!$C$3,1))/5)</f>
        <v>2.16</v>
      </c>
      <c r="AV33" s="1027">
        <f>AU33+((INDEX('DEFAULT DATA'!$AQ$9:$AQ$41,START!$C$3,1)-INDEX('DEFAULT DATA'!$AP$9:$AP$41,START!$C$3,1))/5)</f>
        <v>2.2000000000000002</v>
      </c>
      <c r="AW33" s="1027">
        <f>AV33+((INDEX('DEFAULT DATA'!$AR$9:$AR$41,START!$C$3,1)-INDEX('DEFAULT DATA'!$AQ$9:$AQ$41,START!$C$3,1))/5)</f>
        <v>2.2600000000000002</v>
      </c>
      <c r="AX33" s="1027">
        <f>AW33+((INDEX('DEFAULT DATA'!$AR$9:$AR$41,START!$C$3,1)-INDEX('DEFAULT DATA'!$AQ$9:$AQ$41,START!$C$3,1))/5)</f>
        <v>2.3200000000000003</v>
      </c>
      <c r="AY33" s="1027">
        <f>AX33+((INDEX('DEFAULT DATA'!$AR$9:$AR$41,START!$C$3,1)-INDEX('DEFAULT DATA'!$AQ$9:$AQ$41,START!$C$3,1))/5)</f>
        <v>2.3800000000000003</v>
      </c>
      <c r="AZ33" s="1027">
        <f>AY33+((INDEX('DEFAULT DATA'!$AR$9:$AR$41,START!$C$3,1)-INDEX('DEFAULT DATA'!$AQ$9:$AQ$41,START!$C$3,1))/5)</f>
        <v>2.4400000000000004</v>
      </c>
      <c r="BA33" s="1029">
        <f>AZ33+((INDEX('DEFAULT DATA'!$AR$9:$AR$41,START!$C$3,1)-INDEX('DEFAULT DATA'!$AQ$9:$AQ$41,START!$C$3,1))/5)</f>
        <v>2.5000000000000004</v>
      </c>
      <c r="BB33" s="29"/>
      <c r="BC33" s="893" t="s">
        <v>2075</v>
      </c>
      <c r="BD33" s="782" t="s">
        <v>2080</v>
      </c>
      <c r="BE33" s="1003" t="s">
        <v>2664</v>
      </c>
      <c r="BF33" s="999" t="s">
        <v>2678</v>
      </c>
      <c r="BG33" s="1001" t="s">
        <v>2671</v>
      </c>
      <c r="BH33" s="1438" t="s">
        <v>2673</v>
      </c>
      <c r="BI33" s="1438"/>
      <c r="BJ33" s="1438"/>
      <c r="BK33" s="1439"/>
    </row>
    <row r="34" spans="1:63" ht="20.100000000000001" customHeight="1">
      <c r="A34" s="28"/>
      <c r="B34" s="1024"/>
      <c r="C34" s="1024"/>
      <c r="D34" s="1024"/>
      <c r="E34" s="1024"/>
      <c r="F34" s="1024"/>
      <c r="G34" s="1024"/>
      <c r="H34" s="1024"/>
      <c r="I34" s="1024" t="str">
        <f>INDEX('MENU OPTIONS'!$F$23:$AK$80,10,START!$C$3)</f>
        <v>-</v>
      </c>
      <c r="J34" s="1024"/>
      <c r="K34" s="1024"/>
      <c r="L34" s="777">
        <v>0</v>
      </c>
      <c r="M34" s="1024"/>
      <c r="N34" s="1024"/>
      <c r="O34" s="460"/>
      <c r="P34" s="1024"/>
      <c r="Q34" s="1024"/>
      <c r="R34" s="141"/>
      <c r="S34" s="884" t="s">
        <v>974</v>
      </c>
      <c r="T34" s="784" t="s">
        <v>2422</v>
      </c>
      <c r="U34" s="560"/>
      <c r="V34" s="560"/>
      <c r="W34" s="560"/>
      <c r="X34" s="327">
        <f>(X29/100*$U$29)+(X30/100*$U$30)+(X31/100*$U$31)+(X32/100*$U$32)+(X33*X5/100*$U$33)</f>
        <v>365.07526842008599</v>
      </c>
      <c r="Y34" s="327">
        <f>(Y29/100*$U$29)+(Y30/100*$U$30)+(Y31/100*$U$31)+(Y32/100*$U$32)+(Y33*Y5/100*$U$33)</f>
        <v>364.90908319795273</v>
      </c>
      <c r="Z34" s="327">
        <f t="shared" ref="Z34:BA34" si="34">(Z29/100*$U$29)+(Z30/100*$U$30)+(Z31/100*$U$31)+(Z32/100*$U$32)+(Z33*Z5/100*$U$33)</f>
        <v>364.74181903702294</v>
      </c>
      <c r="AA34" s="327">
        <f t="shared" si="34"/>
        <v>364.57349224208599</v>
      </c>
      <c r="AB34" s="327">
        <f t="shared" si="34"/>
        <v>364.40411889972944</v>
      </c>
      <c r="AC34" s="327">
        <f t="shared" si="34"/>
        <v>363.90182615789735</v>
      </c>
      <c r="AD34" s="327">
        <f t="shared" si="34"/>
        <v>363.39639916907669</v>
      </c>
      <c r="AE34" s="327">
        <f t="shared" si="34"/>
        <v>362.88788516995527</v>
      </c>
      <c r="AF34" s="327">
        <f t="shared" si="34"/>
        <v>362.37633076591158</v>
      </c>
      <c r="AG34" s="327">
        <f t="shared" si="34"/>
        <v>361.86178193891789</v>
      </c>
      <c r="AH34" s="327">
        <f t="shared" si="34"/>
        <v>361.625638027977</v>
      </c>
      <c r="AI34" s="327">
        <f t="shared" si="34"/>
        <v>361.38779598480073</v>
      </c>
      <c r="AJ34" s="327">
        <f t="shared" si="34"/>
        <v>361.14849469087562</v>
      </c>
      <c r="AK34" s="327">
        <f t="shared" si="34"/>
        <v>360.90795188757465</v>
      </c>
      <c r="AL34" s="327">
        <f t="shared" si="34"/>
        <v>360.66636577895349</v>
      </c>
      <c r="AM34" s="327">
        <f t="shared" si="34"/>
        <v>360.42391652218748</v>
      </c>
      <c r="AN34" s="327">
        <f t="shared" si="34"/>
        <v>360.18076761316092</v>
      </c>
      <c r="AO34" s="327">
        <f t="shared" si="34"/>
        <v>359.93706717423458</v>
      </c>
      <c r="AP34" s="327">
        <f t="shared" si="34"/>
        <v>359.69294915075716</v>
      </c>
      <c r="AQ34" s="327">
        <f t="shared" si="34"/>
        <v>359.44853442246722</v>
      </c>
      <c r="AR34" s="327">
        <f t="shared" si="34"/>
        <v>359.26780171015662</v>
      </c>
      <c r="AS34" s="327">
        <f t="shared" si="34"/>
        <v>359.08798047681034</v>
      </c>
      <c r="AT34" s="327">
        <f t="shared" si="34"/>
        <v>358.90907567727061</v>
      </c>
      <c r="AU34" s="327">
        <f t="shared" si="34"/>
        <v>358.73108896412282</v>
      </c>
      <c r="AV34" s="327">
        <f t="shared" si="34"/>
        <v>358.554019035956</v>
      </c>
      <c r="AW34" s="327">
        <f t="shared" si="34"/>
        <v>358.31174885939879</v>
      </c>
      <c r="AX34" s="327">
        <f t="shared" si="34"/>
        <v>358.0696304440732</v>
      </c>
      <c r="AY34" s="327">
        <f t="shared" si="34"/>
        <v>357.82771771513796</v>
      </c>
      <c r="AZ34" s="327">
        <f t="shared" si="34"/>
        <v>357.58605820690661</v>
      </c>
      <c r="BA34" s="885">
        <f t="shared" si="34"/>
        <v>357.34469360271675</v>
      </c>
      <c r="BB34" s="29"/>
      <c r="BC34" s="29"/>
      <c r="BD34" s="29"/>
      <c r="BG34" s="1001" t="s">
        <v>2667</v>
      </c>
      <c r="BH34" s="1438" t="s">
        <v>2674</v>
      </c>
      <c r="BI34" s="1438"/>
      <c r="BJ34" s="1438"/>
      <c r="BK34" s="1439"/>
    </row>
    <row r="35" spans="1:63" ht="20.100000000000001" customHeight="1">
      <c r="A35" s="28"/>
      <c r="B35" s="1024"/>
      <c r="C35" s="1024"/>
      <c r="D35" s="1024"/>
      <c r="E35" s="1024"/>
      <c r="F35" s="1024"/>
      <c r="G35" s="1024"/>
      <c r="H35" s="1024"/>
      <c r="I35" s="1024" t="str">
        <f>INDEX('MENU OPTIONS'!$F$23:$AK$80,11,START!$C$3)</f>
        <v>-</v>
      </c>
      <c r="J35" s="1024"/>
      <c r="K35" s="1024"/>
      <c r="L35" s="777">
        <v>0</v>
      </c>
      <c r="M35" s="1024"/>
      <c r="N35" s="1024"/>
      <c r="O35" s="460"/>
      <c r="P35" s="1024"/>
      <c r="Q35" s="1024"/>
      <c r="R35" s="141"/>
      <c r="S35" s="241" t="s">
        <v>2412</v>
      </c>
      <c r="T35" s="784" t="s">
        <v>164</v>
      </c>
      <c r="U35" s="561"/>
      <c r="V35" s="562"/>
      <c r="W35" s="562"/>
      <c r="X35" s="272">
        <f>(X29/100*$V$29)+(X30/100*$V$30)+(X31/100*$V$31)+(X32/100*$V$32)+(X33*X5/100*$V$33)</f>
        <v>262.35146470950309</v>
      </c>
      <c r="Y35" s="272">
        <f>(Y29/100*$V$29)+(Y30/100*$V$30)+(Y31/100*$V$31)+(Y32/100*$V$32)+(Y33*Y5/100*$V$33)</f>
        <v>262.24915298265432</v>
      </c>
      <c r="Z35" s="272">
        <f t="shared" ref="Z35:BA35" si="35">(Z29/100*$V$29)+(Z30/100*$V$30)+(Z31/100*$V$31)+(Z32/100*$V$32)+(Z33*Z5/100*$V$33)</f>
        <v>262.14571677555915</v>
      </c>
      <c r="AA35" s="272">
        <f t="shared" si="35"/>
        <v>262.04117308122352</v>
      </c>
      <c r="AB35" s="272">
        <f t="shared" si="35"/>
        <v>261.93553866524161</v>
      </c>
      <c r="AC35" s="272">
        <f t="shared" si="35"/>
        <v>261.62470866923707</v>
      </c>
      <c r="AD35" s="272">
        <f t="shared" si="35"/>
        <v>261.31061213129556</v>
      </c>
      <c r="AE35" s="272">
        <f t="shared" si="35"/>
        <v>260.99329828194101</v>
      </c>
      <c r="AF35" s="272">
        <f t="shared" si="35"/>
        <v>260.67281569374097</v>
      </c>
      <c r="AG35" s="272">
        <f t="shared" si="35"/>
        <v>260.34921228954295</v>
      </c>
      <c r="AH35" s="272">
        <f t="shared" si="35"/>
        <v>260.17398895372338</v>
      </c>
      <c r="AI35" s="272">
        <f t="shared" si="35"/>
        <v>259.99699580838268</v>
      </c>
      <c r="AJ35" s="272">
        <f t="shared" si="35"/>
        <v>259.81848181807192</v>
      </c>
      <c r="AK35" s="272">
        <f t="shared" si="35"/>
        <v>259.63867391491505</v>
      </c>
      <c r="AL35" s="272">
        <f t="shared" si="35"/>
        <v>259.4577786690586</v>
      </c>
      <c r="AM35" s="272">
        <f t="shared" si="35"/>
        <v>259.27598384201934</v>
      </c>
      <c r="AN35" s="272">
        <f t="shared" si="35"/>
        <v>259.09345983075872</v>
      </c>
      <c r="AO35" s="272">
        <f t="shared" si="35"/>
        <v>258.91036100980568</v>
      </c>
      <c r="AP35" s="272">
        <f t="shared" si="35"/>
        <v>258.7268269782731</v>
      </c>
      <c r="AQ35" s="272">
        <f t="shared" si="35"/>
        <v>258.54298371817094</v>
      </c>
      <c r="AR35" s="272">
        <f t="shared" si="35"/>
        <v>258.40188109649711</v>
      </c>
      <c r="AS35" s="272">
        <f t="shared" si="35"/>
        <v>258.26172842684457</v>
      </c>
      <c r="AT35" s="272">
        <f t="shared" si="35"/>
        <v>258.12253087319675</v>
      </c>
      <c r="AU35" s="272">
        <f t="shared" si="35"/>
        <v>257.98429015789378</v>
      </c>
      <c r="AV35" s="272">
        <f t="shared" si="35"/>
        <v>257.84700492459285</v>
      </c>
      <c r="AW35" s="272">
        <f t="shared" si="35"/>
        <v>257.66539673664573</v>
      </c>
      <c r="AX35" s="272">
        <f t="shared" si="35"/>
        <v>257.48394671569343</v>
      </c>
      <c r="AY35" s="272">
        <f t="shared" si="35"/>
        <v>257.30271106304804</v>
      </c>
      <c r="AZ35" s="272">
        <f t="shared" si="35"/>
        <v>257.12173931942164</v>
      </c>
      <c r="BA35" s="324">
        <f t="shared" si="35"/>
        <v>256.94107492758434</v>
      </c>
      <c r="BB35" s="29"/>
      <c r="BC35" s="29"/>
      <c r="BD35" s="29"/>
      <c r="BG35" s="1001" t="s">
        <v>2668</v>
      </c>
      <c r="BH35" s="1438" t="s">
        <v>2675</v>
      </c>
      <c r="BI35" s="1438"/>
      <c r="BJ35" s="1438"/>
      <c r="BK35" s="1439"/>
    </row>
    <row r="36" spans="1:63" ht="20.100000000000001" customHeight="1" thickBot="1">
      <c r="A36" s="28"/>
      <c r="B36" s="1024"/>
      <c r="C36" s="1024"/>
      <c r="D36" s="1024"/>
      <c r="E36" s="1024"/>
      <c r="F36" s="1024"/>
      <c r="G36" s="1024"/>
      <c r="H36" s="1024"/>
      <c r="I36" s="1024" t="str">
        <f>INDEX('MENU OPTIONS'!$F$23:$AK$80,12,START!$C$3)</f>
        <v>-</v>
      </c>
      <c r="J36" s="1024"/>
      <c r="K36" s="1024"/>
      <c r="L36" s="777">
        <v>0</v>
      </c>
      <c r="M36" s="1024"/>
      <c r="N36" s="1024"/>
      <c r="O36" s="460"/>
      <c r="P36" s="1024"/>
      <c r="Q36" s="1024"/>
      <c r="R36" s="141"/>
      <c r="S36" s="470" t="s">
        <v>2413</v>
      </c>
      <c r="T36" s="886" t="s">
        <v>164</v>
      </c>
      <c r="U36" s="887"/>
      <c r="V36" s="888"/>
      <c r="W36" s="888"/>
      <c r="X36" s="325">
        <f>(X29/100*$W$29)+(X30/100*$W$30)+(X31/100*$W$31)+(X32/100*$W$32)+(X33*X5/100*$W$33)</f>
        <v>433.53704682500052</v>
      </c>
      <c r="Y36" s="325">
        <f>(Y29/100*$W$29)+(Y30/100*$W$30)+(Y31/100*$W$31)+(Y32/100*$W$32)+(Y33*Y5/100*$W$33)</f>
        <v>433.32374457867138</v>
      </c>
      <c r="Z36" s="325">
        <f t="shared" ref="Z36:BA36" si="36">(Z29/100*$W$29)+(Z30/100*$W$30)+(Z31/100*$W$31)+(Z32/100*$W$32)+(Z33*Z5/100*$W$33)</f>
        <v>433.10948652413276</v>
      </c>
      <c r="AA36" s="325">
        <f t="shared" si="36"/>
        <v>432.89428710543984</v>
      </c>
      <c r="AB36" s="325">
        <f t="shared" si="36"/>
        <v>432.67816057334755</v>
      </c>
      <c r="AC36" s="325">
        <f t="shared" si="36"/>
        <v>432.03494324122067</v>
      </c>
      <c r="AD36" s="325">
        <f t="shared" si="36"/>
        <v>431.38894934844728</v>
      </c>
      <c r="AE36" s="325">
        <f t="shared" si="36"/>
        <v>430.74022074097297</v>
      </c>
      <c r="AF36" s="325">
        <f t="shared" si="36"/>
        <v>430.08879870547986</v>
      </c>
      <c r="AG36" s="325">
        <f t="shared" si="36"/>
        <v>429.43472397638857</v>
      </c>
      <c r="AH36" s="325">
        <f t="shared" si="36"/>
        <v>429.15944686243427</v>
      </c>
      <c r="AI36" s="325">
        <f t="shared" si="36"/>
        <v>428.88266541038701</v>
      </c>
      <c r="AJ36" s="325">
        <f t="shared" si="36"/>
        <v>428.60459124011516</v>
      </c>
      <c r="AK36" s="325">
        <f t="shared" si="36"/>
        <v>428.32541724392411</v>
      </c>
      <c r="AL36" s="325">
        <f t="shared" si="36"/>
        <v>428.04531900643849</v>
      </c>
      <c r="AM36" s="325">
        <f t="shared" si="36"/>
        <v>427.7644561249474</v>
      </c>
      <c r="AN36" s="325">
        <f t="shared" si="36"/>
        <v>427.48297343686818</v>
      </c>
      <c r="AO36" s="325">
        <f t="shared" si="36"/>
        <v>427.2010021605505</v>
      </c>
      <c r="AP36" s="325">
        <f t="shared" si="36"/>
        <v>426.91866095524011</v>
      </c>
      <c r="AQ36" s="325">
        <f t="shared" si="36"/>
        <v>426.6360569056456</v>
      </c>
      <c r="AR36" s="325">
        <f t="shared" si="36"/>
        <v>426.43189482488441</v>
      </c>
      <c r="AS36" s="325">
        <f t="shared" si="36"/>
        <v>426.22854020334125</v>
      </c>
      <c r="AT36" s="325">
        <f t="shared" si="36"/>
        <v>426.02599743040213</v>
      </c>
      <c r="AU36" s="325">
        <f t="shared" si="36"/>
        <v>425.82426797005621</v>
      </c>
      <c r="AV36" s="325">
        <f t="shared" si="36"/>
        <v>425.62335066941199</v>
      </c>
      <c r="AW36" s="325">
        <f t="shared" si="36"/>
        <v>425.34264643114921</v>
      </c>
      <c r="AX36" s="325">
        <f t="shared" si="36"/>
        <v>425.06207663483212</v>
      </c>
      <c r="AY36" s="325">
        <f t="shared" si="36"/>
        <v>424.78168905157582</v>
      </c>
      <c r="AZ36" s="325">
        <f t="shared" si="36"/>
        <v>424.50152579098574</v>
      </c>
      <c r="BA36" s="326">
        <f t="shared" si="36"/>
        <v>424.22162377941635</v>
      </c>
      <c r="BB36" s="29"/>
      <c r="BC36" s="29"/>
      <c r="BD36" s="29"/>
      <c r="BG36" s="1001" t="s">
        <v>2669</v>
      </c>
      <c r="BH36" s="1438" t="s">
        <v>2676</v>
      </c>
      <c r="BI36" s="1438"/>
      <c r="BJ36" s="1438"/>
      <c r="BK36" s="1439"/>
    </row>
    <row r="37" spans="1:63" ht="20.100000000000001" customHeight="1" thickBot="1">
      <c r="A37" s="28"/>
      <c r="B37" s="1024"/>
      <c r="C37" s="1024"/>
      <c r="D37" s="1024"/>
      <c r="E37" s="1024"/>
      <c r="F37" s="1024"/>
      <c r="G37" s="1024"/>
      <c r="H37" s="1024"/>
      <c r="I37" s="1024" t="str">
        <f>INDEX('MENU OPTIONS'!$F$23:$AK$80,13,START!$C$3)</f>
        <v>-</v>
      </c>
      <c r="J37" s="1024"/>
      <c r="K37" s="1024"/>
      <c r="L37" s="777">
        <v>0</v>
      </c>
      <c r="M37" s="1024"/>
      <c r="N37" s="1024"/>
      <c r="O37" s="460"/>
      <c r="P37" s="1024"/>
      <c r="Q37" s="1024"/>
      <c r="R37" s="141"/>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9"/>
      <c r="BC37" s="29"/>
      <c r="BD37" s="29"/>
      <c r="BG37" s="1002" t="s">
        <v>2670</v>
      </c>
      <c r="BH37" s="1434" t="s">
        <v>2677</v>
      </c>
      <c r="BI37" s="1434"/>
      <c r="BJ37" s="1434"/>
      <c r="BK37" s="1435"/>
    </row>
    <row r="38" spans="1:63" ht="20.100000000000001" customHeight="1">
      <c r="A38" s="28"/>
      <c r="B38" s="1024"/>
      <c r="C38" s="1024"/>
      <c r="D38" s="1024"/>
      <c r="E38" s="1024"/>
      <c r="F38" s="1024"/>
      <c r="G38" s="1024"/>
      <c r="H38" s="1024"/>
      <c r="I38" s="1024" t="str">
        <f>INDEX('MENU OPTIONS'!$F$23:$AK$80,14,START!$C$3)</f>
        <v>-</v>
      </c>
      <c r="J38" s="1024"/>
      <c r="K38" s="1024"/>
      <c r="L38" s="777">
        <v>0</v>
      </c>
      <c r="M38" s="1024"/>
      <c r="N38" s="1024"/>
      <c r="O38" s="460"/>
      <c r="P38" s="1024"/>
      <c r="Q38" s="1024"/>
      <c r="R38" s="141"/>
      <c r="S38" s="468" t="s">
        <v>2419</v>
      </c>
      <c r="T38" s="287"/>
      <c r="U38" s="1433" t="s">
        <v>988</v>
      </c>
      <c r="V38" s="1433"/>
      <c r="W38" s="317" t="s">
        <v>944</v>
      </c>
      <c r="X38" s="287"/>
      <c r="Y38" s="287"/>
      <c r="Z38" s="287"/>
      <c r="AA38" s="287"/>
      <c r="AB38" s="287"/>
      <c r="AC38" s="287"/>
      <c r="AD38" s="287"/>
      <c r="AE38" s="287"/>
      <c r="AF38" s="287"/>
      <c r="AG38" s="287"/>
      <c r="AH38" s="287"/>
      <c r="AI38" s="287"/>
      <c r="AJ38" s="287"/>
      <c r="AK38" s="287"/>
      <c r="AL38" s="287"/>
      <c r="AM38" s="287"/>
      <c r="AN38" s="287"/>
      <c r="AO38" s="287"/>
      <c r="AP38" s="287"/>
      <c r="AQ38" s="287"/>
      <c r="AR38" s="287"/>
      <c r="AS38" s="287"/>
      <c r="AT38" s="287"/>
      <c r="AU38" s="287"/>
      <c r="AV38" s="287"/>
      <c r="AW38" s="287"/>
      <c r="AX38" s="287"/>
      <c r="AY38" s="287"/>
      <c r="AZ38" s="287"/>
      <c r="BA38" s="895"/>
      <c r="BB38" s="29"/>
      <c r="BC38" s="29"/>
      <c r="BD38" s="29"/>
    </row>
    <row r="39" spans="1:63" ht="20.100000000000001" customHeight="1">
      <c r="A39" s="28"/>
      <c r="B39" s="1024"/>
      <c r="C39" s="1024"/>
      <c r="D39" s="1024"/>
      <c r="E39" s="1024"/>
      <c r="F39" s="1024"/>
      <c r="G39" s="1024"/>
      <c r="H39" s="1024"/>
      <c r="I39" s="1024" t="str">
        <f>INDEX('MENU OPTIONS'!$F$23:$AK$80,15,START!$C$3)</f>
        <v>-</v>
      </c>
      <c r="J39" s="1024"/>
      <c r="K39" s="1024"/>
      <c r="L39" s="777">
        <v>0</v>
      </c>
      <c r="M39" s="1024"/>
      <c r="N39" s="1024"/>
      <c r="O39" s="460"/>
      <c r="P39" s="1024"/>
      <c r="Q39" s="1024"/>
      <c r="R39" s="141"/>
      <c r="S39" s="241" t="s">
        <v>941</v>
      </c>
      <c r="T39" s="1362" t="s">
        <v>3035</v>
      </c>
      <c r="U39" s="777" t="s">
        <v>936</v>
      </c>
      <c r="V39" s="777" t="s">
        <v>937</v>
      </c>
      <c r="W39" s="777" t="s">
        <v>943</v>
      </c>
      <c r="X39" s="262">
        <f>X28</f>
        <v>2021</v>
      </c>
      <c r="Y39" s="262">
        <f>Y28</f>
        <v>2022</v>
      </c>
      <c r="Z39" s="262">
        <f t="shared" ref="Z39:BA39" si="37">Z28</f>
        <v>2023</v>
      </c>
      <c r="AA39" s="262">
        <f t="shared" si="37"/>
        <v>2024</v>
      </c>
      <c r="AB39" s="262">
        <f t="shared" si="37"/>
        <v>2025</v>
      </c>
      <c r="AC39" s="262">
        <f t="shared" si="37"/>
        <v>2026</v>
      </c>
      <c r="AD39" s="262">
        <f t="shared" si="37"/>
        <v>2027</v>
      </c>
      <c r="AE39" s="262">
        <f t="shared" si="37"/>
        <v>2028</v>
      </c>
      <c r="AF39" s="262">
        <f t="shared" si="37"/>
        <v>2029</v>
      </c>
      <c r="AG39" s="262">
        <f t="shared" si="37"/>
        <v>2030</v>
      </c>
      <c r="AH39" s="262">
        <f t="shared" si="37"/>
        <v>2031</v>
      </c>
      <c r="AI39" s="262">
        <f t="shared" si="37"/>
        <v>2032</v>
      </c>
      <c r="AJ39" s="262">
        <f t="shared" si="37"/>
        <v>2033</v>
      </c>
      <c r="AK39" s="262">
        <f t="shared" si="37"/>
        <v>2034</v>
      </c>
      <c r="AL39" s="262">
        <f t="shared" si="37"/>
        <v>2035</v>
      </c>
      <c r="AM39" s="262">
        <f t="shared" si="37"/>
        <v>2036</v>
      </c>
      <c r="AN39" s="262">
        <f t="shared" si="37"/>
        <v>2037</v>
      </c>
      <c r="AO39" s="262">
        <f t="shared" si="37"/>
        <v>2038</v>
      </c>
      <c r="AP39" s="262">
        <f t="shared" si="37"/>
        <v>2039</v>
      </c>
      <c r="AQ39" s="262">
        <f t="shared" si="37"/>
        <v>2040</v>
      </c>
      <c r="AR39" s="262">
        <f t="shared" si="37"/>
        <v>2041</v>
      </c>
      <c r="AS39" s="262">
        <f t="shared" si="37"/>
        <v>2042</v>
      </c>
      <c r="AT39" s="262">
        <f t="shared" si="37"/>
        <v>2043</v>
      </c>
      <c r="AU39" s="262">
        <f t="shared" si="37"/>
        <v>2044</v>
      </c>
      <c r="AV39" s="262">
        <f t="shared" si="37"/>
        <v>2045</v>
      </c>
      <c r="AW39" s="262">
        <f t="shared" si="37"/>
        <v>2046</v>
      </c>
      <c r="AX39" s="262">
        <f t="shared" si="37"/>
        <v>2047</v>
      </c>
      <c r="AY39" s="262">
        <f t="shared" si="37"/>
        <v>2048</v>
      </c>
      <c r="AZ39" s="262">
        <f t="shared" si="37"/>
        <v>2049</v>
      </c>
      <c r="BA39" s="492">
        <f t="shared" si="37"/>
        <v>2050</v>
      </c>
      <c r="BB39" s="29"/>
      <c r="BC39" s="29"/>
      <c r="BD39" s="29"/>
    </row>
    <row r="40" spans="1:63" ht="20.100000000000001" customHeight="1">
      <c r="A40" s="28"/>
      <c r="B40" s="1024"/>
      <c r="C40" s="1024"/>
      <c r="D40" s="1024"/>
      <c r="E40" s="1024"/>
      <c r="F40" s="1024"/>
      <c r="G40" s="1024"/>
      <c r="H40" s="1024"/>
      <c r="I40" s="1024" t="str">
        <f>INDEX('MENU OPTIONS'!$F$23:$AK$80,16,START!$C$3)</f>
        <v>-</v>
      </c>
      <c r="J40" s="1024"/>
      <c r="K40" s="1024"/>
      <c r="L40" s="777">
        <v>0</v>
      </c>
      <c r="M40" s="1024"/>
      <c r="N40" s="1024"/>
      <c r="O40" s="460"/>
      <c r="P40" s="1024"/>
      <c r="Q40" s="1024"/>
      <c r="R40" s="141"/>
      <c r="S40" s="241" t="str">
        <f>B8</f>
        <v>METROPOLITAN CENTER</v>
      </c>
      <c r="T40" s="552" t="s">
        <v>942</v>
      </c>
      <c r="U40" s="558">
        <f>INDEX('DEFAULT DATA'!$AS$9:$AW$41,START!$C$3,1)</f>
        <v>0</v>
      </c>
      <c r="V40" s="558">
        <f>100-U40</f>
        <v>100</v>
      </c>
      <c r="W40" s="282">
        <f>G8</f>
        <v>75</v>
      </c>
      <c r="X40" s="272">
        <f t="shared" ref="X40:AG44" si="38">($U40/100*X$35)+($V40/100*X$36)</f>
        <v>433.53704682500052</v>
      </c>
      <c r="Y40" s="272">
        <f t="shared" si="38"/>
        <v>433.32374457867138</v>
      </c>
      <c r="Z40" s="272">
        <f t="shared" si="38"/>
        <v>433.10948652413276</v>
      </c>
      <c r="AA40" s="272">
        <f t="shared" si="38"/>
        <v>432.89428710543984</v>
      </c>
      <c r="AB40" s="272">
        <f t="shared" si="38"/>
        <v>432.67816057334755</v>
      </c>
      <c r="AC40" s="272">
        <f t="shared" si="38"/>
        <v>432.03494324122067</v>
      </c>
      <c r="AD40" s="272">
        <f t="shared" si="38"/>
        <v>431.38894934844728</v>
      </c>
      <c r="AE40" s="272">
        <f t="shared" si="38"/>
        <v>430.74022074097297</v>
      </c>
      <c r="AF40" s="272">
        <f t="shared" si="38"/>
        <v>430.08879870547986</v>
      </c>
      <c r="AG40" s="272">
        <f t="shared" si="38"/>
        <v>429.43472397638857</v>
      </c>
      <c r="AH40" s="272">
        <f t="shared" ref="AH40:AQ44" si="39">($U40/100*AH$35)+($V40/100*AH$36)</f>
        <v>429.15944686243427</v>
      </c>
      <c r="AI40" s="272">
        <f t="shared" si="39"/>
        <v>428.88266541038701</v>
      </c>
      <c r="AJ40" s="272">
        <f t="shared" si="39"/>
        <v>428.60459124011516</v>
      </c>
      <c r="AK40" s="272">
        <f t="shared" si="39"/>
        <v>428.32541724392411</v>
      </c>
      <c r="AL40" s="272">
        <f t="shared" si="39"/>
        <v>428.04531900643849</v>
      </c>
      <c r="AM40" s="272">
        <f t="shared" si="39"/>
        <v>427.7644561249474</v>
      </c>
      <c r="AN40" s="272">
        <f t="shared" si="39"/>
        <v>427.48297343686818</v>
      </c>
      <c r="AO40" s="272">
        <f t="shared" si="39"/>
        <v>427.2010021605505</v>
      </c>
      <c r="AP40" s="272">
        <f t="shared" si="39"/>
        <v>426.91866095524011</v>
      </c>
      <c r="AQ40" s="272">
        <f t="shared" si="39"/>
        <v>426.6360569056456</v>
      </c>
      <c r="AR40" s="272">
        <f t="shared" ref="AR40:BA44" si="40">($U40/100*AR$35)+($V40/100*AR$36)</f>
        <v>426.43189482488441</v>
      </c>
      <c r="AS40" s="272">
        <f t="shared" si="40"/>
        <v>426.22854020334125</v>
      </c>
      <c r="AT40" s="272">
        <f t="shared" si="40"/>
        <v>426.02599743040213</v>
      </c>
      <c r="AU40" s="272">
        <f t="shared" si="40"/>
        <v>425.82426797005621</v>
      </c>
      <c r="AV40" s="272">
        <f t="shared" si="40"/>
        <v>425.62335066941199</v>
      </c>
      <c r="AW40" s="272">
        <f t="shared" si="40"/>
        <v>425.34264643114921</v>
      </c>
      <c r="AX40" s="272">
        <f t="shared" si="40"/>
        <v>425.06207663483212</v>
      </c>
      <c r="AY40" s="272">
        <f t="shared" si="40"/>
        <v>424.78168905157582</v>
      </c>
      <c r="AZ40" s="272">
        <f t="shared" si="40"/>
        <v>424.50152579098574</v>
      </c>
      <c r="BA40" s="324">
        <f t="shared" si="40"/>
        <v>424.22162377941635</v>
      </c>
      <c r="BB40" s="29"/>
      <c r="BC40" s="29"/>
      <c r="BD40" s="29"/>
    </row>
    <row r="41" spans="1:63" ht="20.100000000000001" customHeight="1">
      <c r="A41" s="28"/>
      <c r="B41" s="1024"/>
      <c r="C41" s="1024"/>
      <c r="D41" s="1024"/>
      <c r="E41" s="1024"/>
      <c r="F41" s="1024"/>
      <c r="G41" s="1024"/>
      <c r="H41" s="1024"/>
      <c r="I41" s="1024" t="str">
        <f>INDEX('MENU OPTIONS'!$F$23:$AK$80,17,START!$C$3)</f>
        <v>-</v>
      </c>
      <c r="J41" s="1024"/>
      <c r="K41" s="1024"/>
      <c r="L41" s="777">
        <v>0</v>
      </c>
      <c r="M41" s="1024"/>
      <c r="N41" s="1024"/>
      <c r="O41" s="460"/>
      <c r="P41" s="1024"/>
      <c r="Q41" s="1024"/>
      <c r="R41" s="141"/>
      <c r="S41" s="241" t="str">
        <f>B9</f>
        <v>URBAN</v>
      </c>
      <c r="T41" s="552" t="s">
        <v>942</v>
      </c>
      <c r="U41" s="558">
        <f>INDEX('DEFAULT DATA'!$AS$9:$AW$41,START!$C$3,2)</f>
        <v>10</v>
      </c>
      <c r="V41" s="558">
        <f t="shared" ref="V41:V44" si="41">100-U41</f>
        <v>90</v>
      </c>
      <c r="W41" s="282">
        <f>G9</f>
        <v>25</v>
      </c>
      <c r="X41" s="272">
        <f t="shared" si="38"/>
        <v>416.41848861345079</v>
      </c>
      <c r="Y41" s="272">
        <f t="shared" si="38"/>
        <v>416.21628541906972</v>
      </c>
      <c r="Z41" s="272">
        <f t="shared" si="38"/>
        <v>416.01310954927538</v>
      </c>
      <c r="AA41" s="272">
        <f t="shared" si="38"/>
        <v>415.80897570301823</v>
      </c>
      <c r="AB41" s="272">
        <f t="shared" si="38"/>
        <v>415.60389838253695</v>
      </c>
      <c r="AC41" s="272">
        <f t="shared" si="38"/>
        <v>414.9939197840223</v>
      </c>
      <c r="AD41" s="272">
        <f t="shared" si="38"/>
        <v>414.38111562673214</v>
      </c>
      <c r="AE41" s="272">
        <f t="shared" si="38"/>
        <v>413.76552849506982</v>
      </c>
      <c r="AF41" s="272">
        <f t="shared" si="38"/>
        <v>413.14720040430598</v>
      </c>
      <c r="AG41" s="272">
        <f t="shared" si="38"/>
        <v>412.52617280770403</v>
      </c>
      <c r="AH41" s="272">
        <f t="shared" si="39"/>
        <v>412.26090107156324</v>
      </c>
      <c r="AI41" s="272">
        <f t="shared" si="39"/>
        <v>411.99409845018658</v>
      </c>
      <c r="AJ41" s="272">
        <f t="shared" si="39"/>
        <v>411.72598029791084</v>
      </c>
      <c r="AK41" s="272">
        <f t="shared" si="39"/>
        <v>411.45674291102318</v>
      </c>
      <c r="AL41" s="272">
        <f t="shared" si="39"/>
        <v>411.18656497270052</v>
      </c>
      <c r="AM41" s="272">
        <f t="shared" si="39"/>
        <v>410.91560889665459</v>
      </c>
      <c r="AN41" s="272">
        <f t="shared" si="39"/>
        <v>410.64402207625722</v>
      </c>
      <c r="AO41" s="272">
        <f t="shared" si="39"/>
        <v>410.37193804547604</v>
      </c>
      <c r="AP41" s="272">
        <f t="shared" si="39"/>
        <v>410.09947755754342</v>
      </c>
      <c r="AQ41" s="272">
        <f t="shared" si="39"/>
        <v>409.82674958689813</v>
      </c>
      <c r="AR41" s="272">
        <f t="shared" si="40"/>
        <v>409.6288934520457</v>
      </c>
      <c r="AS41" s="272">
        <f t="shared" si="40"/>
        <v>409.43185902569161</v>
      </c>
      <c r="AT41" s="272">
        <f t="shared" si="40"/>
        <v>409.23565077468157</v>
      </c>
      <c r="AU41" s="272">
        <f t="shared" si="40"/>
        <v>409.04027018884</v>
      </c>
      <c r="AV41" s="272">
        <f t="shared" si="40"/>
        <v>408.84571609493008</v>
      </c>
      <c r="AW41" s="272">
        <f t="shared" si="40"/>
        <v>408.57492146169886</v>
      </c>
      <c r="AX41" s="272">
        <f t="shared" si="40"/>
        <v>408.30426364291827</v>
      </c>
      <c r="AY41" s="272">
        <f t="shared" si="40"/>
        <v>408.03379125272306</v>
      </c>
      <c r="AZ41" s="272">
        <f t="shared" si="40"/>
        <v>407.76354714382933</v>
      </c>
      <c r="BA41" s="324">
        <f t="shared" si="40"/>
        <v>407.49356889423314</v>
      </c>
      <c r="BB41" s="29"/>
      <c r="BC41" s="29"/>
      <c r="BD41" s="29"/>
    </row>
    <row r="42" spans="1:63" ht="20.100000000000001" customHeight="1">
      <c r="A42" s="28"/>
      <c r="B42" s="1024"/>
      <c r="C42" s="1024"/>
      <c r="D42" s="1024"/>
      <c r="E42" s="1024"/>
      <c r="F42" s="1024"/>
      <c r="G42" s="1024"/>
      <c r="H42" s="1024"/>
      <c r="I42" s="1024" t="str">
        <f>INDEX('MENU OPTIONS'!$F$23:$AK$80,18,START!$C$3)</f>
        <v>-</v>
      </c>
      <c r="J42" s="1024"/>
      <c r="K42" s="1024"/>
      <c r="L42" s="777">
        <v>0</v>
      </c>
      <c r="M42" s="1024"/>
      <c r="N42" s="1024"/>
      <c r="O42" s="460"/>
      <c r="P42" s="1024"/>
      <c r="Q42" s="1024"/>
      <c r="R42" s="1049"/>
      <c r="S42" s="241" t="str">
        <f>B10</f>
        <v>SUBURBAN</v>
      </c>
      <c r="T42" s="552" t="s">
        <v>942</v>
      </c>
      <c r="U42" s="558">
        <f>INDEX('DEFAULT DATA'!$AS$9:$AW$41,START!$C$3,3)</f>
        <v>20</v>
      </c>
      <c r="V42" s="558">
        <f t="shared" si="41"/>
        <v>80</v>
      </c>
      <c r="W42" s="282">
        <f>G10</f>
        <v>0</v>
      </c>
      <c r="X42" s="272">
        <f t="shared" si="38"/>
        <v>399.29993040190107</v>
      </c>
      <c r="Y42" s="272">
        <f t="shared" si="38"/>
        <v>399.108826259468</v>
      </c>
      <c r="Z42" s="272">
        <f t="shared" si="38"/>
        <v>398.91673257441806</v>
      </c>
      <c r="AA42" s="272">
        <f t="shared" si="38"/>
        <v>398.72366430059662</v>
      </c>
      <c r="AB42" s="272">
        <f t="shared" si="38"/>
        <v>398.52963619172635</v>
      </c>
      <c r="AC42" s="272">
        <f t="shared" si="38"/>
        <v>397.95289632682397</v>
      </c>
      <c r="AD42" s="272">
        <f t="shared" si="38"/>
        <v>397.37328190501694</v>
      </c>
      <c r="AE42" s="272">
        <f t="shared" si="38"/>
        <v>396.7908362491666</v>
      </c>
      <c r="AF42" s="272">
        <f t="shared" si="38"/>
        <v>396.20560210313209</v>
      </c>
      <c r="AG42" s="272">
        <f t="shared" si="38"/>
        <v>395.61762163901943</v>
      </c>
      <c r="AH42" s="272">
        <f t="shared" si="39"/>
        <v>395.3623552806921</v>
      </c>
      <c r="AI42" s="272">
        <f t="shared" si="39"/>
        <v>395.10553148998616</v>
      </c>
      <c r="AJ42" s="272">
        <f t="shared" si="39"/>
        <v>394.84736935570652</v>
      </c>
      <c r="AK42" s="272">
        <f t="shared" si="39"/>
        <v>394.58806857812232</v>
      </c>
      <c r="AL42" s="272">
        <f t="shared" si="39"/>
        <v>394.32781093896256</v>
      </c>
      <c r="AM42" s="272">
        <f t="shared" si="39"/>
        <v>394.06676166836178</v>
      </c>
      <c r="AN42" s="272">
        <f t="shared" si="39"/>
        <v>393.80507071564631</v>
      </c>
      <c r="AO42" s="272">
        <f t="shared" si="39"/>
        <v>393.54287393040158</v>
      </c>
      <c r="AP42" s="272">
        <f t="shared" si="39"/>
        <v>393.28029415984673</v>
      </c>
      <c r="AQ42" s="272">
        <f t="shared" si="39"/>
        <v>393.01744226815072</v>
      </c>
      <c r="AR42" s="272">
        <f t="shared" si="40"/>
        <v>392.82589207920699</v>
      </c>
      <c r="AS42" s="272">
        <f t="shared" si="40"/>
        <v>392.63517784804196</v>
      </c>
      <c r="AT42" s="272">
        <f t="shared" si="40"/>
        <v>392.44530411896108</v>
      </c>
      <c r="AU42" s="272">
        <f t="shared" si="40"/>
        <v>392.25627240762378</v>
      </c>
      <c r="AV42" s="272">
        <f t="shared" si="40"/>
        <v>392.06808152044817</v>
      </c>
      <c r="AW42" s="272">
        <f t="shared" si="40"/>
        <v>391.80719649224852</v>
      </c>
      <c r="AX42" s="272">
        <f t="shared" si="40"/>
        <v>391.54645065100442</v>
      </c>
      <c r="AY42" s="272">
        <f t="shared" si="40"/>
        <v>391.2858934538703</v>
      </c>
      <c r="AZ42" s="272">
        <f t="shared" si="40"/>
        <v>391.02556849667297</v>
      </c>
      <c r="BA42" s="324">
        <f t="shared" si="40"/>
        <v>390.76551400904998</v>
      </c>
      <c r="BB42" s="29"/>
      <c r="BC42" s="29"/>
      <c r="BD42" s="29"/>
    </row>
    <row r="43" spans="1:63" ht="20.100000000000001" customHeight="1">
      <c r="A43" s="28"/>
      <c r="B43" s="1024"/>
      <c r="C43" s="1024"/>
      <c r="D43" s="1024"/>
      <c r="E43" s="1024"/>
      <c r="F43" s="1024"/>
      <c r="G43" s="1024"/>
      <c r="H43" s="1024"/>
      <c r="I43" s="1024" t="str">
        <f>INDEX('MENU OPTIONS'!$F$23:$AK$80,19,START!$C$3)</f>
        <v>-</v>
      </c>
      <c r="J43" s="1024"/>
      <c r="K43" s="1024"/>
      <c r="L43" s="777">
        <v>0</v>
      </c>
      <c r="M43" s="1024"/>
      <c r="N43" s="1024"/>
      <c r="O43" s="460"/>
      <c r="P43" s="1024"/>
      <c r="Q43" s="1024"/>
      <c r="R43" s="1049"/>
      <c r="S43" s="241" t="str">
        <f>B11</f>
        <v>TOWN</v>
      </c>
      <c r="T43" s="552" t="s">
        <v>942</v>
      </c>
      <c r="U43" s="558">
        <f>INDEX('DEFAULT DATA'!$AS$9:$AW$41,START!$C$3,4)</f>
        <v>70</v>
      </c>
      <c r="V43" s="558">
        <f t="shared" si="41"/>
        <v>30</v>
      </c>
      <c r="W43" s="282">
        <f>G11</f>
        <v>0</v>
      </c>
      <c r="X43" s="272">
        <f t="shared" si="38"/>
        <v>313.70713934415232</v>
      </c>
      <c r="Y43" s="272">
        <f t="shared" si="38"/>
        <v>313.57153046145942</v>
      </c>
      <c r="Z43" s="272">
        <f t="shared" si="38"/>
        <v>313.43484770013123</v>
      </c>
      <c r="AA43" s="272">
        <f t="shared" si="38"/>
        <v>313.29710728848841</v>
      </c>
      <c r="AB43" s="272">
        <f t="shared" si="38"/>
        <v>313.15832523767335</v>
      </c>
      <c r="AC43" s="272">
        <f t="shared" si="38"/>
        <v>312.74777904083214</v>
      </c>
      <c r="AD43" s="272">
        <f t="shared" si="38"/>
        <v>312.33411329644105</v>
      </c>
      <c r="AE43" s="272">
        <f t="shared" si="38"/>
        <v>311.91737501965059</v>
      </c>
      <c r="AF43" s="272">
        <f t="shared" si="38"/>
        <v>311.49761059726262</v>
      </c>
      <c r="AG43" s="272">
        <f t="shared" si="38"/>
        <v>311.07486579559662</v>
      </c>
      <c r="AH43" s="272">
        <f t="shared" si="39"/>
        <v>310.86962632633663</v>
      </c>
      <c r="AI43" s="272">
        <f t="shared" si="39"/>
        <v>310.66269668898394</v>
      </c>
      <c r="AJ43" s="272">
        <f t="shared" si="39"/>
        <v>310.45431464468487</v>
      </c>
      <c r="AK43" s="272">
        <f t="shared" si="39"/>
        <v>310.24469691361776</v>
      </c>
      <c r="AL43" s="272">
        <f t="shared" si="39"/>
        <v>310.03404077027255</v>
      </c>
      <c r="AM43" s="272">
        <f t="shared" si="39"/>
        <v>309.82252552689772</v>
      </c>
      <c r="AN43" s="272">
        <f t="shared" si="39"/>
        <v>309.61031391259155</v>
      </c>
      <c r="AO43" s="272">
        <f t="shared" si="39"/>
        <v>309.39755335502912</v>
      </c>
      <c r="AP43" s="272">
        <f t="shared" si="39"/>
        <v>309.18437717136317</v>
      </c>
      <c r="AQ43" s="272">
        <f t="shared" si="39"/>
        <v>308.9709056744133</v>
      </c>
      <c r="AR43" s="272">
        <f t="shared" si="40"/>
        <v>308.81088521501329</v>
      </c>
      <c r="AS43" s="272">
        <f t="shared" si="40"/>
        <v>308.65177195979356</v>
      </c>
      <c r="AT43" s="272">
        <f t="shared" si="40"/>
        <v>308.49357084035836</v>
      </c>
      <c r="AU43" s="272">
        <f t="shared" si="40"/>
        <v>308.33628350154248</v>
      </c>
      <c r="AV43" s="272">
        <f t="shared" si="40"/>
        <v>308.17990864803858</v>
      </c>
      <c r="AW43" s="272">
        <f t="shared" si="40"/>
        <v>307.96857164499676</v>
      </c>
      <c r="AX43" s="272">
        <f t="shared" si="40"/>
        <v>307.75738569143505</v>
      </c>
      <c r="AY43" s="272">
        <f t="shared" si="40"/>
        <v>307.54640445960638</v>
      </c>
      <c r="AZ43" s="272">
        <f t="shared" si="40"/>
        <v>307.33567526089087</v>
      </c>
      <c r="BA43" s="324">
        <f t="shared" si="40"/>
        <v>307.12523958313392</v>
      </c>
      <c r="BB43" s="29"/>
      <c r="BC43" s="29"/>
      <c r="BD43" s="29"/>
    </row>
    <row r="44" spans="1:63" ht="20.100000000000001" customHeight="1" thickBot="1">
      <c r="A44" s="28"/>
      <c r="B44" s="1024"/>
      <c r="C44" s="1024"/>
      <c r="D44" s="1024"/>
      <c r="E44" s="1024"/>
      <c r="F44" s="1024"/>
      <c r="G44" s="1024"/>
      <c r="H44" s="1024"/>
      <c r="I44" s="1024" t="str">
        <f>INDEX('MENU OPTIONS'!$F$23:$AK$80,20,START!$C$3)</f>
        <v>-</v>
      </c>
      <c r="J44" s="1024"/>
      <c r="K44" s="1024"/>
      <c r="L44" s="777">
        <v>0</v>
      </c>
      <c r="M44" s="1024"/>
      <c r="N44" s="1024"/>
      <c r="O44" s="460"/>
      <c r="P44" s="1024"/>
      <c r="Q44" s="1024"/>
      <c r="R44" s="1049"/>
      <c r="S44" s="470" t="str">
        <f>B12</f>
        <v>RURAL</v>
      </c>
      <c r="T44" s="782" t="s">
        <v>942</v>
      </c>
      <c r="U44" s="1365">
        <f>INDEX('DEFAULT DATA'!$AS$9:$AW$41,START!$C$3,5)</f>
        <v>100</v>
      </c>
      <c r="V44" s="1365">
        <f t="shared" si="41"/>
        <v>0</v>
      </c>
      <c r="W44" s="538">
        <f>G12</f>
        <v>0</v>
      </c>
      <c r="X44" s="325">
        <f t="shared" si="38"/>
        <v>262.35146470950309</v>
      </c>
      <c r="Y44" s="325">
        <f t="shared" si="38"/>
        <v>262.24915298265432</v>
      </c>
      <c r="Z44" s="325">
        <f t="shared" si="38"/>
        <v>262.14571677555915</v>
      </c>
      <c r="AA44" s="325">
        <f t="shared" si="38"/>
        <v>262.04117308122352</v>
      </c>
      <c r="AB44" s="325">
        <f t="shared" si="38"/>
        <v>261.93553866524161</v>
      </c>
      <c r="AC44" s="325">
        <f t="shared" si="38"/>
        <v>261.62470866923707</v>
      </c>
      <c r="AD44" s="325">
        <f t="shared" si="38"/>
        <v>261.31061213129556</v>
      </c>
      <c r="AE44" s="325">
        <f t="shared" si="38"/>
        <v>260.99329828194101</v>
      </c>
      <c r="AF44" s="325">
        <f t="shared" si="38"/>
        <v>260.67281569374097</v>
      </c>
      <c r="AG44" s="325">
        <f t="shared" si="38"/>
        <v>260.34921228954295</v>
      </c>
      <c r="AH44" s="325">
        <f t="shared" si="39"/>
        <v>260.17398895372338</v>
      </c>
      <c r="AI44" s="325">
        <f t="shared" si="39"/>
        <v>259.99699580838268</v>
      </c>
      <c r="AJ44" s="325">
        <f t="shared" si="39"/>
        <v>259.81848181807192</v>
      </c>
      <c r="AK44" s="325">
        <f t="shared" si="39"/>
        <v>259.63867391491505</v>
      </c>
      <c r="AL44" s="325">
        <f t="shared" si="39"/>
        <v>259.4577786690586</v>
      </c>
      <c r="AM44" s="325">
        <f t="shared" si="39"/>
        <v>259.27598384201934</v>
      </c>
      <c r="AN44" s="325">
        <f t="shared" si="39"/>
        <v>259.09345983075872</v>
      </c>
      <c r="AO44" s="325">
        <f t="shared" si="39"/>
        <v>258.91036100980568</v>
      </c>
      <c r="AP44" s="325">
        <f t="shared" si="39"/>
        <v>258.7268269782731</v>
      </c>
      <c r="AQ44" s="325">
        <f t="shared" si="39"/>
        <v>258.54298371817094</v>
      </c>
      <c r="AR44" s="325">
        <f t="shared" si="40"/>
        <v>258.40188109649711</v>
      </c>
      <c r="AS44" s="325">
        <f t="shared" si="40"/>
        <v>258.26172842684457</v>
      </c>
      <c r="AT44" s="325">
        <f t="shared" si="40"/>
        <v>258.12253087319675</v>
      </c>
      <c r="AU44" s="325">
        <f t="shared" si="40"/>
        <v>257.98429015789378</v>
      </c>
      <c r="AV44" s="325">
        <f t="shared" si="40"/>
        <v>257.84700492459285</v>
      </c>
      <c r="AW44" s="325">
        <f t="shared" si="40"/>
        <v>257.66539673664573</v>
      </c>
      <c r="AX44" s="325">
        <f t="shared" si="40"/>
        <v>257.48394671569343</v>
      </c>
      <c r="AY44" s="325">
        <f t="shared" si="40"/>
        <v>257.30271106304804</v>
      </c>
      <c r="AZ44" s="325">
        <f t="shared" si="40"/>
        <v>257.12173931942164</v>
      </c>
      <c r="BA44" s="326">
        <f t="shared" si="40"/>
        <v>256.94107492758434</v>
      </c>
      <c r="BB44" s="29"/>
      <c r="BC44" s="29"/>
      <c r="BD44" s="29"/>
    </row>
    <row r="45" spans="1:63" ht="20.100000000000001" customHeight="1" thickBot="1">
      <c r="A45" s="28"/>
      <c r="B45" s="1024"/>
      <c r="C45" s="1024"/>
      <c r="D45" s="1024"/>
      <c r="E45" s="1024"/>
      <c r="F45" s="1024"/>
      <c r="G45" s="1024"/>
      <c r="H45" s="1024"/>
      <c r="I45" s="1024" t="str">
        <f>INDEX('MENU OPTIONS'!$F$23:$AK$80,21,START!$C$3)</f>
        <v>-</v>
      </c>
      <c r="J45" s="1024"/>
      <c r="K45" s="1024"/>
      <c r="L45" s="777">
        <v>0</v>
      </c>
      <c r="M45" s="1024"/>
      <c r="N45" s="1024"/>
      <c r="O45" s="460"/>
      <c r="P45" s="1024"/>
      <c r="Q45" s="1024"/>
      <c r="R45" s="1049"/>
      <c r="S45" s="896" t="s">
        <v>2417</v>
      </c>
      <c r="T45" s="886" t="s">
        <v>164</v>
      </c>
      <c r="U45" s="897"/>
      <c r="V45" s="897"/>
      <c r="W45" s="898" t="s">
        <v>1202</v>
      </c>
      <c r="X45" s="899">
        <f t="shared" ref="X45:BA45" si="42">($W$40/100*X40)+($W$41/100*X41)+($W$42/100*X42)+($W$43/100*X43)+($W$44/100*X44)</f>
        <v>429.25740727211308</v>
      </c>
      <c r="Y45" s="899">
        <f t="shared" si="42"/>
        <v>429.04687978877098</v>
      </c>
      <c r="Z45" s="899">
        <f t="shared" si="42"/>
        <v>428.83539228041843</v>
      </c>
      <c r="AA45" s="899">
        <f t="shared" si="42"/>
        <v>428.62295925483443</v>
      </c>
      <c r="AB45" s="899">
        <f t="shared" si="42"/>
        <v>428.40959502564488</v>
      </c>
      <c r="AC45" s="899">
        <f t="shared" si="42"/>
        <v>427.77468737692107</v>
      </c>
      <c r="AD45" s="899">
        <f t="shared" si="42"/>
        <v>427.13699091801845</v>
      </c>
      <c r="AE45" s="899">
        <f t="shared" si="42"/>
        <v>426.49654767949721</v>
      </c>
      <c r="AF45" s="899">
        <f t="shared" si="42"/>
        <v>425.8533991301864</v>
      </c>
      <c r="AG45" s="899">
        <f t="shared" si="42"/>
        <v>425.20758618421746</v>
      </c>
      <c r="AH45" s="899">
        <f t="shared" si="42"/>
        <v>424.93481041471648</v>
      </c>
      <c r="AI45" s="899">
        <f t="shared" si="42"/>
        <v>424.66052367033689</v>
      </c>
      <c r="AJ45" s="899">
        <f t="shared" si="42"/>
        <v>424.3849385045641</v>
      </c>
      <c r="AK45" s="899">
        <f t="shared" si="42"/>
        <v>424.10824866069885</v>
      </c>
      <c r="AL45" s="899">
        <f t="shared" si="42"/>
        <v>423.83063049800398</v>
      </c>
      <c r="AM45" s="899">
        <f t="shared" si="42"/>
        <v>423.55224431787417</v>
      </c>
      <c r="AN45" s="899">
        <f t="shared" si="42"/>
        <v>423.27323559671544</v>
      </c>
      <c r="AO45" s="899">
        <f t="shared" si="42"/>
        <v>422.99373613178187</v>
      </c>
      <c r="AP45" s="899">
        <f t="shared" si="42"/>
        <v>422.71386510581596</v>
      </c>
      <c r="AQ45" s="899">
        <f t="shared" si="42"/>
        <v>422.43373007595875</v>
      </c>
      <c r="AR45" s="899">
        <f t="shared" si="42"/>
        <v>422.23114448167473</v>
      </c>
      <c r="AS45" s="899">
        <f t="shared" si="42"/>
        <v>422.02936990892886</v>
      </c>
      <c r="AT45" s="899">
        <f t="shared" si="42"/>
        <v>421.82841076647196</v>
      </c>
      <c r="AU45" s="899">
        <f t="shared" si="42"/>
        <v>421.62826852475217</v>
      </c>
      <c r="AV45" s="899">
        <f t="shared" si="42"/>
        <v>421.42894202579151</v>
      </c>
      <c r="AW45" s="899">
        <f t="shared" si="42"/>
        <v>421.15071518878665</v>
      </c>
      <c r="AX45" s="899">
        <f t="shared" si="42"/>
        <v>420.87262338685366</v>
      </c>
      <c r="AY45" s="899">
        <f t="shared" si="42"/>
        <v>420.59471460186262</v>
      </c>
      <c r="AZ45" s="899">
        <f t="shared" si="42"/>
        <v>420.31703112919661</v>
      </c>
      <c r="BA45" s="900">
        <f t="shared" si="42"/>
        <v>420.0396100581205</v>
      </c>
      <c r="BB45" s="29"/>
      <c r="BC45" s="29"/>
      <c r="BD45" s="29"/>
    </row>
    <row r="46" spans="1:63" ht="20.100000000000001" customHeight="1" thickBot="1">
      <c r="A46" s="28"/>
      <c r="B46" s="1024"/>
      <c r="C46" s="1024"/>
      <c r="D46" s="1024"/>
      <c r="E46" s="1024"/>
      <c r="F46" s="1024"/>
      <c r="G46" s="1024"/>
      <c r="H46" s="1024"/>
      <c r="I46" s="1024" t="str">
        <f>INDEX('MENU OPTIONS'!$F$23:$AK$80,22,START!$C$3)</f>
        <v>-</v>
      </c>
      <c r="J46" s="1024"/>
      <c r="K46" s="1024"/>
      <c r="L46" s="777">
        <v>0</v>
      </c>
      <c r="M46" s="1024"/>
      <c r="N46" s="1024"/>
      <c r="O46" s="460"/>
      <c r="P46" s="1024"/>
      <c r="Q46" s="1024"/>
      <c r="R46" s="104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row>
    <row r="47" spans="1:63" ht="20.100000000000001" customHeight="1">
      <c r="A47" s="28"/>
      <c r="B47" s="1024"/>
      <c r="C47" s="1024"/>
      <c r="D47" s="1024"/>
      <c r="E47" s="1024"/>
      <c r="F47" s="1024"/>
      <c r="G47" s="1024"/>
      <c r="H47" s="1024"/>
      <c r="I47" s="1024" t="str">
        <f>INDEX('MENU OPTIONS'!$F$23:$AK$80,23,START!$C$3)</f>
        <v>-</v>
      </c>
      <c r="J47" s="1024"/>
      <c r="K47" s="1024"/>
      <c r="L47" s="777">
        <v>0</v>
      </c>
      <c r="M47" s="1024"/>
      <c r="N47" s="1024"/>
      <c r="O47" s="460"/>
      <c r="P47" s="1024"/>
      <c r="Q47" s="1024"/>
      <c r="R47" s="1049"/>
      <c r="S47" s="468" t="s">
        <v>976</v>
      </c>
      <c r="T47" s="1096" t="s">
        <v>2416</v>
      </c>
      <c r="U47" s="287"/>
      <c r="V47" s="317">
        <v>2019</v>
      </c>
      <c r="W47" s="317">
        <v>2020</v>
      </c>
      <c r="X47" s="317">
        <v>2021</v>
      </c>
      <c r="Y47" s="317">
        <f>X47+1</f>
        <v>2022</v>
      </c>
      <c r="Z47" s="317">
        <f t="shared" ref="Z47:BA47" si="43">Y47+1</f>
        <v>2023</v>
      </c>
      <c r="AA47" s="317">
        <f t="shared" si="43"/>
        <v>2024</v>
      </c>
      <c r="AB47" s="317">
        <f t="shared" si="43"/>
        <v>2025</v>
      </c>
      <c r="AC47" s="317">
        <f t="shared" si="43"/>
        <v>2026</v>
      </c>
      <c r="AD47" s="317">
        <f t="shared" si="43"/>
        <v>2027</v>
      </c>
      <c r="AE47" s="317">
        <f t="shared" si="43"/>
        <v>2028</v>
      </c>
      <c r="AF47" s="317">
        <f t="shared" si="43"/>
        <v>2029</v>
      </c>
      <c r="AG47" s="317">
        <f t="shared" si="43"/>
        <v>2030</v>
      </c>
      <c r="AH47" s="317">
        <f t="shared" si="43"/>
        <v>2031</v>
      </c>
      <c r="AI47" s="317">
        <f t="shared" si="43"/>
        <v>2032</v>
      </c>
      <c r="AJ47" s="317">
        <f t="shared" si="43"/>
        <v>2033</v>
      </c>
      <c r="AK47" s="317">
        <f t="shared" si="43"/>
        <v>2034</v>
      </c>
      <c r="AL47" s="317">
        <f t="shared" si="43"/>
        <v>2035</v>
      </c>
      <c r="AM47" s="317">
        <f t="shared" si="43"/>
        <v>2036</v>
      </c>
      <c r="AN47" s="317">
        <f t="shared" si="43"/>
        <v>2037</v>
      </c>
      <c r="AO47" s="317">
        <f t="shared" si="43"/>
        <v>2038</v>
      </c>
      <c r="AP47" s="317">
        <f t="shared" si="43"/>
        <v>2039</v>
      </c>
      <c r="AQ47" s="317">
        <f t="shared" si="43"/>
        <v>2040</v>
      </c>
      <c r="AR47" s="317">
        <f t="shared" si="43"/>
        <v>2041</v>
      </c>
      <c r="AS47" s="317">
        <f t="shared" si="43"/>
        <v>2042</v>
      </c>
      <c r="AT47" s="317">
        <f t="shared" si="43"/>
        <v>2043</v>
      </c>
      <c r="AU47" s="317">
        <f t="shared" si="43"/>
        <v>2044</v>
      </c>
      <c r="AV47" s="317">
        <f t="shared" si="43"/>
        <v>2045</v>
      </c>
      <c r="AW47" s="317">
        <f t="shared" si="43"/>
        <v>2046</v>
      </c>
      <c r="AX47" s="317">
        <f t="shared" si="43"/>
        <v>2047</v>
      </c>
      <c r="AY47" s="317">
        <f t="shared" si="43"/>
        <v>2048</v>
      </c>
      <c r="AZ47" s="317">
        <f t="shared" si="43"/>
        <v>2049</v>
      </c>
      <c r="BA47" s="318">
        <f t="shared" si="43"/>
        <v>2050</v>
      </c>
      <c r="BB47" s="29"/>
      <c r="BC47" s="29"/>
      <c r="BD47" s="29"/>
    </row>
    <row r="48" spans="1:63" ht="20.100000000000001" customHeight="1" thickBot="1">
      <c r="A48" s="28"/>
      <c r="B48" s="1024"/>
      <c r="C48" s="1024"/>
      <c r="D48" s="1024"/>
      <c r="E48" s="1024"/>
      <c r="F48" s="1024"/>
      <c r="G48" s="1024"/>
      <c r="H48" s="1024"/>
      <c r="I48" s="1024" t="str">
        <f>INDEX('MENU OPTIONS'!$F$23:$AK$80,24,START!$C$3)</f>
        <v>-</v>
      </c>
      <c r="J48" s="1024"/>
      <c r="K48" s="1024"/>
      <c r="L48" s="777">
        <v>0</v>
      </c>
      <c r="M48" s="1024"/>
      <c r="N48" s="1024"/>
      <c r="O48" s="460"/>
      <c r="P48" s="1024"/>
      <c r="Q48" s="1024"/>
      <c r="R48" s="1049"/>
      <c r="S48" s="470" t="s">
        <v>971</v>
      </c>
      <c r="T48" s="782" t="s">
        <v>2435</v>
      </c>
      <c r="U48" s="512" t="s">
        <v>1204</v>
      </c>
      <c r="V48" s="288"/>
      <c r="W48" s="288"/>
      <c r="X48" s="335">
        <f t="shared" ref="X48:BA48" si="44">X25*X45/1000</f>
        <v>97.838030234756744</v>
      </c>
      <c r="Y48" s="335">
        <f t="shared" si="44"/>
        <v>98.083416123796184</v>
      </c>
      <c r="Z48" s="335">
        <f t="shared" si="44"/>
        <v>98.329173658390388</v>
      </c>
      <c r="AA48" s="335">
        <f t="shared" si="44"/>
        <v>98.575305536076399</v>
      </c>
      <c r="AB48" s="335">
        <f t="shared" si="44"/>
        <v>98.821814440484076</v>
      </c>
      <c r="AC48" s="335">
        <f t="shared" si="44"/>
        <v>98.971385522060871</v>
      </c>
      <c r="AD48" s="335">
        <f t="shared" si="44"/>
        <v>99.120317469641023</v>
      </c>
      <c r="AE48" s="335">
        <f t="shared" si="44"/>
        <v>99.268612943553137</v>
      </c>
      <c r="AF48" s="335">
        <f t="shared" si="44"/>
        <v>99.416274547574929</v>
      </c>
      <c r="AG48" s="335">
        <f t="shared" si="44"/>
        <v>99.563304829283283</v>
      </c>
      <c r="AH48" s="335">
        <f t="shared" si="44"/>
        <v>99.797932075688038</v>
      </c>
      <c r="AI48" s="335">
        <f t="shared" si="44"/>
        <v>100.03271509171631</v>
      </c>
      <c r="AJ48" s="335">
        <f t="shared" si="44"/>
        <v>100.26770185171509</v>
      </c>
      <c r="AK48" s="335">
        <f t="shared" si="44"/>
        <v>100.50293645704861</v>
      </c>
      <c r="AL48" s="335">
        <f t="shared" si="44"/>
        <v>100.73845941263193</v>
      </c>
      <c r="AM48" s="335">
        <f t="shared" si="44"/>
        <v>100.97430788515628</v>
      </c>
      <c r="AN48" s="335">
        <f t="shared" si="44"/>
        <v>101.21051594416507</v>
      </c>
      <c r="AO48" s="335">
        <f t="shared" si="44"/>
        <v>101.44711478706596</v>
      </c>
      <c r="AP48" s="335">
        <f t="shared" si="44"/>
        <v>101.68413294909955</v>
      </c>
      <c r="AQ48" s="335">
        <f t="shared" si="44"/>
        <v>101.92159649922193</v>
      </c>
      <c r="AR48" s="335">
        <f t="shared" si="44"/>
        <v>102.17833634287773</v>
      </c>
      <c r="AS48" s="335">
        <f t="shared" si="44"/>
        <v>102.43589618415712</v>
      </c>
      <c r="AT48" s="335">
        <f t="shared" si="44"/>
        <v>102.69428029625804</v>
      </c>
      <c r="AU48" s="335">
        <f t="shared" si="44"/>
        <v>102.95349226137238</v>
      </c>
      <c r="AV48" s="335">
        <f t="shared" si="44"/>
        <v>103.21353503597122</v>
      </c>
      <c r="AW48" s="335">
        <f t="shared" si="44"/>
        <v>103.45482977575514</v>
      </c>
      <c r="AX48" s="335">
        <f t="shared" si="44"/>
        <v>103.69667663277075</v>
      </c>
      <c r="AY48" s="335">
        <f t="shared" si="44"/>
        <v>103.93908870535681</v>
      </c>
      <c r="AZ48" s="335">
        <f t="shared" si="44"/>
        <v>104.1820778274337</v>
      </c>
      <c r="BA48" s="494">
        <f t="shared" si="44"/>
        <v>104.42565466785858</v>
      </c>
      <c r="BB48" s="29"/>
      <c r="BC48" s="29"/>
      <c r="BD48" s="29"/>
    </row>
    <row r="49" spans="1:57" ht="20.100000000000001" customHeight="1">
      <c r="A49" s="28"/>
      <c r="B49" s="1024"/>
      <c r="C49" s="1024"/>
      <c r="D49" s="1024"/>
      <c r="E49" s="1024"/>
      <c r="F49" s="1024"/>
      <c r="G49" s="1024"/>
      <c r="H49" s="1024"/>
      <c r="I49" s="1024" t="str">
        <f>INDEX('MENU OPTIONS'!$F$23:$AK$80,25,START!$C$3)</f>
        <v>-</v>
      </c>
      <c r="J49" s="1024"/>
      <c r="K49" s="1024"/>
      <c r="L49" s="777">
        <v>0</v>
      </c>
      <c r="M49" s="1024"/>
      <c r="N49" s="1024"/>
      <c r="O49" s="460"/>
      <c r="P49" s="1024"/>
      <c r="Q49" s="1024"/>
      <c r="R49" s="1049"/>
      <c r="BB49" s="29"/>
      <c r="BC49" s="29"/>
      <c r="BD49" s="29"/>
    </row>
    <row r="50" spans="1:57" ht="20.100000000000001" customHeight="1" thickBot="1">
      <c r="A50" s="28"/>
      <c r="B50" s="1024"/>
      <c r="C50" s="1024"/>
      <c r="D50" s="1024"/>
      <c r="E50" s="1024"/>
      <c r="F50" s="1024"/>
      <c r="G50" s="1024"/>
      <c r="H50" s="1024"/>
      <c r="I50" s="1024" t="str">
        <f>INDEX('MENU OPTIONS'!$F$23:$AK$80,26,START!$C$3)</f>
        <v>-</v>
      </c>
      <c r="J50" s="1024"/>
      <c r="K50" s="1024"/>
      <c r="L50" s="777">
        <v>0</v>
      </c>
      <c r="M50" s="1024"/>
      <c r="N50" s="1024"/>
      <c r="O50" s="460"/>
      <c r="P50" s="1024"/>
      <c r="Q50" s="1024"/>
      <c r="R50" s="1049"/>
      <c r="S50" s="404" t="s">
        <v>993</v>
      </c>
      <c r="BB50" s="29"/>
      <c r="BC50" s="29"/>
      <c r="BD50" s="29"/>
    </row>
    <row r="51" spans="1:57" ht="20.100000000000001" customHeight="1">
      <c r="A51" s="28"/>
      <c r="B51" s="1024"/>
      <c r="C51" s="1024"/>
      <c r="D51" s="1024"/>
      <c r="E51" s="1024"/>
      <c r="F51" s="1024"/>
      <c r="G51" s="1024"/>
      <c r="H51" s="1024"/>
      <c r="I51" s="1024" t="str">
        <f>INDEX('MENU OPTIONS'!$F$23:$AK$80,27,START!$C$3)</f>
        <v>-</v>
      </c>
      <c r="J51" s="1024"/>
      <c r="K51" s="1024"/>
      <c r="L51" s="777">
        <v>0</v>
      </c>
      <c r="M51" s="1024"/>
      <c r="N51" s="1024"/>
      <c r="O51" s="460"/>
      <c r="P51" s="1024"/>
      <c r="Q51" s="1024"/>
      <c r="R51" s="1049"/>
      <c r="S51" s="374" t="s">
        <v>978</v>
      </c>
      <c r="T51" s="878" t="s">
        <v>2697</v>
      </c>
      <c r="U51" s="875"/>
      <c r="V51" s="317">
        <v>2019</v>
      </c>
      <c r="W51" s="317">
        <v>2020</v>
      </c>
      <c r="X51" s="317">
        <v>2021</v>
      </c>
      <c r="Y51" s="317">
        <f>X51+1</f>
        <v>2022</v>
      </c>
      <c r="Z51" s="317">
        <f t="shared" ref="Z51" si="45">Y51+1</f>
        <v>2023</v>
      </c>
      <c r="AA51" s="317">
        <f t="shared" ref="AA51" si="46">Z51+1</f>
        <v>2024</v>
      </c>
      <c r="AB51" s="317">
        <f t="shared" ref="AB51" si="47">AA51+1</f>
        <v>2025</v>
      </c>
      <c r="AC51" s="317">
        <f t="shared" ref="AC51" si="48">AB51+1</f>
        <v>2026</v>
      </c>
      <c r="AD51" s="317">
        <f t="shared" ref="AD51" si="49">AC51+1</f>
        <v>2027</v>
      </c>
      <c r="AE51" s="317">
        <f t="shared" ref="AE51" si="50">AD51+1</f>
        <v>2028</v>
      </c>
      <c r="AF51" s="317">
        <f t="shared" ref="AF51" si="51">AE51+1</f>
        <v>2029</v>
      </c>
      <c r="AG51" s="317">
        <f t="shared" ref="AG51" si="52">AF51+1</f>
        <v>2030</v>
      </c>
      <c r="AH51" s="317">
        <f t="shared" ref="AH51" si="53">AG51+1</f>
        <v>2031</v>
      </c>
      <c r="AI51" s="317">
        <f t="shared" ref="AI51" si="54">AH51+1</f>
        <v>2032</v>
      </c>
      <c r="AJ51" s="317">
        <f t="shared" ref="AJ51" si="55">AI51+1</f>
        <v>2033</v>
      </c>
      <c r="AK51" s="317">
        <f t="shared" ref="AK51" si="56">AJ51+1</f>
        <v>2034</v>
      </c>
      <c r="AL51" s="317">
        <f t="shared" ref="AL51" si="57">AK51+1</f>
        <v>2035</v>
      </c>
      <c r="AM51" s="317">
        <f t="shared" ref="AM51" si="58">AL51+1</f>
        <v>2036</v>
      </c>
      <c r="AN51" s="317">
        <f t="shared" ref="AN51" si="59">AM51+1</f>
        <v>2037</v>
      </c>
      <c r="AO51" s="317">
        <f t="shared" ref="AO51" si="60">AN51+1</f>
        <v>2038</v>
      </c>
      <c r="AP51" s="317">
        <f t="shared" ref="AP51" si="61">AO51+1</f>
        <v>2039</v>
      </c>
      <c r="AQ51" s="317">
        <f>AP51+1</f>
        <v>2040</v>
      </c>
      <c r="AR51" s="317">
        <f t="shared" ref="AR51" si="62">AQ51+1</f>
        <v>2041</v>
      </c>
      <c r="AS51" s="317">
        <f t="shared" ref="AS51" si="63">AR51+1</f>
        <v>2042</v>
      </c>
      <c r="AT51" s="317">
        <f t="shared" ref="AT51" si="64">AS51+1</f>
        <v>2043</v>
      </c>
      <c r="AU51" s="317">
        <f>AT51+1</f>
        <v>2044</v>
      </c>
      <c r="AV51" s="317">
        <f t="shared" ref="AV51" si="65">AU51+1</f>
        <v>2045</v>
      </c>
      <c r="AW51" s="317">
        <f t="shared" ref="AW51" si="66">AV51+1</f>
        <v>2046</v>
      </c>
      <c r="AX51" s="317">
        <f t="shared" ref="AX51" si="67">AW51+1</f>
        <v>2047</v>
      </c>
      <c r="AY51" s="317">
        <f t="shared" ref="AY51" si="68">AX51+1</f>
        <v>2048</v>
      </c>
      <c r="AZ51" s="317">
        <f t="shared" ref="AZ51" si="69">AY51+1</f>
        <v>2049</v>
      </c>
      <c r="BA51" s="318">
        <f>AZ51+1</f>
        <v>2050</v>
      </c>
      <c r="BB51" s="29"/>
      <c r="BC51" s="29"/>
      <c r="BD51" s="29"/>
    </row>
    <row r="52" spans="1:57" ht="20.100000000000001" customHeight="1" thickBot="1">
      <c r="A52" s="28"/>
      <c r="B52" s="1024"/>
      <c r="C52" s="1024"/>
      <c r="D52" s="1024"/>
      <c r="E52" s="1024"/>
      <c r="F52" s="1024"/>
      <c r="G52" s="1024"/>
      <c r="H52" s="1024"/>
      <c r="I52" s="1024" t="str">
        <f>INDEX('MENU OPTIONS'!$F$23:$AK$80,28,START!$C$3)</f>
        <v>-</v>
      </c>
      <c r="J52" s="1024"/>
      <c r="K52" s="1024"/>
      <c r="L52" s="777">
        <v>0</v>
      </c>
      <c r="M52" s="1024"/>
      <c r="N52" s="1024"/>
      <c r="O52" s="460"/>
      <c r="P52" s="1024"/>
      <c r="Q52" s="1024"/>
      <c r="R52" s="1049"/>
      <c r="S52" s="877" t="s">
        <v>979</v>
      </c>
      <c r="T52" s="876" t="s">
        <v>2696</v>
      </c>
      <c r="U52" s="512" t="s">
        <v>1203</v>
      </c>
      <c r="V52" s="879"/>
      <c r="W52" s="879"/>
      <c r="X52" s="325">
        <f>INDEX('DEFAULT DATA'!$AX$9:$AX$41,START!$C$3,1)/INDEX('DEFAULT DATA'!$AY$9:$AY$41,START!$C$3,1)*W21</f>
        <v>3511.3826779673805</v>
      </c>
      <c r="Y52" s="325">
        <f>X52*(100+INDEX('DEFAULT DATA'!$AZ$9:$BB$41,START!$C$3,1))/100</f>
        <v>3525.42820867925</v>
      </c>
      <c r="Z52" s="325">
        <f>Y52*(100+INDEX('DEFAULT DATA'!$AZ$9:$BB$41,START!$C$3,1))/100</f>
        <v>3539.5299215139671</v>
      </c>
      <c r="AA52" s="325">
        <f>Z52*(100+INDEX('DEFAULT DATA'!$AZ$9:$BB$41,START!$C$3,1))/100</f>
        <v>3553.6880412000232</v>
      </c>
      <c r="AB52" s="325">
        <f>AA52*(100+INDEX('DEFAULT DATA'!$AZ$9:$BB$41,START!$C$3,1))/100</f>
        <v>3567.9027933648235</v>
      </c>
      <c r="AC52" s="325">
        <f>AB52*(100+INDEX('DEFAULT DATA'!$AZ$9:$BB$41,START!$C$3,1))/100</f>
        <v>3582.1744045382829</v>
      </c>
      <c r="AD52" s="325">
        <f>AC52*(100+INDEX('DEFAULT DATA'!$AZ$9:$BB$41,START!$C$3,1))/100</f>
        <v>3596.5031021564359</v>
      </c>
      <c r="AE52" s="325">
        <f>AD52*(100+INDEX('DEFAULT DATA'!$AZ$9:$BB$41,START!$C$3,1))/100</f>
        <v>3610.8891145650618</v>
      </c>
      <c r="AF52" s="325">
        <f>AE52*(100+INDEX('DEFAULT DATA'!$AZ$9:$BB$41,START!$C$3,1))/100</f>
        <v>3625.3326710233218</v>
      </c>
      <c r="AG52" s="325">
        <f>AF52*(100+INDEX('DEFAULT DATA'!$AZ$9:$BB$41,START!$C$3,1))/100</f>
        <v>3639.8340017074156</v>
      </c>
      <c r="AH52" s="325">
        <f>AG52*(100+INDEX('DEFAULT DATA'!$AZ$9:$BB$41,START!$C$3,2))/100</f>
        <v>3647.1136697108304</v>
      </c>
      <c r="AI52" s="325">
        <f>AH52*(100+INDEX('DEFAULT DATA'!$AZ$9:$BB$41,START!$C$3,2))/100</f>
        <v>3654.4078970502519</v>
      </c>
      <c r="AJ52" s="325">
        <f>AI52*(100+INDEX('DEFAULT DATA'!$AZ$9:$BB$41,START!$C$3,2))/100</f>
        <v>3661.7167128443525</v>
      </c>
      <c r="AK52" s="325">
        <f>AJ52*(100+INDEX('DEFAULT DATA'!$AZ$9:$BB$41,START!$C$3,2))/100</f>
        <v>3669.0401462700415</v>
      </c>
      <c r="AL52" s="325">
        <f>AK52*(100+INDEX('DEFAULT DATA'!$AZ$9:$BB$41,START!$C$3,2))/100</f>
        <v>3676.3782265625819</v>
      </c>
      <c r="AM52" s="325">
        <f>AL52*(100+INDEX('DEFAULT DATA'!$AZ$9:$BB$41,START!$C$3,2))/100</f>
        <v>3683.7309830157069</v>
      </c>
      <c r="AN52" s="325">
        <f>AM52*(100+INDEX('DEFAULT DATA'!$AZ$9:$BB$41,START!$C$3,2))/100</f>
        <v>3691.0984449817388</v>
      </c>
      <c r="AO52" s="325">
        <f>AN52*(100+INDEX('DEFAULT DATA'!$AZ$9:$BB$41,START!$C$3,2))/100</f>
        <v>3698.4806418717026</v>
      </c>
      <c r="AP52" s="325">
        <f>AO52*(100+INDEX('DEFAULT DATA'!$AZ$9:$BB$41,START!$C$3,2))/100</f>
        <v>3705.8776031554462</v>
      </c>
      <c r="AQ52" s="325">
        <f>AP52*(100+INDEX('DEFAULT DATA'!$AZ$9:$BB$41,START!$C$3,2))/100</f>
        <v>3713.2893583617574</v>
      </c>
      <c r="AR52" s="325">
        <f>AQ52*(100+INDEX('DEFAULT DATA'!$AZ$9:$BB$41,START!$C$3,3))/100</f>
        <v>3720.7159370784811</v>
      </c>
      <c r="AS52" s="325">
        <f>AR52*(100+INDEX('DEFAULT DATA'!$AZ$9:$BB$41,START!$C$3,3))/100</f>
        <v>3728.1573689526385</v>
      </c>
      <c r="AT52" s="325">
        <f>AS52*(100+INDEX('DEFAULT DATA'!$AZ$9:$BB$41,START!$C$3,3))/100</f>
        <v>3735.6136836905439</v>
      </c>
      <c r="AU52" s="325">
        <f>AT52*(100+INDEX('DEFAULT DATA'!$AZ$9:$BB$41,START!$C$3,3))/100</f>
        <v>3743.0849110579252</v>
      </c>
      <c r="AV52" s="325">
        <f>AU52*(100+INDEX('DEFAULT DATA'!$AZ$9:$BB$41,START!$C$3,3))/100</f>
        <v>3750.5710808800413</v>
      </c>
      <c r="AW52" s="325">
        <f>AV52*(100+INDEX('DEFAULT DATA'!$AZ$9:$BB$41,START!$C$3,3))/100</f>
        <v>3758.0722230418014</v>
      </c>
      <c r="AX52" s="325">
        <f>AW52*(100+INDEX('DEFAULT DATA'!$AZ$9:$BB$41,START!$C$3,3))/100</f>
        <v>3765.5883674878855</v>
      </c>
      <c r="AY52" s="325">
        <f>AX52*(100+INDEX('DEFAULT DATA'!$AZ$9:$BB$41,START!$C$3,3))/100</f>
        <v>3773.1195442228614</v>
      </c>
      <c r="AZ52" s="325">
        <f>AY52*(100+INDEX('DEFAULT DATA'!$AZ$9:$BB$41,START!$C$3,3))/100</f>
        <v>3780.6657833113072</v>
      </c>
      <c r="BA52" s="326">
        <f>AZ52*(100+INDEX('DEFAULT DATA'!$AZ$9:$BB$41,START!$C$3,3))/100</f>
        <v>3788.22711487793</v>
      </c>
      <c r="BB52" s="29"/>
      <c r="BC52" s="29"/>
      <c r="BD52" s="29"/>
    </row>
    <row r="53" spans="1:57" ht="20.100000000000001" customHeight="1" thickBot="1">
      <c r="A53" s="28"/>
      <c r="B53" s="1024"/>
      <c r="C53" s="1024"/>
      <c r="D53" s="1024"/>
      <c r="E53" s="1024"/>
      <c r="F53" s="1024"/>
      <c r="G53" s="1024"/>
      <c r="H53" s="1024"/>
      <c r="I53" s="1024" t="str">
        <f>INDEX('MENU OPTIONS'!$F$23:$AK$80,29,START!$C$3)</f>
        <v>-</v>
      </c>
      <c r="J53" s="1024"/>
      <c r="K53" s="1024"/>
      <c r="L53" s="777">
        <v>0</v>
      </c>
      <c r="M53" s="1024"/>
      <c r="N53" s="1024"/>
      <c r="O53" s="460"/>
      <c r="P53" s="1024"/>
      <c r="Q53" s="1024"/>
      <c r="R53" s="1049"/>
      <c r="S53" s="901"/>
      <c r="T53" s="29"/>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9"/>
      <c r="BC53" s="29"/>
      <c r="BD53" s="29"/>
    </row>
    <row r="54" spans="1:57" ht="20.100000000000001" customHeight="1">
      <c r="A54" s="28"/>
      <c r="B54" s="1024"/>
      <c r="C54" s="1024"/>
      <c r="D54" s="1024"/>
      <c r="E54" s="1024"/>
      <c r="F54" s="1024"/>
      <c r="G54" s="1024"/>
      <c r="H54" s="1024"/>
      <c r="I54" s="1024" t="str">
        <f>INDEX('MENU OPTIONS'!$F$23:$AK$80,30,START!$C$3)</f>
        <v>-</v>
      </c>
      <c r="J54" s="1024"/>
      <c r="K54" s="1024"/>
      <c r="L54" s="777">
        <v>0</v>
      </c>
      <c r="M54" s="1024"/>
      <c r="N54" s="1024"/>
      <c r="O54" s="460"/>
      <c r="P54" s="1024"/>
      <c r="Q54" s="1024"/>
      <c r="R54" s="1049"/>
      <c r="S54" s="1140" t="s">
        <v>3000</v>
      </c>
      <c r="T54" s="1141"/>
      <c r="U54" s="1143" t="s">
        <v>1207</v>
      </c>
      <c r="V54" s="1143"/>
      <c r="W54" s="1143"/>
      <c r="X54" s="1137" t="s">
        <v>990</v>
      </c>
      <c r="Y54" s="1138"/>
      <c r="Z54" s="1138"/>
      <c r="AA54" s="1138"/>
      <c r="AB54" s="1138"/>
      <c r="AC54" s="1138"/>
      <c r="AD54" s="1138"/>
      <c r="AE54" s="1138"/>
      <c r="AF54" s="1138"/>
      <c r="AG54" s="1138"/>
      <c r="AH54" s="1138"/>
      <c r="AI54" s="1138"/>
      <c r="AJ54" s="1138"/>
      <c r="AK54" s="1138"/>
      <c r="AL54" s="1138"/>
      <c r="AM54" s="1138"/>
      <c r="AN54" s="1138"/>
      <c r="AO54" s="1138"/>
      <c r="AP54" s="1138"/>
      <c r="AQ54" s="1138"/>
      <c r="AR54" s="1138"/>
      <c r="AS54" s="1138"/>
      <c r="AT54" s="1138"/>
      <c r="AU54" s="1138"/>
      <c r="AV54" s="1138"/>
      <c r="AW54" s="1138"/>
      <c r="AX54" s="1138"/>
      <c r="AY54" s="1138"/>
      <c r="AZ54" s="1138"/>
      <c r="BA54" s="1139"/>
      <c r="BB54" s="29"/>
      <c r="BC54" s="29"/>
      <c r="BD54" s="29"/>
    </row>
    <row r="55" spans="1:57" ht="20.100000000000001" customHeight="1" thickBot="1">
      <c r="A55" s="28"/>
      <c r="B55" s="1024"/>
      <c r="C55" s="1024"/>
      <c r="D55" s="1024"/>
      <c r="E55" s="1024"/>
      <c r="F55" s="1024"/>
      <c r="G55" s="1024"/>
      <c r="H55" s="1024"/>
      <c r="I55" s="1024" t="str">
        <f>INDEX('MENU OPTIONS'!$F$23:$AK$80,31,START!$C$3)</f>
        <v>-</v>
      </c>
      <c r="J55" s="1024"/>
      <c r="K55" s="1024"/>
      <c r="L55" s="777">
        <v>0</v>
      </c>
      <c r="M55" s="1024"/>
      <c r="N55" s="1024"/>
      <c r="O55" s="460"/>
      <c r="P55" s="1024"/>
      <c r="Q55" s="1024"/>
      <c r="R55" s="1049"/>
      <c r="S55" s="881" t="s">
        <v>934</v>
      </c>
      <c r="T55" s="552"/>
      <c r="U55" s="1315" t="s">
        <v>935</v>
      </c>
      <c r="V55" s="558" t="s">
        <v>936</v>
      </c>
      <c r="W55" s="558" t="s">
        <v>937</v>
      </c>
      <c r="X55" s="559">
        <f t="shared" ref="X55:BA55" si="70">X51</f>
        <v>2021</v>
      </c>
      <c r="Y55" s="262">
        <f t="shared" si="70"/>
        <v>2022</v>
      </c>
      <c r="Z55" s="262">
        <f t="shared" si="70"/>
        <v>2023</v>
      </c>
      <c r="AA55" s="262">
        <f t="shared" si="70"/>
        <v>2024</v>
      </c>
      <c r="AB55" s="262">
        <f t="shared" si="70"/>
        <v>2025</v>
      </c>
      <c r="AC55" s="262">
        <f t="shared" si="70"/>
        <v>2026</v>
      </c>
      <c r="AD55" s="262">
        <f t="shared" si="70"/>
        <v>2027</v>
      </c>
      <c r="AE55" s="262">
        <f t="shared" si="70"/>
        <v>2028</v>
      </c>
      <c r="AF55" s="262">
        <f t="shared" si="70"/>
        <v>2029</v>
      </c>
      <c r="AG55" s="262">
        <f t="shared" si="70"/>
        <v>2030</v>
      </c>
      <c r="AH55" s="262">
        <f t="shared" si="70"/>
        <v>2031</v>
      </c>
      <c r="AI55" s="262">
        <f t="shared" si="70"/>
        <v>2032</v>
      </c>
      <c r="AJ55" s="262">
        <f t="shared" si="70"/>
        <v>2033</v>
      </c>
      <c r="AK55" s="262">
        <f t="shared" si="70"/>
        <v>2034</v>
      </c>
      <c r="AL55" s="262">
        <f t="shared" si="70"/>
        <v>2035</v>
      </c>
      <c r="AM55" s="262">
        <f t="shared" si="70"/>
        <v>2036</v>
      </c>
      <c r="AN55" s="262">
        <f t="shared" si="70"/>
        <v>2037</v>
      </c>
      <c r="AO55" s="262">
        <f t="shared" si="70"/>
        <v>2038</v>
      </c>
      <c r="AP55" s="262">
        <f t="shared" si="70"/>
        <v>2039</v>
      </c>
      <c r="AQ55" s="262">
        <f t="shared" si="70"/>
        <v>2040</v>
      </c>
      <c r="AR55" s="262">
        <f t="shared" si="70"/>
        <v>2041</v>
      </c>
      <c r="AS55" s="262">
        <f t="shared" si="70"/>
        <v>2042</v>
      </c>
      <c r="AT55" s="262">
        <f t="shared" si="70"/>
        <v>2043</v>
      </c>
      <c r="AU55" s="262">
        <f t="shared" si="70"/>
        <v>2044</v>
      </c>
      <c r="AV55" s="262">
        <f t="shared" si="70"/>
        <v>2045</v>
      </c>
      <c r="AW55" s="262">
        <f t="shared" si="70"/>
        <v>2046</v>
      </c>
      <c r="AX55" s="262">
        <f t="shared" si="70"/>
        <v>2047</v>
      </c>
      <c r="AY55" s="262">
        <f t="shared" si="70"/>
        <v>2048</v>
      </c>
      <c r="AZ55" s="262">
        <f t="shared" si="70"/>
        <v>2049</v>
      </c>
      <c r="BA55" s="492">
        <f t="shared" si="70"/>
        <v>2050</v>
      </c>
      <c r="BB55" s="29"/>
      <c r="BC55" s="29"/>
      <c r="BD55" s="29"/>
    </row>
    <row r="56" spans="1:57" ht="20.100000000000001" customHeight="1">
      <c r="A56" s="28"/>
      <c r="B56" s="1024"/>
      <c r="C56" s="1024"/>
      <c r="D56" s="1024"/>
      <c r="E56" s="1024"/>
      <c r="F56" s="1024"/>
      <c r="G56" s="1024"/>
      <c r="H56" s="1024"/>
      <c r="I56" s="1024" t="str">
        <f>INDEX('MENU OPTIONS'!$F$23:$AK$80,32,START!$C$3)</f>
        <v>-</v>
      </c>
      <c r="J56" s="1024"/>
      <c r="K56" s="1024"/>
      <c r="L56" s="777">
        <v>0</v>
      </c>
      <c r="M56" s="1024"/>
      <c r="N56" s="1024"/>
      <c r="O56" s="460"/>
      <c r="P56" s="1024"/>
      <c r="Q56" s="1024"/>
      <c r="R56" s="1049"/>
      <c r="S56" s="881" t="s">
        <v>939</v>
      </c>
      <c r="T56" s="552" t="str">
        <f t="shared" ref="T56:T70" si="71">CONCATENATE($BC$56,": ",BC57,"; ",$BD$56,": ",BD57,"; ",$BE$56,": ",BE57)</f>
        <v>EFcar_road: CAR_COL39; EFcar_street: CAR_COL24; Share: CAR_COL9</v>
      </c>
      <c r="U56" s="1319">
        <f>0.8*V56+0.2*W56</f>
        <v>192.291944</v>
      </c>
      <c r="V56" s="262">
        <f>INDEX('DEFAULT DATA'!$CI$9:$CW$41,START!$C$3,1)</f>
        <v>175.08124000000001</v>
      </c>
      <c r="W56" s="262">
        <f>INDEX('DEFAULT DATA'!$BT$9:$CH$41,START!$C$3,1)</f>
        <v>261.13475999999997</v>
      </c>
      <c r="X56" s="628">
        <f>INDEX('DEFAULT DATA'!$BE$9:$BS$41,START!$C$3,1)</f>
        <v>5.6039534770990237E-5</v>
      </c>
      <c r="Y56" s="628">
        <f>INDEX('DEFAULT DATA'!$BE$9:$BS$41,START!$C$3,1)</f>
        <v>5.6039534770990237E-5</v>
      </c>
      <c r="Z56" s="628">
        <f>INDEX('DEFAULT DATA'!$BE$9:$BS$41,START!$C$3,1)</f>
        <v>5.6039534770990237E-5</v>
      </c>
      <c r="AA56" s="628">
        <f>INDEX('DEFAULT DATA'!$BE$9:$BS$41,START!$C$3,1)</f>
        <v>5.6039534770990237E-5</v>
      </c>
      <c r="AB56" s="628">
        <f>INDEX('DEFAULT DATA'!$BE$9:$BS$41,START!$C$3,1)</f>
        <v>5.6039534770990237E-5</v>
      </c>
      <c r="AC56" s="628">
        <f>INDEX('DEFAULT DATA'!$BE$9:$BS$41,START!$C$3,1)</f>
        <v>5.6039534770990237E-5</v>
      </c>
      <c r="AD56" s="628">
        <f>INDEX('DEFAULT DATA'!$BE$9:$BS$41,START!$C$3,1)</f>
        <v>5.6039534770990237E-5</v>
      </c>
      <c r="AE56" s="628">
        <f>INDEX('DEFAULT DATA'!$BE$9:$BS$41,START!$C$3,1)</f>
        <v>5.6039534770990237E-5</v>
      </c>
      <c r="AF56" s="628">
        <f>INDEX('DEFAULT DATA'!$BE$9:$BS$41,START!$C$3,1)</f>
        <v>5.6039534770990237E-5</v>
      </c>
      <c r="AG56" s="628">
        <f>INDEX('DEFAULT DATA'!$BE$9:$BS$41,START!$C$3,1)</f>
        <v>5.6039534770990237E-5</v>
      </c>
      <c r="AH56" s="628">
        <f>INDEX('DEFAULT DATA'!$BE$9:$BS$41,START!$C$3,1)</f>
        <v>5.6039534770990237E-5</v>
      </c>
      <c r="AI56" s="628">
        <f>INDEX('DEFAULT DATA'!$BE$9:$BS$41,START!$C$3,1)</f>
        <v>5.6039534770990237E-5</v>
      </c>
      <c r="AJ56" s="628">
        <f>INDEX('DEFAULT DATA'!$BE$9:$BS$41,START!$C$3,1)</f>
        <v>5.6039534770990237E-5</v>
      </c>
      <c r="AK56" s="628">
        <f>INDEX('DEFAULT DATA'!$BE$9:$BS$41,START!$C$3,1)</f>
        <v>5.6039534770990237E-5</v>
      </c>
      <c r="AL56" s="628">
        <f>INDEX('DEFAULT DATA'!$BE$9:$BS$41,START!$C$3,1)</f>
        <v>5.6039534770990237E-5</v>
      </c>
      <c r="AM56" s="628">
        <f>INDEX('DEFAULT DATA'!$BE$9:$BS$41,START!$C$3,1)</f>
        <v>5.6039534770990237E-5</v>
      </c>
      <c r="AN56" s="628">
        <f>INDEX('DEFAULT DATA'!$BE$9:$BS$41,START!$C$3,1)</f>
        <v>5.6039534770990237E-5</v>
      </c>
      <c r="AO56" s="628">
        <f>INDEX('DEFAULT DATA'!$BE$9:$BS$41,START!$C$3,1)</f>
        <v>5.6039534770990237E-5</v>
      </c>
      <c r="AP56" s="628">
        <f>INDEX('DEFAULT DATA'!$BE$9:$BS$41,START!$C$3,1)</f>
        <v>5.6039534770990237E-5</v>
      </c>
      <c r="AQ56" s="628">
        <f>INDEX('DEFAULT DATA'!$BE$9:$BS$41,START!$C$3,1)</f>
        <v>5.6039534770990237E-5</v>
      </c>
      <c r="AR56" s="628">
        <f>INDEX('DEFAULT DATA'!$BE$9:$BS$41,START!$C$3,1)</f>
        <v>5.6039534770990237E-5</v>
      </c>
      <c r="AS56" s="628">
        <f>INDEX('DEFAULT DATA'!$BE$9:$BS$41,START!$C$3,1)</f>
        <v>5.6039534770990237E-5</v>
      </c>
      <c r="AT56" s="628">
        <f>INDEX('DEFAULT DATA'!$BE$9:$BS$41,START!$C$3,1)</f>
        <v>5.6039534770990237E-5</v>
      </c>
      <c r="AU56" s="628">
        <f>INDEX('DEFAULT DATA'!$BE$9:$BS$41,START!$C$3,1)</f>
        <v>5.6039534770990237E-5</v>
      </c>
      <c r="AV56" s="628">
        <f>INDEX('DEFAULT DATA'!$BE$9:$BS$41,START!$C$3,1)</f>
        <v>5.6039534770990237E-5</v>
      </c>
      <c r="AW56" s="628">
        <f>INDEX('DEFAULT DATA'!$BE$9:$BS$41,START!$C$3,1)</f>
        <v>5.6039534770990237E-5</v>
      </c>
      <c r="AX56" s="628">
        <f>INDEX('DEFAULT DATA'!$BE$9:$BS$41,START!$C$3,1)</f>
        <v>5.6039534770990237E-5</v>
      </c>
      <c r="AY56" s="628">
        <f>INDEX('DEFAULT DATA'!$BE$9:$BS$41,START!$C$3,1)</f>
        <v>5.6039534770990237E-5</v>
      </c>
      <c r="AZ56" s="628">
        <f>INDEX('DEFAULT DATA'!$BE$9:$BS$41,START!$C$3,1)</f>
        <v>5.6039534770990237E-5</v>
      </c>
      <c r="BA56" s="902">
        <f>INDEX('DEFAULT DATA'!$BE$9:$BS$41,START!$C$3,1)</f>
        <v>5.6039534770990237E-5</v>
      </c>
      <c r="BB56" s="29"/>
      <c r="BC56" s="889" t="s">
        <v>2426</v>
      </c>
      <c r="BD56" s="828" t="s">
        <v>2427</v>
      </c>
      <c r="BE56" s="890" t="s">
        <v>2165</v>
      </c>
    </row>
    <row r="57" spans="1:57" ht="20.100000000000001" customHeight="1">
      <c r="A57" s="28"/>
      <c r="B57" s="1024"/>
      <c r="C57" s="1024"/>
      <c r="D57" s="1024"/>
      <c r="E57" s="1024"/>
      <c r="F57" s="1024"/>
      <c r="G57" s="1024"/>
      <c r="H57" s="1024"/>
      <c r="I57" s="1024" t="str">
        <f>INDEX('MENU OPTIONS'!$F$23:$AK$80,33,START!$C$3)</f>
        <v>-</v>
      </c>
      <c r="J57" s="1024"/>
      <c r="K57" s="1024"/>
      <c r="L57" s="777">
        <v>0</v>
      </c>
      <c r="M57" s="1024"/>
      <c r="N57" s="1024"/>
      <c r="O57" s="460"/>
      <c r="P57" s="1024"/>
      <c r="Q57" s="1024"/>
      <c r="R57" s="1049"/>
      <c r="S57" s="881" t="s">
        <v>940</v>
      </c>
      <c r="T57" s="552" t="str">
        <f t="shared" si="71"/>
        <v>EFcar_road: CAR_COL40; EFcar_street: CAR_COL25; Share: CAR_COL10</v>
      </c>
      <c r="U57" s="1319">
        <f t="shared" ref="U57:U69" si="72">0.8*V57+0.2*W57</f>
        <v>67.62</v>
      </c>
      <c r="V57" s="262">
        <f>INDEX('DEFAULT DATA'!$CI$9:$CW$41,START!$C$3,2)</f>
        <v>60.4</v>
      </c>
      <c r="W57" s="262">
        <f>INDEX('DEFAULT DATA'!$BT$9:$CH$41,START!$C$3,2)</f>
        <v>96.5</v>
      </c>
      <c r="X57" s="628">
        <f>INDEX('DEFAULT DATA'!$BE$9:$BS$41,START!$C$3,2)</f>
        <v>8.8962761448946992E-2</v>
      </c>
      <c r="Y57" s="628">
        <f>INDEX('DEFAULT DATA'!$BE$9:$BS$41,START!$C$3,2)</f>
        <v>8.8962761448946992E-2</v>
      </c>
      <c r="Z57" s="628">
        <f>INDEX('DEFAULT DATA'!$BE$9:$BS$41,START!$C$3,2)</f>
        <v>8.8962761448946992E-2</v>
      </c>
      <c r="AA57" s="628">
        <f>INDEX('DEFAULT DATA'!$BE$9:$BS$41,START!$C$3,2)</f>
        <v>8.8962761448946992E-2</v>
      </c>
      <c r="AB57" s="628">
        <f>INDEX('DEFAULT DATA'!$BE$9:$BS$41,START!$C$3,2)</f>
        <v>8.8962761448946992E-2</v>
      </c>
      <c r="AC57" s="628">
        <f>INDEX('DEFAULT DATA'!$BE$9:$BS$41,START!$C$3,2)</f>
        <v>8.8962761448946992E-2</v>
      </c>
      <c r="AD57" s="628">
        <f>INDEX('DEFAULT DATA'!$BE$9:$BS$41,START!$C$3,2)</f>
        <v>8.8962761448946992E-2</v>
      </c>
      <c r="AE57" s="628">
        <f>INDEX('DEFAULT DATA'!$BE$9:$BS$41,START!$C$3,2)</f>
        <v>8.8962761448946992E-2</v>
      </c>
      <c r="AF57" s="628">
        <f>INDEX('DEFAULT DATA'!$BE$9:$BS$41,START!$C$3,2)</f>
        <v>8.8962761448946992E-2</v>
      </c>
      <c r="AG57" s="628">
        <f>INDEX('DEFAULT DATA'!$BE$9:$BS$41,START!$C$3,2)</f>
        <v>8.8962761448946992E-2</v>
      </c>
      <c r="AH57" s="628">
        <f>INDEX('DEFAULT DATA'!$BE$9:$BS$41,START!$C$3,2)</f>
        <v>8.8962761448946992E-2</v>
      </c>
      <c r="AI57" s="628">
        <f>INDEX('DEFAULT DATA'!$BE$9:$BS$41,START!$C$3,2)</f>
        <v>8.8962761448946992E-2</v>
      </c>
      <c r="AJ57" s="628">
        <f>INDEX('DEFAULT DATA'!$BE$9:$BS$41,START!$C$3,2)</f>
        <v>8.8962761448946992E-2</v>
      </c>
      <c r="AK57" s="628">
        <f>INDEX('DEFAULT DATA'!$BE$9:$BS$41,START!$C$3,2)</f>
        <v>8.8962761448946992E-2</v>
      </c>
      <c r="AL57" s="628">
        <f>INDEX('DEFAULT DATA'!$BE$9:$BS$41,START!$C$3,2)</f>
        <v>8.8962761448946992E-2</v>
      </c>
      <c r="AM57" s="628">
        <f>INDEX('DEFAULT DATA'!$BE$9:$BS$41,START!$C$3,2)</f>
        <v>8.8962761448946992E-2</v>
      </c>
      <c r="AN57" s="628">
        <f>INDEX('DEFAULT DATA'!$BE$9:$BS$41,START!$C$3,2)</f>
        <v>8.8962761448946992E-2</v>
      </c>
      <c r="AO57" s="628">
        <f>INDEX('DEFAULT DATA'!$BE$9:$BS$41,START!$C$3,2)</f>
        <v>8.8962761448946992E-2</v>
      </c>
      <c r="AP57" s="628">
        <f>INDEX('DEFAULT DATA'!$BE$9:$BS$41,START!$C$3,2)</f>
        <v>8.8962761448946992E-2</v>
      </c>
      <c r="AQ57" s="628">
        <f>INDEX('DEFAULT DATA'!$BE$9:$BS$41,START!$C$3,2)</f>
        <v>8.8962761448946992E-2</v>
      </c>
      <c r="AR57" s="628">
        <f>INDEX('DEFAULT DATA'!$BE$9:$BS$41,START!$C$3,2)</f>
        <v>8.8962761448946992E-2</v>
      </c>
      <c r="AS57" s="628">
        <f>INDEX('DEFAULT DATA'!$BE$9:$BS$41,START!$C$3,2)</f>
        <v>8.8962761448946992E-2</v>
      </c>
      <c r="AT57" s="628">
        <f>INDEX('DEFAULT DATA'!$BE$9:$BS$41,START!$C$3,2)</f>
        <v>8.8962761448946992E-2</v>
      </c>
      <c r="AU57" s="628">
        <f>INDEX('DEFAULT DATA'!$BE$9:$BS$41,START!$C$3,2)</f>
        <v>8.8962761448946992E-2</v>
      </c>
      <c r="AV57" s="628">
        <f>INDEX('DEFAULT DATA'!$BE$9:$BS$41,START!$C$3,2)</f>
        <v>8.8962761448946992E-2</v>
      </c>
      <c r="AW57" s="628">
        <f>INDEX('DEFAULT DATA'!$BE$9:$BS$41,START!$C$3,2)</f>
        <v>8.8962761448946992E-2</v>
      </c>
      <c r="AX57" s="628">
        <f>INDEX('DEFAULT DATA'!$BE$9:$BS$41,START!$C$3,2)</f>
        <v>8.8962761448946992E-2</v>
      </c>
      <c r="AY57" s="628">
        <f>INDEX('DEFAULT DATA'!$BE$9:$BS$41,START!$C$3,2)</f>
        <v>8.8962761448946992E-2</v>
      </c>
      <c r="AZ57" s="628">
        <f>INDEX('DEFAULT DATA'!$BE$9:$BS$41,START!$C$3,2)</f>
        <v>8.8962761448946992E-2</v>
      </c>
      <c r="BA57" s="902">
        <f>INDEX('DEFAULT DATA'!$BE$9:$BS$41,START!$C$3,2)</f>
        <v>8.8962761448946992E-2</v>
      </c>
      <c r="BB57" s="29"/>
      <c r="BC57" s="891" t="s">
        <v>2107</v>
      </c>
      <c r="BD57" s="552" t="s">
        <v>284</v>
      </c>
      <c r="BE57" s="892" t="s">
        <v>250</v>
      </c>
    </row>
    <row r="58" spans="1:57" ht="20.100000000000001" customHeight="1">
      <c r="A58" s="28"/>
      <c r="B58" s="1024"/>
      <c r="C58" s="1024"/>
      <c r="D58" s="1024"/>
      <c r="E58" s="1024"/>
      <c r="F58" s="1024"/>
      <c r="G58" s="1024"/>
      <c r="H58" s="1024"/>
      <c r="I58" s="1024" t="str">
        <f>INDEX('MENU OPTIONS'!$F$23:$AK$80,34,START!$C$3)</f>
        <v>-</v>
      </c>
      <c r="J58" s="1024"/>
      <c r="K58" s="1024"/>
      <c r="L58" s="777">
        <v>0</v>
      </c>
      <c r="M58" s="1024"/>
      <c r="N58" s="1024"/>
      <c r="O58" s="460"/>
      <c r="P58" s="1024"/>
      <c r="Q58" s="1024"/>
      <c r="R58" s="1049"/>
      <c r="S58" s="881" t="s">
        <v>994</v>
      </c>
      <c r="T58" s="552" t="str">
        <f t="shared" si="71"/>
        <v>EFcar_road: CAR_COL41; EFcar_street: CAR_COL26; Share: CAR_COL11</v>
      </c>
      <c r="U58" s="1319">
        <f t="shared" si="72"/>
        <v>46.550400000000003</v>
      </c>
      <c r="V58" s="262">
        <f>INDEX('DEFAULT DATA'!$CI$9:$CW$41,START!$C$3,3)</f>
        <v>42.384</v>
      </c>
      <c r="W58" s="262">
        <f>INDEX('DEFAULT DATA'!$BT$9:$CH$41,START!$C$3,3)</f>
        <v>63.215999999999994</v>
      </c>
      <c r="X58" s="628">
        <f>INDEX('DEFAULT DATA'!$BE$9:$BS$41,START!$C$3,3)</f>
        <v>0.53534567566726976</v>
      </c>
      <c r="Y58" s="628">
        <f>INDEX('DEFAULT DATA'!$BE$9:$BS$41,START!$C$3,3)</f>
        <v>0.53534567566726976</v>
      </c>
      <c r="Z58" s="628">
        <f>INDEX('DEFAULT DATA'!$BE$9:$BS$41,START!$C$3,3)</f>
        <v>0.53534567566726976</v>
      </c>
      <c r="AA58" s="628">
        <f>INDEX('DEFAULT DATA'!$BE$9:$BS$41,START!$C$3,3)</f>
        <v>0.53534567566726976</v>
      </c>
      <c r="AB58" s="628">
        <f>INDEX('DEFAULT DATA'!$BE$9:$BS$41,START!$C$3,3)</f>
        <v>0.53534567566726976</v>
      </c>
      <c r="AC58" s="628">
        <f>INDEX('DEFAULT DATA'!$BE$9:$BS$41,START!$C$3,3)</f>
        <v>0.53534567566726976</v>
      </c>
      <c r="AD58" s="628">
        <f>INDEX('DEFAULT DATA'!$BE$9:$BS$41,START!$C$3,3)</f>
        <v>0.53534567566726976</v>
      </c>
      <c r="AE58" s="628">
        <f>INDEX('DEFAULT DATA'!$BE$9:$BS$41,START!$C$3,3)</f>
        <v>0.53534567566726976</v>
      </c>
      <c r="AF58" s="628">
        <f>INDEX('DEFAULT DATA'!$BE$9:$BS$41,START!$C$3,3)</f>
        <v>0.53534567566726976</v>
      </c>
      <c r="AG58" s="628">
        <f>INDEX('DEFAULT DATA'!$BE$9:$BS$41,START!$C$3,3)</f>
        <v>0.53534567566726976</v>
      </c>
      <c r="AH58" s="628">
        <f>INDEX('DEFAULT DATA'!$BE$9:$BS$41,START!$C$3,3)</f>
        <v>0.53534567566726976</v>
      </c>
      <c r="AI58" s="628">
        <f>INDEX('DEFAULT DATA'!$BE$9:$BS$41,START!$C$3,3)</f>
        <v>0.53534567566726976</v>
      </c>
      <c r="AJ58" s="628">
        <f>INDEX('DEFAULT DATA'!$BE$9:$BS$41,START!$C$3,3)</f>
        <v>0.53534567566726976</v>
      </c>
      <c r="AK58" s="628">
        <f>INDEX('DEFAULT DATA'!$BE$9:$BS$41,START!$C$3,3)</f>
        <v>0.53534567566726976</v>
      </c>
      <c r="AL58" s="628">
        <f>INDEX('DEFAULT DATA'!$BE$9:$BS$41,START!$C$3,3)</f>
        <v>0.53534567566726976</v>
      </c>
      <c r="AM58" s="628">
        <f>INDEX('DEFAULT DATA'!$BE$9:$BS$41,START!$C$3,3)</f>
        <v>0.53534567566726976</v>
      </c>
      <c r="AN58" s="628">
        <f>INDEX('DEFAULT DATA'!$BE$9:$BS$41,START!$C$3,3)</f>
        <v>0.53534567566726976</v>
      </c>
      <c r="AO58" s="628">
        <f>INDEX('DEFAULT DATA'!$BE$9:$BS$41,START!$C$3,3)</f>
        <v>0.53534567566726976</v>
      </c>
      <c r="AP58" s="628">
        <f>INDEX('DEFAULT DATA'!$BE$9:$BS$41,START!$C$3,3)</f>
        <v>0.53534567566726976</v>
      </c>
      <c r="AQ58" s="628">
        <f>INDEX('DEFAULT DATA'!$BE$9:$BS$41,START!$C$3,3)</f>
        <v>0.53534567566726976</v>
      </c>
      <c r="AR58" s="628">
        <f>INDEX('DEFAULT DATA'!$BE$9:$BS$41,START!$C$3,3)</f>
        <v>0.53534567566726976</v>
      </c>
      <c r="AS58" s="628">
        <f>INDEX('DEFAULT DATA'!$BE$9:$BS$41,START!$C$3,3)</f>
        <v>0.53534567566726976</v>
      </c>
      <c r="AT58" s="628">
        <f>INDEX('DEFAULT DATA'!$BE$9:$BS$41,START!$C$3,3)</f>
        <v>0.53534567566726976</v>
      </c>
      <c r="AU58" s="628">
        <f>INDEX('DEFAULT DATA'!$BE$9:$BS$41,START!$C$3,3)</f>
        <v>0.53534567566726976</v>
      </c>
      <c r="AV58" s="628">
        <f>INDEX('DEFAULT DATA'!$BE$9:$BS$41,START!$C$3,3)</f>
        <v>0.53534567566726976</v>
      </c>
      <c r="AW58" s="628">
        <f>INDEX('DEFAULT DATA'!$BE$9:$BS$41,START!$C$3,3)</f>
        <v>0.53534567566726976</v>
      </c>
      <c r="AX58" s="628">
        <f>INDEX('DEFAULT DATA'!$BE$9:$BS$41,START!$C$3,3)</f>
        <v>0.53534567566726976</v>
      </c>
      <c r="AY58" s="628">
        <f>INDEX('DEFAULT DATA'!$BE$9:$BS$41,START!$C$3,3)</f>
        <v>0.53534567566726976</v>
      </c>
      <c r="AZ58" s="628">
        <f>INDEX('DEFAULT DATA'!$BE$9:$BS$41,START!$C$3,3)</f>
        <v>0.53534567566726976</v>
      </c>
      <c r="BA58" s="902">
        <f>INDEX('DEFAULT DATA'!$BE$9:$BS$41,START!$C$3,3)</f>
        <v>0.53534567566726976</v>
      </c>
      <c r="BB58" s="29"/>
      <c r="BC58" s="891" t="s">
        <v>2108</v>
      </c>
      <c r="BD58" s="552" t="s">
        <v>285</v>
      </c>
      <c r="BE58" s="892" t="s">
        <v>251</v>
      </c>
    </row>
    <row r="59" spans="1:57" ht="20.100000000000001" customHeight="1">
      <c r="A59" s="28"/>
      <c r="B59" s="1024"/>
      <c r="C59" s="1024"/>
      <c r="D59" s="1024"/>
      <c r="E59" s="1024"/>
      <c r="F59" s="1024"/>
      <c r="G59" s="1024"/>
      <c r="H59" s="1024"/>
      <c r="I59" s="1024" t="str">
        <f>INDEX('MENU OPTIONS'!$F$23:$AK$80,35,START!$C$3)</f>
        <v>-</v>
      </c>
      <c r="J59" s="1024"/>
      <c r="K59" s="1024"/>
      <c r="L59" s="777">
        <v>0</v>
      </c>
      <c r="M59" s="1024"/>
      <c r="N59" s="1024"/>
      <c r="O59" s="460"/>
      <c r="P59" s="1024"/>
      <c r="Q59" s="1024"/>
      <c r="R59" s="1049"/>
      <c r="S59" s="881" t="s">
        <v>980</v>
      </c>
      <c r="T59" s="552" t="str">
        <f t="shared" si="71"/>
        <v>EFcar_road: CAR_COL42; EFcar_street: CAR_COL27; Share: CAR_COL12</v>
      </c>
      <c r="U59" s="1319">
        <f t="shared" si="72"/>
        <v>171.83905706996126</v>
      </c>
      <c r="V59" s="262">
        <f>INDEX('DEFAULT DATA'!$CI$9:$CW$41,START!$C$3,4)</f>
        <v>156.45894761061641</v>
      </c>
      <c r="W59" s="262">
        <f>INDEX('DEFAULT DATA'!$BT$9:$CH$41,START!$C$3,4)</f>
        <v>233.35949490734063</v>
      </c>
      <c r="X59" s="628">
        <f>INDEX('DEFAULT DATA'!$BE$9:$BS$41,START!$C$3,4)</f>
        <v>70.801132783155865</v>
      </c>
      <c r="Y59" s="628">
        <f t="shared" ref="Y59:BA59" si="73">$X$59/($X$59+$X$62)*(100-(Y56+Y57+Y58+Y60+Y61+Y63+Y64+Y65+Y66+Y67+Y68+Y69+Y70))</f>
        <v>71.058734777197103</v>
      </c>
      <c r="Z59" s="628">
        <f t="shared" si="73"/>
        <v>71.058734777197103</v>
      </c>
      <c r="AA59" s="628">
        <f t="shared" si="73"/>
        <v>71.058734777197103</v>
      </c>
      <c r="AB59" s="628">
        <f t="shared" si="73"/>
        <v>71.058734777197103</v>
      </c>
      <c r="AC59" s="628">
        <f t="shared" si="73"/>
        <v>71.058734777197103</v>
      </c>
      <c r="AD59" s="628">
        <f t="shared" si="73"/>
        <v>71.058734777197103</v>
      </c>
      <c r="AE59" s="628">
        <f t="shared" si="73"/>
        <v>71.058734777197103</v>
      </c>
      <c r="AF59" s="628">
        <f t="shared" si="73"/>
        <v>71.058734777197103</v>
      </c>
      <c r="AG59" s="628">
        <f t="shared" si="73"/>
        <v>71.058734777197103</v>
      </c>
      <c r="AH59" s="628">
        <f t="shared" si="73"/>
        <v>71.058734777197103</v>
      </c>
      <c r="AI59" s="628">
        <f t="shared" si="73"/>
        <v>71.058734777197103</v>
      </c>
      <c r="AJ59" s="628">
        <f t="shared" si="73"/>
        <v>71.058734777197103</v>
      </c>
      <c r="AK59" s="628">
        <f t="shared" si="73"/>
        <v>71.058734777197103</v>
      </c>
      <c r="AL59" s="628">
        <f t="shared" si="73"/>
        <v>71.058734777197103</v>
      </c>
      <c r="AM59" s="628">
        <f t="shared" si="73"/>
        <v>71.058734777197103</v>
      </c>
      <c r="AN59" s="628">
        <f t="shared" si="73"/>
        <v>71.058734777197103</v>
      </c>
      <c r="AO59" s="628">
        <f t="shared" si="73"/>
        <v>71.058734777197103</v>
      </c>
      <c r="AP59" s="628">
        <f t="shared" si="73"/>
        <v>71.058734777197103</v>
      </c>
      <c r="AQ59" s="628">
        <f t="shared" si="73"/>
        <v>71.058734777197103</v>
      </c>
      <c r="AR59" s="628">
        <f t="shared" si="73"/>
        <v>71.058734777197103</v>
      </c>
      <c r="AS59" s="628">
        <f t="shared" si="73"/>
        <v>71.058734777197103</v>
      </c>
      <c r="AT59" s="628">
        <f t="shared" si="73"/>
        <v>71.058734777197103</v>
      </c>
      <c r="AU59" s="628">
        <f t="shared" si="73"/>
        <v>71.058734777197103</v>
      </c>
      <c r="AV59" s="628">
        <f t="shared" si="73"/>
        <v>71.058734777197103</v>
      </c>
      <c r="AW59" s="628">
        <f t="shared" si="73"/>
        <v>71.058734777197103</v>
      </c>
      <c r="AX59" s="628">
        <f t="shared" si="73"/>
        <v>71.058734777197103</v>
      </c>
      <c r="AY59" s="628">
        <f t="shared" si="73"/>
        <v>71.058734777197103</v>
      </c>
      <c r="AZ59" s="628">
        <f t="shared" si="73"/>
        <v>71.058734777197103</v>
      </c>
      <c r="BA59" s="902">
        <f t="shared" si="73"/>
        <v>71.058734777197103</v>
      </c>
      <c r="BB59" s="29"/>
      <c r="BC59" s="891" t="s">
        <v>2109</v>
      </c>
      <c r="BD59" s="552" t="s">
        <v>286</v>
      </c>
      <c r="BE59" s="892" t="s">
        <v>252</v>
      </c>
    </row>
    <row r="60" spans="1:57" ht="20.100000000000001" customHeight="1">
      <c r="A60" s="28"/>
      <c r="B60" s="1024"/>
      <c r="C60" s="1024"/>
      <c r="D60" s="1024"/>
      <c r="E60" s="1024"/>
      <c r="F60" s="1024"/>
      <c r="G60" s="1024"/>
      <c r="H60" s="1024"/>
      <c r="I60" s="1024" t="str">
        <f>INDEX('MENU OPTIONS'!$F$23:$AK$80,36,START!$C$3)</f>
        <v>-</v>
      </c>
      <c r="J60" s="1024"/>
      <c r="K60" s="1024"/>
      <c r="L60" s="777">
        <v>0</v>
      </c>
      <c r="M60" s="1024"/>
      <c r="N60" s="1024"/>
      <c r="O60" s="460"/>
      <c r="P60" s="1024"/>
      <c r="Q60" s="1024"/>
      <c r="R60" s="1049"/>
      <c r="S60" s="881" t="s">
        <v>981</v>
      </c>
      <c r="T60" s="552" t="str">
        <f t="shared" si="71"/>
        <v>EFcar_road: CAR_COL43; EFcar_street: CAR_COL28; Share: CAR_COL13</v>
      </c>
      <c r="U60" s="1319">
        <f t="shared" si="72"/>
        <v>115.91049599999999</v>
      </c>
      <c r="V60" s="262">
        <f>INDEX('DEFAULT DATA'!$CI$9:$CW$41,START!$C$3,5)</f>
        <v>105.53616</v>
      </c>
      <c r="W60" s="262">
        <f>INDEX('DEFAULT DATA'!$BT$9:$CH$41,START!$C$3,5)</f>
        <v>157.40783999999999</v>
      </c>
      <c r="X60" s="628">
        <f>INDEX('DEFAULT DATA'!$BE$9:$BS$41,START!$C$3,5)</f>
        <v>1.5043813109272328</v>
      </c>
      <c r="Y60" s="628">
        <f>INDEX('DEFAULT DATA'!$BE$9:$BS$41,START!$C$3,5)</f>
        <v>1.5043813109272328</v>
      </c>
      <c r="Z60" s="628">
        <f>INDEX('DEFAULT DATA'!$BE$9:$BS$41,START!$C$3,5)</f>
        <v>1.5043813109272328</v>
      </c>
      <c r="AA60" s="628">
        <f>INDEX('DEFAULT DATA'!$BE$9:$BS$41,START!$C$3,5)</f>
        <v>1.5043813109272328</v>
      </c>
      <c r="AB60" s="628">
        <f>INDEX('DEFAULT DATA'!$BE$9:$BS$41,START!$C$3,5)</f>
        <v>1.5043813109272328</v>
      </c>
      <c r="AC60" s="628">
        <f>INDEX('DEFAULT DATA'!$BE$9:$BS$41,START!$C$3,5)</f>
        <v>1.5043813109272328</v>
      </c>
      <c r="AD60" s="628">
        <f>INDEX('DEFAULT DATA'!$BE$9:$BS$41,START!$C$3,5)</f>
        <v>1.5043813109272328</v>
      </c>
      <c r="AE60" s="628">
        <f>INDEX('DEFAULT DATA'!$BE$9:$BS$41,START!$C$3,5)</f>
        <v>1.5043813109272328</v>
      </c>
      <c r="AF60" s="628">
        <f>INDEX('DEFAULT DATA'!$BE$9:$BS$41,START!$C$3,5)</f>
        <v>1.5043813109272328</v>
      </c>
      <c r="AG60" s="628">
        <f>INDEX('DEFAULT DATA'!$BE$9:$BS$41,START!$C$3,5)</f>
        <v>1.5043813109272328</v>
      </c>
      <c r="AH60" s="628">
        <f>INDEX('DEFAULT DATA'!$BE$9:$BS$41,START!$C$3,5)</f>
        <v>1.5043813109272328</v>
      </c>
      <c r="AI60" s="628">
        <f>INDEX('DEFAULT DATA'!$BE$9:$BS$41,START!$C$3,5)</f>
        <v>1.5043813109272328</v>
      </c>
      <c r="AJ60" s="628">
        <f>INDEX('DEFAULT DATA'!$BE$9:$BS$41,START!$C$3,5)</f>
        <v>1.5043813109272328</v>
      </c>
      <c r="AK60" s="628">
        <f>INDEX('DEFAULT DATA'!$BE$9:$BS$41,START!$C$3,5)</f>
        <v>1.5043813109272328</v>
      </c>
      <c r="AL60" s="628">
        <f>INDEX('DEFAULT DATA'!$BE$9:$BS$41,START!$C$3,5)</f>
        <v>1.5043813109272328</v>
      </c>
      <c r="AM60" s="628">
        <f>INDEX('DEFAULT DATA'!$BE$9:$BS$41,START!$C$3,5)</f>
        <v>1.5043813109272328</v>
      </c>
      <c r="AN60" s="628">
        <f>INDEX('DEFAULT DATA'!$BE$9:$BS$41,START!$C$3,5)</f>
        <v>1.5043813109272328</v>
      </c>
      <c r="AO60" s="628">
        <f>INDEX('DEFAULT DATA'!$BE$9:$BS$41,START!$C$3,5)</f>
        <v>1.5043813109272328</v>
      </c>
      <c r="AP60" s="628">
        <f>INDEX('DEFAULT DATA'!$BE$9:$BS$41,START!$C$3,5)</f>
        <v>1.5043813109272328</v>
      </c>
      <c r="AQ60" s="628">
        <f>INDEX('DEFAULT DATA'!$BE$9:$BS$41,START!$C$3,5)</f>
        <v>1.5043813109272328</v>
      </c>
      <c r="AR60" s="628">
        <f>INDEX('DEFAULT DATA'!$BE$9:$BS$41,START!$C$3,5)</f>
        <v>1.5043813109272328</v>
      </c>
      <c r="AS60" s="628">
        <f>INDEX('DEFAULT DATA'!$BE$9:$BS$41,START!$C$3,5)</f>
        <v>1.5043813109272328</v>
      </c>
      <c r="AT60" s="628">
        <f>INDEX('DEFAULT DATA'!$BE$9:$BS$41,START!$C$3,5)</f>
        <v>1.5043813109272328</v>
      </c>
      <c r="AU60" s="628">
        <f>INDEX('DEFAULT DATA'!$BE$9:$BS$41,START!$C$3,5)</f>
        <v>1.5043813109272328</v>
      </c>
      <c r="AV60" s="628">
        <f>INDEX('DEFAULT DATA'!$BE$9:$BS$41,START!$C$3,5)</f>
        <v>1.5043813109272328</v>
      </c>
      <c r="AW60" s="628">
        <f>INDEX('DEFAULT DATA'!$BE$9:$BS$41,START!$C$3,5)</f>
        <v>1.5043813109272328</v>
      </c>
      <c r="AX60" s="628">
        <f>INDEX('DEFAULT DATA'!$BE$9:$BS$41,START!$C$3,5)</f>
        <v>1.5043813109272328</v>
      </c>
      <c r="AY60" s="628">
        <f>INDEX('DEFAULT DATA'!$BE$9:$BS$41,START!$C$3,5)</f>
        <v>1.5043813109272328</v>
      </c>
      <c r="AZ60" s="628">
        <f>INDEX('DEFAULT DATA'!$BE$9:$BS$41,START!$C$3,5)</f>
        <v>1.5043813109272328</v>
      </c>
      <c r="BA60" s="902">
        <f>INDEX('DEFAULT DATA'!$BE$9:$BS$41,START!$C$3,5)</f>
        <v>1.5043813109272328</v>
      </c>
      <c r="BB60" s="29"/>
      <c r="BC60" s="891" t="s">
        <v>2110</v>
      </c>
      <c r="BD60" s="552" t="s">
        <v>287</v>
      </c>
      <c r="BE60" s="892" t="s">
        <v>253</v>
      </c>
    </row>
    <row r="61" spans="1:57" ht="20.100000000000001" customHeight="1">
      <c r="A61" s="28"/>
      <c r="B61" s="1024"/>
      <c r="C61" s="1024"/>
      <c r="D61" s="1024"/>
      <c r="E61" s="1024"/>
      <c r="F61" s="1024"/>
      <c r="G61" s="1024"/>
      <c r="H61" s="1024"/>
      <c r="I61" s="1024" t="str">
        <f>INDEX('MENU OPTIONS'!$F$23:$AK$80,37,START!$C$3)</f>
        <v>-</v>
      </c>
      <c r="J61" s="1024"/>
      <c r="K61" s="1024"/>
      <c r="L61" s="777">
        <v>0</v>
      </c>
      <c r="M61" s="1024"/>
      <c r="N61" s="1024"/>
      <c r="O61" s="460"/>
      <c r="P61" s="1024"/>
      <c r="Q61" s="1024"/>
      <c r="R61" s="1049"/>
      <c r="S61" s="881" t="s">
        <v>982</v>
      </c>
      <c r="T61" s="552" t="str">
        <f t="shared" si="71"/>
        <v>EFcar_road: CAR_COL44; EFcar_street: CAR_COL29; Share: CAR_COL14</v>
      </c>
      <c r="U61" s="1319">
        <f t="shared" si="72"/>
        <v>0</v>
      </c>
      <c r="V61" s="262">
        <f>INDEX('DEFAULT DATA'!$CI$9:$CW$41,START!$C$3,6)</f>
        <v>0</v>
      </c>
      <c r="W61" s="262">
        <f>INDEX('DEFAULT DATA'!$BT$9:$CH$41,START!$C$3,6)</f>
        <v>0</v>
      </c>
      <c r="X61" s="628">
        <f>INDEX('DEFAULT DATA'!$BE$9:$BS$41,START!$C$3,6)*0.5</f>
        <v>0.32226935458427214</v>
      </c>
      <c r="Y61" s="628">
        <f>INDEX('DEFAULT DATA'!$BE$9:$BS$41,START!$C$3,6)*0.5</f>
        <v>0.32226935458427214</v>
      </c>
      <c r="Z61" s="628">
        <f>INDEX('DEFAULT DATA'!$BE$9:$BS$41,START!$C$3,6)*0.5</f>
        <v>0.32226935458427214</v>
      </c>
      <c r="AA61" s="628">
        <f>INDEX('DEFAULT DATA'!$BE$9:$BS$41,START!$C$3,6)*0.5</f>
        <v>0.32226935458427214</v>
      </c>
      <c r="AB61" s="628">
        <f>INDEX('DEFAULT DATA'!$BE$9:$BS$41,START!$C$3,6)*0.5</f>
        <v>0.32226935458427214</v>
      </c>
      <c r="AC61" s="628">
        <f>INDEX('DEFAULT DATA'!$BE$9:$BS$41,START!$C$3,6)*0.5</f>
        <v>0.32226935458427214</v>
      </c>
      <c r="AD61" s="628">
        <f>INDEX('DEFAULT DATA'!$BE$9:$BS$41,START!$C$3,6)*0.5</f>
        <v>0.32226935458427214</v>
      </c>
      <c r="AE61" s="628">
        <f>INDEX('DEFAULT DATA'!$BE$9:$BS$41,START!$C$3,6)*0.5</f>
        <v>0.32226935458427214</v>
      </c>
      <c r="AF61" s="628">
        <f>INDEX('DEFAULT DATA'!$BE$9:$BS$41,START!$C$3,6)*0.5</f>
        <v>0.32226935458427214</v>
      </c>
      <c r="AG61" s="628">
        <f>INDEX('DEFAULT DATA'!$BE$9:$BS$41,START!$C$3,6)*0.5</f>
        <v>0.32226935458427214</v>
      </c>
      <c r="AH61" s="628">
        <f>INDEX('DEFAULT DATA'!$BE$9:$BS$41,START!$C$3,6)*0.5</f>
        <v>0.32226935458427214</v>
      </c>
      <c r="AI61" s="628">
        <f>INDEX('DEFAULT DATA'!$BE$9:$BS$41,START!$C$3,6)*0.5</f>
        <v>0.32226935458427214</v>
      </c>
      <c r="AJ61" s="628">
        <f>INDEX('DEFAULT DATA'!$BE$9:$BS$41,START!$C$3,6)*0.5</f>
        <v>0.32226935458427214</v>
      </c>
      <c r="AK61" s="628">
        <f>INDEX('DEFAULT DATA'!$BE$9:$BS$41,START!$C$3,6)*0.5</f>
        <v>0.32226935458427214</v>
      </c>
      <c r="AL61" s="628">
        <f>INDEX('DEFAULT DATA'!$BE$9:$BS$41,START!$C$3,6)*0.5</f>
        <v>0.32226935458427214</v>
      </c>
      <c r="AM61" s="628">
        <f>INDEX('DEFAULT DATA'!$BE$9:$BS$41,START!$C$3,6)*0.5</f>
        <v>0.32226935458427214</v>
      </c>
      <c r="AN61" s="628">
        <f>INDEX('DEFAULT DATA'!$BE$9:$BS$41,START!$C$3,6)*0.5</f>
        <v>0.32226935458427214</v>
      </c>
      <c r="AO61" s="628">
        <f>INDEX('DEFAULT DATA'!$BE$9:$BS$41,START!$C$3,6)*0.5</f>
        <v>0.32226935458427214</v>
      </c>
      <c r="AP61" s="628">
        <f>INDEX('DEFAULT DATA'!$BE$9:$BS$41,START!$C$3,6)*0.5</f>
        <v>0.32226935458427214</v>
      </c>
      <c r="AQ61" s="628">
        <f>INDEX('DEFAULT DATA'!$BE$9:$BS$41,START!$C$3,6)*0.5</f>
        <v>0.32226935458427214</v>
      </c>
      <c r="AR61" s="628">
        <f>INDEX('DEFAULT DATA'!$BE$9:$BS$41,START!$C$3,6)*0.5</f>
        <v>0.32226935458427214</v>
      </c>
      <c r="AS61" s="628">
        <f>INDEX('DEFAULT DATA'!$BE$9:$BS$41,START!$C$3,6)*0.5</f>
        <v>0.32226935458427214</v>
      </c>
      <c r="AT61" s="628">
        <f>INDEX('DEFAULT DATA'!$BE$9:$BS$41,START!$C$3,6)*0.5</f>
        <v>0.32226935458427214</v>
      </c>
      <c r="AU61" s="628">
        <f>INDEX('DEFAULT DATA'!$BE$9:$BS$41,START!$C$3,6)*0.5</f>
        <v>0.32226935458427214</v>
      </c>
      <c r="AV61" s="628">
        <f>INDEX('DEFAULT DATA'!$BE$9:$BS$41,START!$C$3,6)*0.5</f>
        <v>0.32226935458427214</v>
      </c>
      <c r="AW61" s="628">
        <f>INDEX('DEFAULT DATA'!$BE$9:$BS$41,START!$C$3,6)*0.5</f>
        <v>0.32226935458427214</v>
      </c>
      <c r="AX61" s="628">
        <f>INDEX('DEFAULT DATA'!$BE$9:$BS$41,START!$C$3,6)*0.5</f>
        <v>0.32226935458427214</v>
      </c>
      <c r="AY61" s="628">
        <f>INDEX('DEFAULT DATA'!$BE$9:$BS$41,START!$C$3,6)*0.5</f>
        <v>0.32226935458427214</v>
      </c>
      <c r="AZ61" s="628">
        <f>INDEX('DEFAULT DATA'!$BE$9:$BS$41,START!$C$3,6)*0.5</f>
        <v>0.32226935458427214</v>
      </c>
      <c r="BA61" s="902">
        <f>INDEX('DEFAULT DATA'!$BE$9:$BS$41,START!$C$3,6)*0.5</f>
        <v>0.32226935458427214</v>
      </c>
      <c r="BB61" s="29"/>
      <c r="BC61" s="891" t="s">
        <v>2111</v>
      </c>
      <c r="BD61" s="552" t="s">
        <v>288</v>
      </c>
      <c r="BE61" s="892" t="s">
        <v>254</v>
      </c>
    </row>
    <row r="62" spans="1:57" ht="20.100000000000001" customHeight="1">
      <c r="A62" s="28"/>
      <c r="B62" s="1024"/>
      <c r="C62" s="1024"/>
      <c r="D62" s="1024"/>
      <c r="E62" s="1024"/>
      <c r="F62" s="1024"/>
      <c r="G62" s="1024"/>
      <c r="H62" s="1024"/>
      <c r="I62" s="1024" t="str">
        <f>INDEX('MENU OPTIONS'!$F$23:$AK$80,38,START!$C$3)</f>
        <v>-</v>
      </c>
      <c r="J62" s="1024"/>
      <c r="K62" s="1024"/>
      <c r="L62" s="777">
        <v>0</v>
      </c>
      <c r="M62" s="1024"/>
      <c r="N62" s="1024"/>
      <c r="O62" s="460"/>
      <c r="P62" s="1024"/>
      <c r="Q62" s="1024"/>
      <c r="R62" s="1049"/>
      <c r="S62" s="881" t="s">
        <v>932</v>
      </c>
      <c r="T62" s="552" t="str">
        <f t="shared" si="71"/>
        <v>EFcar_road: CAR_COL45; EFcar_street: CAR_COL30; Share: CAR_COL15</v>
      </c>
      <c r="U62" s="1319">
        <f t="shared" si="72"/>
        <v>178.64117655678925</v>
      </c>
      <c r="V62" s="262">
        <f>INDEX('DEFAULT DATA'!$CI$9:$CW$41,START!$C$3,7)</f>
        <v>159.24945066654416</v>
      </c>
      <c r="W62" s="262">
        <f>INDEX('DEFAULT DATA'!$BT$9:$CH$41,START!$C$3,7)</f>
        <v>256.20808011776955</v>
      </c>
      <c r="X62" s="628">
        <f>INDEX('DEFAULT DATA'!$BE$9:$BS$41,START!$C$3,7)</f>
        <v>25.859835596816843</v>
      </c>
      <c r="Y62" s="628">
        <f t="shared" ref="Y62:BA62" si="74">$X$62/($X$59+$X$62)*(100-(Y56+Y57+Y58+Y60+Y61+Y63+Y64+Y65+Y66+Y67+Y68+Y69+Y70))</f>
        <v>25.953923713114659</v>
      </c>
      <c r="Z62" s="628">
        <f t="shared" si="74"/>
        <v>25.953923713114659</v>
      </c>
      <c r="AA62" s="628">
        <f t="shared" si="74"/>
        <v>25.953923713114659</v>
      </c>
      <c r="AB62" s="628">
        <f t="shared" si="74"/>
        <v>25.953923713114659</v>
      </c>
      <c r="AC62" s="628">
        <f t="shared" si="74"/>
        <v>25.953923713114659</v>
      </c>
      <c r="AD62" s="628">
        <f t="shared" si="74"/>
        <v>25.953923713114659</v>
      </c>
      <c r="AE62" s="628">
        <f t="shared" si="74"/>
        <v>25.953923713114659</v>
      </c>
      <c r="AF62" s="628">
        <f t="shared" si="74"/>
        <v>25.953923713114659</v>
      </c>
      <c r="AG62" s="628">
        <f t="shared" si="74"/>
        <v>25.953923713114659</v>
      </c>
      <c r="AH62" s="628">
        <f t="shared" si="74"/>
        <v>25.953923713114659</v>
      </c>
      <c r="AI62" s="628">
        <f t="shared" si="74"/>
        <v>25.953923713114659</v>
      </c>
      <c r="AJ62" s="628">
        <f t="shared" si="74"/>
        <v>25.953923713114659</v>
      </c>
      <c r="AK62" s="628">
        <f t="shared" si="74"/>
        <v>25.953923713114659</v>
      </c>
      <c r="AL62" s="628">
        <f t="shared" si="74"/>
        <v>25.953923713114659</v>
      </c>
      <c r="AM62" s="628">
        <f t="shared" si="74"/>
        <v>25.953923713114659</v>
      </c>
      <c r="AN62" s="628">
        <f t="shared" si="74"/>
        <v>25.953923713114659</v>
      </c>
      <c r="AO62" s="628">
        <f t="shared" si="74"/>
        <v>25.953923713114659</v>
      </c>
      <c r="AP62" s="628">
        <f t="shared" si="74"/>
        <v>25.953923713114659</v>
      </c>
      <c r="AQ62" s="628">
        <f t="shared" si="74"/>
        <v>25.953923713114659</v>
      </c>
      <c r="AR62" s="628">
        <f t="shared" si="74"/>
        <v>25.953923713114659</v>
      </c>
      <c r="AS62" s="628">
        <f t="shared" si="74"/>
        <v>25.953923713114659</v>
      </c>
      <c r="AT62" s="628">
        <f t="shared" si="74"/>
        <v>25.953923713114659</v>
      </c>
      <c r="AU62" s="628">
        <f t="shared" si="74"/>
        <v>25.953923713114659</v>
      </c>
      <c r="AV62" s="628">
        <f t="shared" si="74"/>
        <v>25.953923713114659</v>
      </c>
      <c r="AW62" s="628">
        <f t="shared" si="74"/>
        <v>25.953923713114659</v>
      </c>
      <c r="AX62" s="628">
        <f t="shared" si="74"/>
        <v>25.953923713114659</v>
      </c>
      <c r="AY62" s="628">
        <f t="shared" si="74"/>
        <v>25.953923713114659</v>
      </c>
      <c r="AZ62" s="628">
        <f t="shared" si="74"/>
        <v>25.953923713114659</v>
      </c>
      <c r="BA62" s="902">
        <f t="shared" si="74"/>
        <v>25.953923713114659</v>
      </c>
      <c r="BB62" s="29"/>
      <c r="BC62" s="891" t="s">
        <v>2112</v>
      </c>
      <c r="BD62" s="552" t="s">
        <v>2097</v>
      </c>
      <c r="BE62" s="892" t="s">
        <v>255</v>
      </c>
    </row>
    <row r="63" spans="1:57" ht="20.100000000000001" customHeight="1">
      <c r="A63" s="28"/>
      <c r="B63" s="1024"/>
      <c r="C63" s="1024"/>
      <c r="D63" s="1024"/>
      <c r="E63" s="1024"/>
      <c r="F63" s="1024"/>
      <c r="G63" s="1024"/>
      <c r="H63" s="1024"/>
      <c r="I63" s="1024" t="str">
        <f>INDEX('MENU OPTIONS'!$F$23:$AK$80,39,START!$C$3)</f>
        <v>-</v>
      </c>
      <c r="J63" s="1024"/>
      <c r="K63" s="1024"/>
      <c r="L63" s="777">
        <v>0</v>
      </c>
      <c r="M63" s="1024"/>
      <c r="N63" s="1024"/>
      <c r="O63" s="460"/>
      <c r="P63" s="1024"/>
      <c r="Q63" s="1024"/>
      <c r="R63" s="1049"/>
      <c r="S63" s="881" t="s">
        <v>983</v>
      </c>
      <c r="T63" s="552" t="str">
        <f t="shared" si="71"/>
        <v>EFcar_road: CAR_COL46; EFcar_street: CAR_COL31; Share: CAR_COL16</v>
      </c>
      <c r="U63" s="1319">
        <f t="shared" si="72"/>
        <v>115.16947199999998</v>
      </c>
      <c r="V63" s="262">
        <f>INDEX('DEFAULT DATA'!$CI$9:$CW$41,START!$C$3,8)</f>
        <v>102.66767999999999</v>
      </c>
      <c r="W63" s="262">
        <f>INDEX('DEFAULT DATA'!$BT$9:$CH$41,START!$C$3,8)</f>
        <v>165.17663999999999</v>
      </c>
      <c r="X63" s="628">
        <f>INDEX('DEFAULT DATA'!$BE$9:$BS$41,START!$C$3,8)</f>
        <v>5.5955475468833754E-2</v>
      </c>
      <c r="Y63" s="628">
        <f>INDEX('DEFAULT DATA'!$BE$9:$BS$41,START!$C$3,8)</f>
        <v>5.5955475468833754E-2</v>
      </c>
      <c r="Z63" s="628">
        <f>INDEX('DEFAULT DATA'!$BE$9:$BS$41,START!$C$3,8)</f>
        <v>5.5955475468833754E-2</v>
      </c>
      <c r="AA63" s="628">
        <f>INDEX('DEFAULT DATA'!$BE$9:$BS$41,START!$C$3,8)</f>
        <v>5.5955475468833754E-2</v>
      </c>
      <c r="AB63" s="628">
        <f>INDEX('DEFAULT DATA'!$BE$9:$BS$41,START!$C$3,8)</f>
        <v>5.5955475468833754E-2</v>
      </c>
      <c r="AC63" s="628">
        <f>INDEX('DEFAULT DATA'!$BE$9:$BS$41,START!$C$3,8)</f>
        <v>5.5955475468833754E-2</v>
      </c>
      <c r="AD63" s="628">
        <f>INDEX('DEFAULT DATA'!$BE$9:$BS$41,START!$C$3,8)</f>
        <v>5.5955475468833754E-2</v>
      </c>
      <c r="AE63" s="628">
        <f>INDEX('DEFAULT DATA'!$BE$9:$BS$41,START!$C$3,8)</f>
        <v>5.5955475468833754E-2</v>
      </c>
      <c r="AF63" s="628">
        <f>INDEX('DEFAULT DATA'!$BE$9:$BS$41,START!$C$3,8)</f>
        <v>5.5955475468833754E-2</v>
      </c>
      <c r="AG63" s="628">
        <f>INDEX('DEFAULT DATA'!$BE$9:$BS$41,START!$C$3,8)</f>
        <v>5.5955475468833754E-2</v>
      </c>
      <c r="AH63" s="628">
        <f>INDEX('DEFAULT DATA'!$BE$9:$BS$41,START!$C$3,8)</f>
        <v>5.5955475468833754E-2</v>
      </c>
      <c r="AI63" s="628">
        <f>INDEX('DEFAULT DATA'!$BE$9:$BS$41,START!$C$3,8)</f>
        <v>5.5955475468833754E-2</v>
      </c>
      <c r="AJ63" s="628">
        <f>INDEX('DEFAULT DATA'!$BE$9:$BS$41,START!$C$3,8)</f>
        <v>5.5955475468833754E-2</v>
      </c>
      <c r="AK63" s="628">
        <f>INDEX('DEFAULT DATA'!$BE$9:$BS$41,START!$C$3,8)</f>
        <v>5.5955475468833754E-2</v>
      </c>
      <c r="AL63" s="628">
        <f>INDEX('DEFAULT DATA'!$BE$9:$BS$41,START!$C$3,8)</f>
        <v>5.5955475468833754E-2</v>
      </c>
      <c r="AM63" s="628">
        <f>INDEX('DEFAULT DATA'!$BE$9:$BS$41,START!$C$3,8)</f>
        <v>5.5955475468833754E-2</v>
      </c>
      <c r="AN63" s="628">
        <f>INDEX('DEFAULT DATA'!$BE$9:$BS$41,START!$C$3,8)</f>
        <v>5.5955475468833754E-2</v>
      </c>
      <c r="AO63" s="628">
        <f>INDEX('DEFAULT DATA'!$BE$9:$BS$41,START!$C$3,8)</f>
        <v>5.5955475468833754E-2</v>
      </c>
      <c r="AP63" s="628">
        <f>INDEX('DEFAULT DATA'!$BE$9:$BS$41,START!$C$3,8)</f>
        <v>5.5955475468833754E-2</v>
      </c>
      <c r="AQ63" s="628">
        <f>INDEX('DEFAULT DATA'!$BE$9:$BS$41,START!$C$3,8)</f>
        <v>5.5955475468833754E-2</v>
      </c>
      <c r="AR63" s="628">
        <f>INDEX('DEFAULT DATA'!$BE$9:$BS$41,START!$C$3,8)</f>
        <v>5.5955475468833754E-2</v>
      </c>
      <c r="AS63" s="628">
        <f>INDEX('DEFAULT DATA'!$BE$9:$BS$41,START!$C$3,8)</f>
        <v>5.5955475468833754E-2</v>
      </c>
      <c r="AT63" s="628">
        <f>INDEX('DEFAULT DATA'!$BE$9:$BS$41,START!$C$3,8)</f>
        <v>5.5955475468833754E-2</v>
      </c>
      <c r="AU63" s="628">
        <f>INDEX('DEFAULT DATA'!$BE$9:$BS$41,START!$C$3,8)</f>
        <v>5.5955475468833754E-2</v>
      </c>
      <c r="AV63" s="628">
        <f>INDEX('DEFAULT DATA'!$BE$9:$BS$41,START!$C$3,8)</f>
        <v>5.5955475468833754E-2</v>
      </c>
      <c r="AW63" s="628">
        <f>INDEX('DEFAULT DATA'!$BE$9:$BS$41,START!$C$3,8)</f>
        <v>5.5955475468833754E-2</v>
      </c>
      <c r="AX63" s="628">
        <f>INDEX('DEFAULT DATA'!$BE$9:$BS$41,START!$C$3,8)</f>
        <v>5.5955475468833754E-2</v>
      </c>
      <c r="AY63" s="628">
        <f>INDEX('DEFAULT DATA'!$BE$9:$BS$41,START!$C$3,8)</f>
        <v>5.5955475468833754E-2</v>
      </c>
      <c r="AZ63" s="628">
        <f>INDEX('DEFAULT DATA'!$BE$9:$BS$41,START!$C$3,8)</f>
        <v>5.5955475468833754E-2</v>
      </c>
      <c r="BA63" s="902">
        <f>INDEX('DEFAULT DATA'!$BE$9:$BS$41,START!$C$3,8)</f>
        <v>5.5955475468833754E-2</v>
      </c>
      <c r="BB63" s="29"/>
      <c r="BC63" s="891" t="s">
        <v>2113</v>
      </c>
      <c r="BD63" s="552" t="s">
        <v>2098</v>
      </c>
      <c r="BE63" s="892" t="s">
        <v>256</v>
      </c>
    </row>
    <row r="64" spans="1:57" ht="20.100000000000001" customHeight="1">
      <c r="A64" s="28"/>
      <c r="B64" s="1024"/>
      <c r="C64" s="1024"/>
      <c r="D64" s="1024"/>
      <c r="E64" s="1024"/>
      <c r="F64" s="1024"/>
      <c r="G64" s="1024"/>
      <c r="H64" s="1024"/>
      <c r="I64" s="1024" t="str">
        <f>INDEX('MENU OPTIONS'!$F$23:$AK$80,40,START!$C$3)</f>
        <v>-</v>
      </c>
      <c r="J64" s="1024"/>
      <c r="K64" s="1024"/>
      <c r="L64" s="777">
        <v>0</v>
      </c>
      <c r="M64" s="1024"/>
      <c r="N64" s="1024"/>
      <c r="O64" s="460"/>
      <c r="P64" s="1024"/>
      <c r="Q64" s="1024"/>
      <c r="R64" s="1049"/>
      <c r="S64" s="881" t="s">
        <v>984</v>
      </c>
      <c r="T64" s="552" t="str">
        <f t="shared" si="71"/>
        <v>EFcar_road: CAR_COL47; EFcar_street: CAR_COL32; Share: CAR_COL17</v>
      </c>
      <c r="U64" s="1319">
        <f t="shared" si="72"/>
        <v>0</v>
      </c>
      <c r="V64" s="262">
        <f>INDEX('DEFAULT DATA'!$CI$9:$CW$41,START!$C$3,9)</f>
        <v>0</v>
      </c>
      <c r="W64" s="262">
        <f>INDEX('DEFAULT DATA'!$BT$9:$CH$41,START!$C$3,9)</f>
        <v>0</v>
      </c>
      <c r="X64" s="628">
        <f>INDEX('DEFAULT DATA'!$BE$9:$BS$41,START!$C$3,9)*0.5</f>
        <v>2.9420755754769875E-2</v>
      </c>
      <c r="Y64" s="628">
        <f>INDEX('DEFAULT DATA'!$BE$9:$BS$41,START!$C$3,9)*0.5</f>
        <v>2.9420755754769875E-2</v>
      </c>
      <c r="Z64" s="628">
        <f>INDEX('DEFAULT DATA'!$BE$9:$BS$41,START!$C$3,9)*0.5</f>
        <v>2.9420755754769875E-2</v>
      </c>
      <c r="AA64" s="628">
        <f>INDEX('DEFAULT DATA'!$BE$9:$BS$41,START!$C$3,9)*0.5</f>
        <v>2.9420755754769875E-2</v>
      </c>
      <c r="AB64" s="628">
        <f>INDEX('DEFAULT DATA'!$BE$9:$BS$41,START!$C$3,9)*0.5</f>
        <v>2.9420755754769875E-2</v>
      </c>
      <c r="AC64" s="628">
        <f>INDEX('DEFAULT DATA'!$BE$9:$BS$41,START!$C$3,9)*0.5</f>
        <v>2.9420755754769875E-2</v>
      </c>
      <c r="AD64" s="628">
        <f>INDEX('DEFAULT DATA'!$BE$9:$BS$41,START!$C$3,9)*0.5</f>
        <v>2.9420755754769875E-2</v>
      </c>
      <c r="AE64" s="628">
        <f>INDEX('DEFAULT DATA'!$BE$9:$BS$41,START!$C$3,9)*0.5</f>
        <v>2.9420755754769875E-2</v>
      </c>
      <c r="AF64" s="628">
        <f>INDEX('DEFAULT DATA'!$BE$9:$BS$41,START!$C$3,9)*0.5</f>
        <v>2.9420755754769875E-2</v>
      </c>
      <c r="AG64" s="628">
        <f>INDEX('DEFAULT DATA'!$BE$9:$BS$41,START!$C$3,9)*0.5</f>
        <v>2.9420755754769875E-2</v>
      </c>
      <c r="AH64" s="628">
        <f>INDEX('DEFAULT DATA'!$BE$9:$BS$41,START!$C$3,9)*0.5</f>
        <v>2.9420755754769875E-2</v>
      </c>
      <c r="AI64" s="628">
        <f>INDEX('DEFAULT DATA'!$BE$9:$BS$41,START!$C$3,9)*0.5</f>
        <v>2.9420755754769875E-2</v>
      </c>
      <c r="AJ64" s="628">
        <f>INDEX('DEFAULT DATA'!$BE$9:$BS$41,START!$C$3,9)*0.5</f>
        <v>2.9420755754769875E-2</v>
      </c>
      <c r="AK64" s="628">
        <f>INDEX('DEFAULT DATA'!$BE$9:$BS$41,START!$C$3,9)*0.5</f>
        <v>2.9420755754769875E-2</v>
      </c>
      <c r="AL64" s="628">
        <f>INDEX('DEFAULT DATA'!$BE$9:$BS$41,START!$C$3,9)*0.5</f>
        <v>2.9420755754769875E-2</v>
      </c>
      <c r="AM64" s="628">
        <f>INDEX('DEFAULT DATA'!$BE$9:$BS$41,START!$C$3,9)*0.5</f>
        <v>2.9420755754769875E-2</v>
      </c>
      <c r="AN64" s="628">
        <f>INDEX('DEFAULT DATA'!$BE$9:$BS$41,START!$C$3,9)*0.5</f>
        <v>2.9420755754769875E-2</v>
      </c>
      <c r="AO64" s="628">
        <f>INDEX('DEFAULT DATA'!$BE$9:$BS$41,START!$C$3,9)*0.5</f>
        <v>2.9420755754769875E-2</v>
      </c>
      <c r="AP64" s="628">
        <f>INDEX('DEFAULT DATA'!$BE$9:$BS$41,START!$C$3,9)*0.5</f>
        <v>2.9420755754769875E-2</v>
      </c>
      <c r="AQ64" s="628">
        <f>INDEX('DEFAULT DATA'!$BE$9:$BS$41,START!$C$3,9)*0.5</f>
        <v>2.9420755754769875E-2</v>
      </c>
      <c r="AR64" s="628">
        <f>INDEX('DEFAULT DATA'!$BE$9:$BS$41,START!$C$3,9)*0.5</f>
        <v>2.9420755754769875E-2</v>
      </c>
      <c r="AS64" s="628">
        <f>INDEX('DEFAULT DATA'!$BE$9:$BS$41,START!$C$3,9)*0.5</f>
        <v>2.9420755754769875E-2</v>
      </c>
      <c r="AT64" s="628">
        <f>INDEX('DEFAULT DATA'!$BE$9:$BS$41,START!$C$3,9)*0.5</f>
        <v>2.9420755754769875E-2</v>
      </c>
      <c r="AU64" s="628">
        <f>INDEX('DEFAULT DATA'!$BE$9:$BS$41,START!$C$3,9)*0.5</f>
        <v>2.9420755754769875E-2</v>
      </c>
      <c r="AV64" s="628">
        <f>INDEX('DEFAULT DATA'!$BE$9:$BS$41,START!$C$3,9)*0.5</f>
        <v>2.9420755754769875E-2</v>
      </c>
      <c r="AW64" s="628">
        <f>INDEX('DEFAULT DATA'!$BE$9:$BS$41,START!$C$3,9)*0.5</f>
        <v>2.9420755754769875E-2</v>
      </c>
      <c r="AX64" s="628">
        <f>INDEX('DEFAULT DATA'!$BE$9:$BS$41,START!$C$3,9)*0.5</f>
        <v>2.9420755754769875E-2</v>
      </c>
      <c r="AY64" s="628">
        <f>INDEX('DEFAULT DATA'!$BE$9:$BS$41,START!$C$3,9)*0.5</f>
        <v>2.9420755754769875E-2</v>
      </c>
      <c r="AZ64" s="628">
        <f>INDEX('DEFAULT DATA'!$BE$9:$BS$41,START!$C$3,9)*0.5</f>
        <v>2.9420755754769875E-2</v>
      </c>
      <c r="BA64" s="902">
        <f>INDEX('DEFAULT DATA'!$BE$9:$BS$41,START!$C$3,9)*0.5</f>
        <v>2.9420755754769875E-2</v>
      </c>
      <c r="BB64" s="29"/>
      <c r="BC64" s="891" t="s">
        <v>2114</v>
      </c>
      <c r="BD64" s="552" t="s">
        <v>2099</v>
      </c>
      <c r="BE64" s="892" t="s">
        <v>257</v>
      </c>
    </row>
    <row r="65" spans="1:66" ht="20.100000000000001" customHeight="1">
      <c r="A65" s="28"/>
      <c r="B65" s="1024"/>
      <c r="C65" s="1024"/>
      <c r="D65" s="1024"/>
      <c r="E65" s="1024"/>
      <c r="F65" s="1024"/>
      <c r="G65" s="1024"/>
      <c r="H65" s="1024"/>
      <c r="I65" s="1024" t="str">
        <f>INDEX('MENU OPTIONS'!$F$23:$AK$80,41,START!$C$3)</f>
        <v>-</v>
      </c>
      <c r="J65" s="1024"/>
      <c r="K65" s="1024"/>
      <c r="L65" s="777">
        <v>0</v>
      </c>
      <c r="M65" s="1024"/>
      <c r="N65" s="1024"/>
      <c r="O65" s="460"/>
      <c r="P65" s="1024"/>
      <c r="Q65" s="1024"/>
      <c r="R65" s="1049"/>
      <c r="S65" s="881" t="s">
        <v>985</v>
      </c>
      <c r="T65" s="552" t="str">
        <f t="shared" si="71"/>
        <v>EFcar_road: CAR_COL48; EFcar_street: CAR_COL33; Share: CAR_COL18</v>
      </c>
      <c r="U65" s="1319">
        <f t="shared" si="72"/>
        <v>0</v>
      </c>
      <c r="V65" s="262">
        <f>INDEX('DEFAULT DATA'!$CI$9:$CW$41,START!$C$3,10)</f>
        <v>0</v>
      </c>
      <c r="W65" s="262">
        <f>INDEX('DEFAULT DATA'!$BT$9:$CH$41,START!$C$3,10)</f>
        <v>0</v>
      </c>
      <c r="X65" s="628">
        <f>INDEX('DEFAULT DATA'!$BE$9:$BS$41,START!$C$3,10)</f>
        <v>2.8019767385495118E-5</v>
      </c>
      <c r="Y65" s="628">
        <f>INDEX('DEFAULT DATA'!$BE$9:$BS$41,START!$C$3,10)</f>
        <v>2.8019767385495118E-5</v>
      </c>
      <c r="Z65" s="628">
        <f>INDEX('DEFAULT DATA'!$BE$9:$BS$41,START!$C$3,10)</f>
        <v>2.8019767385495118E-5</v>
      </c>
      <c r="AA65" s="628">
        <f>INDEX('DEFAULT DATA'!$BE$9:$BS$41,START!$C$3,10)</f>
        <v>2.8019767385495118E-5</v>
      </c>
      <c r="AB65" s="628">
        <f>INDEX('DEFAULT DATA'!$BE$9:$BS$41,START!$C$3,10)</f>
        <v>2.8019767385495118E-5</v>
      </c>
      <c r="AC65" s="628">
        <f>INDEX('DEFAULT DATA'!$BE$9:$BS$41,START!$C$3,10)</f>
        <v>2.8019767385495118E-5</v>
      </c>
      <c r="AD65" s="628">
        <f>INDEX('DEFAULT DATA'!$BE$9:$BS$41,START!$C$3,10)</f>
        <v>2.8019767385495118E-5</v>
      </c>
      <c r="AE65" s="628">
        <f>INDEX('DEFAULT DATA'!$BE$9:$BS$41,START!$C$3,10)</f>
        <v>2.8019767385495118E-5</v>
      </c>
      <c r="AF65" s="628">
        <f>INDEX('DEFAULT DATA'!$BE$9:$BS$41,START!$C$3,10)</f>
        <v>2.8019767385495118E-5</v>
      </c>
      <c r="AG65" s="628">
        <f>INDEX('DEFAULT DATA'!$BE$9:$BS$41,START!$C$3,10)</f>
        <v>2.8019767385495118E-5</v>
      </c>
      <c r="AH65" s="628">
        <f>INDEX('DEFAULT DATA'!$BE$9:$BS$41,START!$C$3,10)</f>
        <v>2.8019767385495118E-5</v>
      </c>
      <c r="AI65" s="628">
        <f>INDEX('DEFAULT DATA'!$BE$9:$BS$41,START!$C$3,10)</f>
        <v>2.8019767385495118E-5</v>
      </c>
      <c r="AJ65" s="628">
        <f>INDEX('DEFAULT DATA'!$BE$9:$BS$41,START!$C$3,10)</f>
        <v>2.8019767385495118E-5</v>
      </c>
      <c r="AK65" s="628">
        <f>INDEX('DEFAULT DATA'!$BE$9:$BS$41,START!$C$3,10)</f>
        <v>2.8019767385495118E-5</v>
      </c>
      <c r="AL65" s="628">
        <f>INDEX('DEFAULT DATA'!$BE$9:$BS$41,START!$C$3,10)</f>
        <v>2.8019767385495118E-5</v>
      </c>
      <c r="AM65" s="628">
        <f>INDEX('DEFAULT DATA'!$BE$9:$BS$41,START!$C$3,10)</f>
        <v>2.8019767385495118E-5</v>
      </c>
      <c r="AN65" s="628">
        <f>INDEX('DEFAULT DATA'!$BE$9:$BS$41,START!$C$3,10)</f>
        <v>2.8019767385495118E-5</v>
      </c>
      <c r="AO65" s="628">
        <f>INDEX('DEFAULT DATA'!$BE$9:$BS$41,START!$C$3,10)</f>
        <v>2.8019767385495118E-5</v>
      </c>
      <c r="AP65" s="628">
        <f>INDEX('DEFAULT DATA'!$BE$9:$BS$41,START!$C$3,10)</f>
        <v>2.8019767385495118E-5</v>
      </c>
      <c r="AQ65" s="628">
        <f>INDEX('DEFAULT DATA'!$BE$9:$BS$41,START!$C$3,10)</f>
        <v>2.8019767385495118E-5</v>
      </c>
      <c r="AR65" s="628">
        <f>INDEX('DEFAULT DATA'!$BE$9:$BS$41,START!$C$3,10)</f>
        <v>2.8019767385495118E-5</v>
      </c>
      <c r="AS65" s="628">
        <f>INDEX('DEFAULT DATA'!$BE$9:$BS$41,START!$C$3,10)</f>
        <v>2.8019767385495118E-5</v>
      </c>
      <c r="AT65" s="628">
        <f>INDEX('DEFAULT DATA'!$BE$9:$BS$41,START!$C$3,10)</f>
        <v>2.8019767385495118E-5</v>
      </c>
      <c r="AU65" s="628">
        <f>INDEX('DEFAULT DATA'!$BE$9:$BS$41,START!$C$3,10)</f>
        <v>2.8019767385495118E-5</v>
      </c>
      <c r="AV65" s="628">
        <f>INDEX('DEFAULT DATA'!$BE$9:$BS$41,START!$C$3,10)</f>
        <v>2.8019767385495118E-5</v>
      </c>
      <c r="AW65" s="628">
        <f>INDEX('DEFAULT DATA'!$BE$9:$BS$41,START!$C$3,10)</f>
        <v>2.8019767385495118E-5</v>
      </c>
      <c r="AX65" s="628">
        <f>INDEX('DEFAULT DATA'!$BE$9:$BS$41,START!$C$3,10)</f>
        <v>2.8019767385495118E-5</v>
      </c>
      <c r="AY65" s="628">
        <f>INDEX('DEFAULT DATA'!$BE$9:$BS$41,START!$C$3,10)</f>
        <v>2.8019767385495118E-5</v>
      </c>
      <c r="AZ65" s="628">
        <f>INDEX('DEFAULT DATA'!$BE$9:$BS$41,START!$C$3,10)</f>
        <v>2.8019767385495118E-5</v>
      </c>
      <c r="BA65" s="902">
        <f>INDEX('DEFAULT DATA'!$BE$9:$BS$41,START!$C$3,10)</f>
        <v>2.8019767385495118E-5</v>
      </c>
      <c r="BB65" s="29"/>
      <c r="BC65" s="891" t="s">
        <v>2115</v>
      </c>
      <c r="BD65" s="552" t="s">
        <v>2100</v>
      </c>
      <c r="BE65" s="892" t="s">
        <v>258</v>
      </c>
    </row>
    <row r="66" spans="1:66" ht="20.100000000000001" customHeight="1">
      <c r="A66" s="28"/>
      <c r="B66" s="1024"/>
      <c r="C66" s="1024"/>
      <c r="D66" s="1024"/>
      <c r="E66" s="1024"/>
      <c r="F66" s="1024"/>
      <c r="G66" s="1024"/>
      <c r="H66" s="1024"/>
      <c r="I66" s="1024" t="str">
        <f>INDEX('MENU OPTIONS'!$F$23:$AK$80,42,START!$C$3)</f>
        <v>-</v>
      </c>
      <c r="J66" s="1024"/>
      <c r="K66" s="1024"/>
      <c r="L66" s="777">
        <v>0</v>
      </c>
      <c r="M66" s="1024"/>
      <c r="N66" s="1024"/>
      <c r="O66" s="460"/>
      <c r="P66" s="1024"/>
      <c r="Q66" s="1024"/>
      <c r="R66" s="1049"/>
      <c r="S66" s="881" t="s">
        <v>986</v>
      </c>
      <c r="T66" s="552" t="str">
        <f t="shared" si="71"/>
        <v>EFcar_road: CAR_COL49; EFcar_street: CAR_COL34; Share: CAR_COL19</v>
      </c>
      <c r="U66" s="1319">
        <f t="shared" si="72"/>
        <v>4.8490000000000002</v>
      </c>
      <c r="V66" s="262">
        <f>INDEX('DEFAULT DATA'!$CI$9:$CW$41,START!$C$3,11)</f>
        <v>4.415</v>
      </c>
      <c r="W66" s="262">
        <f>INDEX('DEFAULT DATA'!$BT$9:$CH$41,START!$C$3,11)</f>
        <v>6.585</v>
      </c>
      <c r="X66" s="628">
        <f>INDEX('DEFAULT DATA'!$BE$9:$BS$41,START!$C$3,11)</f>
        <v>0.12541647881747614</v>
      </c>
      <c r="Y66" s="628">
        <f>INDEX('DEFAULT DATA'!$BE$9:$BS$41,START!$C$3,11)</f>
        <v>0.12541647881747614</v>
      </c>
      <c r="Z66" s="628">
        <f>INDEX('DEFAULT DATA'!$BE$9:$BS$41,START!$C$3,11)</f>
        <v>0.12541647881747614</v>
      </c>
      <c r="AA66" s="628">
        <f>INDEX('DEFAULT DATA'!$BE$9:$BS$41,START!$C$3,11)</f>
        <v>0.12541647881747614</v>
      </c>
      <c r="AB66" s="628">
        <f>INDEX('DEFAULT DATA'!$BE$9:$BS$41,START!$C$3,11)</f>
        <v>0.12541647881747614</v>
      </c>
      <c r="AC66" s="628">
        <f>INDEX('DEFAULT DATA'!$BE$9:$BS$41,START!$C$3,11)</f>
        <v>0.12541647881747614</v>
      </c>
      <c r="AD66" s="628">
        <f>INDEX('DEFAULT DATA'!$BE$9:$BS$41,START!$C$3,11)</f>
        <v>0.12541647881747614</v>
      </c>
      <c r="AE66" s="628">
        <f>INDEX('DEFAULT DATA'!$BE$9:$BS$41,START!$C$3,11)</f>
        <v>0.12541647881747614</v>
      </c>
      <c r="AF66" s="628">
        <f>INDEX('DEFAULT DATA'!$BE$9:$BS$41,START!$C$3,11)</f>
        <v>0.12541647881747614</v>
      </c>
      <c r="AG66" s="628">
        <f>INDEX('DEFAULT DATA'!$BE$9:$BS$41,START!$C$3,11)</f>
        <v>0.12541647881747614</v>
      </c>
      <c r="AH66" s="628">
        <f>INDEX('DEFAULT DATA'!$BE$9:$BS$41,START!$C$3,11)</f>
        <v>0.12541647881747614</v>
      </c>
      <c r="AI66" s="628">
        <f>INDEX('DEFAULT DATA'!$BE$9:$BS$41,START!$C$3,11)</f>
        <v>0.12541647881747614</v>
      </c>
      <c r="AJ66" s="628">
        <f>INDEX('DEFAULT DATA'!$BE$9:$BS$41,START!$C$3,11)</f>
        <v>0.12541647881747614</v>
      </c>
      <c r="AK66" s="628">
        <f>INDEX('DEFAULT DATA'!$BE$9:$BS$41,START!$C$3,11)</f>
        <v>0.12541647881747614</v>
      </c>
      <c r="AL66" s="628">
        <f>INDEX('DEFAULT DATA'!$BE$9:$BS$41,START!$C$3,11)</f>
        <v>0.12541647881747614</v>
      </c>
      <c r="AM66" s="628">
        <f>INDEX('DEFAULT DATA'!$BE$9:$BS$41,START!$C$3,11)</f>
        <v>0.12541647881747614</v>
      </c>
      <c r="AN66" s="628">
        <f>INDEX('DEFAULT DATA'!$BE$9:$BS$41,START!$C$3,11)</f>
        <v>0.12541647881747614</v>
      </c>
      <c r="AO66" s="628">
        <f>INDEX('DEFAULT DATA'!$BE$9:$BS$41,START!$C$3,11)</f>
        <v>0.12541647881747614</v>
      </c>
      <c r="AP66" s="628">
        <f>INDEX('DEFAULT DATA'!$BE$9:$BS$41,START!$C$3,11)</f>
        <v>0.12541647881747614</v>
      </c>
      <c r="AQ66" s="628">
        <f>INDEX('DEFAULT DATA'!$BE$9:$BS$41,START!$C$3,11)</f>
        <v>0.12541647881747614</v>
      </c>
      <c r="AR66" s="628">
        <f>INDEX('DEFAULT DATA'!$BE$9:$BS$41,START!$C$3,11)</f>
        <v>0.12541647881747614</v>
      </c>
      <c r="AS66" s="628">
        <f>INDEX('DEFAULT DATA'!$BE$9:$BS$41,START!$C$3,11)</f>
        <v>0.12541647881747614</v>
      </c>
      <c r="AT66" s="628">
        <f>INDEX('DEFAULT DATA'!$BE$9:$BS$41,START!$C$3,11)</f>
        <v>0.12541647881747614</v>
      </c>
      <c r="AU66" s="628">
        <f>INDEX('DEFAULT DATA'!$BE$9:$BS$41,START!$C$3,11)</f>
        <v>0.12541647881747614</v>
      </c>
      <c r="AV66" s="628">
        <f>INDEX('DEFAULT DATA'!$BE$9:$BS$41,START!$C$3,11)</f>
        <v>0.12541647881747614</v>
      </c>
      <c r="AW66" s="628">
        <f>INDEX('DEFAULT DATA'!$BE$9:$BS$41,START!$C$3,11)</f>
        <v>0.12541647881747614</v>
      </c>
      <c r="AX66" s="628">
        <f>INDEX('DEFAULT DATA'!$BE$9:$BS$41,START!$C$3,11)</f>
        <v>0.12541647881747614</v>
      </c>
      <c r="AY66" s="628">
        <f>INDEX('DEFAULT DATA'!$BE$9:$BS$41,START!$C$3,11)</f>
        <v>0.12541647881747614</v>
      </c>
      <c r="AZ66" s="628">
        <f>INDEX('DEFAULT DATA'!$BE$9:$BS$41,START!$C$3,11)</f>
        <v>0.12541647881747614</v>
      </c>
      <c r="BA66" s="902">
        <f>INDEX('DEFAULT DATA'!$BE$9:$BS$41,START!$C$3,11)</f>
        <v>0.12541647881747614</v>
      </c>
      <c r="BB66" s="29"/>
      <c r="BC66" s="891" t="s">
        <v>2116</v>
      </c>
      <c r="BD66" s="552" t="s">
        <v>2101</v>
      </c>
      <c r="BE66" s="892" t="s">
        <v>259</v>
      </c>
    </row>
    <row r="67" spans="1:66" ht="20.100000000000001" customHeight="1">
      <c r="A67" s="28"/>
      <c r="B67" s="1024"/>
      <c r="C67" s="1024"/>
      <c r="D67" s="1024"/>
      <c r="E67" s="1024"/>
      <c r="F67" s="1024"/>
      <c r="G67" s="1024"/>
      <c r="H67" s="1024"/>
      <c r="I67" s="1024" t="str">
        <f>INDEX('MENU OPTIONS'!$F$23:$AK$80,43,START!$C$3)</f>
        <v>-</v>
      </c>
      <c r="J67" s="1024"/>
      <c r="K67" s="1024"/>
      <c r="L67" s="777">
        <v>0</v>
      </c>
      <c r="M67" s="1024"/>
      <c r="N67" s="1024"/>
      <c r="O67" s="460"/>
      <c r="P67" s="1024"/>
      <c r="Q67" s="1024"/>
      <c r="R67" s="1049"/>
      <c r="S67" s="881" t="s">
        <v>987</v>
      </c>
      <c r="T67" s="552" t="str">
        <f t="shared" si="71"/>
        <v>EFcar_road: CAR_COL50; EFcar_street: CAR_COL35; Share: CAR_COL20</v>
      </c>
      <c r="U67" s="1319">
        <f t="shared" si="72"/>
        <v>0.9698</v>
      </c>
      <c r="V67" s="262">
        <f>INDEX('DEFAULT DATA'!$CI$9:$CW$41,START!$C$3,12)</f>
        <v>0.88300000000000001</v>
      </c>
      <c r="W67" s="262">
        <f>INDEX('DEFAULT DATA'!$BT$9:$CH$41,START!$C$3,12)</f>
        <v>1.3169999999999999</v>
      </c>
      <c r="X67" s="628">
        <f>INDEX('DEFAULT DATA'!$BE$9:$BS$41,START!$C$3,12)</f>
        <v>0</v>
      </c>
      <c r="Y67" s="628">
        <f>INDEX('DEFAULT DATA'!$BE$9:$BS$41,START!$C$3,12)</f>
        <v>0</v>
      </c>
      <c r="Z67" s="628">
        <f>INDEX('DEFAULT DATA'!$BE$9:$BS$41,START!$C$3,12)</f>
        <v>0</v>
      </c>
      <c r="AA67" s="628">
        <f>INDEX('DEFAULT DATA'!$BE$9:$BS$41,START!$C$3,12)</f>
        <v>0</v>
      </c>
      <c r="AB67" s="628">
        <f>INDEX('DEFAULT DATA'!$BE$9:$BS$41,START!$C$3,12)</f>
        <v>0</v>
      </c>
      <c r="AC67" s="628">
        <f>INDEX('DEFAULT DATA'!$BE$9:$BS$41,START!$C$3,12)</f>
        <v>0</v>
      </c>
      <c r="AD67" s="628">
        <f>INDEX('DEFAULT DATA'!$BE$9:$BS$41,START!$C$3,12)</f>
        <v>0</v>
      </c>
      <c r="AE67" s="628">
        <f>INDEX('DEFAULT DATA'!$BE$9:$BS$41,START!$C$3,12)</f>
        <v>0</v>
      </c>
      <c r="AF67" s="628">
        <f>INDEX('DEFAULT DATA'!$BE$9:$BS$41,START!$C$3,12)</f>
        <v>0</v>
      </c>
      <c r="AG67" s="628">
        <f>INDEX('DEFAULT DATA'!$BE$9:$BS$41,START!$C$3,12)</f>
        <v>0</v>
      </c>
      <c r="AH67" s="628">
        <f>INDEX('DEFAULT DATA'!$BE$9:$BS$41,START!$C$3,12)</f>
        <v>0</v>
      </c>
      <c r="AI67" s="628">
        <f>INDEX('DEFAULT DATA'!$BE$9:$BS$41,START!$C$3,12)</f>
        <v>0</v>
      </c>
      <c r="AJ67" s="628">
        <f>INDEX('DEFAULT DATA'!$BE$9:$BS$41,START!$C$3,12)</f>
        <v>0</v>
      </c>
      <c r="AK67" s="628">
        <f>INDEX('DEFAULT DATA'!$BE$9:$BS$41,START!$C$3,12)</f>
        <v>0</v>
      </c>
      <c r="AL67" s="628">
        <f>INDEX('DEFAULT DATA'!$BE$9:$BS$41,START!$C$3,12)</f>
        <v>0</v>
      </c>
      <c r="AM67" s="628">
        <f>INDEX('DEFAULT DATA'!$BE$9:$BS$41,START!$C$3,12)</f>
        <v>0</v>
      </c>
      <c r="AN67" s="628">
        <f>INDEX('DEFAULT DATA'!$BE$9:$BS$41,START!$C$3,12)</f>
        <v>0</v>
      </c>
      <c r="AO67" s="628">
        <f>INDEX('DEFAULT DATA'!$BE$9:$BS$41,START!$C$3,12)</f>
        <v>0</v>
      </c>
      <c r="AP67" s="628">
        <f>INDEX('DEFAULT DATA'!$BE$9:$BS$41,START!$C$3,12)</f>
        <v>0</v>
      </c>
      <c r="AQ67" s="628">
        <f>INDEX('DEFAULT DATA'!$BE$9:$BS$41,START!$C$3,12)</f>
        <v>0</v>
      </c>
      <c r="AR67" s="628">
        <f>INDEX('DEFAULT DATA'!$BE$9:$BS$41,START!$C$3,12)</f>
        <v>0</v>
      </c>
      <c r="AS67" s="628">
        <f>INDEX('DEFAULT DATA'!$BE$9:$BS$41,START!$C$3,12)</f>
        <v>0</v>
      </c>
      <c r="AT67" s="628">
        <f>INDEX('DEFAULT DATA'!$BE$9:$BS$41,START!$C$3,12)</f>
        <v>0</v>
      </c>
      <c r="AU67" s="628">
        <f>INDEX('DEFAULT DATA'!$BE$9:$BS$41,START!$C$3,12)</f>
        <v>0</v>
      </c>
      <c r="AV67" s="628">
        <f>INDEX('DEFAULT DATA'!$BE$9:$BS$41,START!$C$3,12)</f>
        <v>0</v>
      </c>
      <c r="AW67" s="628">
        <f>INDEX('DEFAULT DATA'!$BE$9:$BS$41,START!$C$3,12)</f>
        <v>0</v>
      </c>
      <c r="AX67" s="628">
        <f>INDEX('DEFAULT DATA'!$BE$9:$BS$41,START!$C$3,12)</f>
        <v>0</v>
      </c>
      <c r="AY67" s="628">
        <f>INDEX('DEFAULT DATA'!$BE$9:$BS$41,START!$C$3,12)</f>
        <v>0</v>
      </c>
      <c r="AZ67" s="628">
        <f>INDEX('DEFAULT DATA'!$BE$9:$BS$41,START!$C$3,12)</f>
        <v>0</v>
      </c>
      <c r="BA67" s="902">
        <f>INDEX('DEFAULT DATA'!$BE$9:$BS$41,START!$C$3,12)</f>
        <v>0</v>
      </c>
      <c r="BB67" s="29"/>
      <c r="BC67" s="891" t="s">
        <v>2117</v>
      </c>
      <c r="BD67" s="552" t="s">
        <v>2102</v>
      </c>
      <c r="BE67" s="892" t="s">
        <v>260</v>
      </c>
    </row>
    <row r="68" spans="1:66" ht="20.100000000000001" customHeight="1">
      <c r="A68" s="28"/>
      <c r="B68" s="1024"/>
      <c r="C68" s="1024"/>
      <c r="D68" s="1024"/>
      <c r="E68" s="1024"/>
      <c r="F68" s="1024"/>
      <c r="G68" s="1024"/>
      <c r="H68" s="1024"/>
      <c r="I68" s="1024" t="str">
        <f>INDEX('MENU OPTIONS'!$F$23:$AK$80,44,START!$C$3)</f>
        <v>-</v>
      </c>
      <c r="J68" s="1024"/>
      <c r="K68" s="1024"/>
      <c r="L68" s="777">
        <v>0</v>
      </c>
      <c r="M68" s="1024"/>
      <c r="N68" s="1024"/>
      <c r="O68" s="460"/>
      <c r="P68" s="1024"/>
      <c r="Q68" s="1024"/>
      <c r="R68" s="1049"/>
      <c r="S68" s="881" t="s">
        <v>2420</v>
      </c>
      <c r="T68" s="552" t="str">
        <f t="shared" si="71"/>
        <v>EFcar_road: CAR_COL51; EFcar_street: CAR_COL36; Share: CAR_COL21</v>
      </c>
      <c r="U68" s="1319">
        <f t="shared" si="72"/>
        <v>29.200000000000003</v>
      </c>
      <c r="V68" s="262">
        <f>INDEX('DEFAULT DATA'!$CI$9:$CW$41,START!$C$3,13)</f>
        <v>27</v>
      </c>
      <c r="W68" s="262">
        <f>INDEX('DEFAULT DATA'!$BT$9:$CH$41,START!$C$3,13)</f>
        <v>38</v>
      </c>
      <c r="X68" s="628">
        <f>INDEX('DEFAULT DATA'!$BE$9:$BS$41,START!$C$3,13)</f>
        <v>0.18554689962674867</v>
      </c>
      <c r="Y68" s="628">
        <f>INDEX('DEFAULT DATA'!$BE$9:$BS$41,START!$C$3,13)</f>
        <v>0.18554689962674867</v>
      </c>
      <c r="Z68" s="628">
        <f>INDEX('DEFAULT DATA'!$BE$9:$BS$41,START!$C$3,13)</f>
        <v>0.18554689962674867</v>
      </c>
      <c r="AA68" s="628">
        <f>INDEX('DEFAULT DATA'!$BE$9:$BS$41,START!$C$3,13)</f>
        <v>0.18554689962674867</v>
      </c>
      <c r="AB68" s="628">
        <f>INDEX('DEFAULT DATA'!$BE$9:$BS$41,START!$C$3,13)</f>
        <v>0.18554689962674867</v>
      </c>
      <c r="AC68" s="628">
        <f>INDEX('DEFAULT DATA'!$BE$9:$BS$41,START!$C$3,13)</f>
        <v>0.18554689962674867</v>
      </c>
      <c r="AD68" s="628">
        <f>INDEX('DEFAULT DATA'!$BE$9:$BS$41,START!$C$3,13)</f>
        <v>0.18554689962674867</v>
      </c>
      <c r="AE68" s="628">
        <f>INDEX('DEFAULT DATA'!$BE$9:$BS$41,START!$C$3,13)</f>
        <v>0.18554689962674867</v>
      </c>
      <c r="AF68" s="628">
        <f>INDEX('DEFAULT DATA'!$BE$9:$BS$41,START!$C$3,13)</f>
        <v>0.18554689962674867</v>
      </c>
      <c r="AG68" s="628">
        <f>INDEX('DEFAULT DATA'!$BE$9:$BS$41,START!$C$3,13)</f>
        <v>0.18554689962674867</v>
      </c>
      <c r="AH68" s="628">
        <f>INDEX('DEFAULT DATA'!$BE$9:$BS$41,START!$C$3,13)</f>
        <v>0.18554689962674867</v>
      </c>
      <c r="AI68" s="628">
        <f>INDEX('DEFAULT DATA'!$BE$9:$BS$41,START!$C$3,13)</f>
        <v>0.18554689962674867</v>
      </c>
      <c r="AJ68" s="628">
        <f>INDEX('DEFAULT DATA'!$BE$9:$BS$41,START!$C$3,13)</f>
        <v>0.18554689962674867</v>
      </c>
      <c r="AK68" s="628">
        <f>INDEX('DEFAULT DATA'!$BE$9:$BS$41,START!$C$3,13)</f>
        <v>0.18554689962674867</v>
      </c>
      <c r="AL68" s="628">
        <f>INDEX('DEFAULT DATA'!$BE$9:$BS$41,START!$C$3,13)</f>
        <v>0.18554689962674867</v>
      </c>
      <c r="AM68" s="628">
        <f>INDEX('DEFAULT DATA'!$BE$9:$BS$41,START!$C$3,13)</f>
        <v>0.18554689962674867</v>
      </c>
      <c r="AN68" s="628">
        <f>INDEX('DEFAULT DATA'!$BE$9:$BS$41,START!$C$3,13)</f>
        <v>0.18554689962674867</v>
      </c>
      <c r="AO68" s="628">
        <f>INDEX('DEFAULT DATA'!$BE$9:$BS$41,START!$C$3,13)</f>
        <v>0.18554689962674867</v>
      </c>
      <c r="AP68" s="628">
        <f>INDEX('DEFAULT DATA'!$BE$9:$BS$41,START!$C$3,13)</f>
        <v>0.18554689962674867</v>
      </c>
      <c r="AQ68" s="628">
        <f>INDEX('DEFAULT DATA'!$BE$9:$BS$41,START!$C$3,13)</f>
        <v>0.18554689962674867</v>
      </c>
      <c r="AR68" s="628">
        <f>INDEX('DEFAULT DATA'!$BE$9:$BS$41,START!$C$3,13)</f>
        <v>0.18554689962674867</v>
      </c>
      <c r="AS68" s="628">
        <f>INDEX('DEFAULT DATA'!$BE$9:$BS$41,START!$C$3,13)</f>
        <v>0.18554689962674867</v>
      </c>
      <c r="AT68" s="628">
        <f>INDEX('DEFAULT DATA'!$BE$9:$BS$41,START!$C$3,13)</f>
        <v>0.18554689962674867</v>
      </c>
      <c r="AU68" s="628">
        <f>INDEX('DEFAULT DATA'!$BE$9:$BS$41,START!$C$3,13)</f>
        <v>0.18554689962674867</v>
      </c>
      <c r="AV68" s="628">
        <f>INDEX('DEFAULT DATA'!$BE$9:$BS$41,START!$C$3,13)</f>
        <v>0.18554689962674867</v>
      </c>
      <c r="AW68" s="628">
        <f>INDEX('DEFAULT DATA'!$BE$9:$BS$41,START!$C$3,13)</f>
        <v>0.18554689962674867</v>
      </c>
      <c r="AX68" s="628">
        <f>INDEX('DEFAULT DATA'!$BE$9:$BS$41,START!$C$3,13)</f>
        <v>0.18554689962674867</v>
      </c>
      <c r="AY68" s="628">
        <f>INDEX('DEFAULT DATA'!$BE$9:$BS$41,START!$C$3,13)</f>
        <v>0.18554689962674867</v>
      </c>
      <c r="AZ68" s="628">
        <f>INDEX('DEFAULT DATA'!$BE$9:$BS$41,START!$C$3,13)</f>
        <v>0.18554689962674867</v>
      </c>
      <c r="BA68" s="902">
        <f>INDEX('DEFAULT DATA'!$BE$9:$BS$41,START!$C$3,13)</f>
        <v>0.18554689962674867</v>
      </c>
      <c r="BB68" s="29"/>
      <c r="BC68" s="891" t="s">
        <v>2118</v>
      </c>
      <c r="BD68" s="552" t="s">
        <v>2103</v>
      </c>
      <c r="BE68" s="892" t="s">
        <v>261</v>
      </c>
    </row>
    <row r="69" spans="1:66" ht="20.100000000000001" customHeight="1">
      <c r="A69" s="28"/>
      <c r="B69" s="1024"/>
      <c r="C69" s="1024"/>
      <c r="D69" s="1024"/>
      <c r="E69" s="1024"/>
      <c r="F69" s="1024"/>
      <c r="G69" s="1024"/>
      <c r="H69" s="1024"/>
      <c r="I69" s="1024" t="str">
        <f>INDEX('MENU OPTIONS'!$F$23:$AK$80,45,START!$C$3)</f>
        <v>-</v>
      </c>
      <c r="J69" s="1024"/>
      <c r="K69" s="1024"/>
      <c r="L69" s="777">
        <v>0</v>
      </c>
      <c r="M69" s="1024"/>
      <c r="N69" s="1024"/>
      <c r="O69" s="460"/>
      <c r="P69" s="1024"/>
      <c r="Q69" s="1024"/>
      <c r="R69" s="1049"/>
      <c r="S69" s="881" t="s">
        <v>784</v>
      </c>
      <c r="T69" s="552" t="str">
        <f t="shared" si="71"/>
        <v>EFcar_road: CAR_COL52; EFcar_street: CAR_COL37; Share: CAR_COL22</v>
      </c>
      <c r="U69" s="1319">
        <f t="shared" si="72"/>
        <v>166.30130399999999</v>
      </c>
      <c r="V69" s="262">
        <f>INDEX('DEFAULT DATA'!$CI$9:$CW$41,START!$C$3,14)</f>
        <v>151.41683999999998</v>
      </c>
      <c r="W69" s="262">
        <f>INDEX('DEFAULT DATA'!$BT$9:$CH$41,START!$C$3,14)</f>
        <v>225.83915999999996</v>
      </c>
      <c r="X69" s="628">
        <f>INDEX('DEFAULT DATA'!$BE$9:$BS$41,START!$C$3,14)</f>
        <v>4.6232616186066946E-3</v>
      </c>
      <c r="Y69" s="628">
        <f>INDEX('DEFAULT DATA'!$BE$9:$BS$41,START!$C$3,14)</f>
        <v>4.6232616186066946E-3</v>
      </c>
      <c r="Z69" s="628">
        <f>INDEX('DEFAULT DATA'!$BE$9:$BS$41,START!$C$3,14)</f>
        <v>4.6232616186066946E-3</v>
      </c>
      <c r="AA69" s="628">
        <f>INDEX('DEFAULT DATA'!$BE$9:$BS$41,START!$C$3,14)</f>
        <v>4.6232616186066946E-3</v>
      </c>
      <c r="AB69" s="628">
        <f>INDEX('DEFAULT DATA'!$BE$9:$BS$41,START!$C$3,14)</f>
        <v>4.6232616186066946E-3</v>
      </c>
      <c r="AC69" s="628">
        <f>INDEX('DEFAULT DATA'!$BE$9:$BS$41,START!$C$3,14)</f>
        <v>4.6232616186066946E-3</v>
      </c>
      <c r="AD69" s="628">
        <f>INDEX('DEFAULT DATA'!$BE$9:$BS$41,START!$C$3,14)</f>
        <v>4.6232616186066946E-3</v>
      </c>
      <c r="AE69" s="628">
        <f>INDEX('DEFAULT DATA'!$BE$9:$BS$41,START!$C$3,14)</f>
        <v>4.6232616186066946E-3</v>
      </c>
      <c r="AF69" s="628">
        <f>INDEX('DEFAULT DATA'!$BE$9:$BS$41,START!$C$3,14)</f>
        <v>4.6232616186066946E-3</v>
      </c>
      <c r="AG69" s="628">
        <f>INDEX('DEFAULT DATA'!$BE$9:$BS$41,START!$C$3,14)</f>
        <v>4.6232616186066946E-3</v>
      </c>
      <c r="AH69" s="628">
        <f>INDEX('DEFAULT DATA'!$BE$9:$BS$41,START!$C$3,14)</f>
        <v>4.6232616186066946E-3</v>
      </c>
      <c r="AI69" s="628">
        <f>INDEX('DEFAULT DATA'!$BE$9:$BS$41,START!$C$3,14)</f>
        <v>4.6232616186066946E-3</v>
      </c>
      <c r="AJ69" s="628">
        <f>INDEX('DEFAULT DATA'!$BE$9:$BS$41,START!$C$3,14)</f>
        <v>4.6232616186066946E-3</v>
      </c>
      <c r="AK69" s="628">
        <f>INDEX('DEFAULT DATA'!$BE$9:$BS$41,START!$C$3,14)</f>
        <v>4.6232616186066946E-3</v>
      </c>
      <c r="AL69" s="628">
        <f>INDEX('DEFAULT DATA'!$BE$9:$BS$41,START!$C$3,14)</f>
        <v>4.6232616186066946E-3</v>
      </c>
      <c r="AM69" s="628">
        <f>INDEX('DEFAULT DATA'!$BE$9:$BS$41,START!$C$3,14)</f>
        <v>4.6232616186066946E-3</v>
      </c>
      <c r="AN69" s="628">
        <f>INDEX('DEFAULT DATA'!$BE$9:$BS$41,START!$C$3,14)</f>
        <v>4.6232616186066946E-3</v>
      </c>
      <c r="AO69" s="628">
        <f>INDEX('DEFAULT DATA'!$BE$9:$BS$41,START!$C$3,14)</f>
        <v>4.6232616186066946E-3</v>
      </c>
      <c r="AP69" s="628">
        <f>INDEX('DEFAULT DATA'!$BE$9:$BS$41,START!$C$3,14)</f>
        <v>4.6232616186066946E-3</v>
      </c>
      <c r="AQ69" s="628">
        <f>INDEX('DEFAULT DATA'!$BE$9:$BS$41,START!$C$3,14)</f>
        <v>4.6232616186066946E-3</v>
      </c>
      <c r="AR69" s="628">
        <f>INDEX('DEFAULT DATA'!$BE$9:$BS$41,START!$C$3,14)</f>
        <v>4.6232616186066946E-3</v>
      </c>
      <c r="AS69" s="628">
        <f>INDEX('DEFAULT DATA'!$BE$9:$BS$41,START!$C$3,14)</f>
        <v>4.6232616186066946E-3</v>
      </c>
      <c r="AT69" s="628">
        <f>INDEX('DEFAULT DATA'!$BE$9:$BS$41,START!$C$3,14)</f>
        <v>4.6232616186066946E-3</v>
      </c>
      <c r="AU69" s="628">
        <f>INDEX('DEFAULT DATA'!$BE$9:$BS$41,START!$C$3,14)</f>
        <v>4.6232616186066946E-3</v>
      </c>
      <c r="AV69" s="628">
        <f>INDEX('DEFAULT DATA'!$BE$9:$BS$41,START!$C$3,14)</f>
        <v>4.6232616186066946E-3</v>
      </c>
      <c r="AW69" s="628">
        <f>INDEX('DEFAULT DATA'!$BE$9:$BS$41,START!$C$3,14)</f>
        <v>4.6232616186066946E-3</v>
      </c>
      <c r="AX69" s="628">
        <f>INDEX('DEFAULT DATA'!$BE$9:$BS$41,START!$C$3,14)</f>
        <v>4.6232616186066946E-3</v>
      </c>
      <c r="AY69" s="628">
        <f>INDEX('DEFAULT DATA'!$BE$9:$BS$41,START!$C$3,14)</f>
        <v>4.6232616186066946E-3</v>
      </c>
      <c r="AZ69" s="628">
        <f>INDEX('DEFAULT DATA'!$BE$9:$BS$41,START!$C$3,14)</f>
        <v>4.6232616186066946E-3</v>
      </c>
      <c r="BA69" s="902">
        <f>INDEX('DEFAULT DATA'!$BE$9:$BS$41,START!$C$3,14)</f>
        <v>4.6232616186066946E-3</v>
      </c>
      <c r="BB69" s="29"/>
      <c r="BC69" s="891" t="s">
        <v>2119</v>
      </c>
      <c r="BD69" s="552" t="s">
        <v>2104</v>
      </c>
      <c r="BE69" s="892" t="s">
        <v>262</v>
      </c>
    </row>
    <row r="70" spans="1:66" ht="20.100000000000001" customHeight="1">
      <c r="A70" s="28"/>
      <c r="B70" s="1024"/>
      <c r="C70" s="1024"/>
      <c r="D70" s="1024"/>
      <c r="E70" s="1024"/>
      <c r="F70" s="1024"/>
      <c r="G70" s="1024"/>
      <c r="H70" s="1024"/>
      <c r="I70" s="1024" t="str">
        <f>INDEX('MENU OPTIONS'!$F$23:$AK$80,46,START!$C$3)</f>
        <v>-</v>
      </c>
      <c r="J70" s="1024"/>
      <c r="K70" s="1024"/>
      <c r="L70" s="777">
        <v>0</v>
      </c>
      <c r="M70" s="1024"/>
      <c r="N70" s="1024"/>
      <c r="O70" s="460"/>
      <c r="P70" s="1024"/>
      <c r="Q70" s="1024"/>
      <c r="R70" s="1049"/>
      <c r="S70" s="881" t="s">
        <v>3036</v>
      </c>
      <c r="T70" s="552" t="str">
        <f t="shared" si="71"/>
        <v>EFcar_road: CAR_COL53; EFcar_street: CAR_COL38; Share: CAR_COL23</v>
      </c>
      <c r="U70" s="1311">
        <f>0.8*V70+0.2*W70</f>
        <v>0.20000000000000004</v>
      </c>
      <c r="V70" s="660">
        <f>INDEX('DEFAULT DATA'!$CI$9:$CW$41,START!$C$3,15)</f>
        <v>0.2</v>
      </c>
      <c r="W70" s="660">
        <f>INDEX('DEFAULT DATA'!$BT$9:$CH$41,START!$C$3,15)</f>
        <v>0.2</v>
      </c>
      <c r="X70" s="628">
        <f>INDEX('DEFAULT DATA'!$BE$9:$BS$41,START!$C$3,15)</f>
        <v>0.13533547647194144</v>
      </c>
      <c r="Y70" s="628">
        <f>INDEX('DEFAULT DATA'!$BE$9:$BS$41,START!$C$3,15)</f>
        <v>0.13533547647194144</v>
      </c>
      <c r="Z70" s="628">
        <f>INDEX('DEFAULT DATA'!$BE$9:$BS$41,START!$C$3,15)</f>
        <v>0.13533547647194144</v>
      </c>
      <c r="AA70" s="628">
        <f>INDEX('DEFAULT DATA'!$BE$9:$BS$41,START!$C$3,15)</f>
        <v>0.13533547647194144</v>
      </c>
      <c r="AB70" s="628">
        <f>INDEX('DEFAULT DATA'!$BE$9:$BS$41,START!$C$3,15)</f>
        <v>0.13533547647194144</v>
      </c>
      <c r="AC70" s="628">
        <f>INDEX('DEFAULT DATA'!$BE$9:$BS$41,START!$C$3,15)</f>
        <v>0.13533547647194144</v>
      </c>
      <c r="AD70" s="628">
        <f>INDEX('DEFAULT DATA'!$BE$9:$BS$41,START!$C$3,15)</f>
        <v>0.13533547647194144</v>
      </c>
      <c r="AE70" s="628">
        <f>INDEX('DEFAULT DATA'!$BE$9:$BS$41,START!$C$3,15)</f>
        <v>0.13533547647194144</v>
      </c>
      <c r="AF70" s="628">
        <f>INDEX('DEFAULT DATA'!$BE$9:$BS$41,START!$C$3,15)</f>
        <v>0.13533547647194144</v>
      </c>
      <c r="AG70" s="628">
        <f>INDEX('DEFAULT DATA'!$BE$9:$BS$41,START!$C$3,15)</f>
        <v>0.13533547647194144</v>
      </c>
      <c r="AH70" s="628">
        <f>INDEX('DEFAULT DATA'!$BE$9:$BS$41,START!$C$3,15)</f>
        <v>0.13533547647194144</v>
      </c>
      <c r="AI70" s="628">
        <f>INDEX('DEFAULT DATA'!$BE$9:$BS$41,START!$C$3,15)</f>
        <v>0.13533547647194144</v>
      </c>
      <c r="AJ70" s="628">
        <f>INDEX('DEFAULT DATA'!$BE$9:$BS$41,START!$C$3,15)</f>
        <v>0.13533547647194144</v>
      </c>
      <c r="AK70" s="628">
        <f>INDEX('DEFAULT DATA'!$BE$9:$BS$41,START!$C$3,15)</f>
        <v>0.13533547647194144</v>
      </c>
      <c r="AL70" s="628">
        <f>INDEX('DEFAULT DATA'!$BE$9:$BS$41,START!$C$3,15)</f>
        <v>0.13533547647194144</v>
      </c>
      <c r="AM70" s="628">
        <f>INDEX('DEFAULT DATA'!$BE$9:$BS$41,START!$C$3,15)</f>
        <v>0.13533547647194144</v>
      </c>
      <c r="AN70" s="628">
        <f>INDEX('DEFAULT DATA'!$BE$9:$BS$41,START!$C$3,15)</f>
        <v>0.13533547647194144</v>
      </c>
      <c r="AO70" s="628">
        <f>INDEX('DEFAULT DATA'!$BE$9:$BS$41,START!$C$3,15)</f>
        <v>0.13533547647194144</v>
      </c>
      <c r="AP70" s="628">
        <f>INDEX('DEFAULT DATA'!$BE$9:$BS$41,START!$C$3,15)</f>
        <v>0.13533547647194144</v>
      </c>
      <c r="AQ70" s="628">
        <f>INDEX('DEFAULT DATA'!$BE$9:$BS$41,START!$C$3,15)</f>
        <v>0.13533547647194144</v>
      </c>
      <c r="AR70" s="628">
        <f>INDEX('DEFAULT DATA'!$BE$9:$BS$41,START!$C$3,15)</f>
        <v>0.13533547647194144</v>
      </c>
      <c r="AS70" s="628">
        <f>INDEX('DEFAULT DATA'!$BE$9:$BS$41,START!$C$3,15)</f>
        <v>0.13533547647194144</v>
      </c>
      <c r="AT70" s="628">
        <f>INDEX('DEFAULT DATA'!$BE$9:$BS$41,START!$C$3,15)</f>
        <v>0.13533547647194144</v>
      </c>
      <c r="AU70" s="628">
        <f>INDEX('DEFAULT DATA'!$BE$9:$BS$41,START!$C$3,15)</f>
        <v>0.13533547647194144</v>
      </c>
      <c r="AV70" s="628">
        <f>INDEX('DEFAULT DATA'!$BE$9:$BS$41,START!$C$3,15)</f>
        <v>0.13533547647194144</v>
      </c>
      <c r="AW70" s="628">
        <f>INDEX('DEFAULT DATA'!$BE$9:$BS$41,START!$C$3,15)</f>
        <v>0.13533547647194144</v>
      </c>
      <c r="AX70" s="628">
        <f>INDEX('DEFAULT DATA'!$BE$9:$BS$41,START!$C$3,15)</f>
        <v>0.13533547647194144</v>
      </c>
      <c r="AY70" s="628">
        <f>INDEX('DEFAULT DATA'!$BE$9:$BS$41,START!$C$3,15)</f>
        <v>0.13533547647194144</v>
      </c>
      <c r="AZ70" s="628">
        <f>INDEX('DEFAULT DATA'!$BE$9:$BS$41,START!$C$3,15)</f>
        <v>0.13533547647194144</v>
      </c>
      <c r="BA70" s="902">
        <f>INDEX('DEFAULT DATA'!$BE$9:$BS$41,START!$C$3,15)</f>
        <v>0.13533547647194144</v>
      </c>
      <c r="BB70" s="29"/>
      <c r="BC70" s="891" t="s">
        <v>2120</v>
      </c>
      <c r="BD70" s="552" t="s">
        <v>2105</v>
      </c>
      <c r="BE70" s="892" t="s">
        <v>263</v>
      </c>
    </row>
    <row r="71" spans="1:66" ht="20.100000000000001" customHeight="1">
      <c r="A71" s="28"/>
      <c r="B71" s="1024"/>
      <c r="C71" s="1024"/>
      <c r="D71" s="1024"/>
      <c r="E71" s="1024"/>
      <c r="F71" s="1024"/>
      <c r="G71" s="1024"/>
      <c r="H71" s="1024"/>
      <c r="I71" s="1024" t="str">
        <f>INDEX('MENU OPTIONS'!$F$23:$AK$80,47,START!$C$3)</f>
        <v>-</v>
      </c>
      <c r="J71" s="1024"/>
      <c r="K71" s="1024"/>
      <c r="L71" s="777">
        <v>0</v>
      </c>
      <c r="M71" s="1024"/>
      <c r="N71" s="1024"/>
      <c r="O71" s="460"/>
      <c r="P71" s="1024"/>
      <c r="Q71" s="1024"/>
      <c r="R71" s="1049"/>
      <c r="S71" s="241" t="s">
        <v>3037</v>
      </c>
      <c r="T71" s="552" t="str">
        <f t="shared" ref="T71:T72" si="75">CONCATENATE($BC$56,": ",BC72,"; ",$BD$56,": ",BD72,"; ",$BE$56,": ",BE72)</f>
        <v>EFcar_road: CAR_COL53; EFcar_street: CAR_COL38; Share: CAR_COL13</v>
      </c>
      <c r="U71" s="1311">
        <f t="shared" ref="U71:U72" si="76">0.8*V71+0.2*W71</f>
        <v>0.20000000000000004</v>
      </c>
      <c r="V71" s="660">
        <f>INDEX('DEFAULT DATA'!$CI$9:$CW$41,START!$C$3,15)</f>
        <v>0.2</v>
      </c>
      <c r="W71" s="660">
        <f>INDEX('DEFAULT DATA'!$BT$9:$CH$41,START!$C$3,15)</f>
        <v>0.2</v>
      </c>
      <c r="X71" s="327">
        <f>INDEX('DEFAULT DATA'!$BE$9:$BS$41,START!$C$3,6)*0.5</f>
        <v>0.32226935458427214</v>
      </c>
      <c r="Y71" s="327">
        <f>INDEX('DEFAULT DATA'!$BE$9:$BS$41,START!$C$3,6)*0.5</f>
        <v>0.32226935458427214</v>
      </c>
      <c r="Z71" s="327">
        <f>INDEX('DEFAULT DATA'!$BE$9:$BS$41,START!$C$3,6)*0.5</f>
        <v>0.32226935458427214</v>
      </c>
      <c r="AA71" s="327">
        <f>INDEX('DEFAULT DATA'!$BE$9:$BS$41,START!$C$3,6)*0.5</f>
        <v>0.32226935458427214</v>
      </c>
      <c r="AB71" s="327">
        <f>INDEX('DEFAULT DATA'!$BE$9:$BS$41,START!$C$3,6)*0.5</f>
        <v>0.32226935458427214</v>
      </c>
      <c r="AC71" s="327">
        <f>INDEX('DEFAULT DATA'!$BE$9:$BS$41,START!$C$3,6)*0.5</f>
        <v>0.32226935458427214</v>
      </c>
      <c r="AD71" s="327">
        <f>INDEX('DEFAULT DATA'!$BE$9:$BS$41,START!$C$3,6)*0.5</f>
        <v>0.32226935458427214</v>
      </c>
      <c r="AE71" s="327">
        <f>INDEX('DEFAULT DATA'!$BE$9:$BS$41,START!$C$3,6)*0.5</f>
        <v>0.32226935458427214</v>
      </c>
      <c r="AF71" s="327">
        <f>INDEX('DEFAULT DATA'!$BE$9:$BS$41,START!$C$3,6)*0.5</f>
        <v>0.32226935458427214</v>
      </c>
      <c r="AG71" s="327">
        <f>INDEX('DEFAULT DATA'!$BE$9:$BS$41,START!$C$3,6)*0.5</f>
        <v>0.32226935458427214</v>
      </c>
      <c r="AH71" s="327">
        <f>INDEX('DEFAULT DATA'!$BE$9:$BS$41,START!$C$3,6)*0.5</f>
        <v>0.32226935458427214</v>
      </c>
      <c r="AI71" s="327">
        <f>INDEX('DEFAULT DATA'!$BE$9:$BS$41,START!$C$3,6)*0.5</f>
        <v>0.32226935458427214</v>
      </c>
      <c r="AJ71" s="327">
        <f>INDEX('DEFAULT DATA'!$BE$9:$BS$41,START!$C$3,6)*0.5</f>
        <v>0.32226935458427214</v>
      </c>
      <c r="AK71" s="327">
        <f>INDEX('DEFAULT DATA'!$BE$9:$BS$41,START!$C$3,6)*0.5</f>
        <v>0.32226935458427214</v>
      </c>
      <c r="AL71" s="327">
        <f>INDEX('DEFAULT DATA'!$BE$9:$BS$41,START!$C$3,6)*0.5</f>
        <v>0.32226935458427214</v>
      </c>
      <c r="AM71" s="327">
        <f>INDEX('DEFAULT DATA'!$BE$9:$BS$41,START!$C$3,6)*0.5</f>
        <v>0.32226935458427214</v>
      </c>
      <c r="AN71" s="327">
        <f>INDEX('DEFAULT DATA'!$BE$9:$BS$41,START!$C$3,6)*0.5</f>
        <v>0.32226935458427214</v>
      </c>
      <c r="AO71" s="327">
        <f>INDEX('DEFAULT DATA'!$BE$9:$BS$41,START!$C$3,6)*0.5</f>
        <v>0.32226935458427214</v>
      </c>
      <c r="AP71" s="327">
        <f>INDEX('DEFAULT DATA'!$BE$9:$BS$41,START!$C$3,6)*0.5</f>
        <v>0.32226935458427214</v>
      </c>
      <c r="AQ71" s="327">
        <f>INDEX('DEFAULT DATA'!$BE$9:$BS$41,START!$C$3,6)*0.5</f>
        <v>0.32226935458427214</v>
      </c>
      <c r="AR71" s="327">
        <f>INDEX('DEFAULT DATA'!$BE$9:$BS$41,START!$C$3,6)*0.5</f>
        <v>0.32226935458427214</v>
      </c>
      <c r="AS71" s="327">
        <f>INDEX('DEFAULT DATA'!$BE$9:$BS$41,START!$C$3,6)*0.5</f>
        <v>0.32226935458427214</v>
      </c>
      <c r="AT71" s="327">
        <f>INDEX('DEFAULT DATA'!$BE$9:$BS$41,START!$C$3,6)*0.5</f>
        <v>0.32226935458427214</v>
      </c>
      <c r="AU71" s="327">
        <f>INDEX('DEFAULT DATA'!$BE$9:$BS$41,START!$C$3,6)*0.5</f>
        <v>0.32226935458427214</v>
      </c>
      <c r="AV71" s="327">
        <f>INDEX('DEFAULT DATA'!$BE$9:$BS$41,START!$C$3,6)*0.5</f>
        <v>0.32226935458427214</v>
      </c>
      <c r="AW71" s="327">
        <f>INDEX('DEFAULT DATA'!$BE$9:$BS$41,START!$C$3,6)*0.5</f>
        <v>0.32226935458427214</v>
      </c>
      <c r="AX71" s="327">
        <f>INDEX('DEFAULT DATA'!$BE$9:$BS$41,START!$C$3,6)*0.5</f>
        <v>0.32226935458427214</v>
      </c>
      <c r="AY71" s="327">
        <f>INDEX('DEFAULT DATA'!$BE$9:$BS$41,START!$C$3,6)*0.5</f>
        <v>0.32226935458427214</v>
      </c>
      <c r="AZ71" s="327">
        <f>INDEX('DEFAULT DATA'!$BE$9:$BS$41,START!$C$3,6)*0.5</f>
        <v>0.32226935458427214</v>
      </c>
      <c r="BA71" s="885">
        <f>INDEX('DEFAULT DATA'!$BE$9:$BS$41,START!$C$3,6)*0.5</f>
        <v>0.32226935458427214</v>
      </c>
      <c r="BB71" s="29"/>
      <c r="BC71" s="891" t="s">
        <v>2121</v>
      </c>
      <c r="BD71" s="552" t="s">
        <v>2106</v>
      </c>
      <c r="BE71" s="892" t="s">
        <v>265</v>
      </c>
    </row>
    <row r="72" spans="1:66" ht="20.100000000000001" customHeight="1" thickBot="1">
      <c r="A72" s="28"/>
      <c r="B72" s="1024"/>
      <c r="C72" s="1024"/>
      <c r="D72" s="1024"/>
      <c r="E72" s="1024"/>
      <c r="F72" s="1024"/>
      <c r="G72" s="1024"/>
      <c r="H72" s="1024"/>
      <c r="I72" s="1024" t="str">
        <f>INDEX('MENU OPTIONS'!$F$23:$AK$80,48,START!$C$3)</f>
        <v>-</v>
      </c>
      <c r="J72" s="1024"/>
      <c r="K72" s="1024"/>
      <c r="L72" s="777">
        <v>0</v>
      </c>
      <c r="M72" s="1024"/>
      <c r="N72" s="1024"/>
      <c r="O72" s="460"/>
      <c r="P72" s="1024"/>
      <c r="Q72" s="1024"/>
      <c r="R72" s="1049"/>
      <c r="S72" s="470" t="s">
        <v>3038</v>
      </c>
      <c r="T72" s="782" t="str">
        <f t="shared" si="75"/>
        <v>EFcar_road: CAR_COL53; EFcar_street: CAR_COL38; Share: CAR_COL17</v>
      </c>
      <c r="U72" s="1320">
        <f t="shared" si="76"/>
        <v>0.20000000000000004</v>
      </c>
      <c r="V72" s="786">
        <f>INDEX('DEFAULT DATA'!$CI$9:$CW$41,START!$C$3,15)</f>
        <v>0.2</v>
      </c>
      <c r="W72" s="786">
        <f>INDEX('DEFAULT DATA'!$BT$9:$CH$41,START!$C$3,15)</f>
        <v>0.2</v>
      </c>
      <c r="X72" s="325">
        <f>INDEX('DEFAULT DATA'!$BE$9:$BS$41,START!$C$3,9)*0.5</f>
        <v>2.9420755754769875E-2</v>
      </c>
      <c r="Y72" s="325">
        <f>INDEX('DEFAULT DATA'!$BE$9:$BS$41,START!$C$3,9)*0.5</f>
        <v>2.9420755754769875E-2</v>
      </c>
      <c r="Z72" s="325">
        <f>INDEX('DEFAULT DATA'!$BE$9:$BS$41,START!$C$3,9)*0.5</f>
        <v>2.9420755754769875E-2</v>
      </c>
      <c r="AA72" s="325">
        <f>INDEX('DEFAULT DATA'!$BE$9:$BS$41,START!$C$3,9)*0.5</f>
        <v>2.9420755754769875E-2</v>
      </c>
      <c r="AB72" s="325">
        <f>INDEX('DEFAULT DATA'!$BE$9:$BS$41,START!$C$3,9)*0.5</f>
        <v>2.9420755754769875E-2</v>
      </c>
      <c r="AC72" s="325">
        <f>INDEX('DEFAULT DATA'!$BE$9:$BS$41,START!$C$3,9)*0.5</f>
        <v>2.9420755754769875E-2</v>
      </c>
      <c r="AD72" s="325">
        <f>INDEX('DEFAULT DATA'!$BE$9:$BS$41,START!$C$3,9)*0.5</f>
        <v>2.9420755754769875E-2</v>
      </c>
      <c r="AE72" s="325">
        <f>INDEX('DEFAULT DATA'!$BE$9:$BS$41,START!$C$3,9)*0.5</f>
        <v>2.9420755754769875E-2</v>
      </c>
      <c r="AF72" s="325">
        <f>INDEX('DEFAULT DATA'!$BE$9:$BS$41,START!$C$3,9)*0.5</f>
        <v>2.9420755754769875E-2</v>
      </c>
      <c r="AG72" s="325">
        <f>INDEX('DEFAULT DATA'!$BE$9:$BS$41,START!$C$3,9)*0.5</f>
        <v>2.9420755754769875E-2</v>
      </c>
      <c r="AH72" s="325">
        <f>INDEX('DEFAULT DATA'!$BE$9:$BS$41,START!$C$3,9)*0.5</f>
        <v>2.9420755754769875E-2</v>
      </c>
      <c r="AI72" s="325">
        <f>INDEX('DEFAULT DATA'!$BE$9:$BS$41,START!$C$3,9)*0.5</f>
        <v>2.9420755754769875E-2</v>
      </c>
      <c r="AJ72" s="325">
        <f>INDEX('DEFAULT DATA'!$BE$9:$BS$41,START!$C$3,9)*0.5</f>
        <v>2.9420755754769875E-2</v>
      </c>
      <c r="AK72" s="325">
        <f>INDEX('DEFAULT DATA'!$BE$9:$BS$41,START!$C$3,9)*0.5</f>
        <v>2.9420755754769875E-2</v>
      </c>
      <c r="AL72" s="325">
        <f>INDEX('DEFAULT DATA'!$BE$9:$BS$41,START!$C$3,9)*0.5</f>
        <v>2.9420755754769875E-2</v>
      </c>
      <c r="AM72" s="325">
        <f>INDEX('DEFAULT DATA'!$BE$9:$BS$41,START!$C$3,9)*0.5</f>
        <v>2.9420755754769875E-2</v>
      </c>
      <c r="AN72" s="325">
        <f>INDEX('DEFAULT DATA'!$BE$9:$BS$41,START!$C$3,9)*0.5</f>
        <v>2.9420755754769875E-2</v>
      </c>
      <c r="AO72" s="325">
        <f>INDEX('DEFAULT DATA'!$BE$9:$BS$41,START!$C$3,9)*0.5</f>
        <v>2.9420755754769875E-2</v>
      </c>
      <c r="AP72" s="325">
        <f>INDEX('DEFAULT DATA'!$BE$9:$BS$41,START!$C$3,9)*0.5</f>
        <v>2.9420755754769875E-2</v>
      </c>
      <c r="AQ72" s="325">
        <f>INDEX('DEFAULT DATA'!$BE$9:$BS$41,START!$C$3,9)*0.5</f>
        <v>2.9420755754769875E-2</v>
      </c>
      <c r="AR72" s="325">
        <f>INDEX('DEFAULT DATA'!$BE$9:$BS$41,START!$C$3,9)*0.5</f>
        <v>2.9420755754769875E-2</v>
      </c>
      <c r="AS72" s="325">
        <f>INDEX('DEFAULT DATA'!$BE$9:$BS$41,START!$C$3,9)*0.5</f>
        <v>2.9420755754769875E-2</v>
      </c>
      <c r="AT72" s="325">
        <f>INDEX('DEFAULT DATA'!$BE$9:$BS$41,START!$C$3,9)*0.5</f>
        <v>2.9420755754769875E-2</v>
      </c>
      <c r="AU72" s="325">
        <f>INDEX('DEFAULT DATA'!$BE$9:$BS$41,START!$C$3,9)*0.5</f>
        <v>2.9420755754769875E-2</v>
      </c>
      <c r="AV72" s="325">
        <f>INDEX('DEFAULT DATA'!$BE$9:$BS$41,START!$C$3,9)*0.5</f>
        <v>2.9420755754769875E-2</v>
      </c>
      <c r="AW72" s="325">
        <f>INDEX('DEFAULT DATA'!$BE$9:$BS$41,START!$C$3,9)*0.5</f>
        <v>2.9420755754769875E-2</v>
      </c>
      <c r="AX72" s="325">
        <f>INDEX('DEFAULT DATA'!$BE$9:$BS$41,START!$C$3,9)*0.5</f>
        <v>2.9420755754769875E-2</v>
      </c>
      <c r="AY72" s="325">
        <f>INDEX('DEFAULT DATA'!$BE$9:$BS$41,START!$C$3,9)*0.5</f>
        <v>2.9420755754769875E-2</v>
      </c>
      <c r="AZ72" s="325">
        <f>INDEX('DEFAULT DATA'!$BE$9:$BS$41,START!$C$3,9)*0.5</f>
        <v>2.9420755754769875E-2</v>
      </c>
      <c r="BA72" s="326">
        <f>INDEX('DEFAULT DATA'!$BE$9:$BS$41,START!$C$3,9)*0.5</f>
        <v>2.9420755754769875E-2</v>
      </c>
      <c r="BB72" s="29"/>
      <c r="BC72" s="891" t="s">
        <v>2121</v>
      </c>
      <c r="BD72" s="552" t="s">
        <v>2106</v>
      </c>
      <c r="BE72" s="892" t="s">
        <v>254</v>
      </c>
    </row>
    <row r="73" spans="1:66" ht="20.100000000000001" customHeight="1" thickBot="1">
      <c r="A73" s="28"/>
      <c r="B73" s="1024"/>
      <c r="C73" s="1024"/>
      <c r="D73" s="1024"/>
      <c r="E73" s="1024"/>
      <c r="F73" s="1024"/>
      <c r="G73" s="1024"/>
      <c r="H73" s="1024"/>
      <c r="I73" s="1024" t="str">
        <f>INDEX('MENU OPTIONS'!$F$23:$AK$80,49,START!$C$3)</f>
        <v>-</v>
      </c>
      <c r="J73" s="1024"/>
      <c r="K73" s="1024"/>
      <c r="L73" s="777">
        <v>0</v>
      </c>
      <c r="M73" s="1024"/>
      <c r="N73" s="1024"/>
      <c r="O73" s="460"/>
      <c r="P73" s="1024"/>
      <c r="Q73" s="1024"/>
      <c r="R73" s="1049"/>
      <c r="S73" s="1363" t="s">
        <v>2423</v>
      </c>
      <c r="T73" s="1330" t="s">
        <v>164</v>
      </c>
      <c r="U73" s="1364"/>
      <c r="V73" s="1364"/>
      <c r="W73" s="1364"/>
      <c r="X73" s="342">
        <f>(X56/100*$U$56)+(X57/100*$U$57)+(X58/100*$U$58)+(X59/100*$U$59)+(X60/100*$U$60)+(X61/100*$U$61)+(X62/100*$U$62)+(X63/100*$U$63)+(X64/100*$U$64)+(X65/100*$U$65)+(X66/100*$U$66)+(X67/100*$U$67)+(X68/100*$U$68)+(X69/100*$U$69)+(X70/100*$U$70*U5)+(X71/100*$U$71*U5)+(X72/100*$U$72*U5)</f>
        <v>170.04591261642724</v>
      </c>
      <c r="Y73" s="342">
        <f t="shared" ref="Y73:BA73" si="77">(Y56/100*$U$56)+(Y57/100*$U$57)+(Y58/100*$U$58)+(Y59/100*$U$59)+(Y60/100*$U$60)+(Y61/100*$U$61)+(Y62/100*$U$62)+(Y63/100*$U$63)+(Y64/100*$U$64)+(Y65/100*$U$65)+(Y66/100*$U$66)+(Y67/100*$U$67)+(Y68/100*$U$68)+(Y69/100*$U$69)+(Y70/100*$U$70*V5)+(Y71/100*$U$71*V5)+(Y72/100*$U$72*V5)</f>
        <v>170.65665357193569</v>
      </c>
      <c r="Z73" s="342">
        <f t="shared" si="77"/>
        <v>170.65665357193569</v>
      </c>
      <c r="AA73" s="342">
        <f t="shared" si="77"/>
        <v>170.75411313936348</v>
      </c>
      <c r="AB73" s="342">
        <f t="shared" si="77"/>
        <v>170.7531385436892</v>
      </c>
      <c r="AC73" s="342">
        <f t="shared" si="77"/>
        <v>170.75217369397166</v>
      </c>
      <c r="AD73" s="342">
        <f t="shared" si="77"/>
        <v>170.75121849275132</v>
      </c>
      <c r="AE73" s="342">
        <f t="shared" si="77"/>
        <v>170.75027284354317</v>
      </c>
      <c r="AF73" s="342">
        <f t="shared" si="77"/>
        <v>170.74933665082708</v>
      </c>
      <c r="AG73" s="342">
        <f t="shared" si="77"/>
        <v>170.74840982003818</v>
      </c>
      <c r="AH73" s="342">
        <f t="shared" si="77"/>
        <v>170.74749225755718</v>
      </c>
      <c r="AI73" s="342">
        <f t="shared" si="77"/>
        <v>170.74658387070093</v>
      </c>
      <c r="AJ73" s="342">
        <f t="shared" si="77"/>
        <v>170.74568456771328</v>
      </c>
      <c r="AK73" s="342">
        <f t="shared" si="77"/>
        <v>170.74078786294552</v>
      </c>
      <c r="AL73" s="342">
        <f t="shared" si="77"/>
        <v>170.73616047693997</v>
      </c>
      <c r="AM73" s="342">
        <f t="shared" si="77"/>
        <v>170.73178759716478</v>
      </c>
      <c r="AN73" s="342">
        <f t="shared" si="77"/>
        <v>170.72765522577714</v>
      </c>
      <c r="AO73" s="342">
        <f t="shared" si="77"/>
        <v>170.72375013481587</v>
      </c>
      <c r="AP73" s="342">
        <f t="shared" si="77"/>
        <v>170.72005982385747</v>
      </c>
      <c r="AQ73" s="342">
        <f t="shared" si="77"/>
        <v>170.71657248000176</v>
      </c>
      <c r="AR73" s="342">
        <f t="shared" si="77"/>
        <v>170.71327694005811</v>
      </c>
      <c r="AS73" s="342">
        <f t="shared" si="77"/>
        <v>170.7101626548114</v>
      </c>
      <c r="AT73" s="342">
        <f t="shared" si="77"/>
        <v>170.7072196552532</v>
      </c>
      <c r="AU73" s="342">
        <f t="shared" si="77"/>
        <v>170.70443852067078</v>
      </c>
      <c r="AV73" s="342">
        <f t="shared" si="77"/>
        <v>170.70181034849034</v>
      </c>
      <c r="AW73" s="342">
        <f t="shared" si="77"/>
        <v>170.69932672577985</v>
      </c>
      <c r="AX73" s="342">
        <f t="shared" si="77"/>
        <v>170.6969797023184</v>
      </c>
      <c r="AY73" s="342">
        <f t="shared" si="77"/>
        <v>170.69476176514735</v>
      </c>
      <c r="AZ73" s="342">
        <f t="shared" si="77"/>
        <v>170.69266581452072</v>
      </c>
      <c r="BA73" s="369">
        <f t="shared" si="77"/>
        <v>170.69068514117853</v>
      </c>
      <c r="BB73" s="29"/>
      <c r="BC73" s="893" t="s">
        <v>2121</v>
      </c>
      <c r="BD73" s="782" t="s">
        <v>2106</v>
      </c>
      <c r="BE73" s="894" t="s">
        <v>258</v>
      </c>
    </row>
    <row r="74" spans="1:66" ht="20.100000000000001" customHeight="1">
      <c r="A74" s="28"/>
      <c r="B74" s="1024"/>
      <c r="C74" s="1024"/>
      <c r="D74" s="1024"/>
      <c r="E74" s="1024"/>
      <c r="F74" s="1024"/>
      <c r="G74" s="1024"/>
      <c r="H74" s="1024"/>
      <c r="I74" s="1024" t="str">
        <f>INDEX('MENU OPTIONS'!$F$23:$AK$80,50,START!$C$3)</f>
        <v>-</v>
      </c>
      <c r="J74" s="1024"/>
      <c r="K74" s="1024"/>
      <c r="L74" s="777">
        <v>0</v>
      </c>
      <c r="M74" s="1024"/>
      <c r="N74" s="1024"/>
      <c r="O74" s="460"/>
      <c r="P74" s="1024"/>
      <c r="Q74" s="1024"/>
      <c r="R74" s="1049"/>
      <c r="S74" s="241" t="s">
        <v>2424</v>
      </c>
      <c r="T74" s="552" t="s">
        <v>164</v>
      </c>
      <c r="U74" s="1305"/>
      <c r="V74" s="562"/>
      <c r="W74" s="562"/>
      <c r="X74" s="272">
        <f>(X56/100*$V$56)+(X57/100*$V$57)+(X58/100*$V$58)+(X59/100*$V$59)+(X60/100*$V$60)+(X61/100*$V$61)+(X62/100*$V$62)+(X63/100*$V$63)+(X64/100*$V$64)+(X65/100*$V$65)+(X66/100*$V$66)+(X67/100*$V$67)+(X68/100*$V$68)+(X69/100*$V$69)+(X70/100*$V$70*U5)+(X71/100*$V$71*U5)+(X72/100*$V$72*U5)</f>
        <v>153.94483556681934</v>
      </c>
      <c r="Y74" s="272">
        <f t="shared" ref="Y74:BA74" si="78">(Y56/100*$V$56)+(Y57/100*$V$57)+(Y58/100*$V$58)+(Y59/100*$V$59)+(Y60/100*$V$60)+(Y61/100*$V$61)+(Y62/100*$V$62)+(Y63/100*$V$63)+(Y64/100*$V$64)+(Y65/100*$V$65)+(Y66/100*$V$66)+(Y67/100*$V$67)+(Y68/100*$V$68)+(Y69/100*$V$69)+(Y70/100*$V$70*V5)+(Y71/100*$V$71*V5)+(Y72/100*$V$72*V5)</f>
        <v>154.49771174406698</v>
      </c>
      <c r="Z74" s="272">
        <f t="shared" si="78"/>
        <v>154.49771174406698</v>
      </c>
      <c r="AA74" s="272">
        <f t="shared" si="78"/>
        <v>154.59517131149477</v>
      </c>
      <c r="AB74" s="272">
        <f t="shared" si="78"/>
        <v>154.59419671582049</v>
      </c>
      <c r="AC74" s="272">
        <f t="shared" si="78"/>
        <v>154.59323186610294</v>
      </c>
      <c r="AD74" s="272">
        <f t="shared" si="78"/>
        <v>154.5922766648826</v>
      </c>
      <c r="AE74" s="272">
        <f t="shared" si="78"/>
        <v>154.59133101567446</v>
      </c>
      <c r="AF74" s="272">
        <f t="shared" si="78"/>
        <v>154.59039482295836</v>
      </c>
      <c r="AG74" s="272">
        <f t="shared" si="78"/>
        <v>154.58946799216946</v>
      </c>
      <c r="AH74" s="272">
        <f t="shared" si="78"/>
        <v>154.58855042968847</v>
      </c>
      <c r="AI74" s="272">
        <f t="shared" si="78"/>
        <v>154.58764204283221</v>
      </c>
      <c r="AJ74" s="272">
        <f t="shared" si="78"/>
        <v>154.58674273984457</v>
      </c>
      <c r="AK74" s="272">
        <f t="shared" si="78"/>
        <v>154.58184603507681</v>
      </c>
      <c r="AL74" s="272">
        <f t="shared" si="78"/>
        <v>154.57721864907126</v>
      </c>
      <c r="AM74" s="272">
        <f t="shared" si="78"/>
        <v>154.57284576929607</v>
      </c>
      <c r="AN74" s="272">
        <f t="shared" si="78"/>
        <v>154.56871339790843</v>
      </c>
      <c r="AO74" s="272">
        <f t="shared" si="78"/>
        <v>154.56480830694716</v>
      </c>
      <c r="AP74" s="272">
        <f t="shared" si="78"/>
        <v>154.56111799598875</v>
      </c>
      <c r="AQ74" s="272">
        <f t="shared" si="78"/>
        <v>154.55763065213304</v>
      </c>
      <c r="AR74" s="272">
        <f t="shared" si="78"/>
        <v>154.55433511218939</v>
      </c>
      <c r="AS74" s="272">
        <f t="shared" si="78"/>
        <v>154.55122082694268</v>
      </c>
      <c r="AT74" s="272">
        <f t="shared" si="78"/>
        <v>154.54827782738448</v>
      </c>
      <c r="AU74" s="272">
        <f t="shared" si="78"/>
        <v>154.54549669280206</v>
      </c>
      <c r="AV74" s="272">
        <f t="shared" si="78"/>
        <v>154.54286852062162</v>
      </c>
      <c r="AW74" s="272">
        <f t="shared" si="78"/>
        <v>154.54038489791114</v>
      </c>
      <c r="AX74" s="272">
        <f t="shared" si="78"/>
        <v>154.53803787444969</v>
      </c>
      <c r="AY74" s="272">
        <f t="shared" si="78"/>
        <v>154.53581993727863</v>
      </c>
      <c r="AZ74" s="272">
        <f t="shared" si="78"/>
        <v>154.53372398665201</v>
      </c>
      <c r="BA74" s="324">
        <f t="shared" si="78"/>
        <v>154.53174331330982</v>
      </c>
      <c r="BB74" s="29"/>
      <c r="BC74" s="29"/>
      <c r="BD74" s="29"/>
    </row>
    <row r="75" spans="1:66" ht="20.100000000000001" customHeight="1" thickBot="1">
      <c r="A75" s="28"/>
      <c r="B75" s="1024"/>
      <c r="C75" s="1024"/>
      <c r="D75" s="1024"/>
      <c r="E75" s="1024"/>
      <c r="F75" s="1024"/>
      <c r="G75" s="1024"/>
      <c r="H75" s="1024"/>
      <c r="I75" s="1024" t="str">
        <f>INDEX('MENU OPTIONS'!$F$23:$AK$80,51,START!$C$3)</f>
        <v>-</v>
      </c>
      <c r="J75" s="1024"/>
      <c r="K75" s="1024"/>
      <c r="L75" s="777">
        <v>0</v>
      </c>
      <c r="M75" s="1024"/>
      <c r="N75" s="1024"/>
      <c r="O75" s="460"/>
      <c r="P75" s="1024"/>
      <c r="Q75" s="1024"/>
      <c r="R75" s="1049"/>
      <c r="S75" s="470" t="s">
        <v>2425</v>
      </c>
      <c r="T75" s="782" t="s">
        <v>164</v>
      </c>
      <c r="U75" s="1313"/>
      <c r="V75" s="888"/>
      <c r="W75" s="888"/>
      <c r="X75" s="325">
        <f>(X56/100*$W$56)+(X57/100*$W$57)+(X58/100*$W$58)+(X59/100*$W$59)+(X60/100*$W$60)+(X61/100*$W$61)+(X62/100*$W$62)+(X63/100*$W$63)+(X64/100*$W$64)+(X65/100*$W$65)+(X66/100*$W$66)+(X67/100*$W$67)+(X68/100*$W$68)+(X69/100*$W$69)+(X70/100*$W$70*U5)+(X71/100*$W$71*U5)+(X72/100*$W$72*U5)</f>
        <v>234.45022081485885</v>
      </c>
      <c r="Y75" s="325">
        <f t="shared" ref="Y75:BA75" si="79">(Y56/100*$W$56)+(Y57/100*$W$57)+(Y58/100*$W$58)+(Y59/100*$W$59)+(Y60/100*$W$60)+(Y61/100*$W$61)+(Y62/100*$W$62)+(Y63/100*$W$63)+(Y64/100*$W$64)+(Y65/100*$W$65)+(Y66/100*$W$66)+(Y67/100*$W$67)+(Y68/100*$W$68)+(Y69/100*$W$69)+(Y70/100*$W$70*V5)+(Y71/100*$W$71*V5)+(Y72/100*$W$72*V5)</f>
        <v>235.29242088341033</v>
      </c>
      <c r="Z75" s="325">
        <f t="shared" si="79"/>
        <v>235.29242088341033</v>
      </c>
      <c r="AA75" s="325">
        <f t="shared" si="79"/>
        <v>235.38988045083812</v>
      </c>
      <c r="AB75" s="325">
        <f t="shared" si="79"/>
        <v>235.38890585516384</v>
      </c>
      <c r="AC75" s="325">
        <f t="shared" si="79"/>
        <v>235.38794100544629</v>
      </c>
      <c r="AD75" s="325">
        <f t="shared" si="79"/>
        <v>235.38698580422596</v>
      </c>
      <c r="AE75" s="325">
        <f t="shared" si="79"/>
        <v>235.38604015501781</v>
      </c>
      <c r="AF75" s="325">
        <f t="shared" si="79"/>
        <v>235.38510396230171</v>
      </c>
      <c r="AG75" s="325">
        <f t="shared" si="79"/>
        <v>235.38417713151281</v>
      </c>
      <c r="AH75" s="325">
        <f t="shared" si="79"/>
        <v>235.38325956903182</v>
      </c>
      <c r="AI75" s="325">
        <f t="shared" si="79"/>
        <v>235.38235118217557</v>
      </c>
      <c r="AJ75" s="325">
        <f t="shared" si="79"/>
        <v>235.38145187918792</v>
      </c>
      <c r="AK75" s="325">
        <f t="shared" si="79"/>
        <v>235.37655517442016</v>
      </c>
      <c r="AL75" s="325">
        <f t="shared" si="79"/>
        <v>235.37192778841461</v>
      </c>
      <c r="AM75" s="325">
        <f t="shared" si="79"/>
        <v>235.36755490863942</v>
      </c>
      <c r="AN75" s="325">
        <f t="shared" si="79"/>
        <v>235.36342253725178</v>
      </c>
      <c r="AO75" s="325">
        <f t="shared" si="79"/>
        <v>235.35951744629051</v>
      </c>
      <c r="AP75" s="325">
        <f t="shared" si="79"/>
        <v>235.35582713533211</v>
      </c>
      <c r="AQ75" s="325">
        <f t="shared" si="79"/>
        <v>235.3523397914764</v>
      </c>
      <c r="AR75" s="325">
        <f t="shared" si="79"/>
        <v>235.34904425153275</v>
      </c>
      <c r="AS75" s="325">
        <f t="shared" si="79"/>
        <v>235.34592996628604</v>
      </c>
      <c r="AT75" s="325">
        <f t="shared" si="79"/>
        <v>235.34298696672784</v>
      </c>
      <c r="AU75" s="325">
        <f t="shared" si="79"/>
        <v>235.34020583214541</v>
      </c>
      <c r="AV75" s="325">
        <f t="shared" si="79"/>
        <v>235.33757765996498</v>
      </c>
      <c r="AW75" s="325">
        <f t="shared" si="79"/>
        <v>235.33509403725449</v>
      </c>
      <c r="AX75" s="325">
        <f t="shared" si="79"/>
        <v>235.33274701379304</v>
      </c>
      <c r="AY75" s="325">
        <f t="shared" si="79"/>
        <v>235.33052907662199</v>
      </c>
      <c r="AZ75" s="325">
        <f t="shared" si="79"/>
        <v>235.32843312599536</v>
      </c>
      <c r="BA75" s="326">
        <f t="shared" si="79"/>
        <v>235.32645245265317</v>
      </c>
      <c r="BB75" s="29"/>
      <c r="BC75" s="29"/>
      <c r="BD75" s="29"/>
    </row>
    <row r="76" spans="1:66" ht="20.100000000000001" customHeight="1" thickBot="1">
      <c r="A76" s="28"/>
      <c r="B76" s="1024"/>
      <c r="C76" s="1024"/>
      <c r="D76" s="1024"/>
      <c r="E76" s="1024"/>
      <c r="F76" s="1024"/>
      <c r="G76" s="1024"/>
      <c r="H76" s="1024"/>
      <c r="I76" s="1024" t="str">
        <f>INDEX('MENU OPTIONS'!$F$23:$AK$80,52,START!$C$3)</f>
        <v>-</v>
      </c>
      <c r="J76" s="1024"/>
      <c r="K76" s="1024"/>
      <c r="L76" s="777">
        <v>0</v>
      </c>
      <c r="M76" s="1024"/>
      <c r="N76" s="1024"/>
      <c r="O76" s="460"/>
      <c r="P76" s="1024"/>
      <c r="Q76" s="1024"/>
      <c r="R76" s="1049"/>
      <c r="BB76" s="29"/>
      <c r="BC76" s="1052"/>
      <c r="BD76" s="1057" t="s">
        <v>2932</v>
      </c>
      <c r="BE76" s="1058"/>
      <c r="BF76" s="1058"/>
      <c r="BG76" s="1058"/>
      <c r="BH76" s="1058"/>
      <c r="BI76" s="1059"/>
      <c r="BJ76" s="1059"/>
      <c r="BK76" s="1059"/>
      <c r="BL76" s="1060"/>
      <c r="BM76" s="1053"/>
      <c r="BN76" s="1045"/>
    </row>
    <row r="77" spans="1:66" ht="20.100000000000001" customHeight="1">
      <c r="A77" s="28"/>
      <c r="B77" s="1024"/>
      <c r="C77" s="1024"/>
      <c r="D77" s="1024"/>
      <c r="E77" s="1024"/>
      <c r="F77" s="1024"/>
      <c r="G77" s="1024"/>
      <c r="H77" s="1024"/>
      <c r="I77" s="1024" t="str">
        <f>INDEX('MENU OPTIONS'!$F$23:$AK$80,53,START!$C$3)</f>
        <v>-</v>
      </c>
      <c r="J77" s="1024"/>
      <c r="K77" s="1024"/>
      <c r="L77" s="777">
        <v>0</v>
      </c>
      <c r="M77" s="1024"/>
      <c r="N77" s="1024"/>
      <c r="O77" s="460"/>
      <c r="P77" s="1024"/>
      <c r="Q77" s="1024"/>
      <c r="R77" s="1049"/>
      <c r="S77" s="468" t="s">
        <v>2428</v>
      </c>
      <c r="T77" s="287"/>
      <c r="U77" s="1142" t="s">
        <v>988</v>
      </c>
      <c r="V77" s="1142"/>
      <c r="W77" s="1142" t="s">
        <v>944</v>
      </c>
      <c r="X77" s="287"/>
      <c r="Y77" s="287"/>
      <c r="Z77" s="287"/>
      <c r="AA77" s="287"/>
      <c r="AB77" s="287"/>
      <c r="AC77" s="287"/>
      <c r="AD77" s="287"/>
      <c r="AE77" s="287"/>
      <c r="AF77" s="287"/>
      <c r="AG77" s="287"/>
      <c r="AH77" s="287"/>
      <c r="AI77" s="287"/>
      <c r="AJ77" s="287"/>
      <c r="AK77" s="287"/>
      <c r="AL77" s="287"/>
      <c r="AM77" s="287"/>
      <c r="AN77" s="287"/>
      <c r="AO77" s="287"/>
      <c r="AP77" s="287"/>
      <c r="AQ77" s="287"/>
      <c r="AR77" s="287"/>
      <c r="AS77" s="287"/>
      <c r="AT77" s="287"/>
      <c r="AU77" s="287"/>
      <c r="AV77" s="287"/>
      <c r="AW77" s="287"/>
      <c r="AX77" s="287"/>
      <c r="AY77" s="287"/>
      <c r="AZ77" s="287"/>
      <c r="BA77" s="895"/>
      <c r="BB77" s="29"/>
      <c r="BC77" s="1054">
        <v>1</v>
      </c>
      <c r="BD77" s="1042" t="str">
        <f>CONCATENATE("(F",BM77,"/100*INDEX('DEFAULT DATA'!$GI$9:$IN$41,START!$B$3,",BC77,")/INDEX('DEFAULT DATA'!$DX$9:$DX$41,START!$B$3,1))",BN77)</f>
        <v>(F24/100*INDEX('DEFAULT DATA'!$GI$9:$IN$41,START!$B$3,1)/INDEX('DEFAULT DATA'!$DX$9:$DX$41,START!$B$3,1))+</v>
      </c>
      <c r="BE77" s="1056"/>
      <c r="BF77" s="1056"/>
      <c r="BG77" s="1056"/>
      <c r="BH77" s="1056"/>
      <c r="BI77" s="978"/>
      <c r="BJ77" s="978"/>
      <c r="BK77" s="978"/>
      <c r="BL77" s="1044"/>
      <c r="BM77" s="1055">
        <v>24</v>
      </c>
      <c r="BN77" s="1046" t="s">
        <v>2934</v>
      </c>
    </row>
    <row r="78" spans="1:66" ht="20.100000000000001" customHeight="1">
      <c r="A78" s="28"/>
      <c r="B78" s="1024"/>
      <c r="C78" s="1024"/>
      <c r="D78" s="1024"/>
      <c r="E78" s="1024"/>
      <c r="F78" s="1024"/>
      <c r="G78" s="1024"/>
      <c r="H78" s="1024"/>
      <c r="I78" s="1024" t="str">
        <f>INDEX('MENU OPTIONS'!$F$23:$AK$80,54,START!$C$3)</f>
        <v>-</v>
      </c>
      <c r="J78" s="1024"/>
      <c r="K78" s="1024"/>
      <c r="L78" s="777">
        <v>0</v>
      </c>
      <c r="M78" s="1024"/>
      <c r="N78" s="1024"/>
      <c r="O78" s="460"/>
      <c r="P78" s="1024"/>
      <c r="Q78" s="1024"/>
      <c r="R78" s="1049"/>
      <c r="S78" s="241" t="s">
        <v>941</v>
      </c>
      <c r="T78" s="1362" t="s">
        <v>3034</v>
      </c>
      <c r="U78" s="777" t="s">
        <v>936</v>
      </c>
      <c r="V78" s="777" t="s">
        <v>937</v>
      </c>
      <c r="W78" s="777" t="s">
        <v>943</v>
      </c>
      <c r="X78" s="262">
        <v>2021</v>
      </c>
      <c r="Y78" s="262">
        <f>X78+1</f>
        <v>2022</v>
      </c>
      <c r="Z78" s="262">
        <f t="shared" ref="Z78:BA78" si="80">Y78+1</f>
        <v>2023</v>
      </c>
      <c r="AA78" s="262">
        <f t="shared" si="80"/>
        <v>2024</v>
      </c>
      <c r="AB78" s="262">
        <f t="shared" si="80"/>
        <v>2025</v>
      </c>
      <c r="AC78" s="262">
        <f t="shared" si="80"/>
        <v>2026</v>
      </c>
      <c r="AD78" s="262">
        <f t="shared" si="80"/>
        <v>2027</v>
      </c>
      <c r="AE78" s="262">
        <f t="shared" si="80"/>
        <v>2028</v>
      </c>
      <c r="AF78" s="262">
        <f t="shared" si="80"/>
        <v>2029</v>
      </c>
      <c r="AG78" s="262">
        <f t="shared" si="80"/>
        <v>2030</v>
      </c>
      <c r="AH78" s="262">
        <f t="shared" si="80"/>
        <v>2031</v>
      </c>
      <c r="AI78" s="262">
        <f t="shared" si="80"/>
        <v>2032</v>
      </c>
      <c r="AJ78" s="262">
        <f t="shared" si="80"/>
        <v>2033</v>
      </c>
      <c r="AK78" s="262">
        <f t="shared" si="80"/>
        <v>2034</v>
      </c>
      <c r="AL78" s="262">
        <f t="shared" si="80"/>
        <v>2035</v>
      </c>
      <c r="AM78" s="262">
        <f t="shared" si="80"/>
        <v>2036</v>
      </c>
      <c r="AN78" s="262">
        <f t="shared" si="80"/>
        <v>2037</v>
      </c>
      <c r="AO78" s="262">
        <f t="shared" si="80"/>
        <v>2038</v>
      </c>
      <c r="AP78" s="262">
        <f t="shared" si="80"/>
        <v>2039</v>
      </c>
      <c r="AQ78" s="262">
        <f t="shared" si="80"/>
        <v>2040</v>
      </c>
      <c r="AR78" s="262">
        <f t="shared" si="80"/>
        <v>2041</v>
      </c>
      <c r="AS78" s="262">
        <f t="shared" si="80"/>
        <v>2042</v>
      </c>
      <c r="AT78" s="262">
        <f t="shared" si="80"/>
        <v>2043</v>
      </c>
      <c r="AU78" s="262">
        <f t="shared" si="80"/>
        <v>2044</v>
      </c>
      <c r="AV78" s="262">
        <f t="shared" si="80"/>
        <v>2045</v>
      </c>
      <c r="AW78" s="262">
        <f t="shared" si="80"/>
        <v>2046</v>
      </c>
      <c r="AX78" s="262">
        <f t="shared" si="80"/>
        <v>2047</v>
      </c>
      <c r="AY78" s="262">
        <f t="shared" si="80"/>
        <v>2048</v>
      </c>
      <c r="AZ78" s="262">
        <f t="shared" si="80"/>
        <v>2049</v>
      </c>
      <c r="BA78" s="492">
        <f t="shared" si="80"/>
        <v>2050</v>
      </c>
      <c r="BB78" s="29"/>
      <c r="BC78" s="1039">
        <v>2</v>
      </c>
      <c r="BD78" s="1042" t="str">
        <f t="shared" ref="BD78:BD134" si="81">CONCATENATE("(F",BM78,"/100*INDEX('DEFAULT DATA'!$GI$9:$IN$41,START!$B$3,",BC78,")/INDEX('DEFAULT DATA'!$DX$9:$DX$41,START!$B$3,1))",BN78)</f>
        <v>(F25/100*INDEX('DEFAULT DATA'!$GI$9:$IN$41,START!$B$3,2)/INDEX('DEFAULT DATA'!$DX$9:$DX$41,START!$B$3,1))+</v>
      </c>
      <c r="BE78" s="1056"/>
      <c r="BF78" s="1056"/>
      <c r="BG78" s="1056"/>
      <c r="BH78" s="1056"/>
      <c r="BI78" s="978"/>
      <c r="BJ78" s="978"/>
      <c r="BK78" s="978"/>
      <c r="BL78" s="1044"/>
      <c r="BM78" s="536">
        <v>25</v>
      </c>
      <c r="BN78" s="1046" t="s">
        <v>2934</v>
      </c>
    </row>
    <row r="79" spans="1:66" ht="20.100000000000001" customHeight="1">
      <c r="A79" s="28"/>
      <c r="B79" s="1024"/>
      <c r="C79" s="1024"/>
      <c r="D79" s="1024"/>
      <c r="E79" s="1024"/>
      <c r="F79" s="1024"/>
      <c r="G79" s="1024"/>
      <c r="H79" s="1024"/>
      <c r="I79" s="1024" t="str">
        <f>INDEX('MENU OPTIONS'!$F$23:$AK$80,55,START!$C$3)</f>
        <v>-</v>
      </c>
      <c r="J79" s="1024"/>
      <c r="K79" s="1024"/>
      <c r="L79" s="777">
        <v>0</v>
      </c>
      <c r="M79" s="1024"/>
      <c r="N79" s="1024"/>
      <c r="O79" s="460"/>
      <c r="P79" s="1024"/>
      <c r="Q79" s="1024"/>
      <c r="R79" s="1049"/>
      <c r="S79" s="241" t="s">
        <v>84</v>
      </c>
      <c r="T79" s="552" t="s">
        <v>2434</v>
      </c>
      <c r="U79" s="558">
        <f>INDEX('DEFAULT DATA'!$DC$9:$DG$41,START!$C$3,1)</f>
        <v>0</v>
      </c>
      <c r="V79" s="558">
        <f>100-U79</f>
        <v>100</v>
      </c>
      <c r="W79" s="282">
        <f>G8</f>
        <v>75</v>
      </c>
      <c r="X79" s="272">
        <f t="shared" ref="X79:AG83" si="82">($U79/100*X$74)+($V79/100*X$75)</f>
        <v>234.45022081485885</v>
      </c>
      <c r="Y79" s="272">
        <f t="shared" si="82"/>
        <v>235.29242088341033</v>
      </c>
      <c r="Z79" s="272">
        <f t="shared" si="82"/>
        <v>235.29242088341033</v>
      </c>
      <c r="AA79" s="272">
        <f t="shared" si="82"/>
        <v>235.38988045083812</v>
      </c>
      <c r="AB79" s="272">
        <f t="shared" si="82"/>
        <v>235.38890585516384</v>
      </c>
      <c r="AC79" s="272">
        <f t="shared" si="82"/>
        <v>235.38794100544629</v>
      </c>
      <c r="AD79" s="272">
        <f t="shared" si="82"/>
        <v>235.38698580422596</v>
      </c>
      <c r="AE79" s="272">
        <f t="shared" si="82"/>
        <v>235.38604015501781</v>
      </c>
      <c r="AF79" s="272">
        <f t="shared" si="82"/>
        <v>235.38510396230171</v>
      </c>
      <c r="AG79" s="272">
        <f t="shared" si="82"/>
        <v>235.38417713151281</v>
      </c>
      <c r="AH79" s="272">
        <f t="shared" ref="AH79:AQ83" si="83">($U79/100*AH$74)+($V79/100*AH$75)</f>
        <v>235.38325956903182</v>
      </c>
      <c r="AI79" s="272">
        <f t="shared" si="83"/>
        <v>235.38235118217557</v>
      </c>
      <c r="AJ79" s="272">
        <f t="shared" si="83"/>
        <v>235.38145187918792</v>
      </c>
      <c r="AK79" s="272">
        <f t="shared" si="83"/>
        <v>235.37655517442016</v>
      </c>
      <c r="AL79" s="272">
        <f t="shared" si="83"/>
        <v>235.37192778841461</v>
      </c>
      <c r="AM79" s="272">
        <f t="shared" si="83"/>
        <v>235.36755490863942</v>
      </c>
      <c r="AN79" s="272">
        <f t="shared" si="83"/>
        <v>235.36342253725178</v>
      </c>
      <c r="AO79" s="272">
        <f t="shared" si="83"/>
        <v>235.35951744629051</v>
      </c>
      <c r="AP79" s="272">
        <f t="shared" si="83"/>
        <v>235.35582713533211</v>
      </c>
      <c r="AQ79" s="272">
        <f t="shared" si="83"/>
        <v>235.3523397914764</v>
      </c>
      <c r="AR79" s="272">
        <f t="shared" ref="AR79:BA83" si="84">($U79/100*AR$74)+($V79/100*AR$75)</f>
        <v>235.34904425153275</v>
      </c>
      <c r="AS79" s="272">
        <f t="shared" si="84"/>
        <v>235.34592996628604</v>
      </c>
      <c r="AT79" s="272">
        <f t="shared" si="84"/>
        <v>235.34298696672784</v>
      </c>
      <c r="AU79" s="272">
        <f t="shared" si="84"/>
        <v>235.34020583214541</v>
      </c>
      <c r="AV79" s="272">
        <f t="shared" si="84"/>
        <v>235.33757765996498</v>
      </c>
      <c r="AW79" s="272">
        <f t="shared" si="84"/>
        <v>235.33509403725449</v>
      </c>
      <c r="AX79" s="272">
        <f t="shared" si="84"/>
        <v>235.33274701379304</v>
      </c>
      <c r="AY79" s="272">
        <f t="shared" si="84"/>
        <v>235.33052907662199</v>
      </c>
      <c r="AZ79" s="272">
        <f t="shared" si="84"/>
        <v>235.32843312599536</v>
      </c>
      <c r="BA79" s="324">
        <f t="shared" si="84"/>
        <v>235.32645245265317</v>
      </c>
      <c r="BB79" s="29"/>
      <c r="BC79" s="1039">
        <v>3</v>
      </c>
      <c r="BD79" s="1042" t="str">
        <f t="shared" si="81"/>
        <v>(F26/100*INDEX('DEFAULT DATA'!$GI$9:$IN$41,START!$B$3,3)/INDEX('DEFAULT DATA'!$DX$9:$DX$41,START!$B$3,1))+</v>
      </c>
      <c r="BE79" s="1056"/>
      <c r="BF79" s="1056"/>
      <c r="BG79" s="1056"/>
      <c r="BH79" s="1056"/>
      <c r="BI79" s="978"/>
      <c r="BJ79" s="978"/>
      <c r="BK79" s="978"/>
      <c r="BL79" s="1044"/>
      <c r="BM79" s="536">
        <v>26</v>
      </c>
      <c r="BN79" s="1046" t="s">
        <v>2934</v>
      </c>
    </row>
    <row r="80" spans="1:66" ht="20.100000000000001" customHeight="1">
      <c r="A80" s="28"/>
      <c r="B80" s="1024"/>
      <c r="C80" s="1024"/>
      <c r="D80" s="1024"/>
      <c r="E80" s="1024"/>
      <c r="F80" s="1024"/>
      <c r="G80" s="1024"/>
      <c r="H80" s="1024"/>
      <c r="I80" s="1024" t="str">
        <f>INDEX('MENU OPTIONS'!$F$23:$AK$80,56,START!$C$3)</f>
        <v>-</v>
      </c>
      <c r="J80" s="1024"/>
      <c r="K80" s="1024"/>
      <c r="L80" s="777">
        <v>0</v>
      </c>
      <c r="M80" s="1024"/>
      <c r="N80" s="1024"/>
      <c r="O80" s="460"/>
      <c r="P80" s="1024"/>
      <c r="Q80" s="1024"/>
      <c r="R80" s="1049"/>
      <c r="S80" s="241" t="s">
        <v>85</v>
      </c>
      <c r="T80" s="552" t="s">
        <v>2434</v>
      </c>
      <c r="U80" s="558">
        <f>INDEX('DEFAULT DATA'!$DC$9:$DG$41,START!$C$3,2)</f>
        <v>10</v>
      </c>
      <c r="V80" s="558">
        <f t="shared" ref="V80:V83" si="85">100-U80</f>
        <v>90</v>
      </c>
      <c r="W80" s="282">
        <f>G9</f>
        <v>25</v>
      </c>
      <c r="X80" s="272">
        <f t="shared" si="82"/>
        <v>226.3996822900549</v>
      </c>
      <c r="Y80" s="272">
        <f t="shared" si="82"/>
        <v>227.212949969476</v>
      </c>
      <c r="Z80" s="272">
        <f t="shared" si="82"/>
        <v>227.212949969476</v>
      </c>
      <c r="AA80" s="272">
        <f t="shared" si="82"/>
        <v>227.31040953690379</v>
      </c>
      <c r="AB80" s="272">
        <f t="shared" si="82"/>
        <v>227.30943494122951</v>
      </c>
      <c r="AC80" s="272">
        <f t="shared" si="82"/>
        <v>227.30847009151196</v>
      </c>
      <c r="AD80" s="272">
        <f t="shared" si="82"/>
        <v>227.30751489029163</v>
      </c>
      <c r="AE80" s="272">
        <f t="shared" si="82"/>
        <v>227.30656924108348</v>
      </c>
      <c r="AF80" s="272">
        <f t="shared" si="82"/>
        <v>227.30563304836738</v>
      </c>
      <c r="AG80" s="272">
        <f t="shared" si="82"/>
        <v>227.30470621757848</v>
      </c>
      <c r="AH80" s="272">
        <f t="shared" si="83"/>
        <v>227.30378865509749</v>
      </c>
      <c r="AI80" s="272">
        <f t="shared" si="83"/>
        <v>227.30288026824124</v>
      </c>
      <c r="AJ80" s="272">
        <f t="shared" si="83"/>
        <v>227.30198096525359</v>
      </c>
      <c r="AK80" s="272">
        <f t="shared" si="83"/>
        <v>227.29708426048583</v>
      </c>
      <c r="AL80" s="272">
        <f t="shared" si="83"/>
        <v>227.29245687448028</v>
      </c>
      <c r="AM80" s="272">
        <f t="shared" si="83"/>
        <v>227.28808399470509</v>
      </c>
      <c r="AN80" s="272">
        <f t="shared" si="83"/>
        <v>227.28395162331745</v>
      </c>
      <c r="AO80" s="272">
        <f t="shared" si="83"/>
        <v>227.28004653235618</v>
      </c>
      <c r="AP80" s="272">
        <f t="shared" si="83"/>
        <v>227.27635622139778</v>
      </c>
      <c r="AQ80" s="272">
        <f t="shared" si="83"/>
        <v>227.27286887754207</v>
      </c>
      <c r="AR80" s="272">
        <f t="shared" si="84"/>
        <v>227.26957333759842</v>
      </c>
      <c r="AS80" s="272">
        <f t="shared" si="84"/>
        <v>227.26645905235171</v>
      </c>
      <c r="AT80" s="272">
        <f t="shared" si="84"/>
        <v>227.26351605279351</v>
      </c>
      <c r="AU80" s="272">
        <f t="shared" si="84"/>
        <v>227.26073491821109</v>
      </c>
      <c r="AV80" s="272">
        <f t="shared" si="84"/>
        <v>227.25810674603065</v>
      </c>
      <c r="AW80" s="272">
        <f t="shared" si="84"/>
        <v>227.25562312332016</v>
      </c>
      <c r="AX80" s="272">
        <f t="shared" si="84"/>
        <v>227.25327609985871</v>
      </c>
      <c r="AY80" s="272">
        <f t="shared" si="84"/>
        <v>227.25105816268766</v>
      </c>
      <c r="AZ80" s="272">
        <f t="shared" si="84"/>
        <v>227.24896221206103</v>
      </c>
      <c r="BA80" s="324">
        <f t="shared" si="84"/>
        <v>227.24698153871884</v>
      </c>
      <c r="BB80" s="29"/>
      <c r="BC80" s="1039">
        <v>4</v>
      </c>
      <c r="BD80" s="1042" t="str">
        <f t="shared" si="81"/>
        <v>(F27/100*INDEX('DEFAULT DATA'!$GI$9:$IN$41,START!$B$3,4)/INDEX('DEFAULT DATA'!$DX$9:$DX$41,START!$B$3,1))+</v>
      </c>
      <c r="BE80" s="1056"/>
      <c r="BF80" s="1056"/>
      <c r="BG80" s="1056"/>
      <c r="BH80" s="1056"/>
      <c r="BI80" s="978"/>
      <c r="BJ80" s="978"/>
      <c r="BK80" s="978"/>
      <c r="BL80" s="1044"/>
      <c r="BM80" s="536">
        <v>27</v>
      </c>
      <c r="BN80" s="1046" t="s">
        <v>2934</v>
      </c>
    </row>
    <row r="81" spans="1:66" ht="20.100000000000001" customHeight="1">
      <c r="A81" s="28"/>
      <c r="B81" s="1024"/>
      <c r="C81" s="1024"/>
      <c r="D81" s="1024"/>
      <c r="E81" s="1024"/>
      <c r="F81" s="1024"/>
      <c r="G81" s="1024"/>
      <c r="H81" s="1024"/>
      <c r="I81" s="1024" t="str">
        <f>INDEX('MENU OPTIONS'!$F$23:$AK$80,57,START!$C$3)</f>
        <v>-</v>
      </c>
      <c r="J81" s="1024"/>
      <c r="K81" s="1024"/>
      <c r="L81" s="777">
        <v>0</v>
      </c>
      <c r="M81" s="1024"/>
      <c r="N81" s="1024"/>
      <c r="O81" s="460"/>
      <c r="P81" s="1024"/>
      <c r="Q81" s="1024"/>
      <c r="R81" s="1049"/>
      <c r="S81" s="241" t="s">
        <v>86</v>
      </c>
      <c r="T81" s="552" t="s">
        <v>2434</v>
      </c>
      <c r="U81" s="558">
        <f>INDEX('DEFAULT DATA'!$DC$9:$DG$41,START!$C$3,3)</f>
        <v>20</v>
      </c>
      <c r="V81" s="558">
        <f t="shared" si="85"/>
        <v>80</v>
      </c>
      <c r="W81" s="282">
        <f>G10</f>
        <v>0</v>
      </c>
      <c r="X81" s="272">
        <f t="shared" si="82"/>
        <v>218.34914376525097</v>
      </c>
      <c r="Y81" s="272">
        <f t="shared" si="82"/>
        <v>219.13347905554167</v>
      </c>
      <c r="Z81" s="272">
        <f t="shared" si="82"/>
        <v>219.13347905554167</v>
      </c>
      <c r="AA81" s="272">
        <f t="shared" si="82"/>
        <v>219.23093862296946</v>
      </c>
      <c r="AB81" s="272">
        <f t="shared" si="82"/>
        <v>219.22996402729518</v>
      </c>
      <c r="AC81" s="272">
        <f t="shared" si="82"/>
        <v>219.22899917757763</v>
      </c>
      <c r="AD81" s="272">
        <f t="shared" si="82"/>
        <v>219.2280439763573</v>
      </c>
      <c r="AE81" s="272">
        <f t="shared" si="82"/>
        <v>219.22709832714915</v>
      </c>
      <c r="AF81" s="272">
        <f t="shared" si="82"/>
        <v>219.22616213443305</v>
      </c>
      <c r="AG81" s="272">
        <f t="shared" si="82"/>
        <v>219.22523530364415</v>
      </c>
      <c r="AH81" s="272">
        <f t="shared" si="83"/>
        <v>219.22431774116316</v>
      </c>
      <c r="AI81" s="272">
        <f t="shared" si="83"/>
        <v>219.22340935430691</v>
      </c>
      <c r="AJ81" s="272">
        <f t="shared" si="83"/>
        <v>219.22251005131926</v>
      </c>
      <c r="AK81" s="272">
        <f t="shared" si="83"/>
        <v>219.2176133465515</v>
      </c>
      <c r="AL81" s="272">
        <f t="shared" si="83"/>
        <v>219.21298596054595</v>
      </c>
      <c r="AM81" s="272">
        <f t="shared" si="83"/>
        <v>219.20861308077076</v>
      </c>
      <c r="AN81" s="272">
        <f t="shared" si="83"/>
        <v>219.20448070938312</v>
      </c>
      <c r="AO81" s="272">
        <f t="shared" si="83"/>
        <v>219.20057561842185</v>
      </c>
      <c r="AP81" s="272">
        <f t="shared" si="83"/>
        <v>219.19688530746345</v>
      </c>
      <c r="AQ81" s="272">
        <f t="shared" si="83"/>
        <v>219.19339796360774</v>
      </c>
      <c r="AR81" s="272">
        <f t="shared" si="84"/>
        <v>219.19010242366409</v>
      </c>
      <c r="AS81" s="272">
        <f t="shared" si="84"/>
        <v>219.18698813841738</v>
      </c>
      <c r="AT81" s="272">
        <f t="shared" si="84"/>
        <v>219.18404513885918</v>
      </c>
      <c r="AU81" s="272">
        <f t="shared" si="84"/>
        <v>219.18126400427676</v>
      </c>
      <c r="AV81" s="272">
        <f t="shared" si="84"/>
        <v>219.17863583209632</v>
      </c>
      <c r="AW81" s="272">
        <f t="shared" si="84"/>
        <v>219.17615220938583</v>
      </c>
      <c r="AX81" s="272">
        <f t="shared" si="84"/>
        <v>219.17380518592438</v>
      </c>
      <c r="AY81" s="272">
        <f t="shared" si="84"/>
        <v>219.17158724875333</v>
      </c>
      <c r="AZ81" s="272">
        <f t="shared" si="84"/>
        <v>219.16949129812673</v>
      </c>
      <c r="BA81" s="324">
        <f t="shared" si="84"/>
        <v>219.16751062478451</v>
      </c>
      <c r="BB81" s="29"/>
      <c r="BC81" s="1039">
        <v>5</v>
      </c>
      <c r="BD81" s="1042" t="str">
        <f t="shared" si="81"/>
        <v>(F28/100*INDEX('DEFAULT DATA'!$GI$9:$IN$41,START!$B$3,5)/INDEX('DEFAULT DATA'!$DX$9:$DX$41,START!$B$3,1))+</v>
      </c>
      <c r="BE81" s="1056"/>
      <c r="BF81" s="1056"/>
      <c r="BG81" s="1056"/>
      <c r="BH81" s="1056"/>
      <c r="BI81" s="978"/>
      <c r="BJ81" s="978"/>
      <c r="BK81" s="978"/>
      <c r="BL81" s="1044"/>
      <c r="BM81" s="536">
        <v>28</v>
      </c>
      <c r="BN81" s="1046" t="s">
        <v>2934</v>
      </c>
    </row>
    <row r="82" spans="1:66" ht="20.100000000000001" customHeight="1">
      <c r="A82" s="28"/>
      <c r="B82" s="1024"/>
      <c r="C82" s="1024"/>
      <c r="D82" s="1024"/>
      <c r="E82" s="1024"/>
      <c r="F82" s="1024"/>
      <c r="G82" s="1024"/>
      <c r="H82" s="1024"/>
      <c r="I82" s="1024" t="str">
        <f>INDEX('MENU OPTIONS'!$F$23:$AK$80,58,START!$C$3)</f>
        <v>-</v>
      </c>
      <c r="J82" s="1024"/>
      <c r="K82" s="1024"/>
      <c r="L82" s="777">
        <v>0</v>
      </c>
      <c r="M82" s="1024"/>
      <c r="N82" s="1024"/>
      <c r="O82" s="460"/>
      <c r="P82" s="1024"/>
      <c r="Q82" s="1024"/>
      <c r="R82" s="1049"/>
      <c r="S82" s="241" t="s">
        <v>87</v>
      </c>
      <c r="T82" s="552" t="s">
        <v>2434</v>
      </c>
      <c r="U82" s="558">
        <f>INDEX('DEFAULT DATA'!$DC$9:$DG$41,START!$C$3,4)</f>
        <v>70</v>
      </c>
      <c r="V82" s="558">
        <f t="shared" si="85"/>
        <v>30</v>
      </c>
      <c r="W82" s="282">
        <f>G11</f>
        <v>0</v>
      </c>
      <c r="X82" s="272">
        <f t="shared" si="82"/>
        <v>178.09645114123117</v>
      </c>
      <c r="Y82" s="272">
        <f t="shared" si="82"/>
        <v>178.73612448586996</v>
      </c>
      <c r="Z82" s="272">
        <f t="shared" si="82"/>
        <v>178.73612448586996</v>
      </c>
      <c r="AA82" s="272">
        <f t="shared" si="82"/>
        <v>178.83358405329778</v>
      </c>
      <c r="AB82" s="272">
        <f t="shared" si="82"/>
        <v>178.83260945762351</v>
      </c>
      <c r="AC82" s="272">
        <f t="shared" si="82"/>
        <v>178.83164460790596</v>
      </c>
      <c r="AD82" s="272">
        <f t="shared" si="82"/>
        <v>178.83068940668562</v>
      </c>
      <c r="AE82" s="272">
        <f t="shared" si="82"/>
        <v>178.82974375747744</v>
      </c>
      <c r="AF82" s="272">
        <f t="shared" si="82"/>
        <v>178.82880756476135</v>
      </c>
      <c r="AG82" s="272">
        <f t="shared" si="82"/>
        <v>178.82788073397245</v>
      </c>
      <c r="AH82" s="272">
        <f t="shared" si="83"/>
        <v>178.82696317149146</v>
      </c>
      <c r="AI82" s="272">
        <f t="shared" si="83"/>
        <v>178.82605478463523</v>
      </c>
      <c r="AJ82" s="272">
        <f t="shared" si="83"/>
        <v>178.82515548164758</v>
      </c>
      <c r="AK82" s="272">
        <f t="shared" si="83"/>
        <v>178.8202587768798</v>
      </c>
      <c r="AL82" s="272">
        <f t="shared" si="83"/>
        <v>178.81563139087424</v>
      </c>
      <c r="AM82" s="272">
        <f t="shared" si="83"/>
        <v>178.81125851109906</v>
      </c>
      <c r="AN82" s="272">
        <f t="shared" si="83"/>
        <v>178.80712613971141</v>
      </c>
      <c r="AO82" s="272">
        <f t="shared" si="83"/>
        <v>178.80322104875017</v>
      </c>
      <c r="AP82" s="272">
        <f t="shared" si="83"/>
        <v>178.79953073779177</v>
      </c>
      <c r="AQ82" s="272">
        <f t="shared" si="83"/>
        <v>178.79604339393603</v>
      </c>
      <c r="AR82" s="272">
        <f t="shared" si="84"/>
        <v>178.79274785399238</v>
      </c>
      <c r="AS82" s="272">
        <f t="shared" si="84"/>
        <v>178.78963356874567</v>
      </c>
      <c r="AT82" s="272">
        <f t="shared" si="84"/>
        <v>178.7866905691875</v>
      </c>
      <c r="AU82" s="272">
        <f t="shared" si="84"/>
        <v>178.78390943460505</v>
      </c>
      <c r="AV82" s="272">
        <f t="shared" si="84"/>
        <v>178.78128126242461</v>
      </c>
      <c r="AW82" s="272">
        <f t="shared" si="84"/>
        <v>178.77879763971413</v>
      </c>
      <c r="AX82" s="272">
        <f t="shared" si="84"/>
        <v>178.7764506162527</v>
      </c>
      <c r="AY82" s="272">
        <f t="shared" si="84"/>
        <v>178.77423267908162</v>
      </c>
      <c r="AZ82" s="272">
        <f t="shared" si="84"/>
        <v>178.772136728455</v>
      </c>
      <c r="BA82" s="324">
        <f t="shared" si="84"/>
        <v>178.77015605511281</v>
      </c>
      <c r="BB82" s="29"/>
      <c r="BC82" s="1039">
        <v>6</v>
      </c>
      <c r="BD82" s="1042" t="str">
        <f t="shared" si="81"/>
        <v>(F29/100*INDEX('DEFAULT DATA'!$GI$9:$IN$41,START!$B$3,6)/INDEX('DEFAULT DATA'!$DX$9:$DX$41,START!$B$3,1))+</v>
      </c>
      <c r="BE82" s="1056"/>
      <c r="BF82" s="1056"/>
      <c r="BG82" s="1056"/>
      <c r="BH82" s="1056"/>
      <c r="BI82" s="978"/>
      <c r="BJ82" s="978"/>
      <c r="BK82" s="978"/>
      <c r="BL82" s="1044"/>
      <c r="BM82" s="536">
        <v>29</v>
      </c>
      <c r="BN82" s="1046" t="s">
        <v>2934</v>
      </c>
    </row>
    <row r="83" spans="1:66" ht="20.100000000000001" customHeight="1" thickBot="1">
      <c r="A83" s="28"/>
      <c r="B83" s="1024"/>
      <c r="C83" s="1024"/>
      <c r="D83" s="1024"/>
      <c r="E83" s="1024"/>
      <c r="F83" s="1024"/>
      <c r="G83" s="1024"/>
      <c r="H83" s="1024"/>
      <c r="I83" s="1024"/>
      <c r="J83" s="1024"/>
      <c r="K83" s="1024"/>
      <c r="L83" s="1024"/>
      <c r="M83" s="1024"/>
      <c r="N83" s="1024"/>
      <c r="O83" s="460"/>
      <c r="P83" s="1024"/>
      <c r="Q83" s="1024"/>
      <c r="R83" s="1050"/>
      <c r="S83" s="241" t="s">
        <v>88</v>
      </c>
      <c r="T83" s="552" t="s">
        <v>2434</v>
      </c>
      <c r="U83" s="558">
        <f>INDEX('DEFAULT DATA'!$DC$9:$DG$41,START!$C$3,5)</f>
        <v>100</v>
      </c>
      <c r="V83" s="558">
        <f t="shared" si="85"/>
        <v>0</v>
      </c>
      <c r="W83" s="282">
        <f>G12</f>
        <v>0</v>
      </c>
      <c r="X83" s="272">
        <f t="shared" si="82"/>
        <v>153.94483556681934</v>
      </c>
      <c r="Y83" s="272">
        <f t="shared" si="82"/>
        <v>154.49771174406698</v>
      </c>
      <c r="Z83" s="272">
        <f t="shared" si="82"/>
        <v>154.49771174406698</v>
      </c>
      <c r="AA83" s="272">
        <f t="shared" si="82"/>
        <v>154.59517131149477</v>
      </c>
      <c r="AB83" s="272">
        <f t="shared" si="82"/>
        <v>154.59419671582049</v>
      </c>
      <c r="AC83" s="272">
        <f t="shared" si="82"/>
        <v>154.59323186610294</v>
      </c>
      <c r="AD83" s="272">
        <f t="shared" si="82"/>
        <v>154.5922766648826</v>
      </c>
      <c r="AE83" s="272">
        <f t="shared" si="82"/>
        <v>154.59133101567446</v>
      </c>
      <c r="AF83" s="272">
        <f t="shared" si="82"/>
        <v>154.59039482295836</v>
      </c>
      <c r="AG83" s="272">
        <f t="shared" si="82"/>
        <v>154.58946799216946</v>
      </c>
      <c r="AH83" s="272">
        <f t="shared" si="83"/>
        <v>154.58855042968847</v>
      </c>
      <c r="AI83" s="272">
        <f t="shared" si="83"/>
        <v>154.58764204283221</v>
      </c>
      <c r="AJ83" s="272">
        <f t="shared" si="83"/>
        <v>154.58674273984457</v>
      </c>
      <c r="AK83" s="272">
        <f t="shared" si="83"/>
        <v>154.58184603507681</v>
      </c>
      <c r="AL83" s="272">
        <f t="shared" si="83"/>
        <v>154.57721864907126</v>
      </c>
      <c r="AM83" s="272">
        <f t="shared" si="83"/>
        <v>154.57284576929607</v>
      </c>
      <c r="AN83" s="272">
        <f t="shared" si="83"/>
        <v>154.56871339790843</v>
      </c>
      <c r="AO83" s="272">
        <f t="shared" si="83"/>
        <v>154.56480830694716</v>
      </c>
      <c r="AP83" s="272">
        <f t="shared" si="83"/>
        <v>154.56111799598875</v>
      </c>
      <c r="AQ83" s="272">
        <f t="shared" si="83"/>
        <v>154.55763065213304</v>
      </c>
      <c r="AR83" s="272">
        <f t="shared" si="84"/>
        <v>154.55433511218939</v>
      </c>
      <c r="AS83" s="272">
        <f t="shared" si="84"/>
        <v>154.55122082694268</v>
      </c>
      <c r="AT83" s="272">
        <f t="shared" si="84"/>
        <v>154.54827782738448</v>
      </c>
      <c r="AU83" s="272">
        <f t="shared" si="84"/>
        <v>154.54549669280206</v>
      </c>
      <c r="AV83" s="272">
        <f t="shared" si="84"/>
        <v>154.54286852062162</v>
      </c>
      <c r="AW83" s="272">
        <f t="shared" si="84"/>
        <v>154.54038489791114</v>
      </c>
      <c r="AX83" s="272">
        <f t="shared" si="84"/>
        <v>154.53803787444969</v>
      </c>
      <c r="AY83" s="272">
        <f t="shared" si="84"/>
        <v>154.53581993727863</v>
      </c>
      <c r="AZ83" s="272">
        <f t="shared" si="84"/>
        <v>154.53372398665201</v>
      </c>
      <c r="BA83" s="324">
        <f t="shared" si="84"/>
        <v>154.53174331330982</v>
      </c>
      <c r="BB83" s="29"/>
      <c r="BC83" s="1039">
        <v>7</v>
      </c>
      <c r="BD83" s="1042" t="str">
        <f t="shared" si="81"/>
        <v>(F30/100*INDEX('DEFAULT DATA'!$GI$9:$IN$41,START!$B$3,7)/INDEX('DEFAULT DATA'!$DX$9:$DX$41,START!$B$3,1))+</v>
      </c>
      <c r="BE83" s="1056"/>
      <c r="BF83" s="1056"/>
      <c r="BG83" s="1056"/>
      <c r="BH83" s="1056"/>
      <c r="BI83" s="978"/>
      <c r="BJ83" s="978"/>
      <c r="BK83" s="978"/>
      <c r="BL83" s="1044"/>
      <c r="BM83" s="536">
        <v>30</v>
      </c>
      <c r="BN83" s="1046" t="s">
        <v>2934</v>
      </c>
    </row>
    <row r="84" spans="1:66" ht="30" customHeight="1" thickBot="1">
      <c r="A84" s="159"/>
      <c r="B84" s="1111" t="s">
        <v>242</v>
      </c>
      <c r="C84" s="1111"/>
      <c r="D84" s="1111"/>
      <c r="E84" s="1111"/>
      <c r="F84" s="56"/>
      <c r="G84" s="57"/>
      <c r="H84" s="57"/>
      <c r="I84" s="201"/>
      <c r="J84" s="201"/>
      <c r="K84" s="201"/>
      <c r="L84" s="201"/>
      <c r="M84" s="201"/>
      <c r="N84" s="201"/>
      <c r="O84" s="202"/>
      <c r="P84" s="25"/>
      <c r="Q84" s="25"/>
      <c r="R84" s="25"/>
      <c r="S84" s="470" t="s">
        <v>991</v>
      </c>
      <c r="T84" s="782" t="s">
        <v>164</v>
      </c>
      <c r="U84" s="288"/>
      <c r="V84" s="288"/>
      <c r="W84" s="320" t="s">
        <v>1202</v>
      </c>
      <c r="X84" s="325">
        <f t="shared" ref="X84:BA84" si="86">($W$79/100*X79)+($W$80/100*X80)+($W$81/100*X81)+($W$82/100*X82)+($W$83/100*X83)</f>
        <v>232.43758618365786</v>
      </c>
      <c r="Y84" s="325">
        <f>($W$79/100*Y79)+($W$80/100*Y80)+($W$81/100*Y81)+($W$82/100*Y82)+($W$83/100*Y83)</f>
        <v>233.27255315492673</v>
      </c>
      <c r="Z84" s="325">
        <f t="shared" si="86"/>
        <v>233.27255315492673</v>
      </c>
      <c r="AA84" s="325">
        <f t="shared" si="86"/>
        <v>233.37001272235455</v>
      </c>
      <c r="AB84" s="325">
        <f t="shared" si="86"/>
        <v>233.36903812668027</v>
      </c>
      <c r="AC84" s="325">
        <f t="shared" si="86"/>
        <v>233.36807327696272</v>
      </c>
      <c r="AD84" s="325">
        <f t="shared" si="86"/>
        <v>233.36711807574235</v>
      </c>
      <c r="AE84" s="325">
        <f t="shared" si="86"/>
        <v>233.36617242653423</v>
      </c>
      <c r="AF84" s="325">
        <f t="shared" si="86"/>
        <v>233.36523623381811</v>
      </c>
      <c r="AG84" s="325">
        <f t="shared" si="86"/>
        <v>233.36430940302921</v>
      </c>
      <c r="AH84" s="325">
        <f t="shared" si="86"/>
        <v>233.36339184054825</v>
      </c>
      <c r="AI84" s="325">
        <f t="shared" si="86"/>
        <v>233.36248345369196</v>
      </c>
      <c r="AJ84" s="325">
        <f t="shared" si="86"/>
        <v>233.36158415070435</v>
      </c>
      <c r="AK84" s="325">
        <f t="shared" si="86"/>
        <v>233.35668744593656</v>
      </c>
      <c r="AL84" s="325">
        <f t="shared" si="86"/>
        <v>233.35206005993103</v>
      </c>
      <c r="AM84" s="325">
        <f t="shared" si="86"/>
        <v>233.34768718015582</v>
      </c>
      <c r="AN84" s="325">
        <f t="shared" si="86"/>
        <v>233.34355480876818</v>
      </c>
      <c r="AO84" s="325">
        <f t="shared" si="86"/>
        <v>233.33964971780694</v>
      </c>
      <c r="AP84" s="325">
        <f t="shared" si="86"/>
        <v>233.33595940684853</v>
      </c>
      <c r="AQ84" s="325">
        <f t="shared" si="86"/>
        <v>233.33247206299279</v>
      </c>
      <c r="AR84" s="325">
        <f t="shared" si="86"/>
        <v>233.32917652304917</v>
      </c>
      <c r="AS84" s="325">
        <f t="shared" si="86"/>
        <v>233.32606223780246</v>
      </c>
      <c r="AT84" s="325">
        <f t="shared" si="86"/>
        <v>233.32311923824426</v>
      </c>
      <c r="AU84" s="325">
        <f t="shared" si="86"/>
        <v>233.32033810366181</v>
      </c>
      <c r="AV84" s="325">
        <f t="shared" si="86"/>
        <v>233.3177099314814</v>
      </c>
      <c r="AW84" s="325">
        <f t="shared" si="86"/>
        <v>233.31522630877089</v>
      </c>
      <c r="AX84" s="325">
        <f t="shared" si="86"/>
        <v>233.31287928530944</v>
      </c>
      <c r="AY84" s="325">
        <f t="shared" si="86"/>
        <v>233.31066134813838</v>
      </c>
      <c r="AZ84" s="325">
        <f t="shared" si="86"/>
        <v>233.30856539751176</v>
      </c>
      <c r="BA84" s="326">
        <f t="shared" si="86"/>
        <v>233.3065847241696</v>
      </c>
      <c r="BB84" s="29"/>
      <c r="BC84" s="1039">
        <v>8</v>
      </c>
      <c r="BD84" s="1042" t="str">
        <f t="shared" si="81"/>
        <v>(F31/100*INDEX('DEFAULT DATA'!$GI$9:$IN$41,START!$B$3,8)/INDEX('DEFAULT DATA'!$DX$9:$DX$41,START!$B$3,1))+</v>
      </c>
      <c r="BE84" s="1056"/>
      <c r="BF84" s="1056"/>
      <c r="BG84" s="1056"/>
      <c r="BH84" s="1056"/>
      <c r="BI84" s="978"/>
      <c r="BJ84" s="978"/>
      <c r="BK84" s="978"/>
      <c r="BL84" s="1044"/>
      <c r="BM84" s="536">
        <v>31</v>
      </c>
      <c r="BN84" s="1046" t="s">
        <v>2934</v>
      </c>
    </row>
    <row r="85" spans="1:66" ht="20.100000000000001" customHeight="1" thickBot="1">
      <c r="A85" s="40"/>
      <c r="B85" s="1112">
        <f>INDEX('MENU OPTIONS'!A1:A29,START!C2,1)</f>
        <v>2023</v>
      </c>
      <c r="C85" s="1112"/>
      <c r="D85" s="1112"/>
      <c r="E85" s="1112"/>
      <c r="F85" s="397"/>
      <c r="G85" s="34"/>
      <c r="H85" s="34"/>
      <c r="I85" s="43"/>
      <c r="J85" s="43"/>
      <c r="K85" s="43"/>
      <c r="L85" s="43"/>
      <c r="M85" s="43"/>
      <c r="N85" s="43"/>
      <c r="O85" s="35"/>
      <c r="P85" s="25"/>
      <c r="Q85" s="25"/>
      <c r="R85" s="25"/>
      <c r="S85" s="222"/>
      <c r="T85" s="222"/>
      <c r="U85" s="222"/>
      <c r="V85" s="222"/>
      <c r="W85" s="222"/>
      <c r="X85" s="222"/>
      <c r="Y85" s="222"/>
      <c r="Z85" s="222"/>
      <c r="AA85" s="222"/>
      <c r="AB85" s="222"/>
      <c r="AC85" s="222"/>
      <c r="AD85" s="222"/>
      <c r="AE85" s="222"/>
      <c r="AF85" s="222"/>
      <c r="AG85" s="222"/>
      <c r="AH85" s="222"/>
      <c r="AI85" s="222"/>
      <c r="AJ85" s="222"/>
      <c r="AK85" s="222"/>
      <c r="AL85" s="222"/>
      <c r="AM85" s="222"/>
      <c r="AN85" s="222"/>
      <c r="AO85" s="222"/>
      <c r="AP85" s="222"/>
      <c r="AQ85" s="222"/>
      <c r="AR85" s="222"/>
      <c r="AS85" s="222"/>
      <c r="AT85" s="222"/>
      <c r="AU85" s="222"/>
      <c r="AV85" s="222"/>
      <c r="AW85" s="222"/>
      <c r="AX85" s="222"/>
      <c r="AY85" s="222"/>
      <c r="AZ85" s="222"/>
      <c r="BA85" s="222"/>
      <c r="BB85" s="29"/>
      <c r="BC85" s="1039">
        <v>9</v>
      </c>
      <c r="BD85" s="1042" t="str">
        <f t="shared" si="81"/>
        <v>(F32/100*INDEX('DEFAULT DATA'!$GI$9:$IN$41,START!$B$3,9)/INDEX('DEFAULT DATA'!$DX$9:$DX$41,START!$B$3,1))+</v>
      </c>
      <c r="BE85" s="1056"/>
      <c r="BF85" s="1056"/>
      <c r="BG85" s="1056"/>
      <c r="BH85" s="1056"/>
      <c r="BI85" s="978"/>
      <c r="BJ85" s="978"/>
      <c r="BK85" s="978"/>
      <c r="BL85" s="1044"/>
      <c r="BM85" s="536">
        <v>32</v>
      </c>
      <c r="BN85" s="1046" t="s">
        <v>2934</v>
      </c>
    </row>
    <row r="86" spans="1:66" ht="20.100000000000001" customHeight="1">
      <c r="A86" s="40"/>
      <c r="B86" s="1112" t="s">
        <v>35</v>
      </c>
      <c r="C86" s="1112"/>
      <c r="D86" s="1112"/>
      <c r="E86" s="1112"/>
      <c r="F86" s="196" t="s">
        <v>1201</v>
      </c>
      <c r="G86" s="34"/>
      <c r="H86" s="34"/>
      <c r="I86" s="196"/>
      <c r="J86" s="196"/>
      <c r="K86" s="196"/>
      <c r="L86" s="196"/>
      <c r="M86" s="196"/>
      <c r="N86" s="196"/>
      <c r="O86" s="36"/>
      <c r="P86" s="16"/>
      <c r="Q86" s="16"/>
      <c r="R86" s="16"/>
      <c r="S86" s="468" t="s">
        <v>976</v>
      </c>
      <c r="T86" s="1089" t="s">
        <v>1200</v>
      </c>
      <c r="U86" s="1090"/>
      <c r="V86" s="1142">
        <v>2019</v>
      </c>
      <c r="W86" s="1142">
        <v>2020</v>
      </c>
      <c r="X86" s="1142">
        <v>2021</v>
      </c>
      <c r="Y86" s="1142">
        <f>X86+1</f>
        <v>2022</v>
      </c>
      <c r="Z86" s="1142">
        <f t="shared" ref="Z86:BA86" si="87">Y86+1</f>
        <v>2023</v>
      </c>
      <c r="AA86" s="1142">
        <f t="shared" si="87"/>
        <v>2024</v>
      </c>
      <c r="AB86" s="1142">
        <f t="shared" si="87"/>
        <v>2025</v>
      </c>
      <c r="AC86" s="1142">
        <f t="shared" si="87"/>
        <v>2026</v>
      </c>
      <c r="AD86" s="1142">
        <f t="shared" si="87"/>
        <v>2027</v>
      </c>
      <c r="AE86" s="1142">
        <f t="shared" si="87"/>
        <v>2028</v>
      </c>
      <c r="AF86" s="1142">
        <f t="shared" si="87"/>
        <v>2029</v>
      </c>
      <c r="AG86" s="1142">
        <f t="shared" si="87"/>
        <v>2030</v>
      </c>
      <c r="AH86" s="1142">
        <f t="shared" si="87"/>
        <v>2031</v>
      </c>
      <c r="AI86" s="1142">
        <f t="shared" si="87"/>
        <v>2032</v>
      </c>
      <c r="AJ86" s="1142">
        <f t="shared" si="87"/>
        <v>2033</v>
      </c>
      <c r="AK86" s="1142">
        <f t="shared" si="87"/>
        <v>2034</v>
      </c>
      <c r="AL86" s="1142">
        <f t="shared" si="87"/>
        <v>2035</v>
      </c>
      <c r="AM86" s="1142">
        <f t="shared" si="87"/>
        <v>2036</v>
      </c>
      <c r="AN86" s="1142">
        <f t="shared" si="87"/>
        <v>2037</v>
      </c>
      <c r="AO86" s="1142">
        <f t="shared" si="87"/>
        <v>2038</v>
      </c>
      <c r="AP86" s="1142">
        <f t="shared" si="87"/>
        <v>2039</v>
      </c>
      <c r="AQ86" s="1142">
        <f t="shared" si="87"/>
        <v>2040</v>
      </c>
      <c r="AR86" s="1142">
        <f t="shared" si="87"/>
        <v>2041</v>
      </c>
      <c r="AS86" s="1142">
        <f t="shared" si="87"/>
        <v>2042</v>
      </c>
      <c r="AT86" s="1142">
        <f t="shared" si="87"/>
        <v>2043</v>
      </c>
      <c r="AU86" s="1142">
        <f t="shared" si="87"/>
        <v>2044</v>
      </c>
      <c r="AV86" s="1142">
        <f t="shared" si="87"/>
        <v>2045</v>
      </c>
      <c r="AW86" s="1142">
        <f t="shared" si="87"/>
        <v>2046</v>
      </c>
      <c r="AX86" s="1142">
        <f t="shared" si="87"/>
        <v>2047</v>
      </c>
      <c r="AY86" s="1142">
        <f t="shared" si="87"/>
        <v>2048</v>
      </c>
      <c r="AZ86" s="1142">
        <f t="shared" si="87"/>
        <v>2049</v>
      </c>
      <c r="BA86" s="318">
        <f t="shared" si="87"/>
        <v>2050</v>
      </c>
      <c r="BB86" s="29"/>
      <c r="BC86" s="1039">
        <v>10</v>
      </c>
      <c r="BD86" s="1042" t="str">
        <f t="shared" si="81"/>
        <v>(F33/100*INDEX('DEFAULT DATA'!$GI$9:$IN$41,START!$B$3,10)/INDEX('DEFAULT DATA'!$DX$9:$DX$41,START!$B$3,1))+</v>
      </c>
      <c r="BE86" s="1056"/>
      <c r="BF86" s="1056"/>
      <c r="BG86" s="1056"/>
      <c r="BH86" s="1056"/>
      <c r="BI86" s="978"/>
      <c r="BJ86" s="978"/>
      <c r="BK86" s="978"/>
      <c r="BL86" s="1044"/>
      <c r="BM86" s="536">
        <v>33</v>
      </c>
      <c r="BN86" s="1046" t="s">
        <v>2934</v>
      </c>
    </row>
    <row r="87" spans="1:66" ht="20.100000000000001" customHeight="1" thickBot="1">
      <c r="A87" s="1134"/>
      <c r="B87" s="1113" t="s">
        <v>155</v>
      </c>
      <c r="C87" s="1113"/>
      <c r="D87" s="1113"/>
      <c r="E87" s="1113"/>
      <c r="F87" s="398"/>
      <c r="G87" s="217"/>
      <c r="H87" s="217"/>
      <c r="I87" s="218"/>
      <c r="J87" s="218"/>
      <c r="K87" s="218"/>
      <c r="L87" s="218"/>
      <c r="M87" s="218"/>
      <c r="N87" s="218"/>
      <c r="O87" s="219"/>
      <c r="P87" s="27"/>
      <c r="Q87" s="27"/>
      <c r="R87" s="27"/>
      <c r="S87" s="470" t="s">
        <v>992</v>
      </c>
      <c r="T87" s="782" t="s">
        <v>2433</v>
      </c>
      <c r="U87" s="1092" t="s">
        <v>1204</v>
      </c>
      <c r="V87" s="778"/>
      <c r="W87" s="778"/>
      <c r="X87" s="335">
        <f t="shared" ref="X87:BA87" si="88">X52*X84 /1000</f>
        <v>816.17731383384637</v>
      </c>
      <c r="Y87" s="335">
        <f t="shared" si="88"/>
        <v>822.38563920300851</v>
      </c>
      <c r="Z87" s="335">
        <f t="shared" si="88"/>
        <v>825.67518175982059</v>
      </c>
      <c r="AA87" s="335">
        <f t="shared" si="88"/>
        <v>829.32422338612866</v>
      </c>
      <c r="AB87" s="335">
        <f t="shared" si="88"/>
        <v>832.63804301704454</v>
      </c>
      <c r="AC87" s="335">
        <f t="shared" si="88"/>
        <v>835.96513892915027</v>
      </c>
      <c r="AD87" s="335">
        <f t="shared" si="88"/>
        <v>839.30556410071461</v>
      </c>
      <c r="AE87" s="335">
        <f t="shared" si="88"/>
        <v>842.65937172268571</v>
      </c>
      <c r="AF87" s="335">
        <f t="shared" si="88"/>
        <v>846.02661519953631</v>
      </c>
      <c r="AG87" s="335">
        <f t="shared" si="88"/>
        <v>849.40734815011535</v>
      </c>
      <c r="AH87" s="335">
        <f t="shared" si="88"/>
        <v>851.10281639174832</v>
      </c>
      <c r="AI87" s="335">
        <f t="shared" si="88"/>
        <v>852.80170240843063</v>
      </c>
      <c r="AJ87" s="335">
        <f t="shared" si="88"/>
        <v>854.50401282046778</v>
      </c>
      <c r="AK87" s="335">
        <f t="shared" si="88"/>
        <v>856.19505463973144</v>
      </c>
      <c r="AL87" s="335">
        <f t="shared" si="88"/>
        <v>857.89043272785432</v>
      </c>
      <c r="AM87" s="335">
        <f t="shared" si="88"/>
        <v>859.59010508059714</v>
      </c>
      <c r="AN87" s="335">
        <f t="shared" si="88"/>
        <v>861.29403230115543</v>
      </c>
      <c r="AO87" s="335">
        <f t="shared" si="88"/>
        <v>863.00217746243288</v>
      </c>
      <c r="AP87" s="335">
        <f t="shared" si="88"/>
        <v>864.71450597662829</v>
      </c>
      <c r="AQ87" s="335">
        <f t="shared" si="88"/>
        <v>866.43098547175316</v>
      </c>
      <c r="AR87" s="335">
        <f t="shared" si="88"/>
        <v>868.15158567470723</v>
      </c>
      <c r="AS87" s="335">
        <f t="shared" si="88"/>
        <v>869.87627830056522</v>
      </c>
      <c r="AT87" s="335">
        <f t="shared" si="88"/>
        <v>871.60503694774559</v>
      </c>
      <c r="AU87" s="335">
        <f t="shared" si="88"/>
        <v>873.33783699874994</v>
      </c>
      <c r="AV87" s="335">
        <f t="shared" si="88"/>
        <v>875.07465552617214</v>
      </c>
      <c r="AW87" s="335">
        <f t="shared" si="88"/>
        <v>876.81547120370351</v>
      </c>
      <c r="AX87" s="335">
        <f t="shared" si="88"/>
        <v>878.56026422186653</v>
      </c>
      <c r="AY87" s="335">
        <f t="shared" si="88"/>
        <v>880.30901620822226</v>
      </c>
      <c r="AZ87" s="335">
        <f t="shared" si="88"/>
        <v>882.0617101518211</v>
      </c>
      <c r="BA87" s="494">
        <f t="shared" si="88"/>
        <v>883.81833033166436</v>
      </c>
      <c r="BB87" s="29"/>
      <c r="BC87" s="1039">
        <v>11</v>
      </c>
      <c r="BD87" s="1042" t="str">
        <f t="shared" si="81"/>
        <v>(F34/100*INDEX('DEFAULT DATA'!$GI$9:$IN$41,START!$B$3,11)/INDEX('DEFAULT DATA'!$DX$9:$DX$41,START!$B$3,1))+</v>
      </c>
      <c r="BE87" s="1056"/>
      <c r="BF87" s="1056"/>
      <c r="BG87" s="1056"/>
      <c r="BH87" s="1056"/>
      <c r="BI87" s="978"/>
      <c r="BJ87" s="978"/>
      <c r="BK87" s="978"/>
      <c r="BL87" s="1044"/>
      <c r="BM87" s="536">
        <v>34</v>
      </c>
      <c r="BN87" s="1046" t="s">
        <v>2934</v>
      </c>
    </row>
    <row r="88" spans="1:66" ht="20.100000000000001" customHeight="1">
      <c r="A88" s="40"/>
      <c r="B88" s="43" t="s">
        <v>36</v>
      </c>
      <c r="C88" s="43"/>
      <c r="D88" s="43"/>
      <c r="E88" s="43"/>
      <c r="F88" s="37">
        <f>INDEX($Y$177:$BA$185,1,START!$C$2)</f>
        <v>98.329173658390388</v>
      </c>
      <c r="G88" s="34"/>
      <c r="H88" s="34"/>
      <c r="I88" s="37"/>
      <c r="J88" s="37"/>
      <c r="K88" s="37"/>
      <c r="L88" s="37"/>
      <c r="M88" s="37"/>
      <c r="N88" s="37"/>
      <c r="O88" s="38"/>
      <c r="P88" s="405"/>
      <c r="Q88" s="405"/>
      <c r="R88" s="405"/>
      <c r="BB88" s="29"/>
      <c r="BC88" s="1039">
        <v>12</v>
      </c>
      <c r="BD88" s="1042" t="str">
        <f t="shared" si="81"/>
        <v>(F35/100*INDEX('DEFAULT DATA'!$GI$9:$IN$41,START!$B$3,12)/INDEX('DEFAULT DATA'!$DX$9:$DX$41,START!$B$3,1))+</v>
      </c>
      <c r="BE88" s="1056"/>
      <c r="BF88" s="1056"/>
      <c r="BG88" s="1056"/>
      <c r="BH88" s="1056"/>
      <c r="BI88" s="978"/>
      <c r="BJ88" s="978"/>
      <c r="BK88" s="978"/>
      <c r="BL88" s="1044"/>
      <c r="BM88" s="536">
        <v>35</v>
      </c>
      <c r="BN88" s="1046" t="s">
        <v>2934</v>
      </c>
    </row>
    <row r="89" spans="1:66" ht="20.100000000000001" customHeight="1">
      <c r="A89" s="40"/>
      <c r="B89" s="43" t="s">
        <v>37</v>
      </c>
      <c r="C89" s="43"/>
      <c r="D89" s="43"/>
      <c r="E89" s="43"/>
      <c r="F89" s="37">
        <f>INDEX($Y$177:$BA$185,2,START!$C$2)</f>
        <v>825.67518175982059</v>
      </c>
      <c r="G89" s="34"/>
      <c r="H89" s="34"/>
      <c r="I89" s="37"/>
      <c r="J89" s="37"/>
      <c r="K89" s="37"/>
      <c r="L89" s="37"/>
      <c r="M89" s="37"/>
      <c r="N89" s="37"/>
      <c r="O89" s="38"/>
      <c r="P89" s="405"/>
      <c r="Q89" s="405"/>
      <c r="R89" s="405"/>
      <c r="BB89" s="29"/>
      <c r="BC89" s="1039">
        <v>13</v>
      </c>
      <c r="BD89" s="1042" t="str">
        <f t="shared" si="81"/>
        <v>(F36/100*INDEX('DEFAULT DATA'!$GI$9:$IN$41,START!$B$3,13)/INDEX('DEFAULT DATA'!$DX$9:$DX$41,START!$B$3,1))+</v>
      </c>
      <c r="BE89" s="1056"/>
      <c r="BF89" s="1056"/>
      <c r="BG89" s="1056"/>
      <c r="BH89" s="1056"/>
      <c r="BI89" s="978"/>
      <c r="BJ89" s="978"/>
      <c r="BK89" s="978"/>
      <c r="BL89" s="1044"/>
      <c r="BM89" s="536">
        <v>36</v>
      </c>
      <c r="BN89" s="1046" t="s">
        <v>2934</v>
      </c>
    </row>
    <row r="90" spans="1:66" ht="20.100000000000001" customHeight="1" thickBot="1">
      <c r="A90" s="40"/>
      <c r="B90" s="43" t="s">
        <v>38</v>
      </c>
      <c r="C90" s="43"/>
      <c r="D90" s="43"/>
      <c r="E90" s="43"/>
      <c r="F90" s="37">
        <f>INDEX($Y$177:$BA$185,3,START!$C$2)</f>
        <v>0</v>
      </c>
      <c r="G90" s="34"/>
      <c r="H90" s="34"/>
      <c r="I90" s="37"/>
      <c r="J90" s="37"/>
      <c r="K90" s="37"/>
      <c r="L90" s="37"/>
      <c r="M90" s="37"/>
      <c r="N90" s="37"/>
      <c r="O90" s="38"/>
      <c r="P90" s="405"/>
      <c r="Q90" s="405"/>
      <c r="R90" s="405"/>
      <c r="S90" s="404" t="s">
        <v>995</v>
      </c>
      <c r="BB90" s="29"/>
      <c r="BC90" s="1039">
        <v>14</v>
      </c>
      <c r="BD90" s="1042" t="str">
        <f t="shared" si="81"/>
        <v>(F37/100*INDEX('DEFAULT DATA'!$GI$9:$IN$41,START!$B$3,14)/INDEX('DEFAULT DATA'!$DX$9:$DX$41,START!$B$3,1))+</v>
      </c>
      <c r="BE90" s="1056"/>
      <c r="BF90" s="1056"/>
      <c r="BG90" s="1056"/>
      <c r="BH90" s="1056"/>
      <c r="BI90" s="978"/>
      <c r="BJ90" s="978"/>
      <c r="BK90" s="978"/>
      <c r="BL90" s="1044"/>
      <c r="BM90" s="536">
        <v>37</v>
      </c>
      <c r="BN90" s="1046" t="s">
        <v>2934</v>
      </c>
    </row>
    <row r="91" spans="1:66" ht="20.100000000000001" customHeight="1">
      <c r="A91" s="40"/>
      <c r="B91" s="43" t="s">
        <v>39</v>
      </c>
      <c r="C91" s="43"/>
      <c r="D91" s="43"/>
      <c r="E91" s="43"/>
      <c r="F91" s="37">
        <f>INDEX($Y$177:$BA$185,4,START!$C$2)</f>
        <v>4.6755635107838228E-2</v>
      </c>
      <c r="G91" s="34"/>
      <c r="H91" s="34"/>
      <c r="I91" s="37"/>
      <c r="J91" s="37"/>
      <c r="K91" s="37"/>
      <c r="L91" s="37"/>
      <c r="M91" s="37"/>
      <c r="N91" s="37"/>
      <c r="O91" s="38"/>
      <c r="P91" s="405"/>
      <c r="Q91" s="405"/>
      <c r="R91" s="405"/>
      <c r="S91" s="374" t="s">
        <v>1208</v>
      </c>
      <c r="T91" s="1087" t="s">
        <v>2970</v>
      </c>
      <c r="U91" s="1088"/>
      <c r="V91" s="1084">
        <v>2019</v>
      </c>
      <c r="W91" s="1084">
        <v>2020</v>
      </c>
      <c r="X91" s="1084">
        <v>2021</v>
      </c>
      <c r="Y91" s="1084">
        <f>X91+1</f>
        <v>2022</v>
      </c>
      <c r="Z91" s="1084">
        <f t="shared" ref="Z91:BA91" si="89">Y91+1</f>
        <v>2023</v>
      </c>
      <c r="AA91" s="1084">
        <f t="shared" si="89"/>
        <v>2024</v>
      </c>
      <c r="AB91" s="1084">
        <f t="shared" si="89"/>
        <v>2025</v>
      </c>
      <c r="AC91" s="1084">
        <f t="shared" si="89"/>
        <v>2026</v>
      </c>
      <c r="AD91" s="1084">
        <f t="shared" si="89"/>
        <v>2027</v>
      </c>
      <c r="AE91" s="1084">
        <f t="shared" si="89"/>
        <v>2028</v>
      </c>
      <c r="AF91" s="1084">
        <f t="shared" si="89"/>
        <v>2029</v>
      </c>
      <c r="AG91" s="1084">
        <f t="shared" si="89"/>
        <v>2030</v>
      </c>
      <c r="AH91" s="1084">
        <f t="shared" si="89"/>
        <v>2031</v>
      </c>
      <c r="AI91" s="1084">
        <f t="shared" si="89"/>
        <v>2032</v>
      </c>
      <c r="AJ91" s="1084">
        <f t="shared" si="89"/>
        <v>2033</v>
      </c>
      <c r="AK91" s="1084">
        <f t="shared" si="89"/>
        <v>2034</v>
      </c>
      <c r="AL91" s="1084">
        <f t="shared" si="89"/>
        <v>2035</v>
      </c>
      <c r="AM91" s="1084">
        <f t="shared" si="89"/>
        <v>2036</v>
      </c>
      <c r="AN91" s="1084">
        <f t="shared" si="89"/>
        <v>2037</v>
      </c>
      <c r="AO91" s="1084">
        <f t="shared" si="89"/>
        <v>2038</v>
      </c>
      <c r="AP91" s="1084">
        <f t="shared" si="89"/>
        <v>2039</v>
      </c>
      <c r="AQ91" s="1084">
        <f t="shared" si="89"/>
        <v>2040</v>
      </c>
      <c r="AR91" s="1084">
        <f t="shared" si="89"/>
        <v>2041</v>
      </c>
      <c r="AS91" s="1084">
        <f t="shared" si="89"/>
        <v>2042</v>
      </c>
      <c r="AT91" s="1084">
        <f t="shared" si="89"/>
        <v>2043</v>
      </c>
      <c r="AU91" s="1084">
        <f t="shared" si="89"/>
        <v>2044</v>
      </c>
      <c r="AV91" s="1084">
        <f t="shared" si="89"/>
        <v>2045</v>
      </c>
      <c r="AW91" s="1084">
        <f t="shared" si="89"/>
        <v>2046</v>
      </c>
      <c r="AX91" s="1084">
        <f t="shared" si="89"/>
        <v>2047</v>
      </c>
      <c r="AY91" s="1084">
        <f t="shared" si="89"/>
        <v>2048</v>
      </c>
      <c r="AZ91" s="1084">
        <f t="shared" si="89"/>
        <v>2049</v>
      </c>
      <c r="BA91" s="318">
        <f t="shared" si="89"/>
        <v>2050</v>
      </c>
      <c r="BC91" s="1039">
        <v>15</v>
      </c>
      <c r="BD91" s="1042" t="str">
        <f t="shared" si="81"/>
        <v>(F38/100*INDEX('DEFAULT DATA'!$GI$9:$IN$41,START!$B$3,15)/INDEX('DEFAULT DATA'!$DX$9:$DX$41,START!$B$3,1))+</v>
      </c>
      <c r="BE91" s="1056"/>
      <c r="BF91" s="1056"/>
      <c r="BG91" s="1056"/>
      <c r="BH91" s="1056"/>
      <c r="BI91" s="978"/>
      <c r="BJ91" s="978"/>
      <c r="BK91" s="978"/>
      <c r="BL91" s="1044"/>
      <c r="BM91" s="536">
        <v>38</v>
      </c>
      <c r="BN91" s="1046" t="s">
        <v>2934</v>
      </c>
    </row>
    <row r="92" spans="1:66" ht="20.100000000000001" customHeight="1" thickBot="1">
      <c r="A92" s="40"/>
      <c r="B92" s="43" t="s">
        <v>77</v>
      </c>
      <c r="C92" s="43"/>
      <c r="D92" s="43"/>
      <c r="E92" s="43"/>
      <c r="F92" s="37">
        <f>INDEX($Y$177:$BA$185,5,START!$C$2)</f>
        <v>11.559267102288691</v>
      </c>
      <c r="G92" s="34"/>
      <c r="H92" s="34"/>
      <c r="I92" s="37"/>
      <c r="J92" s="37"/>
      <c r="K92" s="37"/>
      <c r="L92" s="37"/>
      <c r="M92" s="37"/>
      <c r="N92" s="37"/>
      <c r="O92" s="38"/>
      <c r="P92" s="405"/>
      <c r="Q92" s="405"/>
      <c r="R92" s="405"/>
      <c r="S92" s="904"/>
      <c r="T92" s="832" t="s">
        <v>2971</v>
      </c>
      <c r="U92" s="512" t="s">
        <v>2968</v>
      </c>
      <c r="V92" s="796"/>
      <c r="W92" s="368"/>
      <c r="X92" s="362">
        <f>(E25/100*INDEX('DEFAULT DATA'!$DU$9:$EA$41,START!$C$3,1)/INDEX('DEFAULT DATA'!$DI$9:$DI$41,START!$C$3,1))+(E26/100*INDEX('DEFAULT DATA'!$DU$9:$EA$41,START!$C$3,2)/INDEX('DEFAULT DATA'!$DI$9:$DI$41,START!$C$3,1))+(E27/100*INDEX('DEFAULT DATA'!$DU$9:$EA$41,START!$C$3,3)/INDEX('DEFAULT DATA'!$DI$9:$DI$41,START!$C$3,1))+(E28/100*INDEX('DEFAULT DATA'!$DU$9:$EA$41,START!$C$3,4)/INDEX('DEFAULT DATA'!$DI$9:$DI$41,START!$C$3,1))+(E29/100*INDEX('DEFAULT DATA'!$DU$9:$EA$41,START!$C$3,5)/INDEX('DEFAULT DATA'!$DI$9:$DI$41,START!$C$3,1))+(E30/100*INDEX('DEFAULT DATA'!$DU$9:$EA$41,START!$C$3,6)/INDEX('DEFAULT DATA'!$DI$9:$DI$41,START!$C$3,1))+(E31/100*INDEX('DEFAULT DATA'!$DU$9:$EA$41,START!$C$3,7)/INDEX('DEFAULT DATA'!$DI$9:$DI$41,START!$C$3,1))</f>
        <v>0</v>
      </c>
      <c r="Y92" s="362">
        <f>X92*(100+INDEX('DEFAULT DATA'!$DK$9:$DM$41,START!$C$3,1))/100</f>
        <v>0</v>
      </c>
      <c r="Z92" s="362">
        <f>Y92*(100+INDEX('DEFAULT DATA'!$DK$9:$DM$41,START!$C$3,1))/100</f>
        <v>0</v>
      </c>
      <c r="AA92" s="362">
        <f>Z92*(100+INDEX('DEFAULT DATA'!$DK$9:$DM$41,START!$C$3,1))/100</f>
        <v>0</v>
      </c>
      <c r="AB92" s="362">
        <f>AA92*(100+INDEX('DEFAULT DATA'!$DK$9:$DM$41,START!$C$3,1))/100</f>
        <v>0</v>
      </c>
      <c r="AC92" s="362">
        <f>AB92*(100+INDEX('DEFAULT DATA'!$DK$9:$DM$41,START!$C$3,1))/100</f>
        <v>0</v>
      </c>
      <c r="AD92" s="362">
        <f>AC92*(100+INDEX('DEFAULT DATA'!$DK$9:$DM$41,START!$C$3,1))/100</f>
        <v>0</v>
      </c>
      <c r="AE92" s="362">
        <f>AD92*(100+INDEX('DEFAULT DATA'!$DK$9:$DM$41,START!$C$3,1))/100</f>
        <v>0</v>
      </c>
      <c r="AF92" s="362">
        <f>AE92*(100+INDEX('DEFAULT DATA'!$DK$9:$DM$41,START!$C$3,1))/100</f>
        <v>0</v>
      </c>
      <c r="AG92" s="362">
        <f>AF92*(100+INDEX('DEFAULT DATA'!$DK$9:$DM$41,START!$C$3,1))/100</f>
        <v>0</v>
      </c>
      <c r="AH92" s="362">
        <f>AG92*(100+INDEX('DEFAULT DATA'!$DK$9:$DM$41,START!$C$3,1))/100</f>
        <v>0</v>
      </c>
      <c r="AI92" s="362">
        <f>AH92*(100+INDEX('DEFAULT DATA'!$DK$9:$DM$41,START!$C$3,1))/100</f>
        <v>0</v>
      </c>
      <c r="AJ92" s="362">
        <f>AI92*(100+INDEX('DEFAULT DATA'!$DK$9:$DM$41,START!$C$3,1))/100</f>
        <v>0</v>
      </c>
      <c r="AK92" s="362">
        <f>AJ92*(100+INDEX('DEFAULT DATA'!$DK$9:$DM$41,START!$C$3,1))/100</f>
        <v>0</v>
      </c>
      <c r="AL92" s="362">
        <f>AK92*(100+INDEX('DEFAULT DATA'!$DK$9:$DM$41,START!$C$3,1))/100</f>
        <v>0</v>
      </c>
      <c r="AM92" s="362">
        <f>AL92*(100+INDEX('DEFAULT DATA'!$DK$9:$DM$41,START!$C$3,1))/100</f>
        <v>0</v>
      </c>
      <c r="AN92" s="362">
        <f>AM92*(100+INDEX('DEFAULT DATA'!$DK$9:$DM$41,START!$C$3,1))/100</f>
        <v>0</v>
      </c>
      <c r="AO92" s="362">
        <f>AN92*(100+INDEX('DEFAULT DATA'!$DK$9:$DM$41,START!$C$3,1))/100</f>
        <v>0</v>
      </c>
      <c r="AP92" s="362">
        <f>AO92*(100+INDEX('DEFAULT DATA'!$DK$9:$DM$41,START!$C$3,1))/100</f>
        <v>0</v>
      </c>
      <c r="AQ92" s="362">
        <f>AP92*(100+INDEX('DEFAULT DATA'!$DK$9:$DM$41,START!$C$3,1))/100</f>
        <v>0</v>
      </c>
      <c r="AR92" s="362">
        <f>AQ92*(100+INDEX('DEFAULT DATA'!$DK$9:$DM$41,START!$C$3,1))/100</f>
        <v>0</v>
      </c>
      <c r="AS92" s="362">
        <f>AR92*(100+INDEX('DEFAULT DATA'!$DK$9:$DM$41,START!$C$3,1))/100</f>
        <v>0</v>
      </c>
      <c r="AT92" s="362">
        <f>AS92*(100+INDEX('DEFAULT DATA'!$DK$9:$DM$41,START!$C$3,1))/100</f>
        <v>0</v>
      </c>
      <c r="AU92" s="362">
        <f>AT92*(100+INDEX('DEFAULT DATA'!$DK$9:$DM$41,START!$C$3,1))/100</f>
        <v>0</v>
      </c>
      <c r="AV92" s="362">
        <f>AU92*(100+INDEX('DEFAULT DATA'!$DK$9:$DM$41,START!$C$3,1))/100</f>
        <v>0</v>
      </c>
      <c r="AW92" s="362">
        <f>AV92*(100+INDEX('DEFAULT DATA'!$DK$9:$DM$41,START!$C$3,1))/100</f>
        <v>0</v>
      </c>
      <c r="AX92" s="362">
        <f>AW92*(100+INDEX('DEFAULT DATA'!$DK$9:$DM$41,START!$C$3,1))/100</f>
        <v>0</v>
      </c>
      <c r="AY92" s="362">
        <f>AX92*(100+INDEX('DEFAULT DATA'!$DK$9:$DM$41,START!$C$3,1))/100</f>
        <v>0</v>
      </c>
      <c r="AZ92" s="362">
        <f>AY92*(100+INDEX('DEFAULT DATA'!$DK$9:$DM$41,START!$C$3,1))/100</f>
        <v>0</v>
      </c>
      <c r="BA92" s="905">
        <f>AZ92*(100+INDEX('DEFAULT DATA'!$DK$9:$DM$41,START!$C$3,1))/100</f>
        <v>0</v>
      </c>
      <c r="BC92" s="1039">
        <v>16</v>
      </c>
      <c r="BD92" s="1042" t="str">
        <f t="shared" si="81"/>
        <v>(F39/100*INDEX('DEFAULT DATA'!$GI$9:$IN$41,START!$B$3,16)/INDEX('DEFAULT DATA'!$DX$9:$DX$41,START!$B$3,1))+</v>
      </c>
      <c r="BE92" s="1056"/>
      <c r="BF92" s="1056"/>
      <c r="BG92" s="1056"/>
      <c r="BH92" s="1056"/>
      <c r="BI92" s="978"/>
      <c r="BJ92" s="978"/>
      <c r="BK92" s="978"/>
      <c r="BL92" s="1044"/>
      <c r="BM92" s="536">
        <v>39</v>
      </c>
      <c r="BN92" s="1046" t="s">
        <v>2934</v>
      </c>
    </row>
    <row r="93" spans="1:66" ht="20.100000000000001" customHeight="1" thickBot="1">
      <c r="A93" s="40"/>
      <c r="B93" s="43" t="s">
        <v>78</v>
      </c>
      <c r="C93" s="43"/>
      <c r="D93" s="43"/>
      <c r="E93" s="43"/>
      <c r="F93" s="37">
        <f>INDEX($Y$177:$BA$185,6,START!$C$2)</f>
        <v>273.52477061065417</v>
      </c>
      <c r="G93" s="34"/>
      <c r="H93" s="34"/>
      <c r="I93" s="37"/>
      <c r="J93" s="37"/>
      <c r="K93" s="37"/>
      <c r="L93" s="37"/>
      <c r="M93" s="37"/>
      <c r="N93" s="37"/>
      <c r="O93" s="38"/>
      <c r="P93" s="405"/>
      <c r="Q93" s="405"/>
      <c r="R93" s="405"/>
      <c r="S93" s="1078"/>
      <c r="T93" s="1078"/>
      <c r="U93" s="1078"/>
      <c r="V93" s="1078"/>
      <c r="W93" s="1078"/>
      <c r="X93" s="1078"/>
      <c r="Y93" s="1078"/>
      <c r="Z93" s="1078"/>
      <c r="AA93" s="1078"/>
      <c r="AB93" s="1078"/>
      <c r="AC93" s="1078"/>
      <c r="AD93" s="1078"/>
      <c r="AE93" s="1078"/>
      <c r="AF93" s="1078"/>
      <c r="AG93" s="1078"/>
      <c r="AH93" s="1078"/>
      <c r="AI93" s="1078"/>
      <c r="AJ93" s="1078"/>
      <c r="AK93" s="1078"/>
      <c r="AL93" s="1078"/>
      <c r="AM93" s="1078"/>
      <c r="AN93" s="1078"/>
      <c r="AO93" s="1078"/>
      <c r="AP93" s="1078"/>
      <c r="AQ93" s="1078"/>
      <c r="AR93" s="1078"/>
      <c r="AS93" s="1078"/>
      <c r="AT93" s="1078"/>
      <c r="AU93" s="1078"/>
      <c r="AV93" s="1078"/>
      <c r="AW93" s="1078"/>
      <c r="AX93" s="1078"/>
      <c r="AY93" s="1078"/>
      <c r="AZ93" s="1078"/>
      <c r="BA93" s="1078"/>
      <c r="BC93" s="1039">
        <v>17</v>
      </c>
      <c r="BD93" s="1042" t="str">
        <f t="shared" si="81"/>
        <v>(F40/100*INDEX('DEFAULT DATA'!$GI$9:$IN$41,START!$B$3,17)/INDEX('DEFAULT DATA'!$DX$9:$DX$41,START!$B$3,1))+</v>
      </c>
      <c r="BE93" s="1056"/>
      <c r="BF93" s="1056"/>
      <c r="BG93" s="1056"/>
      <c r="BH93" s="1056"/>
      <c r="BI93" s="978"/>
      <c r="BJ93" s="978"/>
      <c r="BK93" s="978"/>
      <c r="BL93" s="1044"/>
      <c r="BM93" s="536">
        <v>40</v>
      </c>
      <c r="BN93" s="1046" t="s">
        <v>2934</v>
      </c>
    </row>
    <row r="94" spans="1:66" ht="20.100000000000001" customHeight="1">
      <c r="A94" s="40"/>
      <c r="B94" s="43" t="s">
        <v>79</v>
      </c>
      <c r="C94" s="43"/>
      <c r="D94" s="43"/>
      <c r="E94" s="43"/>
      <c r="F94" s="37">
        <f>INDEX($Y$177:$BA$185,7,START!$C$2)</f>
        <v>297.45310345996057</v>
      </c>
      <c r="G94" s="34"/>
      <c r="H94" s="34"/>
      <c r="I94" s="37"/>
      <c r="J94" s="37"/>
      <c r="K94" s="37"/>
      <c r="L94" s="37"/>
      <c r="M94" s="37"/>
      <c r="N94" s="37"/>
      <c r="O94" s="38"/>
      <c r="P94" s="405"/>
      <c r="Q94" s="405"/>
      <c r="R94" s="405"/>
      <c r="S94" s="468" t="s">
        <v>2429</v>
      </c>
      <c r="T94" s="1122"/>
      <c r="U94" s="1069"/>
      <c r="V94" s="1084">
        <v>2019</v>
      </c>
      <c r="W94" s="1084">
        <v>2020</v>
      </c>
      <c r="X94" s="1084">
        <v>2021</v>
      </c>
      <c r="Y94" s="1084">
        <f>X94+1</f>
        <v>2022</v>
      </c>
      <c r="Z94" s="1084">
        <f t="shared" ref="Z94:BA94" si="90">Y94+1</f>
        <v>2023</v>
      </c>
      <c r="AA94" s="1084">
        <f t="shared" si="90"/>
        <v>2024</v>
      </c>
      <c r="AB94" s="1084">
        <f t="shared" si="90"/>
        <v>2025</v>
      </c>
      <c r="AC94" s="1084">
        <f t="shared" si="90"/>
        <v>2026</v>
      </c>
      <c r="AD94" s="1084">
        <f t="shared" si="90"/>
        <v>2027</v>
      </c>
      <c r="AE94" s="1084">
        <f t="shared" si="90"/>
        <v>2028</v>
      </c>
      <c r="AF94" s="1084">
        <f t="shared" si="90"/>
        <v>2029</v>
      </c>
      <c r="AG94" s="1084">
        <f t="shared" si="90"/>
        <v>2030</v>
      </c>
      <c r="AH94" s="1084">
        <f t="shared" si="90"/>
        <v>2031</v>
      </c>
      <c r="AI94" s="1084">
        <f t="shared" si="90"/>
        <v>2032</v>
      </c>
      <c r="AJ94" s="1084">
        <f t="shared" si="90"/>
        <v>2033</v>
      </c>
      <c r="AK94" s="1084">
        <f t="shared" si="90"/>
        <v>2034</v>
      </c>
      <c r="AL94" s="1084">
        <f t="shared" si="90"/>
        <v>2035</v>
      </c>
      <c r="AM94" s="1084">
        <f t="shared" si="90"/>
        <v>2036</v>
      </c>
      <c r="AN94" s="1084">
        <f t="shared" si="90"/>
        <v>2037</v>
      </c>
      <c r="AO94" s="1084">
        <f t="shared" si="90"/>
        <v>2038</v>
      </c>
      <c r="AP94" s="1084">
        <f t="shared" si="90"/>
        <v>2039</v>
      </c>
      <c r="AQ94" s="1084">
        <f t="shared" si="90"/>
        <v>2040</v>
      </c>
      <c r="AR94" s="1084">
        <f t="shared" si="90"/>
        <v>2041</v>
      </c>
      <c r="AS94" s="1084">
        <f t="shared" si="90"/>
        <v>2042</v>
      </c>
      <c r="AT94" s="1084">
        <f t="shared" si="90"/>
        <v>2043</v>
      </c>
      <c r="AU94" s="1084">
        <f t="shared" si="90"/>
        <v>2044</v>
      </c>
      <c r="AV94" s="1084">
        <f t="shared" si="90"/>
        <v>2045</v>
      </c>
      <c r="AW94" s="1084">
        <f t="shared" si="90"/>
        <v>2046</v>
      </c>
      <c r="AX94" s="1084">
        <f t="shared" si="90"/>
        <v>2047</v>
      </c>
      <c r="AY94" s="1084">
        <f t="shared" si="90"/>
        <v>2048</v>
      </c>
      <c r="AZ94" s="1084">
        <f t="shared" si="90"/>
        <v>2049</v>
      </c>
      <c r="BA94" s="318">
        <f t="shared" si="90"/>
        <v>2050</v>
      </c>
      <c r="BC94" s="1039">
        <v>18</v>
      </c>
      <c r="BD94" s="1042" t="str">
        <f t="shared" si="81"/>
        <v>(F41/100*INDEX('DEFAULT DATA'!$GI$9:$IN$41,START!$B$3,18)/INDEX('DEFAULT DATA'!$DX$9:$DX$41,START!$B$3,1))+</v>
      </c>
      <c r="BE94" s="1056"/>
      <c r="BF94" s="1056"/>
      <c r="BG94" s="1056"/>
      <c r="BH94" s="1056"/>
      <c r="BI94" s="978"/>
      <c r="BJ94" s="978"/>
      <c r="BK94" s="978"/>
      <c r="BL94" s="1044"/>
      <c r="BM94" s="536">
        <v>41</v>
      </c>
      <c r="BN94" s="1046" t="s">
        <v>2934</v>
      </c>
    </row>
    <row r="95" spans="1:66" ht="20.100000000000001" customHeight="1" thickBot="1">
      <c r="A95" s="40"/>
      <c r="B95" s="1113" t="s">
        <v>80</v>
      </c>
      <c r="C95" s="1113"/>
      <c r="D95" s="1113"/>
      <c r="E95" s="1113"/>
      <c r="F95" s="1338">
        <f>INDEX($Y$177:$BA$185,8,START!$C$2)</f>
        <v>1.1857665375719693</v>
      </c>
      <c r="G95" s="34"/>
      <c r="H95" s="34"/>
      <c r="I95" s="37"/>
      <c r="J95" s="37"/>
      <c r="K95" s="37"/>
      <c r="L95" s="37"/>
      <c r="M95" s="37"/>
      <c r="N95" s="37"/>
      <c r="O95" s="38"/>
      <c r="P95" s="405"/>
      <c r="Q95" s="405"/>
      <c r="R95" s="405"/>
      <c r="S95" s="470"/>
      <c r="T95" s="1123" t="s">
        <v>2436</v>
      </c>
      <c r="U95" s="512" t="s">
        <v>1202</v>
      </c>
      <c r="V95" s="368"/>
      <c r="W95" s="368"/>
      <c r="X95" s="325">
        <f>INDEX('DEFAULT DATA'!$DJ$9:$DJ$41,START!$C$3,1)*X5</f>
        <v>1200.6708074534163</v>
      </c>
      <c r="Y95" s="325">
        <f>INDEX('DEFAULT DATA'!$DJ$9:$DJ$41,START!$C$3,1)*Y5</f>
        <v>1188.6640993788819</v>
      </c>
      <c r="Z95" s="325">
        <f>INDEX('DEFAULT DATA'!$DJ$9:$DJ$41,START!$C$3,1)*Z5</f>
        <v>1176.7774583850933</v>
      </c>
      <c r="AA95" s="325">
        <f>INDEX('DEFAULT DATA'!$DJ$9:$DJ$41,START!$C$3,1)*AA5</f>
        <v>1165.0096838012423</v>
      </c>
      <c r="AB95" s="325">
        <f>INDEX('DEFAULT DATA'!$DJ$9:$DJ$41,START!$C$3,1)*AB5</f>
        <v>1153.35958696323</v>
      </c>
      <c r="AC95" s="325">
        <f>INDEX('DEFAULT DATA'!$DJ$9:$DJ$41,START!$C$3,1)*AC5</f>
        <v>1141.8259910935976</v>
      </c>
      <c r="AD95" s="325">
        <f>INDEX('DEFAULT DATA'!$DJ$9:$DJ$41,START!$C$3,1)*AD5</f>
        <v>1130.4077311826616</v>
      </c>
      <c r="AE95" s="325">
        <f>INDEX('DEFAULT DATA'!$DJ$9:$DJ$41,START!$C$3,1)*AE5</f>
        <v>1119.1036538708349</v>
      </c>
      <c r="AF95" s="325">
        <f>INDEX('DEFAULT DATA'!$DJ$9:$DJ$41,START!$C$3,1)*AF5</f>
        <v>1107.9126173321267</v>
      </c>
      <c r="AG95" s="325">
        <f>INDEX('DEFAULT DATA'!$DJ$9:$DJ$41,START!$C$3,1)*AG5</f>
        <v>1096.8334911588054</v>
      </c>
      <c r="AH95" s="325">
        <f>INDEX('DEFAULT DATA'!$DJ$9:$DJ$41,START!$C$3,1)*AH5</f>
        <v>1036.5076491450711</v>
      </c>
      <c r="AI95" s="325">
        <f>INDEX('DEFAULT DATA'!$DJ$9:$DJ$41,START!$C$3,1)*AI5</f>
        <v>979.49972844209219</v>
      </c>
      <c r="AJ95" s="325">
        <f>INDEX('DEFAULT DATA'!$DJ$9:$DJ$41,START!$C$3,1)*AJ5</f>
        <v>925.62724337777706</v>
      </c>
      <c r="AK95" s="325">
        <f>INDEX('DEFAULT DATA'!$DJ$9:$DJ$41,START!$C$3,1)*AK5</f>
        <v>874.71774499199933</v>
      </c>
      <c r="AL95" s="325">
        <f>INDEX('DEFAULT DATA'!$DJ$9:$DJ$41,START!$C$3,1)*AL5</f>
        <v>826.60826901743928</v>
      </c>
      <c r="AM95" s="325">
        <f>INDEX('DEFAULT DATA'!$DJ$9:$DJ$41,START!$C$3,1)*AM5</f>
        <v>781.14481422148003</v>
      </c>
      <c r="AN95" s="325">
        <f>INDEX('DEFAULT DATA'!$DJ$9:$DJ$41,START!$C$3,1)*AN5</f>
        <v>738.18184943929862</v>
      </c>
      <c r="AO95" s="325">
        <f>INDEX('DEFAULT DATA'!$DJ$9:$DJ$41,START!$C$3,1)*AO5</f>
        <v>697.58184772013715</v>
      </c>
      <c r="AP95" s="325">
        <f>INDEX('DEFAULT DATA'!$DJ$9:$DJ$41,START!$C$3,1)*AP5</f>
        <v>659.21484609552954</v>
      </c>
      <c r="AQ95" s="325">
        <f>INDEX('DEFAULT DATA'!$DJ$9:$DJ$41,START!$C$3,1)*AQ5</f>
        <v>622.95802956027535</v>
      </c>
      <c r="AR95" s="325">
        <f>INDEX('DEFAULT DATA'!$DJ$9:$DJ$41,START!$C$3,1)*AR5</f>
        <v>588.69533793446021</v>
      </c>
      <c r="AS95" s="325">
        <f>INDEX('DEFAULT DATA'!$DJ$9:$DJ$41,START!$C$3,1)*AS5</f>
        <v>556.31709434806476</v>
      </c>
      <c r="AT95" s="325">
        <f>INDEX('DEFAULT DATA'!$DJ$9:$DJ$41,START!$C$3,1)*AT5</f>
        <v>525.71965415892123</v>
      </c>
      <c r="AU95" s="325">
        <f>INDEX('DEFAULT DATA'!$DJ$9:$DJ$41,START!$C$3,1)*AU5</f>
        <v>496.80507318018056</v>
      </c>
      <c r="AV95" s="325">
        <f>INDEX('DEFAULT DATA'!$DJ$9:$DJ$41,START!$C$3,1)*AV5</f>
        <v>469.48079415527059</v>
      </c>
      <c r="AW95" s="325">
        <f>INDEX('DEFAULT DATA'!$DJ$9:$DJ$41,START!$C$3,1)*AW5</f>
        <v>443.65935047673071</v>
      </c>
      <c r="AX95" s="325">
        <f>INDEX('DEFAULT DATA'!$DJ$9:$DJ$41,START!$C$3,1)*AX5</f>
        <v>419.25808620051043</v>
      </c>
      <c r="AY95" s="325">
        <f>INDEX('DEFAULT DATA'!$DJ$9:$DJ$41,START!$C$3,1)*AY5</f>
        <v>396.1988914594823</v>
      </c>
      <c r="AZ95" s="325">
        <f>INDEX('DEFAULT DATA'!$DJ$9:$DJ$41,START!$C$3,1)*AZ5</f>
        <v>374.40795242921081</v>
      </c>
      <c r="BA95" s="326">
        <f>INDEX('DEFAULT DATA'!$DJ$9:$DJ$41,START!$C$3,1)*BA5</f>
        <v>353.81551504560423</v>
      </c>
      <c r="BC95" s="1039">
        <v>19</v>
      </c>
      <c r="BD95" s="1042" t="str">
        <f t="shared" si="81"/>
        <v>(F42/100*INDEX('DEFAULT DATA'!$GI$9:$IN$41,START!$B$3,19)/INDEX('DEFAULT DATA'!$DX$9:$DX$41,START!$B$3,1))+</v>
      </c>
      <c r="BE95" s="1056"/>
      <c r="BF95" s="1056"/>
      <c r="BG95" s="1056"/>
      <c r="BH95" s="1056"/>
      <c r="BI95" s="978"/>
      <c r="BJ95" s="978"/>
      <c r="BK95" s="978"/>
      <c r="BL95" s="1044"/>
      <c r="BM95" s="536">
        <v>42</v>
      </c>
      <c r="BN95" s="1046" t="s">
        <v>2934</v>
      </c>
    </row>
    <row r="96" spans="1:66" ht="20.100000000000001" customHeight="1" thickBot="1">
      <c r="A96" s="40"/>
      <c r="B96" s="43" t="s">
        <v>83</v>
      </c>
      <c r="C96" s="43"/>
      <c r="D96" s="43"/>
      <c r="E96" s="43"/>
      <c r="F96" s="39">
        <f>SUM(F88:F95)</f>
        <v>1507.7740187637942</v>
      </c>
      <c r="G96" s="34"/>
      <c r="H96" s="34"/>
      <c r="I96" s="37"/>
      <c r="J96" s="37"/>
      <c r="K96" s="37"/>
      <c r="L96" s="37"/>
      <c r="M96" s="37"/>
      <c r="N96" s="37"/>
      <c r="O96" s="38"/>
      <c r="P96" s="405"/>
      <c r="Q96" s="405"/>
      <c r="R96" s="405"/>
      <c r="S96" s="1078"/>
      <c r="T96" s="1078"/>
      <c r="U96" s="1078"/>
      <c r="V96" s="1078"/>
      <c r="W96" s="1078"/>
      <c r="X96" s="1078"/>
      <c r="Y96" s="1078"/>
      <c r="Z96" s="1078"/>
      <c r="AA96" s="1078"/>
      <c r="AB96" s="1078"/>
      <c r="AC96" s="1078"/>
      <c r="AD96" s="1078"/>
      <c r="AE96" s="1078"/>
      <c r="AF96" s="1078"/>
      <c r="AG96" s="1078"/>
      <c r="AH96" s="1078"/>
      <c r="AI96" s="1078"/>
      <c r="AJ96" s="1078"/>
      <c r="AK96" s="1078"/>
      <c r="AL96" s="1078"/>
      <c r="AM96" s="1078"/>
      <c r="AN96" s="1078"/>
      <c r="AO96" s="1078"/>
      <c r="AP96" s="1078"/>
      <c r="AQ96" s="1078"/>
      <c r="AR96" s="1078"/>
      <c r="AS96" s="1078"/>
      <c r="AT96" s="1078"/>
      <c r="AU96" s="1078"/>
      <c r="AV96" s="1078"/>
      <c r="AW96" s="1078"/>
      <c r="AX96" s="1078"/>
      <c r="AY96" s="1078"/>
      <c r="AZ96" s="1078"/>
      <c r="BA96" s="1078"/>
      <c r="BC96" s="1039">
        <v>20</v>
      </c>
      <c r="BD96" s="1042" t="str">
        <f t="shared" si="81"/>
        <v>(F43/100*INDEX('DEFAULT DATA'!$GI$9:$IN$41,START!$B$3,20)/INDEX('DEFAULT DATA'!$DX$9:$DX$41,START!$B$3,1))+</v>
      </c>
      <c r="BE96" s="1056"/>
      <c r="BF96" s="1056"/>
      <c r="BG96" s="1056"/>
      <c r="BH96" s="1056"/>
      <c r="BI96" s="978"/>
      <c r="BJ96" s="978"/>
      <c r="BK96" s="978"/>
      <c r="BL96" s="1044"/>
      <c r="BM96" s="536">
        <v>43</v>
      </c>
      <c r="BN96" s="1046" t="s">
        <v>2934</v>
      </c>
    </row>
    <row r="97" spans="1:66" ht="20.100000000000001" customHeight="1">
      <c r="A97" s="40"/>
      <c r="B97" s="34"/>
      <c r="C97" s="34"/>
      <c r="D97" s="34"/>
      <c r="E97" s="34"/>
      <c r="F97" s="34"/>
      <c r="G97" s="34"/>
      <c r="H97" s="34"/>
      <c r="I97" s="34"/>
      <c r="J97" s="34"/>
      <c r="K97" s="34"/>
      <c r="L97" s="37"/>
      <c r="M97" s="34"/>
      <c r="N97" s="34"/>
      <c r="O97" s="41"/>
      <c r="P97" s="1078"/>
      <c r="Q97" s="1078"/>
      <c r="R97" s="29"/>
      <c r="S97" s="468" t="s">
        <v>976</v>
      </c>
      <c r="T97" s="1089" t="s">
        <v>1200</v>
      </c>
      <c r="U97" s="1090"/>
      <c r="V97" s="1084">
        <v>2019</v>
      </c>
      <c r="W97" s="1084">
        <v>2020</v>
      </c>
      <c r="X97" s="1084">
        <v>2021</v>
      </c>
      <c r="Y97" s="1084">
        <f>X97+1</f>
        <v>2022</v>
      </c>
      <c r="Z97" s="1084">
        <f t="shared" ref="Z97:BA97" si="91">Y97+1</f>
        <v>2023</v>
      </c>
      <c r="AA97" s="1084">
        <f t="shared" si="91"/>
        <v>2024</v>
      </c>
      <c r="AB97" s="1084">
        <f t="shared" si="91"/>
        <v>2025</v>
      </c>
      <c r="AC97" s="1084">
        <f t="shared" si="91"/>
        <v>2026</v>
      </c>
      <c r="AD97" s="1084">
        <f t="shared" si="91"/>
        <v>2027</v>
      </c>
      <c r="AE97" s="1084">
        <f t="shared" si="91"/>
        <v>2028</v>
      </c>
      <c r="AF97" s="1084">
        <f t="shared" si="91"/>
        <v>2029</v>
      </c>
      <c r="AG97" s="1084">
        <f t="shared" si="91"/>
        <v>2030</v>
      </c>
      <c r="AH97" s="1084">
        <f t="shared" si="91"/>
        <v>2031</v>
      </c>
      <c r="AI97" s="1084">
        <f t="shared" si="91"/>
        <v>2032</v>
      </c>
      <c r="AJ97" s="1084">
        <f t="shared" si="91"/>
        <v>2033</v>
      </c>
      <c r="AK97" s="1084">
        <f t="shared" si="91"/>
        <v>2034</v>
      </c>
      <c r="AL97" s="1084">
        <f t="shared" si="91"/>
        <v>2035</v>
      </c>
      <c r="AM97" s="1084">
        <f t="shared" si="91"/>
        <v>2036</v>
      </c>
      <c r="AN97" s="1084">
        <f t="shared" si="91"/>
        <v>2037</v>
      </c>
      <c r="AO97" s="1084">
        <f t="shared" si="91"/>
        <v>2038</v>
      </c>
      <c r="AP97" s="1084">
        <f t="shared" si="91"/>
        <v>2039</v>
      </c>
      <c r="AQ97" s="1084">
        <f t="shared" si="91"/>
        <v>2040</v>
      </c>
      <c r="AR97" s="1084">
        <f t="shared" si="91"/>
        <v>2041</v>
      </c>
      <c r="AS97" s="1084">
        <f t="shared" si="91"/>
        <v>2042</v>
      </c>
      <c r="AT97" s="1084">
        <f t="shared" si="91"/>
        <v>2043</v>
      </c>
      <c r="AU97" s="1084">
        <f t="shared" si="91"/>
        <v>2044</v>
      </c>
      <c r="AV97" s="1084">
        <f t="shared" si="91"/>
        <v>2045</v>
      </c>
      <c r="AW97" s="1084">
        <f t="shared" si="91"/>
        <v>2046</v>
      </c>
      <c r="AX97" s="1084">
        <f t="shared" si="91"/>
        <v>2047</v>
      </c>
      <c r="AY97" s="1084">
        <f t="shared" si="91"/>
        <v>2048</v>
      </c>
      <c r="AZ97" s="1084">
        <f t="shared" si="91"/>
        <v>2049</v>
      </c>
      <c r="BA97" s="318">
        <f t="shared" si="91"/>
        <v>2050</v>
      </c>
      <c r="BC97" s="1039">
        <v>21</v>
      </c>
      <c r="BD97" s="1042" t="str">
        <f t="shared" si="81"/>
        <v>(F44/100*INDEX('DEFAULT DATA'!$GI$9:$IN$41,START!$B$3,21)/INDEX('DEFAULT DATA'!$DX$9:$DX$41,START!$B$3,1))+</v>
      </c>
      <c r="BE97" s="1056"/>
      <c r="BF97" s="1056"/>
      <c r="BG97" s="1056"/>
      <c r="BH97" s="1056"/>
      <c r="BI97" s="978"/>
      <c r="BJ97" s="978"/>
      <c r="BK97" s="978"/>
      <c r="BL97" s="1044"/>
      <c r="BM97" s="536">
        <v>44</v>
      </c>
      <c r="BN97" s="1046" t="s">
        <v>2934</v>
      </c>
    </row>
    <row r="98" spans="1:66" ht="20.100000000000001" customHeight="1" thickBot="1">
      <c r="A98" s="40"/>
      <c r="B98" s="34"/>
      <c r="C98" s="34"/>
      <c r="D98" s="34"/>
      <c r="E98" s="34"/>
      <c r="F98" s="34"/>
      <c r="G98" s="34"/>
      <c r="H98" s="34"/>
      <c r="I98" s="34"/>
      <c r="J98" s="34"/>
      <c r="K98" s="34"/>
      <c r="L98" s="37"/>
      <c r="M98" s="34"/>
      <c r="N98" s="34"/>
      <c r="O98" s="41"/>
      <c r="P98" s="1078"/>
      <c r="Q98" s="1078"/>
      <c r="R98" s="29"/>
      <c r="S98" s="470" t="s">
        <v>1205</v>
      </c>
      <c r="T98" s="782" t="s">
        <v>2972</v>
      </c>
      <c r="U98" s="512" t="s">
        <v>2969</v>
      </c>
      <c r="V98" s="368"/>
      <c r="W98" s="368"/>
      <c r="X98" s="362">
        <f>X92*X95/1000</f>
        <v>0</v>
      </c>
      <c r="Y98" s="362">
        <f>Y92*Y95/1000</f>
        <v>0</v>
      </c>
      <c r="Z98" s="362">
        <f t="shared" ref="Z98:BA98" si="92">Z92*Z95/1000</f>
        <v>0</v>
      </c>
      <c r="AA98" s="362">
        <f t="shared" si="92"/>
        <v>0</v>
      </c>
      <c r="AB98" s="362">
        <f t="shared" si="92"/>
        <v>0</v>
      </c>
      <c r="AC98" s="362">
        <f t="shared" si="92"/>
        <v>0</v>
      </c>
      <c r="AD98" s="362">
        <f t="shared" si="92"/>
        <v>0</v>
      </c>
      <c r="AE98" s="362">
        <f t="shared" si="92"/>
        <v>0</v>
      </c>
      <c r="AF98" s="362">
        <f t="shared" si="92"/>
        <v>0</v>
      </c>
      <c r="AG98" s="362">
        <f t="shared" si="92"/>
        <v>0</v>
      </c>
      <c r="AH98" s="362">
        <f t="shared" si="92"/>
        <v>0</v>
      </c>
      <c r="AI98" s="362">
        <f t="shared" si="92"/>
        <v>0</v>
      </c>
      <c r="AJ98" s="362">
        <f t="shared" si="92"/>
        <v>0</v>
      </c>
      <c r="AK98" s="362">
        <f t="shared" si="92"/>
        <v>0</v>
      </c>
      <c r="AL98" s="362">
        <f t="shared" si="92"/>
        <v>0</v>
      </c>
      <c r="AM98" s="362">
        <f t="shared" si="92"/>
        <v>0</v>
      </c>
      <c r="AN98" s="362">
        <f t="shared" si="92"/>
        <v>0</v>
      </c>
      <c r="AO98" s="362">
        <f t="shared" si="92"/>
        <v>0</v>
      </c>
      <c r="AP98" s="362">
        <f t="shared" si="92"/>
        <v>0</v>
      </c>
      <c r="AQ98" s="362">
        <f t="shared" si="92"/>
        <v>0</v>
      </c>
      <c r="AR98" s="362">
        <f t="shared" si="92"/>
        <v>0</v>
      </c>
      <c r="AS98" s="362">
        <f t="shared" si="92"/>
        <v>0</v>
      </c>
      <c r="AT98" s="362">
        <f t="shared" si="92"/>
        <v>0</v>
      </c>
      <c r="AU98" s="362">
        <f t="shared" si="92"/>
        <v>0</v>
      </c>
      <c r="AV98" s="362">
        <f t="shared" si="92"/>
        <v>0</v>
      </c>
      <c r="AW98" s="362">
        <f t="shared" si="92"/>
        <v>0</v>
      </c>
      <c r="AX98" s="362">
        <f t="shared" si="92"/>
        <v>0</v>
      </c>
      <c r="AY98" s="362">
        <f t="shared" si="92"/>
        <v>0</v>
      </c>
      <c r="AZ98" s="362">
        <f t="shared" si="92"/>
        <v>0</v>
      </c>
      <c r="BA98" s="905">
        <f t="shared" si="92"/>
        <v>0</v>
      </c>
      <c r="BC98" s="1039">
        <v>22</v>
      </c>
      <c r="BD98" s="1042" t="str">
        <f t="shared" si="81"/>
        <v>(F45/100*INDEX('DEFAULT DATA'!$GI$9:$IN$41,START!$B$3,22)/INDEX('DEFAULT DATA'!$DX$9:$DX$41,START!$B$3,1))+</v>
      </c>
      <c r="BE98" s="1056"/>
      <c r="BF98" s="1056"/>
      <c r="BG98" s="1056"/>
      <c r="BH98" s="1056"/>
      <c r="BI98" s="978"/>
      <c r="BJ98" s="978"/>
      <c r="BK98" s="978"/>
      <c r="BL98" s="1044"/>
      <c r="BM98" s="536">
        <v>45</v>
      </c>
      <c r="BN98" s="1046" t="s">
        <v>2934</v>
      </c>
    </row>
    <row r="99" spans="1:66" ht="20.100000000000001" customHeight="1">
      <c r="A99" s="40"/>
      <c r="B99" s="42"/>
      <c r="C99" s="42"/>
      <c r="D99" s="42"/>
      <c r="E99" s="42"/>
      <c r="F99" s="42"/>
      <c r="G99" s="34"/>
      <c r="H99" s="34"/>
      <c r="I99" s="34"/>
      <c r="J99" s="34"/>
      <c r="K99" s="34"/>
      <c r="L99" s="37"/>
      <c r="M99" s="34"/>
      <c r="N99" s="34"/>
      <c r="O99" s="41"/>
      <c r="P99" s="1078"/>
      <c r="Q99" s="1078"/>
      <c r="R99" s="29"/>
      <c r="BC99" s="1039">
        <v>23</v>
      </c>
      <c r="BD99" s="1042" t="str">
        <f t="shared" si="81"/>
        <v>(F46/100*INDEX('DEFAULT DATA'!$GI$9:$IN$41,START!$B$3,23)/INDEX('DEFAULT DATA'!$DX$9:$DX$41,START!$B$3,1))+</v>
      </c>
      <c r="BE99" s="1056"/>
      <c r="BF99" s="1056"/>
      <c r="BG99" s="1056"/>
      <c r="BH99" s="1056"/>
      <c r="BI99" s="978"/>
      <c r="BJ99" s="978"/>
      <c r="BK99" s="978"/>
      <c r="BL99" s="1044"/>
      <c r="BM99" s="536">
        <v>46</v>
      </c>
      <c r="BN99" s="1046" t="s">
        <v>2934</v>
      </c>
    </row>
    <row r="100" spans="1:66" ht="20.100000000000001" customHeight="1" thickBot="1">
      <c r="A100" s="40"/>
      <c r="B100" s="34"/>
      <c r="C100" s="34"/>
      <c r="D100" s="34"/>
      <c r="E100" s="34"/>
      <c r="F100" s="43"/>
      <c r="G100" s="34"/>
      <c r="H100" s="34"/>
      <c r="I100" s="199"/>
      <c r="J100" s="199"/>
      <c r="K100" s="199"/>
      <c r="L100" s="37"/>
      <c r="M100" s="199"/>
      <c r="N100" s="199"/>
      <c r="O100" s="44"/>
      <c r="P100" s="406"/>
      <c r="Q100" s="406"/>
      <c r="R100" s="406"/>
      <c r="S100" s="404" t="s">
        <v>1206</v>
      </c>
      <c r="BC100" s="1039">
        <v>24</v>
      </c>
      <c r="BD100" s="1042" t="str">
        <f t="shared" si="81"/>
        <v>(F47/100*INDEX('DEFAULT DATA'!$GI$9:$IN$41,START!$B$3,24)/INDEX('DEFAULT DATA'!$DX$9:$DX$41,START!$B$3,1))+</v>
      </c>
      <c r="BE100" s="1056"/>
      <c r="BF100" s="1056"/>
      <c r="BG100" s="1056"/>
      <c r="BH100" s="1056"/>
      <c r="BI100" s="978"/>
      <c r="BJ100" s="978"/>
      <c r="BK100" s="978"/>
      <c r="BL100" s="1044"/>
      <c r="BM100" s="536">
        <v>47</v>
      </c>
      <c r="BN100" s="1046" t="s">
        <v>2934</v>
      </c>
    </row>
    <row r="101" spans="1:66" ht="20.100000000000001" customHeight="1">
      <c r="A101" s="40"/>
      <c r="B101" s="34"/>
      <c r="C101" s="34"/>
      <c r="D101" s="34"/>
      <c r="E101" s="34"/>
      <c r="F101" s="43"/>
      <c r="G101" s="34"/>
      <c r="H101" s="34"/>
      <c r="I101" s="199"/>
      <c r="J101" s="199"/>
      <c r="K101" s="199"/>
      <c r="L101" s="37"/>
      <c r="M101" s="199"/>
      <c r="N101" s="199"/>
      <c r="O101" s="44"/>
      <c r="P101" s="406"/>
      <c r="Q101" s="406"/>
      <c r="R101" s="406"/>
      <c r="S101" s="374" t="s">
        <v>1209</v>
      </c>
      <c r="T101" s="1094" t="s">
        <v>2973</v>
      </c>
      <c r="U101" s="1095"/>
      <c r="V101" s="1084">
        <v>2019</v>
      </c>
      <c r="W101" s="1084">
        <v>2020</v>
      </c>
      <c r="X101" s="1084">
        <v>2021</v>
      </c>
      <c r="Y101" s="1084">
        <f>X101+1</f>
        <v>2022</v>
      </c>
      <c r="Z101" s="1084">
        <f t="shared" ref="Z101:BA101" si="93">Y101+1</f>
        <v>2023</v>
      </c>
      <c r="AA101" s="1084">
        <f t="shared" si="93"/>
        <v>2024</v>
      </c>
      <c r="AB101" s="1084">
        <f t="shared" si="93"/>
        <v>2025</v>
      </c>
      <c r="AC101" s="1084">
        <f t="shared" si="93"/>
        <v>2026</v>
      </c>
      <c r="AD101" s="1084">
        <f t="shared" si="93"/>
        <v>2027</v>
      </c>
      <c r="AE101" s="1084">
        <f t="shared" si="93"/>
        <v>2028</v>
      </c>
      <c r="AF101" s="1084">
        <f t="shared" si="93"/>
        <v>2029</v>
      </c>
      <c r="AG101" s="1084">
        <f t="shared" si="93"/>
        <v>2030</v>
      </c>
      <c r="AH101" s="1084">
        <f t="shared" si="93"/>
        <v>2031</v>
      </c>
      <c r="AI101" s="1084">
        <f t="shared" si="93"/>
        <v>2032</v>
      </c>
      <c r="AJ101" s="1084">
        <f t="shared" si="93"/>
        <v>2033</v>
      </c>
      <c r="AK101" s="1084">
        <f t="shared" si="93"/>
        <v>2034</v>
      </c>
      <c r="AL101" s="1084">
        <f t="shared" si="93"/>
        <v>2035</v>
      </c>
      <c r="AM101" s="1084">
        <f t="shared" si="93"/>
        <v>2036</v>
      </c>
      <c r="AN101" s="1084">
        <f t="shared" si="93"/>
        <v>2037</v>
      </c>
      <c r="AO101" s="1084">
        <f t="shared" si="93"/>
        <v>2038</v>
      </c>
      <c r="AP101" s="1084">
        <f t="shared" si="93"/>
        <v>2039</v>
      </c>
      <c r="AQ101" s="1084">
        <f t="shared" si="93"/>
        <v>2040</v>
      </c>
      <c r="AR101" s="1084">
        <f t="shared" si="93"/>
        <v>2041</v>
      </c>
      <c r="AS101" s="1084">
        <f t="shared" si="93"/>
        <v>2042</v>
      </c>
      <c r="AT101" s="1084">
        <f t="shared" si="93"/>
        <v>2043</v>
      </c>
      <c r="AU101" s="1084">
        <f t="shared" si="93"/>
        <v>2044</v>
      </c>
      <c r="AV101" s="1084">
        <f t="shared" si="93"/>
        <v>2045</v>
      </c>
      <c r="AW101" s="1084">
        <f t="shared" si="93"/>
        <v>2046</v>
      </c>
      <c r="AX101" s="1084">
        <f t="shared" si="93"/>
        <v>2047</v>
      </c>
      <c r="AY101" s="1084">
        <f t="shared" si="93"/>
        <v>2048</v>
      </c>
      <c r="AZ101" s="1084">
        <f t="shared" si="93"/>
        <v>2049</v>
      </c>
      <c r="BA101" s="318">
        <f t="shared" si="93"/>
        <v>2050</v>
      </c>
      <c r="BC101" s="1039">
        <v>25</v>
      </c>
      <c r="BD101" s="1042" t="str">
        <f t="shared" si="81"/>
        <v>(F48/100*INDEX('DEFAULT DATA'!$GI$9:$IN$41,START!$B$3,25)/INDEX('DEFAULT DATA'!$DX$9:$DX$41,START!$B$3,1))+</v>
      </c>
      <c r="BE101" s="1056"/>
      <c r="BF101" s="1056"/>
      <c r="BG101" s="1056"/>
      <c r="BH101" s="1056"/>
      <c r="BI101" s="978"/>
      <c r="BJ101" s="978"/>
      <c r="BK101" s="978"/>
      <c r="BL101" s="1044"/>
      <c r="BM101" s="536">
        <v>48</v>
      </c>
      <c r="BN101" s="1046" t="s">
        <v>2934</v>
      </c>
    </row>
    <row r="102" spans="1:66" ht="20.100000000000001" customHeight="1" thickBot="1">
      <c r="A102" s="40"/>
      <c r="B102" s="34"/>
      <c r="C102" s="34"/>
      <c r="D102" s="34"/>
      <c r="E102" s="34"/>
      <c r="F102" s="43"/>
      <c r="G102" s="34"/>
      <c r="H102" s="34"/>
      <c r="I102" s="199"/>
      <c r="J102" s="199"/>
      <c r="K102" s="199"/>
      <c r="L102" s="37"/>
      <c r="M102" s="199"/>
      <c r="N102" s="199"/>
      <c r="O102" s="44"/>
      <c r="P102" s="406"/>
      <c r="Q102" s="406"/>
      <c r="R102" s="406"/>
      <c r="S102" s="904" t="s">
        <v>1199</v>
      </c>
      <c r="T102" s="782" t="s">
        <v>2974</v>
      </c>
      <c r="U102" s="288" t="s">
        <v>2968</v>
      </c>
      <c r="V102" s="796"/>
      <c r="W102" s="320"/>
      <c r="X102" s="362">
        <f>(L25/100*INDEX('DEFAULT DATA'!$GN$9:$IS$41,START!$C$3,1)/INDEX('DEFAULT DATA'!$EC$9:$EC$41,START!$C$3,1))+(L26/100*INDEX('DEFAULT DATA'!$GN$9:$IS$41,START!$C$3,2)/INDEX('DEFAULT DATA'!$EC$9:$EC$41,START!$C$3,1))+(L27/100*INDEX('DEFAULT DATA'!$GN$9:$IS$41,START!$C$3,3)/INDEX('DEFAULT DATA'!$EC$9:$EC$41,START!$C$3,1))+(L28/100*INDEX('DEFAULT DATA'!$GN$9:$IS$41,START!$C$3,4)/INDEX('DEFAULT DATA'!$EC$9:$EC$41,START!$C$3,1))+(L29/100*INDEX('DEFAULT DATA'!$GN$9:$IS$41,START!$C$3,5)/INDEX('DEFAULT DATA'!$EC$9:$EC$41,START!$C$3,1))+(L30/100*INDEX('DEFAULT DATA'!$GN$9:$IS$41,START!$C$3,6)/INDEX('DEFAULT DATA'!$EC$9:$EC$41,START!$C$3,1))+(L31/100*INDEX('DEFAULT DATA'!$GN$9:$IS$41,START!$C$3,7)/INDEX('DEFAULT DATA'!$EC$9:$EC$41,START!$C$3,1))+(L32/100*INDEX('DEFAULT DATA'!$GN$9:$IS$41,START!$C$3,8)/INDEX('DEFAULT DATA'!$EC$9:$EC$41,START!$C$3,1))+(L33/100*INDEX('DEFAULT DATA'!$GN$9:$IS$41,START!$C$3,9)/INDEX('DEFAULT DATA'!$EC$9:$EC$41,START!$C$3,1))+(L34/100*INDEX('DEFAULT DATA'!$GN$9:$IS$41,START!$C$3,10)/INDEX('DEFAULT DATA'!$EC$9:$EC$41,START!$C$3,1))+(L35/100*INDEX('DEFAULT DATA'!$GN$9:$IS$41,START!$C$3,11)/INDEX('DEFAULT DATA'!$EC$9:$EC$41,START!$C$3,1))+(L36/100*INDEX('DEFAULT DATA'!$GN$9:$IS$41,START!$C$3,12)/INDEX('DEFAULT DATA'!$EC$9:$EC$41,START!$C$3,1))+(L37/100*INDEX('DEFAULT DATA'!$GN$9:$IS$41,START!$C$3,13)/INDEX('DEFAULT DATA'!$EC$9:$EC$41,START!$C$3,1))+(L38/100*INDEX('DEFAULT DATA'!$GN$9:$IS$41,START!$C$3,14)/INDEX('DEFAULT DATA'!$EC$9:$EC$41,START!$C$3,1))+(L39/100*INDEX('DEFAULT DATA'!$GN$9:$IS$41,START!$C$3,15)/INDEX('DEFAULT DATA'!$EC$9:$EC$41,START!$C$3,1))+(L40/100*INDEX('DEFAULT DATA'!$GN$9:$IS$41,START!$C$3,16)/INDEX('DEFAULT DATA'!$EC$9:$EC$41,START!$C$3,1))+(L41/100*INDEX('DEFAULT DATA'!$GN$9:$IS$41,START!$C$3,17)/INDEX('DEFAULT DATA'!$EC$9:$EC$41,START!$C$3,1))+(L42/100*INDEX('DEFAULT DATA'!$GN$9:$IS$41,START!$C$3,18)/INDEX('DEFAULT DATA'!$EC$9:$EC$41,START!$C$3,1))+(L43/100*INDEX('DEFAULT DATA'!$GN$9:$IS$41,START!$C$3,19)/INDEX('DEFAULT DATA'!$EC$9:$EC$41,START!$C$3,1))+(L44/100*INDEX('DEFAULT DATA'!$GN$9:$IS$41,START!$C$3,20)/INDEX('DEFAULT DATA'!$EC$9:$EC$41,START!$C$3,1))+(L45/100*INDEX('DEFAULT DATA'!$GN$9:$IS$41,START!$C$3,21)/INDEX('DEFAULT DATA'!$EC$9:$EC$41,START!$C$3,1))+(L46/100*INDEX('DEFAULT DATA'!$GN$9:$IS$41,START!$C$3,22)/INDEX('DEFAULT DATA'!$EC$9:$EC$41,START!$C$3,1))+(L47/100*INDEX('DEFAULT DATA'!$GN$9:$IS$41,START!$C$3,23)/INDEX('DEFAULT DATA'!$EC$9:$EC$41,START!$C$3,1))+(L48/100*INDEX('DEFAULT DATA'!$GN$9:$IS$41,START!$C$3,24)/INDEX('DEFAULT DATA'!$EC$9:$EC$41,START!$C$3,1))+(L49/100*INDEX('DEFAULT DATA'!$GN$9:$IS$41,START!$C$3,25)/INDEX('DEFAULT DATA'!$EC$9:$EC$41,START!$C$3,1))+(L50/100*INDEX('DEFAULT DATA'!$GN$9:$IS$41,START!$C$3,26)/INDEX('DEFAULT DATA'!$EC$9:$EC$41,START!$C$3,1))+(L51/100*INDEX('DEFAULT DATA'!$GN$9:$IS$41,START!$C$3,27)/INDEX('DEFAULT DATA'!$EC$9:$EC$41,START!$C$3,1))+(L52/100*INDEX('DEFAULT DATA'!$GN$9:$IS$41,START!$C$3,28)/INDEX('DEFAULT DATA'!$EC$9:$EC$41,START!$C$3,1))+(L53/100*INDEX('DEFAULT DATA'!$GN$9:$IS$41,START!$C$3,29)/INDEX('DEFAULT DATA'!$EC$9:$EC$41,START!$C$3,1))+(L54/100*INDEX('DEFAULT DATA'!$GN$9:$IS$41,START!$C$3,30)/INDEX('DEFAULT DATA'!$EC$9:$EC$41,START!$C$3,1))+(L55/100*INDEX('DEFAULT DATA'!$GN$9:$IS$41,START!$C$3,31)/INDEX('DEFAULT DATA'!$EC$9:$EC$41,START!$C$3,1))+(L56/100*INDEX('DEFAULT DATA'!$GN$9:$IS$41,START!$C$3,32)/INDEX('DEFAULT DATA'!$EC$9:$EC$41,START!$C$3,1))+(L57/100*INDEX('DEFAULT DATA'!$GN$9:$IS$41,START!$C$3,33)/INDEX('DEFAULT DATA'!$EC$9:$EC$41,START!$C$3,1))+(L58/100*INDEX('DEFAULT DATA'!$GN$9:$IS$41,START!$C$3,34)/INDEX('DEFAULT DATA'!$EC$9:$EC$41,START!$C$3,1))+(L59/100*INDEX('DEFAULT DATA'!$GN$9:$IS$41,START!$C$3,35)/INDEX('DEFAULT DATA'!$EC$9:$EC$41,START!$C$3,1))+(L60/100*INDEX('DEFAULT DATA'!$GN$9:$IS$41,START!$C$3,36)/INDEX('DEFAULT DATA'!$EC$9:$EC$41,START!$C$3,1))+(L61/100*INDEX('DEFAULT DATA'!$GN$9:$IS$41,START!$C$3,37)/INDEX('DEFAULT DATA'!$EC$9:$EC$41,START!$C$3,1))+(L62/100*INDEX('DEFAULT DATA'!$GN$9:$IS$41,START!$C$3,38)/INDEX('DEFAULT DATA'!$EC$9:$EC$41,START!$C$3,1))+(L63/100*INDEX('DEFAULT DATA'!$GN$9:$IS$41,START!$C$3,39)/INDEX('DEFAULT DATA'!$EC$9:$EC$41,START!$C$3,1))+(L64/100*INDEX('DEFAULT DATA'!$GN$9:$IS$41,START!$C$3,40)/INDEX('DEFAULT DATA'!$EC$9:$EC$41,START!$C$3,1))+(L65/100*INDEX('DEFAULT DATA'!$GN$9:$IS$41,START!$C$3,41)/INDEX('DEFAULT DATA'!$EC$9:$EC$41,START!$C$3,1))+(L66/100*INDEX('DEFAULT DATA'!$GN$9:$IS$41,START!$C$3,42)/INDEX('DEFAULT DATA'!$EC$9:$EC$41,START!$C$3,1))+(L67/100*INDEX('DEFAULT DATA'!$GN$9:$IS$41,START!$C$3,43)/INDEX('DEFAULT DATA'!$EC$9:$EC$41,START!$C$3,1))+(L68/100*INDEX('DEFAULT DATA'!$GN$9:$IS$41,START!$C$3,44)/INDEX('DEFAULT DATA'!$EC$9:$EC$41,START!$C$3,1))+(L69/100*INDEX('DEFAULT DATA'!$GN$9:$IS$41,START!$C$3,45)/INDEX('DEFAULT DATA'!$EC$9:$EC$41,START!$C$3,1))+(L70/100*INDEX('DEFAULT DATA'!$GN$9:$IS$41,START!$C$3,46)/INDEX('DEFAULT DATA'!$EC$9:$EC$41,START!$C$3,1))+(L71/100*INDEX('DEFAULT DATA'!$GN$9:$IS$41,START!$C$3,47)/INDEX('DEFAULT DATA'!$EC$9:$EC$41,START!$C$3,1))+(L72/100*INDEX('DEFAULT DATA'!$GN$9:$IS$41,START!$C$3,48)/INDEX('DEFAULT DATA'!$EC$9:$EC$41,START!$C$3,1))+(L73/100*INDEX('DEFAULT DATA'!$GN$9:$IS$41,START!$C$3,49)/INDEX('DEFAULT DATA'!$EC$9:$EC$41,START!$C$3,1))+(L74/100*INDEX('DEFAULT DATA'!$GN$9:$IS$41,START!$C$3,50)/INDEX('DEFAULT DATA'!$EC$9:$EC$41,START!$C$3,1))+(L75/100*INDEX('DEFAULT DATA'!$GN$9:$IS$41,START!$C$3,51)/INDEX('DEFAULT DATA'!$EC$9:$EC$41,START!$C$3,1))+(L76/100*INDEX('DEFAULT DATA'!$GN$9:$IS$41,START!$C$3,52)/INDEX('DEFAULT DATA'!$EC$9:$EC$41,START!$C$3,1))+(L77/100*INDEX('DEFAULT DATA'!$GN$9:$IS$41,START!$C$3,53)/INDEX('DEFAULT DATA'!$EC$9:$EC$41,START!$C$3,1))+(L78/100*INDEX('DEFAULT DATA'!$GN$9:$IS$41,START!$C$3,54)/INDEX('DEFAULT DATA'!$EC$9:$EC$41,START!$C$3,1))+(L79/100*INDEX('DEFAULT DATA'!$GN$9:$IS$41,START!$C$3,55)/INDEX('DEFAULT DATA'!$EC$9:$EC$41,START!$C$3,1))+(L80/100*INDEX('DEFAULT DATA'!$GN$9:$IS$41,START!$C$3,56)/INDEX('DEFAULT DATA'!$EC$9:$EC$41,START!$C$3,1))+(L81/100*INDEX('DEFAULT DATA'!$GN$9:$IS$41,START!$C$3,57)/INDEX('DEFAULT DATA'!$EC$9:$EC$41,START!$C$3,1))+(L82/100*INDEX('DEFAULT DATA'!$GN$9:$IS$41,START!$C$3,58)/INDEX('DEFAULT DATA'!$EC$9:$EC$41,START!$C$3,1))</f>
        <v>18.186702717692732</v>
      </c>
      <c r="Y102" s="362">
        <f>X102*(100+INDEX('DEFAULT DATA'!$EE$9:$EG$41,START!$C$3,1))/100</f>
        <v>18.386756447587352</v>
      </c>
      <c r="Z102" s="362">
        <f>Y102*(100+INDEX('DEFAULT DATA'!$EE$9:$EG$41,START!$C$3,1))/100</f>
        <v>18.589010768510811</v>
      </c>
      <c r="AA102" s="362">
        <f>Z102*(100+INDEX('DEFAULT DATA'!$EE$9:$EG$41,START!$C$3,1))/100</f>
        <v>18.793489886964426</v>
      </c>
      <c r="AB102" s="362">
        <f>AA102*(100+INDEX('DEFAULT DATA'!$EE$9:$EG$41,START!$C$3,1))/100</f>
        <v>19.000218275721032</v>
      </c>
      <c r="AC102" s="362">
        <f>AB102*(100+INDEX('DEFAULT DATA'!$EE$9:$EG$41,START!$C$3,1))/100</f>
        <v>19.209220676753961</v>
      </c>
      <c r="AD102" s="362">
        <f>AC102*(100+INDEX('DEFAULT DATA'!$EE$9:$EG$41,START!$C$3,1))/100</f>
        <v>19.420522104198252</v>
      </c>
      <c r="AE102" s="362">
        <f>AD102*(100+INDEX('DEFAULT DATA'!$EE$9:$EG$41,START!$C$3,1))/100</f>
        <v>19.634147847344433</v>
      </c>
      <c r="AF102" s="362">
        <f>AE102*(100+INDEX('DEFAULT DATA'!$EE$9:$EG$41,START!$C$3,1))/100</f>
        <v>19.850123473665221</v>
      </c>
      <c r="AG102" s="362">
        <f>AF102*(100+INDEX('DEFAULT DATA'!$EE$9:$EG$41,START!$C$3,1))/100</f>
        <v>20.068474831875537</v>
      </c>
      <c r="AH102" s="362">
        <f>AG102*(100+INDEX('DEFAULT DATA'!$EE$9:$EG$41,START!$C$3,2))/100</f>
        <v>20.249091105362417</v>
      </c>
      <c r="AI102" s="362">
        <f>AH102*(100+INDEX('DEFAULT DATA'!$EE$9:$EG$41,START!$C$3,2))/100</f>
        <v>20.431332925310681</v>
      </c>
      <c r="AJ102" s="362">
        <f>AI102*(100+INDEX('DEFAULT DATA'!$EE$9:$EG$41,START!$C$3,2))/100</f>
        <v>20.615214921638476</v>
      </c>
      <c r="AK102" s="362">
        <f>AJ102*(100+INDEX('DEFAULT DATA'!$EE$9:$EG$41,START!$C$3,2))/100</f>
        <v>20.800751855933221</v>
      </c>
      <c r="AL102" s="362">
        <f>AK102*(100+INDEX('DEFAULT DATA'!$EE$9:$EG$41,START!$C$3,2))/100</f>
        <v>20.987958622636619</v>
      </c>
      <c r="AM102" s="362">
        <f>AL102*(100+INDEX('DEFAULT DATA'!$EE$9:$EG$41,START!$C$3,2))/100</f>
        <v>21.176850250240349</v>
      </c>
      <c r="AN102" s="362">
        <f>AM102*(100+INDEX('DEFAULT DATA'!$EE$9:$EG$41,START!$C$3,2))/100</f>
        <v>21.367441902492516</v>
      </c>
      <c r="AO102" s="362">
        <f>AN102*(100+INDEX('DEFAULT DATA'!$EE$9:$EG$41,START!$C$3,2))/100</f>
        <v>21.559748879614951</v>
      </c>
      <c r="AP102" s="362">
        <f>AO102*(100+INDEX('DEFAULT DATA'!$EE$9:$EG$41,START!$C$3,2))/100</f>
        <v>21.753786619531489</v>
      </c>
      <c r="AQ102" s="362">
        <f>AP102*(100+INDEX('DEFAULT DATA'!$EE$9:$EG$41,START!$C$3,2))/100</f>
        <v>21.949570699107277</v>
      </c>
      <c r="AR102" s="362">
        <f>AQ102*(100+INDEX('DEFAULT DATA'!$EE$9:$EG$41,START!$C$3,3))/100</f>
        <v>22.147116835399242</v>
      </c>
      <c r="AS102" s="362">
        <f>AR102*(100+INDEX('DEFAULT DATA'!$EE$9:$EG$41,START!$C$3,3))/100</f>
        <v>22.346440886917836</v>
      </c>
      <c r="AT102" s="362">
        <f>AS102*(100+INDEX('DEFAULT DATA'!$EE$9:$EG$41,START!$C$3,3))/100</f>
        <v>22.5475588549001</v>
      </c>
      <c r="AU102" s="362">
        <f>AT102*(100+INDEX('DEFAULT DATA'!$EE$9:$EG$41,START!$C$3,3))/100</f>
        <v>22.750486884594203</v>
      </c>
      <c r="AV102" s="362">
        <f>AU102*(100+INDEX('DEFAULT DATA'!$EE$9:$EG$41,START!$C$3,3))/100</f>
        <v>22.955241266555554</v>
      </c>
      <c r="AW102" s="362">
        <f>AV102*(100+INDEX('DEFAULT DATA'!$EE$9:$EG$41,START!$C$3,3))/100</f>
        <v>23.161838437954557</v>
      </c>
      <c r="AX102" s="362">
        <f>AW102*(100+INDEX('DEFAULT DATA'!$EE$9:$EG$41,START!$C$3,3))/100</f>
        <v>23.370294983896152</v>
      </c>
      <c r="AY102" s="362">
        <f>AX102*(100+INDEX('DEFAULT DATA'!$EE$9:$EG$41,START!$C$3,3))/100</f>
        <v>23.580627638751217</v>
      </c>
      <c r="AZ102" s="362">
        <f>AY102*(100+INDEX('DEFAULT DATA'!$EE$9:$EG$41,START!$C$3,3))/100</f>
        <v>23.79285328749998</v>
      </c>
      <c r="BA102" s="905">
        <f>AZ102*(100+INDEX('DEFAULT DATA'!$EE$9:$EG$41,START!$C$3,3))/100</f>
        <v>24.00698896708748</v>
      </c>
      <c r="BC102" s="1039">
        <v>26</v>
      </c>
      <c r="BD102" s="1042" t="str">
        <f t="shared" si="81"/>
        <v>(F49/100*INDEX('DEFAULT DATA'!$GI$9:$IN$41,START!$B$3,26)/INDEX('DEFAULT DATA'!$DX$9:$DX$41,START!$B$3,1))+</v>
      </c>
      <c r="BE102" s="1056"/>
      <c r="BF102" s="1056"/>
      <c r="BG102" s="1056"/>
      <c r="BH102" s="1056"/>
      <c r="BI102" s="978"/>
      <c r="BJ102" s="978"/>
      <c r="BK102" s="978"/>
      <c r="BL102" s="1044"/>
      <c r="BM102" s="536">
        <v>49</v>
      </c>
      <c r="BN102" s="1046" t="s">
        <v>2934</v>
      </c>
    </row>
    <row r="103" spans="1:66" ht="20.100000000000001" customHeight="1" thickBot="1">
      <c r="A103" s="40"/>
      <c r="B103" s="34"/>
      <c r="C103" s="34"/>
      <c r="D103" s="34"/>
      <c r="E103" s="34"/>
      <c r="F103" s="43"/>
      <c r="G103" s="34"/>
      <c r="H103" s="34"/>
      <c r="I103" s="199"/>
      <c r="J103" s="199"/>
      <c r="K103" s="199"/>
      <c r="L103" s="37"/>
      <c r="M103" s="199"/>
      <c r="N103" s="199"/>
      <c r="O103" s="44"/>
      <c r="P103" s="406"/>
      <c r="Q103" s="406"/>
      <c r="R103" s="406"/>
      <c r="S103" s="1078"/>
      <c r="T103" s="1078"/>
      <c r="U103" s="1078"/>
      <c r="V103" s="1078"/>
      <c r="W103" s="1078"/>
      <c r="X103" s="1078"/>
      <c r="Y103" s="1078"/>
      <c r="Z103" s="1078"/>
      <c r="AA103" s="1078"/>
      <c r="AB103" s="1078"/>
      <c r="AC103" s="1078"/>
      <c r="AD103" s="1078"/>
      <c r="AE103" s="1078"/>
      <c r="AF103" s="1078"/>
      <c r="AG103" s="1078"/>
      <c r="AH103" s="1078"/>
      <c r="AI103" s="1078"/>
      <c r="AJ103" s="1078"/>
      <c r="AK103" s="1078"/>
      <c r="AL103" s="1078"/>
      <c r="AM103" s="1078"/>
      <c r="AN103" s="1078"/>
      <c r="AO103" s="1078"/>
      <c r="AP103" s="1078"/>
      <c r="AQ103" s="1078"/>
      <c r="AR103" s="1078"/>
      <c r="AS103" s="1078"/>
      <c r="AT103" s="1078"/>
      <c r="AU103" s="1078"/>
      <c r="AV103" s="1078"/>
      <c r="AW103" s="1078"/>
      <c r="AX103" s="1078"/>
      <c r="AY103" s="1078"/>
      <c r="AZ103" s="1078"/>
      <c r="BA103" s="1078"/>
      <c r="BC103" s="1039">
        <v>27</v>
      </c>
      <c r="BD103" s="1042" t="str">
        <f t="shared" si="81"/>
        <v>(F50/100*INDEX('DEFAULT DATA'!$GI$9:$IN$41,START!$B$3,27)/INDEX('DEFAULT DATA'!$DX$9:$DX$41,START!$B$3,1))+</v>
      </c>
      <c r="BE103" s="1056"/>
      <c r="BF103" s="1056"/>
      <c r="BG103" s="1056"/>
      <c r="BH103" s="1056"/>
      <c r="BI103" s="978"/>
      <c r="BJ103" s="978"/>
      <c r="BK103" s="978"/>
      <c r="BL103" s="1044"/>
      <c r="BM103" s="536">
        <v>50</v>
      </c>
      <c r="BN103" s="1046" t="s">
        <v>2934</v>
      </c>
    </row>
    <row r="104" spans="1:66" ht="20.100000000000001" customHeight="1">
      <c r="A104" s="40"/>
      <c r="B104" s="34"/>
      <c r="C104" s="34"/>
      <c r="D104" s="34"/>
      <c r="E104" s="34"/>
      <c r="F104" s="34"/>
      <c r="G104" s="34"/>
      <c r="H104" s="34"/>
      <c r="I104" s="199"/>
      <c r="J104" s="199"/>
      <c r="K104" s="199"/>
      <c r="L104" s="37"/>
      <c r="M104" s="199"/>
      <c r="N104" s="199"/>
      <c r="O104" s="44"/>
      <c r="P104" s="406"/>
      <c r="Q104" s="406"/>
      <c r="R104" s="406"/>
      <c r="S104" s="468" t="s">
        <v>2430</v>
      </c>
      <c r="T104" s="1017"/>
      <c r="U104" s="1091"/>
      <c r="V104" s="1084">
        <v>2019</v>
      </c>
      <c r="W104" s="1084">
        <v>2020</v>
      </c>
      <c r="X104" s="1084">
        <v>2021</v>
      </c>
      <c r="Y104" s="1084">
        <f>X104+1</f>
        <v>2022</v>
      </c>
      <c r="Z104" s="1084">
        <f t="shared" ref="Z104:BA104" si="94">Y104+1</f>
        <v>2023</v>
      </c>
      <c r="AA104" s="1084">
        <f t="shared" si="94"/>
        <v>2024</v>
      </c>
      <c r="AB104" s="1084">
        <f t="shared" si="94"/>
        <v>2025</v>
      </c>
      <c r="AC104" s="1084">
        <f t="shared" si="94"/>
        <v>2026</v>
      </c>
      <c r="AD104" s="1084">
        <f t="shared" si="94"/>
        <v>2027</v>
      </c>
      <c r="AE104" s="1084">
        <f t="shared" si="94"/>
        <v>2028</v>
      </c>
      <c r="AF104" s="1084">
        <f t="shared" si="94"/>
        <v>2029</v>
      </c>
      <c r="AG104" s="1084">
        <f t="shared" si="94"/>
        <v>2030</v>
      </c>
      <c r="AH104" s="1084">
        <f t="shared" si="94"/>
        <v>2031</v>
      </c>
      <c r="AI104" s="1084">
        <f t="shared" si="94"/>
        <v>2032</v>
      </c>
      <c r="AJ104" s="1084">
        <f t="shared" si="94"/>
        <v>2033</v>
      </c>
      <c r="AK104" s="1084">
        <f t="shared" si="94"/>
        <v>2034</v>
      </c>
      <c r="AL104" s="1084">
        <f t="shared" si="94"/>
        <v>2035</v>
      </c>
      <c r="AM104" s="1084">
        <f t="shared" si="94"/>
        <v>2036</v>
      </c>
      <c r="AN104" s="1084">
        <f t="shared" si="94"/>
        <v>2037</v>
      </c>
      <c r="AO104" s="1084">
        <f t="shared" si="94"/>
        <v>2038</v>
      </c>
      <c r="AP104" s="1084">
        <f t="shared" si="94"/>
        <v>2039</v>
      </c>
      <c r="AQ104" s="1084">
        <f t="shared" si="94"/>
        <v>2040</v>
      </c>
      <c r="AR104" s="1084">
        <f t="shared" si="94"/>
        <v>2041</v>
      </c>
      <c r="AS104" s="1084">
        <f t="shared" si="94"/>
        <v>2042</v>
      </c>
      <c r="AT104" s="1084">
        <f t="shared" si="94"/>
        <v>2043</v>
      </c>
      <c r="AU104" s="1084">
        <f t="shared" si="94"/>
        <v>2044</v>
      </c>
      <c r="AV104" s="1084">
        <f t="shared" si="94"/>
        <v>2045</v>
      </c>
      <c r="AW104" s="1084">
        <f t="shared" si="94"/>
        <v>2046</v>
      </c>
      <c r="AX104" s="1084">
        <f t="shared" si="94"/>
        <v>2047</v>
      </c>
      <c r="AY104" s="1084">
        <f t="shared" si="94"/>
        <v>2048</v>
      </c>
      <c r="AZ104" s="1084">
        <f t="shared" si="94"/>
        <v>2049</v>
      </c>
      <c r="BA104" s="318">
        <f t="shared" si="94"/>
        <v>2050</v>
      </c>
      <c r="BC104" s="1039">
        <v>28</v>
      </c>
      <c r="BD104" s="1042" t="str">
        <f t="shared" si="81"/>
        <v>(F51/100*INDEX('DEFAULT DATA'!$GI$9:$IN$41,START!$B$3,28)/INDEX('DEFAULT DATA'!$DX$9:$DX$41,START!$B$3,1))+</v>
      </c>
      <c r="BE104" s="1056"/>
      <c r="BF104" s="1056"/>
      <c r="BG104" s="1056"/>
      <c r="BH104" s="1056"/>
      <c r="BI104" s="978"/>
      <c r="BJ104" s="978"/>
      <c r="BK104" s="978"/>
      <c r="BL104" s="1044"/>
      <c r="BM104" s="536">
        <v>51</v>
      </c>
      <c r="BN104" s="1046" t="s">
        <v>2934</v>
      </c>
    </row>
    <row r="105" spans="1:66" ht="20.100000000000001" customHeight="1" thickBot="1">
      <c r="A105" s="40"/>
      <c r="B105" s="34"/>
      <c r="C105" s="34"/>
      <c r="D105" s="34"/>
      <c r="E105" s="34"/>
      <c r="F105" s="43"/>
      <c r="G105" s="34"/>
      <c r="H105" s="34"/>
      <c r="I105" s="199"/>
      <c r="J105" s="199"/>
      <c r="K105" s="199"/>
      <c r="L105" s="37"/>
      <c r="M105" s="199"/>
      <c r="N105" s="199"/>
      <c r="O105" s="44"/>
      <c r="P105" s="406"/>
      <c r="Q105" s="406"/>
      <c r="R105" s="406"/>
      <c r="S105" s="470"/>
      <c r="T105" s="1036" t="s">
        <v>2437</v>
      </c>
      <c r="U105" s="512" t="s">
        <v>1202</v>
      </c>
      <c r="V105" s="368"/>
      <c r="W105" s="368"/>
      <c r="X105" s="325">
        <f>INDEX('DEFAULT DATA'!$ED$9:$ED$41,START!$C$3,1)*X5</f>
        <v>500.27950310559004</v>
      </c>
      <c r="Y105" s="325">
        <f>INDEX('DEFAULT DATA'!$ED$9:$ED$41,START!$C$3,1)*Y5</f>
        <v>495.27670807453421</v>
      </c>
      <c r="Z105" s="325">
        <f>INDEX('DEFAULT DATA'!$ED$9:$ED$41,START!$C$3,1)*Z5</f>
        <v>490.32394099378882</v>
      </c>
      <c r="AA105" s="325">
        <f>INDEX('DEFAULT DATA'!$ED$9:$ED$41,START!$C$3,1)*AA5</f>
        <v>485.42070158385093</v>
      </c>
      <c r="AB105" s="325">
        <f>INDEX('DEFAULT DATA'!$ED$9:$ED$41,START!$C$3,1)*AB5</f>
        <v>480.56649456801244</v>
      </c>
      <c r="AC105" s="325">
        <f>INDEX('DEFAULT DATA'!$ED$9:$ED$41,START!$C$3,1)*AC5</f>
        <v>475.76082962233227</v>
      </c>
      <c r="AD105" s="325">
        <f>INDEX('DEFAULT DATA'!$ED$9:$ED$41,START!$C$3,1)*AD5</f>
        <v>471.00322132610899</v>
      </c>
      <c r="AE105" s="325">
        <f>INDEX('DEFAULT DATA'!$ED$9:$ED$41,START!$C$3,1)*AE5</f>
        <v>466.29318911284793</v>
      </c>
      <c r="AF105" s="325">
        <f>INDEX('DEFAULT DATA'!$ED$9:$ED$41,START!$C$3,1)*AF5</f>
        <v>461.63025722171943</v>
      </c>
      <c r="AG105" s="325">
        <f>INDEX('DEFAULT DATA'!$ED$9:$ED$41,START!$C$3,1)*AG5</f>
        <v>457.01395464950224</v>
      </c>
      <c r="AH105" s="325">
        <f>INDEX('DEFAULT DATA'!$ED$9:$ED$41,START!$C$3,1)*AH5</f>
        <v>431.8781871437796</v>
      </c>
      <c r="AI105" s="325">
        <f>INDEX('DEFAULT DATA'!$ED$9:$ED$41,START!$C$3,1)*AI5</f>
        <v>408.12488685087175</v>
      </c>
      <c r="AJ105" s="325">
        <f>INDEX('DEFAULT DATA'!$ED$9:$ED$41,START!$C$3,1)*AJ5</f>
        <v>385.67801807407375</v>
      </c>
      <c r="AK105" s="325">
        <f>INDEX('DEFAULT DATA'!$ED$9:$ED$41,START!$C$3,1)*AK5</f>
        <v>364.46572707999968</v>
      </c>
      <c r="AL105" s="325">
        <f>INDEX('DEFAULT DATA'!$ED$9:$ED$41,START!$C$3,1)*AL5</f>
        <v>344.42011209059967</v>
      </c>
      <c r="AM105" s="325">
        <f>INDEX('DEFAULT DATA'!$ED$9:$ED$41,START!$C$3,1)*AM5</f>
        <v>325.47700592561671</v>
      </c>
      <c r="AN105" s="325">
        <f>INDEX('DEFAULT DATA'!$ED$9:$ED$41,START!$C$3,1)*AN5</f>
        <v>307.57577059970777</v>
      </c>
      <c r="AO105" s="325">
        <f>INDEX('DEFAULT DATA'!$ED$9:$ED$41,START!$C$3,1)*AO5</f>
        <v>290.65910321672379</v>
      </c>
      <c r="AP105" s="325">
        <f>INDEX('DEFAULT DATA'!$ED$9:$ED$41,START!$C$3,1)*AP5</f>
        <v>274.67285253980396</v>
      </c>
      <c r="AQ105" s="325">
        <f>INDEX('DEFAULT DATA'!$ED$9:$ED$41,START!$C$3,1)*AQ5</f>
        <v>259.56584565011474</v>
      </c>
      <c r="AR105" s="325">
        <f>INDEX('DEFAULT DATA'!$ED$9:$ED$41,START!$C$3,1)*AR5</f>
        <v>245.28972413935838</v>
      </c>
      <c r="AS105" s="325">
        <f>INDEX('DEFAULT DATA'!$ED$9:$ED$41,START!$C$3,1)*AS5</f>
        <v>231.79878931169367</v>
      </c>
      <c r="AT105" s="325">
        <f>INDEX('DEFAULT DATA'!$ED$9:$ED$41,START!$C$3,1)*AT5</f>
        <v>219.04985589955049</v>
      </c>
      <c r="AU105" s="325">
        <f>INDEX('DEFAULT DATA'!$ED$9:$ED$41,START!$C$3,1)*AU5</f>
        <v>207.00211382507521</v>
      </c>
      <c r="AV105" s="325">
        <f>INDEX('DEFAULT DATA'!$ED$9:$ED$41,START!$C$3,1)*AV5</f>
        <v>195.61699756469608</v>
      </c>
      <c r="AW105" s="325">
        <f>INDEX('DEFAULT DATA'!$ED$9:$ED$41,START!$C$3,1)*AW5</f>
        <v>184.85806269863781</v>
      </c>
      <c r="AX105" s="325">
        <f>INDEX('DEFAULT DATA'!$ED$9:$ED$41,START!$C$3,1)*AX5</f>
        <v>174.6908692502127</v>
      </c>
      <c r="AY105" s="325">
        <f>INDEX('DEFAULT DATA'!$ED$9:$ED$41,START!$C$3,1)*AY5</f>
        <v>165.08287144145098</v>
      </c>
      <c r="AZ105" s="325">
        <f>INDEX('DEFAULT DATA'!$ED$9:$ED$41,START!$C$3,1)*AZ5</f>
        <v>156.00331351217116</v>
      </c>
      <c r="BA105" s="325">
        <f>INDEX('DEFAULT DATA'!$ED$9:$ED$41,START!$C$3,1)*BA5</f>
        <v>147.42313126900174</v>
      </c>
      <c r="BC105" s="1039">
        <v>29</v>
      </c>
      <c r="BD105" s="1042" t="str">
        <f t="shared" si="81"/>
        <v>(F52/100*INDEX('DEFAULT DATA'!$GI$9:$IN$41,START!$B$3,29)/INDEX('DEFAULT DATA'!$DX$9:$DX$41,START!$B$3,1))+</v>
      </c>
      <c r="BE105" s="1056"/>
      <c r="BF105" s="1056"/>
      <c r="BG105" s="1056"/>
      <c r="BH105" s="1056"/>
      <c r="BI105" s="978"/>
      <c r="BJ105" s="978"/>
      <c r="BK105" s="978"/>
      <c r="BL105" s="1044"/>
      <c r="BM105" s="536">
        <v>52</v>
      </c>
      <c r="BN105" s="1046" t="s">
        <v>2934</v>
      </c>
    </row>
    <row r="106" spans="1:66" ht="20.100000000000001" customHeight="1" thickBot="1">
      <c r="A106" s="40"/>
      <c r="B106" s="34"/>
      <c r="C106" s="34"/>
      <c r="D106" s="34"/>
      <c r="E106" s="34"/>
      <c r="F106" s="43"/>
      <c r="G106" s="34"/>
      <c r="H106" s="34"/>
      <c r="I106" s="200"/>
      <c r="J106" s="200"/>
      <c r="K106" s="200"/>
      <c r="L106" s="37"/>
      <c r="M106" s="200"/>
      <c r="N106" s="200"/>
      <c r="O106" s="45"/>
      <c r="P106" s="407"/>
      <c r="Q106" s="407"/>
      <c r="R106" s="407"/>
      <c r="S106" s="1078"/>
      <c r="T106" s="1078"/>
      <c r="U106" s="1078"/>
      <c r="V106" s="1078"/>
      <c r="W106" s="1078"/>
      <c r="X106" s="1078"/>
      <c r="Y106" s="1078"/>
      <c r="Z106" s="1078"/>
      <c r="AA106" s="1078"/>
      <c r="AB106" s="1078"/>
      <c r="AC106" s="1078"/>
      <c r="AD106" s="1078"/>
      <c r="AE106" s="1078"/>
      <c r="AF106" s="1078"/>
      <c r="AG106" s="1078"/>
      <c r="AH106" s="1078"/>
      <c r="AI106" s="1078"/>
      <c r="AJ106" s="1078"/>
      <c r="AK106" s="1078"/>
      <c r="AL106" s="1078"/>
      <c r="AM106" s="1078"/>
      <c r="AN106" s="1078"/>
      <c r="AO106" s="1078"/>
      <c r="AP106" s="1078"/>
      <c r="AQ106" s="1078"/>
      <c r="AR106" s="1078"/>
      <c r="AS106" s="1078"/>
      <c r="AT106" s="1078"/>
      <c r="AU106" s="1078"/>
      <c r="AV106" s="1078"/>
      <c r="AW106" s="1078"/>
      <c r="AX106" s="1078"/>
      <c r="AY106" s="1078"/>
      <c r="AZ106" s="1078"/>
      <c r="BA106" s="1078"/>
      <c r="BC106" s="1039">
        <v>30</v>
      </c>
      <c r="BD106" s="1042" t="str">
        <f t="shared" si="81"/>
        <v>(F53/100*INDEX('DEFAULT DATA'!$GI$9:$IN$41,START!$B$3,30)/INDEX('DEFAULT DATA'!$DX$9:$DX$41,START!$B$3,1))+</v>
      </c>
      <c r="BE106" s="1056"/>
      <c r="BF106" s="1056"/>
      <c r="BG106" s="1056"/>
      <c r="BH106" s="1056"/>
      <c r="BI106" s="978"/>
      <c r="BJ106" s="978"/>
      <c r="BK106" s="978"/>
      <c r="BL106" s="1044"/>
      <c r="BM106" s="536">
        <v>53</v>
      </c>
      <c r="BN106" s="1046" t="s">
        <v>2934</v>
      </c>
    </row>
    <row r="107" spans="1:66" ht="20.100000000000001" customHeight="1">
      <c r="A107" s="40"/>
      <c r="B107" s="34"/>
      <c r="C107" s="34"/>
      <c r="D107" s="34"/>
      <c r="E107" s="34"/>
      <c r="F107" s="43"/>
      <c r="G107" s="34"/>
      <c r="H107" s="34"/>
      <c r="I107" s="199"/>
      <c r="J107" s="199"/>
      <c r="K107" s="199"/>
      <c r="L107" s="37"/>
      <c r="M107" s="199"/>
      <c r="N107" s="199"/>
      <c r="O107" s="44"/>
      <c r="P107" s="406"/>
      <c r="Q107" s="406"/>
      <c r="R107" s="406"/>
      <c r="S107" s="468" t="s">
        <v>976</v>
      </c>
      <c r="T107" s="1089" t="s">
        <v>1200</v>
      </c>
      <c r="U107" s="908"/>
      <c r="V107" s="1084">
        <v>2019</v>
      </c>
      <c r="W107" s="1084">
        <v>2020</v>
      </c>
      <c r="X107" s="1084">
        <v>2021</v>
      </c>
      <c r="Y107" s="1084">
        <f>X107+1</f>
        <v>2022</v>
      </c>
      <c r="Z107" s="1084">
        <f t="shared" ref="Z107:BA107" si="95">Y107+1</f>
        <v>2023</v>
      </c>
      <c r="AA107" s="1084">
        <f t="shared" si="95"/>
        <v>2024</v>
      </c>
      <c r="AB107" s="1084">
        <f t="shared" si="95"/>
        <v>2025</v>
      </c>
      <c r="AC107" s="1084">
        <f t="shared" si="95"/>
        <v>2026</v>
      </c>
      <c r="AD107" s="1084">
        <f t="shared" si="95"/>
        <v>2027</v>
      </c>
      <c r="AE107" s="1084">
        <f t="shared" si="95"/>
        <v>2028</v>
      </c>
      <c r="AF107" s="1084">
        <f t="shared" si="95"/>
        <v>2029</v>
      </c>
      <c r="AG107" s="1084">
        <f t="shared" si="95"/>
        <v>2030</v>
      </c>
      <c r="AH107" s="1084">
        <f t="shared" si="95"/>
        <v>2031</v>
      </c>
      <c r="AI107" s="1084">
        <f t="shared" si="95"/>
        <v>2032</v>
      </c>
      <c r="AJ107" s="1084">
        <f t="shared" si="95"/>
        <v>2033</v>
      </c>
      <c r="AK107" s="1084">
        <f t="shared" si="95"/>
        <v>2034</v>
      </c>
      <c r="AL107" s="1084">
        <f t="shared" si="95"/>
        <v>2035</v>
      </c>
      <c r="AM107" s="1084">
        <f t="shared" si="95"/>
        <v>2036</v>
      </c>
      <c r="AN107" s="1084">
        <f t="shared" si="95"/>
        <v>2037</v>
      </c>
      <c r="AO107" s="1084">
        <f t="shared" si="95"/>
        <v>2038</v>
      </c>
      <c r="AP107" s="1084">
        <f t="shared" si="95"/>
        <v>2039</v>
      </c>
      <c r="AQ107" s="1084">
        <f t="shared" si="95"/>
        <v>2040</v>
      </c>
      <c r="AR107" s="1084">
        <f t="shared" si="95"/>
        <v>2041</v>
      </c>
      <c r="AS107" s="1084">
        <f t="shared" si="95"/>
        <v>2042</v>
      </c>
      <c r="AT107" s="1084">
        <f t="shared" si="95"/>
        <v>2043</v>
      </c>
      <c r="AU107" s="1084">
        <f t="shared" si="95"/>
        <v>2044</v>
      </c>
      <c r="AV107" s="1084">
        <f t="shared" si="95"/>
        <v>2045</v>
      </c>
      <c r="AW107" s="1084">
        <f t="shared" si="95"/>
        <v>2046</v>
      </c>
      <c r="AX107" s="1084">
        <f t="shared" si="95"/>
        <v>2047</v>
      </c>
      <c r="AY107" s="1084">
        <f t="shared" si="95"/>
        <v>2048</v>
      </c>
      <c r="AZ107" s="1084">
        <f t="shared" si="95"/>
        <v>2049</v>
      </c>
      <c r="BA107" s="318">
        <f t="shared" si="95"/>
        <v>2050</v>
      </c>
      <c r="BC107" s="1039">
        <v>31</v>
      </c>
      <c r="BD107" s="1042" t="str">
        <f t="shared" si="81"/>
        <v>(F54/100*INDEX('DEFAULT DATA'!$GI$9:$IN$41,START!$B$3,31)/INDEX('DEFAULT DATA'!$DX$9:$DX$41,START!$B$3,1))+</v>
      </c>
      <c r="BE107" s="1056"/>
      <c r="BF107" s="1056"/>
      <c r="BG107" s="1056"/>
      <c r="BH107" s="1056"/>
      <c r="BI107" s="978"/>
      <c r="BJ107" s="978"/>
      <c r="BK107" s="978"/>
      <c r="BL107" s="1044"/>
      <c r="BM107" s="536">
        <v>54</v>
      </c>
      <c r="BN107" s="1046" t="s">
        <v>2934</v>
      </c>
    </row>
    <row r="108" spans="1:66" ht="20.100000000000001" customHeight="1" thickBot="1">
      <c r="A108" s="40"/>
      <c r="B108" s="34"/>
      <c r="C108" s="34"/>
      <c r="D108" s="34"/>
      <c r="E108" s="34"/>
      <c r="F108" s="43"/>
      <c r="G108" s="34"/>
      <c r="H108" s="34"/>
      <c r="I108" s="200"/>
      <c r="J108" s="200"/>
      <c r="K108" s="200"/>
      <c r="L108" s="37"/>
      <c r="M108" s="200"/>
      <c r="N108" s="200"/>
      <c r="O108" s="45"/>
      <c r="P108" s="407"/>
      <c r="Q108" s="407"/>
      <c r="R108" s="407"/>
      <c r="S108" s="470" t="s">
        <v>1210</v>
      </c>
      <c r="T108" s="909" t="s">
        <v>2975</v>
      </c>
      <c r="U108" s="512" t="s">
        <v>2969</v>
      </c>
      <c r="V108" s="512"/>
      <c r="W108" s="368"/>
      <c r="X108" s="325">
        <f t="shared" ref="X108:BA108" si="96">X102*X105/1000</f>
        <v>9.0984345987364055</v>
      </c>
      <c r="Y108" s="362">
        <f t="shared" si="96"/>
        <v>9.1065322055292803</v>
      </c>
      <c r="Z108" s="362">
        <f t="shared" si="96"/>
        <v>9.1146370191921999</v>
      </c>
      <c r="AA108" s="362">
        <f t="shared" si="96"/>
        <v>9.1227490461392797</v>
      </c>
      <c r="AB108" s="362">
        <f t="shared" si="96"/>
        <v>9.1308682927903426</v>
      </c>
      <c r="AC108" s="362">
        <f t="shared" si="96"/>
        <v>9.1389947655709243</v>
      </c>
      <c r="AD108" s="362">
        <f t="shared" si="96"/>
        <v>9.1471284709122802</v>
      </c>
      <c r="AE108" s="362">
        <f t="shared" si="96"/>
        <v>9.1552694152513947</v>
      </c>
      <c r="AF108" s="362">
        <f t="shared" si="96"/>
        <v>9.1634176050309666</v>
      </c>
      <c r="AG108" s="362">
        <f t="shared" si="96"/>
        <v>9.1715730466994447</v>
      </c>
      <c r="AH108" s="362">
        <f t="shared" si="96"/>
        <v>8.7451407578931519</v>
      </c>
      <c r="AI108" s="362">
        <f t="shared" si="96"/>
        <v>8.3385354383549135</v>
      </c>
      <c r="AJ108" s="362">
        <f t="shared" si="96"/>
        <v>7.9508352331485987</v>
      </c>
      <c r="AK108" s="362">
        <f t="shared" si="96"/>
        <v>7.5811611489833544</v>
      </c>
      <c r="AL108" s="362">
        <f t="shared" si="96"/>
        <v>7.2286750613613719</v>
      </c>
      <c r="AM108" s="362">
        <f t="shared" si="96"/>
        <v>6.892577814383376</v>
      </c>
      <c r="AN108" s="362">
        <f t="shared" si="96"/>
        <v>6.5721074089036211</v>
      </c>
      <c r="AO108" s="362">
        <f t="shared" si="96"/>
        <v>6.2665372749266472</v>
      </c>
      <c r="AP108" s="362">
        <f t="shared" si="96"/>
        <v>5.9751746243289325</v>
      </c>
      <c r="AQ108" s="362">
        <f t="shared" si="96"/>
        <v>5.6973588801707598</v>
      </c>
      <c r="AR108" s="362">
        <f t="shared" si="96"/>
        <v>5.4324601790372196</v>
      </c>
      <c r="AS108" s="362">
        <f t="shared" si="96"/>
        <v>5.1798779430128841</v>
      </c>
      <c r="AT108" s="362">
        <f t="shared" si="96"/>
        <v>4.9390395180524997</v>
      </c>
      <c r="AU108" s="362">
        <f t="shared" si="96"/>
        <v>4.70939887566065</v>
      </c>
      <c r="AV108" s="362">
        <f t="shared" si="96"/>
        <v>4.4904353749368084</v>
      </c>
      <c r="AW108" s="362">
        <f t="shared" si="96"/>
        <v>4.2816525821791229</v>
      </c>
      <c r="AX108" s="362">
        <f t="shared" si="96"/>
        <v>4.0825771453707045</v>
      </c>
      <c r="AY108" s="362">
        <f t="shared" si="96"/>
        <v>3.892757720996693</v>
      </c>
      <c r="AZ108" s="362">
        <f t="shared" si="96"/>
        <v>3.7117639507589515</v>
      </c>
      <c r="BA108" s="905">
        <f t="shared" si="96"/>
        <v>3.5391854858684142</v>
      </c>
      <c r="BC108" s="1039">
        <v>32</v>
      </c>
      <c r="BD108" s="1042" t="str">
        <f t="shared" si="81"/>
        <v>(F55/100*INDEX('DEFAULT DATA'!$GI$9:$IN$41,START!$B$3,32)/INDEX('DEFAULT DATA'!$DX$9:$DX$41,START!$B$3,1))+</v>
      </c>
      <c r="BE108" s="1056"/>
      <c r="BF108" s="1056"/>
      <c r="BG108" s="1056"/>
      <c r="BH108" s="1056"/>
      <c r="BI108" s="978"/>
      <c r="BJ108" s="978"/>
      <c r="BK108" s="978"/>
      <c r="BL108" s="1044"/>
      <c r="BM108" s="536">
        <v>55</v>
      </c>
      <c r="BN108" s="1046" t="s">
        <v>2934</v>
      </c>
    </row>
    <row r="109" spans="1:66" ht="20.100000000000001" customHeight="1">
      <c r="A109" s="40"/>
      <c r="B109" s="34"/>
      <c r="C109" s="34"/>
      <c r="D109" s="34"/>
      <c r="E109" s="34"/>
      <c r="F109" s="43"/>
      <c r="G109" s="34"/>
      <c r="H109" s="34"/>
      <c r="I109" s="199"/>
      <c r="J109" s="199"/>
      <c r="K109" s="199"/>
      <c r="L109" s="37"/>
      <c r="M109" s="199"/>
      <c r="N109" s="199"/>
      <c r="O109" s="44"/>
      <c r="P109" s="406"/>
      <c r="Q109" s="406"/>
      <c r="R109" s="406"/>
      <c r="BC109" s="1039">
        <v>33</v>
      </c>
      <c r="BD109" s="1042" t="str">
        <f t="shared" si="81"/>
        <v>(F56/100*INDEX('DEFAULT DATA'!$GI$9:$IN$41,START!$B$3,33)/INDEX('DEFAULT DATA'!$DX$9:$DX$41,START!$B$3,1))+</v>
      </c>
      <c r="BE109" s="1056"/>
      <c r="BF109" s="1056"/>
      <c r="BG109" s="1056"/>
      <c r="BH109" s="1056"/>
      <c r="BI109" s="978"/>
      <c r="BJ109" s="978"/>
      <c r="BK109" s="978"/>
      <c r="BL109" s="1044"/>
      <c r="BM109" s="536">
        <v>56</v>
      </c>
      <c r="BN109" s="1046" t="s">
        <v>2934</v>
      </c>
    </row>
    <row r="110" spans="1:66" ht="20.100000000000001" customHeight="1" thickBot="1">
      <c r="A110" s="40"/>
      <c r="B110" s="34"/>
      <c r="C110" s="34"/>
      <c r="D110" s="34"/>
      <c r="E110" s="34"/>
      <c r="F110" s="43"/>
      <c r="G110" s="34"/>
      <c r="H110" s="34"/>
      <c r="I110" s="200"/>
      <c r="J110" s="200"/>
      <c r="K110" s="200"/>
      <c r="L110" s="37"/>
      <c r="M110" s="200"/>
      <c r="N110" s="200"/>
      <c r="O110" s="45"/>
      <c r="P110" s="407"/>
      <c r="Q110" s="407"/>
      <c r="R110" s="407"/>
      <c r="S110" s="404" t="s">
        <v>1211</v>
      </c>
      <c r="BC110" s="1039">
        <v>34</v>
      </c>
      <c r="BD110" s="1042" t="str">
        <f t="shared" si="81"/>
        <v>(F57/100*INDEX('DEFAULT DATA'!$GI$9:$IN$41,START!$B$3,34)/INDEX('DEFAULT DATA'!$DX$9:$DX$41,START!$B$3,1))+</v>
      </c>
      <c r="BE110" s="1056"/>
      <c r="BF110" s="1056"/>
      <c r="BG110" s="1056"/>
      <c r="BH110" s="1056"/>
      <c r="BI110" s="978"/>
      <c r="BJ110" s="978"/>
      <c r="BK110" s="978"/>
      <c r="BL110" s="1044"/>
      <c r="BM110" s="536">
        <v>57</v>
      </c>
      <c r="BN110" s="1046" t="s">
        <v>2934</v>
      </c>
    </row>
    <row r="111" spans="1:66" ht="20.100000000000001" customHeight="1">
      <c r="A111" s="40"/>
      <c r="B111" s="34"/>
      <c r="C111" s="34"/>
      <c r="D111" s="34"/>
      <c r="E111" s="34"/>
      <c r="F111" s="43"/>
      <c r="G111" s="34"/>
      <c r="H111" s="34"/>
      <c r="I111" s="199"/>
      <c r="J111" s="199"/>
      <c r="K111" s="199"/>
      <c r="L111" s="37"/>
      <c r="M111" s="199"/>
      <c r="N111" s="199"/>
      <c r="O111" s="44"/>
      <c r="P111" s="406"/>
      <c r="Q111" s="406"/>
      <c r="R111" s="406"/>
      <c r="S111" s="1085" t="s">
        <v>1212</v>
      </c>
      <c r="T111" s="1081" t="s">
        <v>1213</v>
      </c>
      <c r="U111" s="1082"/>
      <c r="V111" s="1101">
        <v>2019</v>
      </c>
      <c r="W111" s="1101">
        <v>2020</v>
      </c>
      <c r="X111" s="1101">
        <v>2021</v>
      </c>
      <c r="Y111" s="1101">
        <f>X111+1</f>
        <v>2022</v>
      </c>
      <c r="Z111" s="1101">
        <f t="shared" ref="Z111:BA111" si="97">Y111+1</f>
        <v>2023</v>
      </c>
      <c r="AA111" s="1101">
        <f t="shared" si="97"/>
        <v>2024</v>
      </c>
      <c r="AB111" s="1101">
        <f t="shared" si="97"/>
        <v>2025</v>
      </c>
      <c r="AC111" s="1101">
        <f t="shared" si="97"/>
        <v>2026</v>
      </c>
      <c r="AD111" s="1101">
        <f t="shared" si="97"/>
        <v>2027</v>
      </c>
      <c r="AE111" s="1101">
        <f t="shared" si="97"/>
        <v>2028</v>
      </c>
      <c r="AF111" s="1101">
        <f t="shared" si="97"/>
        <v>2029</v>
      </c>
      <c r="AG111" s="1101">
        <f t="shared" si="97"/>
        <v>2030</v>
      </c>
      <c r="AH111" s="1101">
        <f t="shared" si="97"/>
        <v>2031</v>
      </c>
      <c r="AI111" s="1101">
        <f t="shared" si="97"/>
        <v>2032</v>
      </c>
      <c r="AJ111" s="1101">
        <f t="shared" si="97"/>
        <v>2033</v>
      </c>
      <c r="AK111" s="1101">
        <f t="shared" si="97"/>
        <v>2034</v>
      </c>
      <c r="AL111" s="1101">
        <f t="shared" si="97"/>
        <v>2035</v>
      </c>
      <c r="AM111" s="1101">
        <f t="shared" si="97"/>
        <v>2036</v>
      </c>
      <c r="AN111" s="1101">
        <f t="shared" si="97"/>
        <v>2037</v>
      </c>
      <c r="AO111" s="1101">
        <f t="shared" si="97"/>
        <v>2038</v>
      </c>
      <c r="AP111" s="1101">
        <f t="shared" si="97"/>
        <v>2039</v>
      </c>
      <c r="AQ111" s="1101">
        <f t="shared" si="97"/>
        <v>2040</v>
      </c>
      <c r="AR111" s="1101">
        <f t="shared" si="97"/>
        <v>2041</v>
      </c>
      <c r="AS111" s="1101">
        <f t="shared" si="97"/>
        <v>2042</v>
      </c>
      <c r="AT111" s="1101">
        <f t="shared" si="97"/>
        <v>2043</v>
      </c>
      <c r="AU111" s="1101">
        <f t="shared" si="97"/>
        <v>2044</v>
      </c>
      <c r="AV111" s="1101">
        <f t="shared" si="97"/>
        <v>2045</v>
      </c>
      <c r="AW111" s="1101">
        <f t="shared" si="97"/>
        <v>2046</v>
      </c>
      <c r="AX111" s="1101">
        <f t="shared" si="97"/>
        <v>2047</v>
      </c>
      <c r="AY111" s="1101">
        <f t="shared" si="97"/>
        <v>2048</v>
      </c>
      <c r="AZ111" s="1101">
        <f t="shared" si="97"/>
        <v>2049</v>
      </c>
      <c r="BA111" s="318">
        <f t="shared" si="97"/>
        <v>2050</v>
      </c>
      <c r="BC111" s="1039">
        <v>35</v>
      </c>
      <c r="BD111" s="1042" t="str">
        <f t="shared" si="81"/>
        <v>(F58/100*INDEX('DEFAULT DATA'!$GI$9:$IN$41,START!$B$3,35)/INDEX('DEFAULT DATA'!$DX$9:$DX$41,START!$B$3,1))+</v>
      </c>
      <c r="BE111" s="1056"/>
      <c r="BF111" s="1056"/>
      <c r="BG111" s="1056"/>
      <c r="BH111" s="1056"/>
      <c r="BI111" s="978"/>
      <c r="BJ111" s="978"/>
      <c r="BK111" s="978"/>
      <c r="BL111" s="1044"/>
      <c r="BM111" s="536">
        <v>58</v>
      </c>
      <c r="BN111" s="1046" t="s">
        <v>2934</v>
      </c>
    </row>
    <row r="112" spans="1:66" ht="20.100000000000001" customHeight="1" thickBot="1">
      <c r="A112" s="40"/>
      <c r="B112" s="34"/>
      <c r="C112" s="34"/>
      <c r="D112" s="34"/>
      <c r="E112" s="34"/>
      <c r="F112" s="43"/>
      <c r="G112" s="34"/>
      <c r="H112" s="34"/>
      <c r="I112" s="200"/>
      <c r="J112" s="200"/>
      <c r="K112" s="200"/>
      <c r="L112" s="37"/>
      <c r="M112" s="200"/>
      <c r="N112" s="200"/>
      <c r="O112" s="45"/>
      <c r="P112" s="407"/>
      <c r="Q112" s="407"/>
      <c r="R112" s="407"/>
      <c r="S112" s="1086"/>
      <c r="T112" s="910" t="s">
        <v>2980</v>
      </c>
      <c r="U112" s="879"/>
      <c r="V112" s="879"/>
      <c r="W112" s="879"/>
      <c r="X112" s="362">
        <f>INDEX('DEFAULT DATA'!$IT$9:$IT$41,START!$C$3,1)/INDEX('DEFAULT DATA'!IU9:IU41,START!C3,1)*TRANSPORT!Z21</f>
        <v>8.5413101166811209</v>
      </c>
      <c r="Y112" s="362">
        <f>X112*(100+INDEX('DEFAULT DATA'!$IY$9:$JA$41,START!$C$3,1))/100</f>
        <v>8.6352645279646136</v>
      </c>
      <c r="Z112" s="362">
        <f>Y112*(100+INDEX('DEFAULT DATA'!$IY$9:$JA$41,START!$C$3,1))/100</f>
        <v>8.7302524377722239</v>
      </c>
      <c r="AA112" s="362">
        <f>Z112*(100+INDEX('DEFAULT DATA'!$IY$9:$JA$41,START!$C$3,1))/100</f>
        <v>8.8262852145877186</v>
      </c>
      <c r="AB112" s="362">
        <f>AA112*(100+INDEX('DEFAULT DATA'!$IY$9:$JA$41,START!$C$3,1))/100</f>
        <v>8.9233743519481834</v>
      </c>
      <c r="AC112" s="362">
        <f>AB112*(100+INDEX('DEFAULT DATA'!$IY$9:$JA$41,START!$C$3,1))/100</f>
        <v>9.0215314698196138</v>
      </c>
      <c r="AD112" s="362">
        <f>AC112*(100+INDEX('DEFAULT DATA'!$IY$9:$JA$41,START!$C$3,1))/100</f>
        <v>9.1207683159876289</v>
      </c>
      <c r="AE112" s="362">
        <f>AD112*(100+INDEX('DEFAULT DATA'!$IY$9:$JA$41,START!$C$3,1))/100</f>
        <v>9.2210967674634929</v>
      </c>
      <c r="AF112" s="362">
        <f>AE112*(100+INDEX('DEFAULT DATA'!$IY$9:$JA$41,START!$C$3,1))/100</f>
        <v>9.3225288319055899</v>
      </c>
      <c r="AG112" s="362">
        <f>AF112*(100+INDEX('DEFAULT DATA'!$IY$9:$JA$41,START!$C$3,1))/100</f>
        <v>9.4250766490565514</v>
      </c>
      <c r="AH112" s="362">
        <f>AG112*(100+INDEX('DEFAULT DATA'!$IY$9:$JA$41,START!$C$3,2))/100</f>
        <v>9.5099023388980601</v>
      </c>
      <c r="AI112" s="362">
        <f>AH112*(100+INDEX('DEFAULT DATA'!$IY$9:$JA$41,START!$C$3,2))/100</f>
        <v>9.5954914599481427</v>
      </c>
      <c r="AJ112" s="362">
        <f>AI112*(100+INDEX('DEFAULT DATA'!$IY$9:$JA$41,START!$C$3,2))/100</f>
        <v>9.6818508830876766</v>
      </c>
      <c r="AK112" s="362">
        <f>AJ112*(100+INDEX('DEFAULT DATA'!$IY$9:$JA$41,START!$C$3,2))/100</f>
        <v>9.7689875410354663</v>
      </c>
      <c r="AL112" s="362">
        <f>AK112*(100+INDEX('DEFAULT DATA'!$IY$9:$JA$41,START!$C$3,2))/100</f>
        <v>9.8569084289047861</v>
      </c>
      <c r="AM112" s="362">
        <f>AL112*(100+INDEX('DEFAULT DATA'!$IY$9:$JA$41,START!$C$3,2))/100</f>
        <v>9.9456206047649296</v>
      </c>
      <c r="AN112" s="362">
        <f>AM112*(100+INDEX('DEFAULT DATA'!$IY$9:$JA$41,START!$C$3,2))/100</f>
        <v>10.035131190207814</v>
      </c>
      <c r="AO112" s="362">
        <f>AN112*(100+INDEX('DEFAULT DATA'!$IY$9:$JA$41,START!$C$3,2))/100</f>
        <v>10.125447370919685</v>
      </c>
      <c r="AP112" s="362">
        <f>AO112*(100+INDEX('DEFAULT DATA'!$IY$9:$JA$41,START!$C$3,2))/100</f>
        <v>10.216576397257963</v>
      </c>
      <c r="AQ112" s="362">
        <f>AP112*(100+INDEX('DEFAULT DATA'!$IY$9:$JA$41,START!$C$3,2))/100</f>
        <v>10.308525584833285</v>
      </c>
      <c r="AR112" s="362">
        <f>AQ112*(100+INDEX('DEFAULT DATA'!$IY$9:$JA$41,START!$C$3,3))/100</f>
        <v>10.401302315096787</v>
      </c>
      <c r="AS112" s="362">
        <f>AR112*(100+INDEX('DEFAULT DATA'!$IY$9:$JA$41,START!$C$3,3))/100</f>
        <v>10.494914035932659</v>
      </c>
      <c r="AT112" s="362">
        <f>AS112*(100+INDEX('DEFAULT DATA'!$IY$9:$JA$41,START!$C$3,3))/100</f>
        <v>10.589368262256052</v>
      </c>
      <c r="AU112" s="362">
        <f>AT112*(100+INDEX('DEFAULT DATA'!$IY$9:$JA$41,START!$C$3,3))/100</f>
        <v>10.684672576616355</v>
      </c>
      <c r="AV112" s="362">
        <f>AU112*(100+INDEX('DEFAULT DATA'!$IY$9:$JA$41,START!$C$3,3))/100</f>
        <v>10.780834629805904</v>
      </c>
      <c r="AW112" s="362">
        <f>AV112*(100+INDEX('DEFAULT DATA'!$IY$9:$JA$41,START!$C$3,3))/100</f>
        <v>10.877862141474159</v>
      </c>
      <c r="AX112" s="362">
        <f>AW112*(100+INDEX('DEFAULT DATA'!$IY$9:$JA$41,START!$C$3,3))/100</f>
        <v>10.975762900747426</v>
      </c>
      <c r="AY112" s="362">
        <f>AX112*(100+INDEX('DEFAULT DATA'!$IY$9:$JA$41,START!$C$3,3))/100</f>
        <v>11.074544766854153</v>
      </c>
      <c r="AZ112" s="362">
        <f>AY112*(100+INDEX('DEFAULT DATA'!$IY$9:$JA$41,START!$C$3,3))/100</f>
        <v>11.17421566975584</v>
      </c>
      <c r="BA112" s="905">
        <f>AZ112*(100+INDEX('DEFAULT DATA'!$IY$9:$JA$41,START!$C$3,3))/100</f>
        <v>11.274783610783643</v>
      </c>
      <c r="BC112" s="1039">
        <v>36</v>
      </c>
      <c r="BD112" s="1042" t="str">
        <f t="shared" si="81"/>
        <v>(F59/100*INDEX('DEFAULT DATA'!$GI$9:$IN$41,START!$B$3,36)/INDEX('DEFAULT DATA'!$DX$9:$DX$41,START!$B$3,1))+</v>
      </c>
      <c r="BE112" s="1056"/>
      <c r="BF112" s="1056"/>
      <c r="BG112" s="1056"/>
      <c r="BH112" s="1056"/>
      <c r="BI112" s="978"/>
      <c r="BJ112" s="978"/>
      <c r="BK112" s="978"/>
      <c r="BL112" s="1044"/>
      <c r="BM112" s="536">
        <v>59</v>
      </c>
      <c r="BN112" s="1046" t="s">
        <v>2934</v>
      </c>
    </row>
    <row r="113" spans="1:66" ht="20.100000000000001" customHeight="1" thickBot="1">
      <c r="A113" s="40"/>
      <c r="B113" s="34"/>
      <c r="C113" s="34"/>
      <c r="D113" s="34"/>
      <c r="E113" s="34"/>
      <c r="F113" s="43"/>
      <c r="G113" s="34"/>
      <c r="H113" s="34"/>
      <c r="I113" s="199"/>
      <c r="J113" s="199"/>
      <c r="K113" s="199"/>
      <c r="L113" s="37"/>
      <c r="M113" s="199"/>
      <c r="N113" s="199"/>
      <c r="O113" s="44"/>
      <c r="P113" s="406"/>
      <c r="Q113" s="406"/>
      <c r="R113" s="406"/>
      <c r="S113" s="1078"/>
      <c r="T113" s="1078"/>
      <c r="U113" s="1078"/>
      <c r="V113" s="1078"/>
      <c r="W113" s="1078"/>
      <c r="X113" s="1078"/>
      <c r="Y113" s="1078"/>
      <c r="Z113" s="1078"/>
      <c r="AA113" s="1078"/>
      <c r="AB113" s="1078"/>
      <c r="AC113" s="1078"/>
      <c r="AD113" s="1078"/>
      <c r="AE113" s="1078"/>
      <c r="AF113" s="1078"/>
      <c r="AG113" s="1078"/>
      <c r="AH113" s="1078"/>
      <c r="AI113" s="1078"/>
      <c r="AJ113" s="1078"/>
      <c r="AK113" s="1078"/>
      <c r="AL113" s="1078"/>
      <c r="AM113" s="1078"/>
      <c r="AN113" s="1078"/>
      <c r="AO113" s="1078"/>
      <c r="AP113" s="1078"/>
      <c r="AQ113" s="1078"/>
      <c r="AR113" s="1078"/>
      <c r="AS113" s="1078"/>
      <c r="AT113" s="1078"/>
      <c r="AU113" s="1078"/>
      <c r="AV113" s="1078"/>
      <c r="AW113" s="1078"/>
      <c r="AX113" s="1078"/>
      <c r="AY113" s="1078"/>
      <c r="AZ113" s="1078"/>
      <c r="BA113" s="1078"/>
      <c r="BC113" s="1039">
        <v>37</v>
      </c>
      <c r="BD113" s="1042" t="str">
        <f t="shared" si="81"/>
        <v>(F60/100*INDEX('DEFAULT DATA'!$GI$9:$IN$41,START!$B$3,37)/INDEX('DEFAULT DATA'!$DX$9:$DX$41,START!$B$3,1))+</v>
      </c>
      <c r="BE113" s="1056"/>
      <c r="BF113" s="1056"/>
      <c r="BG113" s="1056"/>
      <c r="BH113" s="1056"/>
      <c r="BI113" s="978"/>
      <c r="BJ113" s="978"/>
      <c r="BK113" s="978"/>
      <c r="BL113" s="1044"/>
      <c r="BM113" s="536">
        <v>60</v>
      </c>
      <c r="BN113" s="1046" t="s">
        <v>2934</v>
      </c>
    </row>
    <row r="114" spans="1:66" ht="20.100000000000001" customHeight="1">
      <c r="A114" s="40"/>
      <c r="B114" s="34"/>
      <c r="C114" s="34"/>
      <c r="D114" s="34"/>
      <c r="E114" s="34"/>
      <c r="F114" s="43"/>
      <c r="G114" s="34"/>
      <c r="H114" s="34"/>
      <c r="I114" s="200"/>
      <c r="J114" s="200"/>
      <c r="K114" s="200"/>
      <c r="L114" s="37"/>
      <c r="M114" s="200"/>
      <c r="N114" s="200"/>
      <c r="O114" s="45"/>
      <c r="P114" s="407"/>
      <c r="Q114" s="407"/>
      <c r="R114" s="407"/>
      <c r="S114" s="468" t="s">
        <v>2431</v>
      </c>
      <c r="T114" s="1079" t="s">
        <v>2983</v>
      </c>
      <c r="U114" s="1080"/>
      <c r="V114" s="1101">
        <v>2019</v>
      </c>
      <c r="W114" s="1101">
        <v>2020</v>
      </c>
      <c r="X114" s="1101">
        <v>2021</v>
      </c>
      <c r="Y114" s="1101">
        <f>X114+1</f>
        <v>2022</v>
      </c>
      <c r="Z114" s="1101">
        <f t="shared" ref="Z114:BA114" si="98">Y114+1</f>
        <v>2023</v>
      </c>
      <c r="AA114" s="1101">
        <f t="shared" si="98"/>
        <v>2024</v>
      </c>
      <c r="AB114" s="1101">
        <f t="shared" si="98"/>
        <v>2025</v>
      </c>
      <c r="AC114" s="1101">
        <f t="shared" si="98"/>
        <v>2026</v>
      </c>
      <c r="AD114" s="1101">
        <f t="shared" si="98"/>
        <v>2027</v>
      </c>
      <c r="AE114" s="1101">
        <f t="shared" si="98"/>
        <v>2028</v>
      </c>
      <c r="AF114" s="1101">
        <f t="shared" si="98"/>
        <v>2029</v>
      </c>
      <c r="AG114" s="1101">
        <f t="shared" si="98"/>
        <v>2030</v>
      </c>
      <c r="AH114" s="1101">
        <f t="shared" si="98"/>
        <v>2031</v>
      </c>
      <c r="AI114" s="1101">
        <f t="shared" si="98"/>
        <v>2032</v>
      </c>
      <c r="AJ114" s="1101">
        <f t="shared" si="98"/>
        <v>2033</v>
      </c>
      <c r="AK114" s="1101">
        <f t="shared" si="98"/>
        <v>2034</v>
      </c>
      <c r="AL114" s="1101">
        <f t="shared" si="98"/>
        <v>2035</v>
      </c>
      <c r="AM114" s="1101">
        <f t="shared" si="98"/>
        <v>2036</v>
      </c>
      <c r="AN114" s="1101">
        <f t="shared" si="98"/>
        <v>2037</v>
      </c>
      <c r="AO114" s="1101">
        <f t="shared" si="98"/>
        <v>2038</v>
      </c>
      <c r="AP114" s="1101">
        <f t="shared" si="98"/>
        <v>2039</v>
      </c>
      <c r="AQ114" s="1101">
        <f t="shared" si="98"/>
        <v>2040</v>
      </c>
      <c r="AR114" s="1101">
        <f t="shared" si="98"/>
        <v>2041</v>
      </c>
      <c r="AS114" s="1101">
        <f t="shared" si="98"/>
        <v>2042</v>
      </c>
      <c r="AT114" s="1101">
        <f t="shared" si="98"/>
        <v>2043</v>
      </c>
      <c r="AU114" s="1101">
        <f t="shared" si="98"/>
        <v>2044</v>
      </c>
      <c r="AV114" s="1101">
        <f t="shared" si="98"/>
        <v>2045</v>
      </c>
      <c r="AW114" s="1101">
        <f t="shared" si="98"/>
        <v>2046</v>
      </c>
      <c r="AX114" s="1101">
        <f t="shared" si="98"/>
        <v>2047</v>
      </c>
      <c r="AY114" s="1101">
        <f t="shared" si="98"/>
        <v>2048</v>
      </c>
      <c r="AZ114" s="1101">
        <f t="shared" si="98"/>
        <v>2049</v>
      </c>
      <c r="BA114" s="318">
        <f t="shared" si="98"/>
        <v>2050</v>
      </c>
      <c r="BC114" s="1039">
        <v>38</v>
      </c>
      <c r="BD114" s="1042" t="str">
        <f t="shared" si="81"/>
        <v>(F61/100*INDEX('DEFAULT DATA'!$GI$9:$IN$41,START!$B$3,38)/INDEX('DEFAULT DATA'!$DX$9:$DX$41,START!$B$3,1))+</v>
      </c>
      <c r="BE114" s="1056"/>
      <c r="BF114" s="1056"/>
      <c r="BG114" s="1056"/>
      <c r="BH114" s="1056"/>
      <c r="BI114" s="978"/>
      <c r="BJ114" s="978"/>
      <c r="BK114" s="978"/>
      <c r="BL114" s="1044"/>
      <c r="BM114" s="536">
        <v>61</v>
      </c>
      <c r="BN114" s="1046" t="s">
        <v>2934</v>
      </c>
    </row>
    <row r="115" spans="1:66" ht="20.100000000000001" customHeight="1">
      <c r="A115" s="40"/>
      <c r="B115" s="34"/>
      <c r="C115" s="34"/>
      <c r="D115" s="34"/>
      <c r="E115" s="34"/>
      <c r="F115" s="34"/>
      <c r="G115" s="34"/>
      <c r="H115" s="34"/>
      <c r="I115" s="34"/>
      <c r="J115" s="34"/>
      <c r="K115" s="34"/>
      <c r="L115" s="37"/>
      <c r="M115" s="199"/>
      <c r="N115" s="199"/>
      <c r="O115" s="44"/>
      <c r="P115" s="406"/>
      <c r="Q115" s="406"/>
      <c r="R115" s="406"/>
      <c r="S115" s="241" t="s">
        <v>2731</v>
      </c>
      <c r="T115" s="1440" t="s">
        <v>2930</v>
      </c>
      <c r="U115" s="1441"/>
      <c r="V115" s="1145"/>
      <c r="W115" s="1146"/>
      <c r="X115" s="1126">
        <f>(INDEX('DEFAULT DATA'!$IX$9:$IX$41,START!$C$3,1)/100*X5*INDEX('DEFAULT DATA'!$IW$9:$IW$41,START!$C$3,1))</f>
        <v>1188.7739569960388</v>
      </c>
      <c r="Y115" s="1126">
        <f>(INDEX('DEFAULT DATA'!$IX$9:$IX$41,START!$C$3,1)/100*Y5*INDEX('DEFAULT DATA'!$IW$9:$IW$41,START!$C$3,1))</f>
        <v>1176.8862174260787</v>
      </c>
      <c r="Z115" s="1126">
        <f>(INDEX('DEFAULT DATA'!$IX$9:$IX$41,START!$C$3,1)/100*Z5*INDEX('DEFAULT DATA'!$IW$9:$IW$41,START!$C$3,1))</f>
        <v>1165.1173552518178</v>
      </c>
      <c r="AA115" s="1126">
        <f>(INDEX('DEFAULT DATA'!$IX$9:$IX$41,START!$C$3,1)/100*AA5*INDEX('DEFAULT DATA'!$IW$9:$IW$41,START!$C$3,1))</f>
        <v>1153.4661816992996</v>
      </c>
      <c r="AB115" s="1126">
        <f>(INDEX('DEFAULT DATA'!$IX$9:$IX$41,START!$C$3,1)/100*AB5*INDEX('DEFAULT DATA'!$IW$9:$IW$41,START!$C$3,1))</f>
        <v>1141.9315198823065</v>
      </c>
      <c r="AC115" s="1126">
        <f>(INDEX('DEFAULT DATA'!$IX$9:$IX$41,START!$C$3,1)/100*AC5*INDEX('DEFAULT DATA'!$IW$9:$IW$41,START!$C$3,1))</f>
        <v>1130.5122046834833</v>
      </c>
      <c r="AD115" s="1126">
        <f>(INDEX('DEFAULT DATA'!$IX$9:$IX$41,START!$C$3,1)/100*AD5*INDEX('DEFAULT DATA'!$IW$9:$IW$41,START!$C$3,1))</f>
        <v>1119.2070826366487</v>
      </c>
      <c r="AE115" s="1126">
        <f>(INDEX('DEFAULT DATA'!$IX$9:$IX$41,START!$C$3,1)/100*AE5*INDEX('DEFAULT DATA'!$IW$9:$IW$41,START!$C$3,1))</f>
        <v>1108.0150118102822</v>
      </c>
      <c r="AF115" s="1126">
        <f>(INDEX('DEFAULT DATA'!$IX$9:$IX$41,START!$C$3,1)/100*AF5*INDEX('DEFAULT DATA'!$IW$9:$IW$41,START!$C$3,1))</f>
        <v>1096.9348616921795</v>
      </c>
      <c r="AG115" s="1126">
        <f>(INDEX('DEFAULT DATA'!$IX$9:$IX$41,START!$C$3,1)/100*AG5*INDEX('DEFAULT DATA'!$IW$9:$IW$41,START!$C$3,1))</f>
        <v>1085.9655130752576</v>
      </c>
      <c r="AH115" s="1126">
        <f>(INDEX('DEFAULT DATA'!$IX$9:$IX$41,START!$C$3,1)/100*AH5*INDEX('DEFAULT DATA'!$IW$9:$IW$41,START!$C$3,1))</f>
        <v>1026.2374098561183</v>
      </c>
      <c r="AI115" s="1126">
        <f>(INDEX('DEFAULT DATA'!$IX$9:$IX$41,START!$C$3,1)/100*AI5*INDEX('DEFAULT DATA'!$IW$9:$IW$41,START!$C$3,1))</f>
        <v>969.79435231403193</v>
      </c>
      <c r="AJ115" s="1126">
        <f>(INDEX('DEFAULT DATA'!$IX$9:$IX$41,START!$C$3,1)/100*AJ5*INDEX('DEFAULT DATA'!$IW$9:$IW$41,START!$C$3,1))</f>
        <v>916.45566293676006</v>
      </c>
      <c r="AK115" s="1126">
        <f>(INDEX('DEFAULT DATA'!$IX$9:$IX$41,START!$C$3,1)/100*AK5*INDEX('DEFAULT DATA'!$IW$9:$IW$41,START!$C$3,1))</f>
        <v>866.05060147523818</v>
      </c>
      <c r="AL115" s="1126">
        <f>(INDEX('DEFAULT DATA'!$IX$9:$IX$41,START!$C$3,1)/100*AL5*INDEX('DEFAULT DATA'!$IW$9:$IW$41,START!$C$3,1))</f>
        <v>818.41781839409998</v>
      </c>
      <c r="AM115" s="1126">
        <f>(INDEX('DEFAULT DATA'!$IX$9:$IX$41,START!$C$3,1)/100*AM5*INDEX('DEFAULT DATA'!$IW$9:$IW$41,START!$C$3,1))</f>
        <v>773.40483838242449</v>
      </c>
      <c r="AN115" s="1126">
        <f>(INDEX('DEFAULT DATA'!$IX$9:$IX$41,START!$C$3,1)/100*AN5*INDEX('DEFAULT DATA'!$IW$9:$IW$41,START!$C$3,1))</f>
        <v>730.86757227139105</v>
      </c>
      <c r="AO115" s="1126">
        <f>(INDEX('DEFAULT DATA'!$IX$9:$IX$41,START!$C$3,1)/100*AO5*INDEX('DEFAULT DATA'!$IW$9:$IW$41,START!$C$3,1))</f>
        <v>690.6698557964645</v>
      </c>
      <c r="AP115" s="1126">
        <f>(INDEX('DEFAULT DATA'!$IX$9:$IX$41,START!$C$3,1)/100*AP5*INDEX('DEFAULT DATA'!$IW$9:$IW$41,START!$C$3,1))</f>
        <v>652.68301372765893</v>
      </c>
      <c r="AQ115" s="1126">
        <f>(INDEX('DEFAULT DATA'!$IX$9:$IX$41,START!$C$3,1)/100*AQ5*INDEX('DEFAULT DATA'!$IW$9:$IW$41,START!$C$3,1))</f>
        <v>616.7854479726376</v>
      </c>
      <c r="AR115" s="1126">
        <f>(INDEX('DEFAULT DATA'!$IX$9:$IX$41,START!$C$3,1)/100*AR5*INDEX('DEFAULT DATA'!$IW$9:$IW$41,START!$C$3,1))</f>
        <v>582.86224833414258</v>
      </c>
      <c r="AS115" s="1126">
        <f>(INDEX('DEFAULT DATA'!$IX$9:$IX$41,START!$C$3,1)/100*AS5*INDEX('DEFAULT DATA'!$IW$9:$IW$41,START!$C$3,1))</f>
        <v>550.80482467576462</v>
      </c>
      <c r="AT115" s="1126">
        <f>(INDEX('DEFAULT DATA'!$IX$9:$IX$41,START!$C$3,1)/100*AT5*INDEX('DEFAULT DATA'!$IW$9:$IW$41,START!$C$3,1))</f>
        <v>520.51055931859753</v>
      </c>
      <c r="AU115" s="1126">
        <f>(INDEX('DEFAULT DATA'!$IX$9:$IX$41,START!$C$3,1)/100*AU5*INDEX('DEFAULT DATA'!$IW$9:$IW$41,START!$C$3,1))</f>
        <v>491.88247855607466</v>
      </c>
      <c r="AV115" s="1126">
        <f>(INDEX('DEFAULT DATA'!$IX$9:$IX$41,START!$C$3,1)/100*AV5*INDEX('DEFAULT DATA'!$IW$9:$IW$41,START!$C$3,1))</f>
        <v>464.82894223549062</v>
      </c>
      <c r="AW115" s="1126">
        <f>(INDEX('DEFAULT DATA'!$IX$9:$IX$41,START!$C$3,1)/100*AW5*INDEX('DEFAULT DATA'!$IW$9:$IW$41,START!$C$3,1))</f>
        <v>439.26335041253861</v>
      </c>
      <c r="AX115" s="1126">
        <f>(INDEX('DEFAULT DATA'!$IX$9:$IX$41,START!$C$3,1)/100*AX5*INDEX('DEFAULT DATA'!$IW$9:$IW$41,START!$C$3,1))</f>
        <v>415.10386613984895</v>
      </c>
      <c r="AY115" s="1126">
        <f>(INDEX('DEFAULT DATA'!$IX$9:$IX$41,START!$C$3,1)/100*AY5*INDEX('DEFAULT DATA'!$IW$9:$IW$41,START!$C$3,1))</f>
        <v>392.27315350215719</v>
      </c>
      <c r="AZ115" s="1126">
        <f>(INDEX('DEFAULT DATA'!$IX$9:$IX$41,START!$C$3,1)/100*AZ5*INDEX('DEFAULT DATA'!$IW$9:$IW$41,START!$C$3,1))</f>
        <v>370.69813005953853</v>
      </c>
      <c r="BA115" s="1147">
        <f>(INDEX('DEFAULT DATA'!$IX$9:$IX$41,START!$C$3,1)/100*BA5*INDEX('DEFAULT DATA'!$IW$9:$IW$41,START!$C$3,1))</f>
        <v>350.30973290626389</v>
      </c>
      <c r="BC115" s="1039">
        <v>39</v>
      </c>
      <c r="BD115" s="1042" t="str">
        <f t="shared" si="81"/>
        <v>(F62/100*INDEX('DEFAULT DATA'!$GI$9:$IN$41,START!$B$3,39)/INDEX('DEFAULT DATA'!$DX$9:$DX$41,START!$B$3,1))+</v>
      </c>
      <c r="BE115" s="1056"/>
      <c r="BF115" s="1056"/>
      <c r="BG115" s="1056"/>
      <c r="BH115" s="1056"/>
      <c r="BI115" s="978"/>
      <c r="BJ115" s="978"/>
      <c r="BK115" s="978"/>
      <c r="BL115" s="1044"/>
      <c r="BM115" s="536">
        <v>62</v>
      </c>
      <c r="BN115" s="1046" t="s">
        <v>2934</v>
      </c>
    </row>
    <row r="116" spans="1:66" ht="20.100000000000001" customHeight="1">
      <c r="A116" s="40"/>
      <c r="B116" s="34"/>
      <c r="C116" s="34"/>
      <c r="D116" s="34"/>
      <c r="E116" s="34"/>
      <c r="F116" s="34"/>
      <c r="G116" s="34"/>
      <c r="H116" s="34"/>
      <c r="I116" s="34"/>
      <c r="J116" s="34"/>
      <c r="K116" s="34"/>
      <c r="L116" s="37"/>
      <c r="M116" s="200"/>
      <c r="N116" s="200"/>
      <c r="O116" s="45"/>
      <c r="P116" s="407"/>
      <c r="Q116" s="407"/>
      <c r="R116" s="407"/>
      <c r="S116" s="241" t="s">
        <v>2730</v>
      </c>
      <c r="T116" s="1440" t="s">
        <v>2931</v>
      </c>
      <c r="U116" s="1441"/>
      <c r="V116" s="366"/>
      <c r="W116" s="366"/>
      <c r="X116" s="272">
        <f>(100-INDEX('DEFAULT DATA'!$IX$9:$IX$41,START!$C$3,1))/100*INDEX('DEFAULT DATA'!$IV$9:$IV$41,START!$C$3,1)</f>
        <v>158.92993715824835</v>
      </c>
      <c r="Y116" s="272">
        <f>(100-INDEX('DEFAULT DATA'!$IX$9:$IX$41,START!$C$3,1))/100*INDEX('DEFAULT DATA'!$IV$9:$IV$41,START!$C$3,1)</f>
        <v>158.92993715824835</v>
      </c>
      <c r="Z116" s="272">
        <f>(100-INDEX('DEFAULT DATA'!$IX$9:$IX$41,START!$C$3,1))/100*INDEX('DEFAULT DATA'!$IV$9:$IV$41,START!$C$3,1)</f>
        <v>158.92993715824835</v>
      </c>
      <c r="AA116" s="272">
        <f>(100-INDEX('DEFAULT DATA'!$IX$9:$IX$41,START!$C$3,1))/100*INDEX('DEFAULT DATA'!$IV$9:$IV$41,START!$C$3,1)</f>
        <v>158.92993715824835</v>
      </c>
      <c r="AB116" s="272">
        <f>(100-INDEX('DEFAULT DATA'!$IX$9:$IX$41,START!$C$3,1))/100*INDEX('DEFAULT DATA'!$IV$9:$IV$41,START!$C$3,1)</f>
        <v>158.92993715824835</v>
      </c>
      <c r="AC116" s="272">
        <f>(100-INDEX('DEFAULT DATA'!$IX$9:$IX$41,START!$C$3,1))/100*INDEX('DEFAULT DATA'!$IV$9:$IV$41,START!$C$3,1)</f>
        <v>158.92993715824835</v>
      </c>
      <c r="AD116" s="272">
        <f>(100-INDEX('DEFAULT DATA'!$IX$9:$IX$41,START!$C$3,1))/100*INDEX('DEFAULT DATA'!$IV$9:$IV$41,START!$C$3,1)</f>
        <v>158.92993715824835</v>
      </c>
      <c r="AE116" s="272">
        <f>(100-INDEX('DEFAULT DATA'!$IX$9:$IX$41,START!$C$3,1))/100*INDEX('DEFAULT DATA'!$IV$9:$IV$41,START!$C$3,1)</f>
        <v>158.92993715824835</v>
      </c>
      <c r="AF116" s="272">
        <f>(100-INDEX('DEFAULT DATA'!$IX$9:$IX$41,START!$C$3,1))/100*INDEX('DEFAULT DATA'!$IV$9:$IV$41,START!$C$3,1)</f>
        <v>158.92993715824835</v>
      </c>
      <c r="AG116" s="272">
        <f>(100-INDEX('DEFAULT DATA'!$IX$9:$IX$41,START!$C$3,1))/100*INDEX('DEFAULT DATA'!$IV$9:$IV$41,START!$C$3,1)</f>
        <v>158.92993715824835</v>
      </c>
      <c r="AH116" s="272">
        <f>(100-INDEX('DEFAULT DATA'!$IX$9:$IX$41,START!$C$3,1))/100*INDEX('DEFAULT DATA'!$IV$9:$IV$41,START!$C$3,1)</f>
        <v>158.92993715824835</v>
      </c>
      <c r="AI116" s="272">
        <f>(100-INDEX('DEFAULT DATA'!$IX$9:$IX$41,START!$C$3,1))/100*INDEX('DEFAULT DATA'!$IV$9:$IV$41,START!$C$3,1)</f>
        <v>158.92993715824835</v>
      </c>
      <c r="AJ116" s="272">
        <f>(100-INDEX('DEFAULT DATA'!$IX$9:$IX$41,START!$C$3,1))/100*INDEX('DEFAULT DATA'!$IV$9:$IV$41,START!$C$3,1)</f>
        <v>158.92993715824835</v>
      </c>
      <c r="AK116" s="272">
        <f>(100-INDEX('DEFAULT DATA'!$IX$9:$IX$41,START!$C$3,1))/100*INDEX('DEFAULT DATA'!$IV$9:$IV$41,START!$C$3,1)</f>
        <v>158.92993715824835</v>
      </c>
      <c r="AL116" s="272">
        <f>(100-INDEX('DEFAULT DATA'!$IX$9:$IX$41,START!$C$3,1))/100*INDEX('DEFAULT DATA'!$IV$9:$IV$41,START!$C$3,1)</f>
        <v>158.92993715824835</v>
      </c>
      <c r="AM116" s="272">
        <f>(100-INDEX('DEFAULT DATA'!$IX$9:$IX$41,START!$C$3,1))/100*INDEX('DEFAULT DATA'!$IV$9:$IV$41,START!$C$3,1)</f>
        <v>158.92993715824835</v>
      </c>
      <c r="AN116" s="272">
        <f>(100-INDEX('DEFAULT DATA'!$IX$9:$IX$41,START!$C$3,1))/100*INDEX('DEFAULT DATA'!$IV$9:$IV$41,START!$C$3,1)</f>
        <v>158.92993715824835</v>
      </c>
      <c r="AO116" s="272">
        <f>(100-INDEX('DEFAULT DATA'!$IX$9:$IX$41,START!$C$3,1))/100*INDEX('DEFAULT DATA'!$IV$9:$IV$41,START!$C$3,1)</f>
        <v>158.92993715824835</v>
      </c>
      <c r="AP116" s="272">
        <f>(100-INDEX('DEFAULT DATA'!$IX$9:$IX$41,START!$C$3,1))/100*INDEX('DEFAULT DATA'!$IV$9:$IV$41,START!$C$3,1)</f>
        <v>158.92993715824835</v>
      </c>
      <c r="AQ116" s="272">
        <f>(100-INDEX('DEFAULT DATA'!$IX$9:$IX$41,START!$C$3,1))/100*INDEX('DEFAULT DATA'!$IV$9:$IV$41,START!$C$3,1)</f>
        <v>158.92993715824835</v>
      </c>
      <c r="AR116" s="272">
        <f>(100-INDEX('DEFAULT DATA'!$IX$9:$IX$41,START!$C$3,1))/100*INDEX('DEFAULT DATA'!$IV$9:$IV$41,START!$C$3,1)</f>
        <v>158.92993715824835</v>
      </c>
      <c r="AS116" s="272">
        <f>(100-INDEX('DEFAULT DATA'!$IX$9:$IX$41,START!$C$3,1))/100*INDEX('DEFAULT DATA'!$IV$9:$IV$41,START!$C$3,1)</f>
        <v>158.92993715824835</v>
      </c>
      <c r="AT116" s="272">
        <f>(100-INDEX('DEFAULT DATA'!$IX$9:$IX$41,START!$C$3,1))/100*INDEX('DEFAULT DATA'!$IV$9:$IV$41,START!$C$3,1)</f>
        <v>158.92993715824835</v>
      </c>
      <c r="AU116" s="272">
        <f>(100-INDEX('DEFAULT DATA'!$IX$9:$IX$41,START!$C$3,1))/100*INDEX('DEFAULT DATA'!$IV$9:$IV$41,START!$C$3,1)</f>
        <v>158.92993715824835</v>
      </c>
      <c r="AV116" s="272">
        <f>(100-INDEX('DEFAULT DATA'!$IX$9:$IX$41,START!$C$3,1))/100*INDEX('DEFAULT DATA'!$IV$9:$IV$41,START!$C$3,1)</f>
        <v>158.92993715824835</v>
      </c>
      <c r="AW116" s="272">
        <f>(100-INDEX('DEFAULT DATA'!$IX$9:$IX$41,START!$C$3,1))/100*INDEX('DEFAULT DATA'!$IV$9:$IV$41,START!$C$3,1)</f>
        <v>158.92993715824835</v>
      </c>
      <c r="AX116" s="272">
        <f>(100-INDEX('DEFAULT DATA'!$IX$9:$IX$41,START!$C$3,1))/100*INDEX('DEFAULT DATA'!$IV$9:$IV$41,START!$C$3,1)</f>
        <v>158.92993715824835</v>
      </c>
      <c r="AY116" s="272">
        <f>(100-INDEX('DEFAULT DATA'!$IX$9:$IX$41,START!$C$3,1))/100*INDEX('DEFAULT DATA'!$IV$9:$IV$41,START!$C$3,1)</f>
        <v>158.92993715824835</v>
      </c>
      <c r="AZ116" s="272">
        <f>(100-INDEX('DEFAULT DATA'!$IX$9:$IX$41,START!$C$3,1))/100*INDEX('DEFAULT DATA'!$IV$9:$IV$41,START!$C$3,1)</f>
        <v>158.92993715824835</v>
      </c>
      <c r="BA116" s="324">
        <f>(100-INDEX('DEFAULT DATA'!$IX$9:$IX$41,START!$C$3,1))/100*INDEX('DEFAULT DATA'!$IV$9:$IV$41,START!$C$3,1)</f>
        <v>158.92993715824835</v>
      </c>
      <c r="BC116" s="1039">
        <v>40</v>
      </c>
      <c r="BD116" s="1042" t="str">
        <f t="shared" si="81"/>
        <v>(F63/100*INDEX('DEFAULT DATA'!$GI$9:$IN$41,START!$B$3,40)/INDEX('DEFAULT DATA'!$DX$9:$DX$41,START!$B$3,1))+</v>
      </c>
      <c r="BE116" s="1056"/>
      <c r="BF116" s="1056"/>
      <c r="BG116" s="1056"/>
      <c r="BH116" s="1056"/>
      <c r="BI116" s="978"/>
      <c r="BJ116" s="978"/>
      <c r="BK116" s="978"/>
      <c r="BL116" s="1044"/>
      <c r="BM116" s="536">
        <v>63</v>
      </c>
      <c r="BN116" s="1046" t="s">
        <v>2934</v>
      </c>
    </row>
    <row r="117" spans="1:66" ht="20.100000000000001" customHeight="1" thickBot="1">
      <c r="A117" s="40"/>
      <c r="B117" s="34"/>
      <c r="C117" s="34"/>
      <c r="D117" s="34"/>
      <c r="E117" s="34"/>
      <c r="F117" s="34"/>
      <c r="G117" s="34"/>
      <c r="H117" s="34"/>
      <c r="I117" s="34"/>
      <c r="J117" s="34"/>
      <c r="K117" s="34"/>
      <c r="L117" s="37"/>
      <c r="M117" s="199"/>
      <c r="N117" s="199"/>
      <c r="O117" s="44"/>
      <c r="P117" s="406"/>
      <c r="Q117" s="406"/>
      <c r="R117" s="406"/>
      <c r="S117" s="803" t="s">
        <v>2732</v>
      </c>
      <c r="T117" s="1442" t="s">
        <v>2929</v>
      </c>
      <c r="U117" s="1443"/>
      <c r="V117" s="368"/>
      <c r="W117" s="368"/>
      <c r="X117" s="325">
        <f>SUM(X115:X116)</f>
        <v>1347.7038941542871</v>
      </c>
      <c r="Y117" s="325">
        <f t="shared" ref="Y117:BA117" si="99">SUM(Y115:Y116)</f>
        <v>1335.816154584327</v>
      </c>
      <c r="Z117" s="325">
        <f t="shared" si="99"/>
        <v>1324.0472924100661</v>
      </c>
      <c r="AA117" s="325">
        <f t="shared" si="99"/>
        <v>1312.3961188575479</v>
      </c>
      <c r="AB117" s="325">
        <f t="shared" si="99"/>
        <v>1300.8614570405548</v>
      </c>
      <c r="AC117" s="325">
        <f t="shared" si="99"/>
        <v>1289.4421418417317</v>
      </c>
      <c r="AD117" s="325">
        <f t="shared" si="99"/>
        <v>1278.137019794897</v>
      </c>
      <c r="AE117" s="325">
        <f t="shared" si="99"/>
        <v>1266.9449489685305</v>
      </c>
      <c r="AF117" s="325">
        <f t="shared" si="99"/>
        <v>1255.8647988504279</v>
      </c>
      <c r="AG117" s="325">
        <f t="shared" si="99"/>
        <v>1244.8954502335059</v>
      </c>
      <c r="AH117" s="325">
        <f t="shared" si="99"/>
        <v>1185.1673470143667</v>
      </c>
      <c r="AI117" s="325">
        <f t="shared" si="99"/>
        <v>1128.7242894722804</v>
      </c>
      <c r="AJ117" s="325">
        <f t="shared" si="99"/>
        <v>1075.3856000950084</v>
      </c>
      <c r="AK117" s="325">
        <f t="shared" si="99"/>
        <v>1024.9805386334865</v>
      </c>
      <c r="AL117" s="325">
        <f t="shared" si="99"/>
        <v>977.3477555523483</v>
      </c>
      <c r="AM117" s="325">
        <f t="shared" si="99"/>
        <v>932.33477554067281</v>
      </c>
      <c r="AN117" s="325">
        <f t="shared" si="99"/>
        <v>889.79750942963938</v>
      </c>
      <c r="AO117" s="325">
        <f t="shared" si="99"/>
        <v>849.59979295471283</v>
      </c>
      <c r="AP117" s="325">
        <f t="shared" si="99"/>
        <v>811.61295088590725</v>
      </c>
      <c r="AQ117" s="325">
        <f t="shared" si="99"/>
        <v>775.71538513088592</v>
      </c>
      <c r="AR117" s="325">
        <f t="shared" si="99"/>
        <v>741.7921854923909</v>
      </c>
      <c r="AS117" s="325">
        <f t="shared" si="99"/>
        <v>709.73476183401294</v>
      </c>
      <c r="AT117" s="325">
        <f t="shared" si="99"/>
        <v>679.44049647684585</v>
      </c>
      <c r="AU117" s="325">
        <f t="shared" si="99"/>
        <v>650.81241571432304</v>
      </c>
      <c r="AV117" s="325">
        <f t="shared" si="99"/>
        <v>623.75887939373899</v>
      </c>
      <c r="AW117" s="325">
        <f t="shared" si="99"/>
        <v>598.19328757078699</v>
      </c>
      <c r="AX117" s="325">
        <f t="shared" si="99"/>
        <v>574.03380329809727</v>
      </c>
      <c r="AY117" s="325">
        <f t="shared" si="99"/>
        <v>551.20309066040556</v>
      </c>
      <c r="AZ117" s="325">
        <f t="shared" si="99"/>
        <v>529.62806721778691</v>
      </c>
      <c r="BA117" s="326">
        <f t="shared" si="99"/>
        <v>509.23967006451221</v>
      </c>
      <c r="BC117" s="1039">
        <v>41</v>
      </c>
      <c r="BD117" s="1042" t="str">
        <f t="shared" si="81"/>
        <v>(F64/100*INDEX('DEFAULT DATA'!$GI$9:$IN$41,START!$B$3,41)/INDEX('DEFAULT DATA'!$DX$9:$DX$41,START!$B$3,1))+</v>
      </c>
      <c r="BE117" s="1056"/>
      <c r="BF117" s="1056"/>
      <c r="BG117" s="1056"/>
      <c r="BH117" s="1056"/>
      <c r="BI117" s="978"/>
      <c r="BJ117" s="978"/>
      <c r="BK117" s="978"/>
      <c r="BL117" s="1044"/>
      <c r="BM117" s="536">
        <v>64</v>
      </c>
      <c r="BN117" s="1046" t="s">
        <v>2934</v>
      </c>
    </row>
    <row r="118" spans="1:66" ht="20.100000000000001" customHeight="1" thickBot="1">
      <c r="A118" s="40"/>
      <c r="B118" s="34"/>
      <c r="C118" s="34"/>
      <c r="D118" s="34"/>
      <c r="E118" s="34"/>
      <c r="F118" s="34"/>
      <c r="G118" s="34"/>
      <c r="H118" s="34"/>
      <c r="I118" s="34"/>
      <c r="J118" s="34"/>
      <c r="K118" s="34"/>
      <c r="L118" s="37"/>
      <c r="M118" s="199"/>
      <c r="N118" s="199"/>
      <c r="O118" s="44"/>
      <c r="P118" s="406"/>
      <c r="Q118" s="406"/>
      <c r="R118" s="406"/>
      <c r="BC118" s="1039">
        <v>42</v>
      </c>
      <c r="BD118" s="1042" t="str">
        <f t="shared" si="81"/>
        <v>(F65/100*INDEX('DEFAULT DATA'!$GI$9:$IN$41,START!$B$3,42)/INDEX('DEFAULT DATA'!$DX$9:$DX$41,START!$B$3,1))+</v>
      </c>
      <c r="BE118" s="1056"/>
      <c r="BF118" s="1056"/>
      <c r="BG118" s="1056"/>
      <c r="BH118" s="1056"/>
      <c r="BI118" s="978"/>
      <c r="BJ118" s="978"/>
      <c r="BK118" s="978"/>
      <c r="BL118" s="1044"/>
      <c r="BM118" s="536">
        <v>65</v>
      </c>
      <c r="BN118" s="1046" t="s">
        <v>2934</v>
      </c>
    </row>
    <row r="119" spans="1:66" ht="20.100000000000001" customHeight="1">
      <c r="A119" s="40"/>
      <c r="B119" s="34"/>
      <c r="C119" s="34"/>
      <c r="D119" s="34"/>
      <c r="E119" s="34"/>
      <c r="F119" s="34"/>
      <c r="G119" s="34"/>
      <c r="H119" s="34"/>
      <c r="I119" s="34"/>
      <c r="J119" s="34"/>
      <c r="K119" s="34"/>
      <c r="L119" s="37"/>
      <c r="M119" s="199"/>
      <c r="N119" s="199"/>
      <c r="O119" s="44"/>
      <c r="P119" s="406"/>
      <c r="Q119" s="406"/>
      <c r="R119" s="406"/>
      <c r="S119" s="468" t="s">
        <v>976</v>
      </c>
      <c r="T119" s="1446" t="s">
        <v>1200</v>
      </c>
      <c r="U119" s="1447"/>
      <c r="V119" s="1101">
        <v>2019</v>
      </c>
      <c r="W119" s="1101">
        <v>2020</v>
      </c>
      <c r="X119" s="1101">
        <v>2021</v>
      </c>
      <c r="Y119" s="1101">
        <f>X119+1</f>
        <v>2022</v>
      </c>
      <c r="Z119" s="1101">
        <f t="shared" ref="Z119:BA119" si="100">Y119+1</f>
        <v>2023</v>
      </c>
      <c r="AA119" s="1101">
        <f t="shared" si="100"/>
        <v>2024</v>
      </c>
      <c r="AB119" s="1101">
        <f t="shared" si="100"/>
        <v>2025</v>
      </c>
      <c r="AC119" s="1101">
        <f t="shared" si="100"/>
        <v>2026</v>
      </c>
      <c r="AD119" s="1101">
        <f t="shared" si="100"/>
        <v>2027</v>
      </c>
      <c r="AE119" s="1101">
        <f t="shared" si="100"/>
        <v>2028</v>
      </c>
      <c r="AF119" s="1101">
        <f t="shared" si="100"/>
        <v>2029</v>
      </c>
      <c r="AG119" s="1101">
        <f t="shared" si="100"/>
        <v>2030</v>
      </c>
      <c r="AH119" s="1101">
        <f t="shared" si="100"/>
        <v>2031</v>
      </c>
      <c r="AI119" s="1101">
        <f t="shared" si="100"/>
        <v>2032</v>
      </c>
      <c r="AJ119" s="1101">
        <f t="shared" si="100"/>
        <v>2033</v>
      </c>
      <c r="AK119" s="1101">
        <f t="shared" si="100"/>
        <v>2034</v>
      </c>
      <c r="AL119" s="1101">
        <f t="shared" si="100"/>
        <v>2035</v>
      </c>
      <c r="AM119" s="1101">
        <f t="shared" si="100"/>
        <v>2036</v>
      </c>
      <c r="AN119" s="1101">
        <f t="shared" si="100"/>
        <v>2037</v>
      </c>
      <c r="AO119" s="1101">
        <f t="shared" si="100"/>
        <v>2038</v>
      </c>
      <c r="AP119" s="1101">
        <f t="shared" si="100"/>
        <v>2039</v>
      </c>
      <c r="AQ119" s="1101">
        <f t="shared" si="100"/>
        <v>2040</v>
      </c>
      <c r="AR119" s="1101">
        <f t="shared" si="100"/>
        <v>2041</v>
      </c>
      <c r="AS119" s="1101">
        <f t="shared" si="100"/>
        <v>2042</v>
      </c>
      <c r="AT119" s="1101">
        <f t="shared" si="100"/>
        <v>2043</v>
      </c>
      <c r="AU119" s="1101">
        <f t="shared" si="100"/>
        <v>2044</v>
      </c>
      <c r="AV119" s="1101">
        <f t="shared" si="100"/>
        <v>2045</v>
      </c>
      <c r="AW119" s="1101">
        <f t="shared" si="100"/>
        <v>2046</v>
      </c>
      <c r="AX119" s="1101">
        <f t="shared" si="100"/>
        <v>2047</v>
      </c>
      <c r="AY119" s="1101">
        <f t="shared" si="100"/>
        <v>2048</v>
      </c>
      <c r="AZ119" s="1101">
        <f t="shared" si="100"/>
        <v>2049</v>
      </c>
      <c r="BA119" s="318">
        <f t="shared" si="100"/>
        <v>2050</v>
      </c>
      <c r="BC119" s="1039">
        <v>43</v>
      </c>
      <c r="BD119" s="1042" t="str">
        <f t="shared" si="81"/>
        <v>(F66/100*INDEX('DEFAULT DATA'!$GI$9:$IN$41,START!$B$3,43)/INDEX('DEFAULT DATA'!$DX$9:$DX$41,START!$B$3,1))+</v>
      </c>
      <c r="BE119" s="1056"/>
      <c r="BF119" s="1056"/>
      <c r="BG119" s="1056"/>
      <c r="BH119" s="1056"/>
      <c r="BI119" s="978"/>
      <c r="BJ119" s="978"/>
      <c r="BK119" s="978"/>
      <c r="BL119" s="1044"/>
      <c r="BM119" s="536">
        <v>66</v>
      </c>
      <c r="BN119" s="1046" t="s">
        <v>2934</v>
      </c>
    </row>
    <row r="120" spans="1:66" ht="20.100000000000001" customHeight="1" thickBot="1">
      <c r="A120" s="40"/>
      <c r="B120" s="563"/>
      <c r="C120" s="563"/>
      <c r="D120" s="563"/>
      <c r="E120" s="563"/>
      <c r="F120" s="563"/>
      <c r="G120" s="563"/>
      <c r="H120" s="563"/>
      <c r="I120" s="563"/>
      <c r="J120" s="563"/>
      <c r="K120" s="563"/>
      <c r="L120" s="37"/>
      <c r="M120" s="199"/>
      <c r="N120" s="199"/>
      <c r="O120" s="44"/>
      <c r="P120" s="406"/>
      <c r="Q120" s="406"/>
      <c r="R120" s="406"/>
      <c r="S120" s="470" t="s">
        <v>1215</v>
      </c>
      <c r="T120" s="782" t="s">
        <v>2432</v>
      </c>
      <c r="U120" s="288" t="s">
        <v>1204</v>
      </c>
      <c r="V120" s="288"/>
      <c r="W120" s="288"/>
      <c r="X120" s="362">
        <f>X112*X117/1000</f>
        <v>11.511156905430555</v>
      </c>
      <c r="Y120" s="362">
        <f t="shared" ref="Y120:BA120" si="101">Y112*Y117/1000</f>
        <v>11.535125855564134</v>
      </c>
      <c r="Z120" s="362">
        <f t="shared" si="101"/>
        <v>11.559267102288691</v>
      </c>
      <c r="AA120" s="362">
        <f t="shared" si="101"/>
        <v>11.583582459554682</v>
      </c>
      <c r="AB120" s="362">
        <f t="shared" si="101"/>
        <v>11.608073761193632</v>
      </c>
      <c r="AC120" s="362">
        <f t="shared" si="101"/>
        <v>11.632742861136789</v>
      </c>
      <c r="AD120" s="362">
        <f t="shared" si="101"/>
        <v>11.65759163363615</v>
      </c>
      <c r="AE120" s="362">
        <f t="shared" si="101"/>
        <v>11.682621973487915</v>
      </c>
      <c r="AF120" s="362">
        <f t="shared" si="101"/>
        <v>11.707835796258429</v>
      </c>
      <c r="AG120" s="362">
        <f t="shared" si="101"/>
        <v>11.733235038512559</v>
      </c>
      <c r="AH120" s="362">
        <f t="shared" si="101"/>
        <v>11.270825725357534</v>
      </c>
      <c r="AI120" s="362">
        <f t="shared" si="101"/>
        <v>10.830664280267301</v>
      </c>
      <c r="AJ120" s="362">
        <f t="shared" si="101"/>
        <v>10.411723021939627</v>
      </c>
      <c r="AK120" s="362">
        <f t="shared" si="101"/>
        <v>10.013022111714353</v>
      </c>
      <c r="AL120" s="362">
        <f t="shared" si="101"/>
        <v>9.6336273296751163</v>
      </c>
      <c r="AM120" s="362">
        <f t="shared" si="101"/>
        <v>9.2726479541562004</v>
      </c>
      <c r="AN120" s="362">
        <f t="shared" si="101"/>
        <v>8.9292347398466045</v>
      </c>
      <c r="AO120" s="362">
        <f t="shared" si="101"/>
        <v>8.6025779899072052</v>
      </c>
      <c r="AP120" s="362">
        <f t="shared" si="101"/>
        <v>8.291905717729847</v>
      </c>
      <c r="AQ120" s="362">
        <f t="shared" si="101"/>
        <v>7.9964818941705422</v>
      </c>
      <c r="AR120" s="362">
        <f t="shared" si="101"/>
        <v>7.7156047762827109</v>
      </c>
      <c r="AS120" s="362">
        <f t="shared" si="101"/>
        <v>7.4486053137611048</v>
      </c>
      <c r="AT120" s="362">
        <f t="shared" si="101"/>
        <v>7.1948456294834058</v>
      </c>
      <c r="AU120" s="362">
        <f t="shared" si="101"/>
        <v>6.9537175707042707</v>
      </c>
      <c r="AV120" s="362">
        <f t="shared" si="101"/>
        <v>6.7246413276169461</v>
      </c>
      <c r="AW120" s="362">
        <f t="shared" si="101"/>
        <v>6.5070641161502278</v>
      </c>
      <c r="AX120" s="362">
        <f t="shared" si="101"/>
        <v>6.3004589220142018</v>
      </c>
      <c r="AY120" s="362">
        <f t="shared" si="101"/>
        <v>6.1043233031470301</v>
      </c>
      <c r="AZ120" s="362">
        <f t="shared" si="101"/>
        <v>5.9181782478474947</v>
      </c>
      <c r="BA120" s="905">
        <f t="shared" si="101"/>
        <v>5.741567086004232</v>
      </c>
      <c r="BC120" s="1039">
        <v>44</v>
      </c>
      <c r="BD120" s="1042" t="str">
        <f t="shared" si="81"/>
        <v>(F67/100*INDEX('DEFAULT DATA'!$GI$9:$IN$41,START!$B$3,44)/INDEX('DEFAULT DATA'!$DX$9:$DX$41,START!$B$3,1))+</v>
      </c>
      <c r="BE120" s="1056"/>
      <c r="BF120" s="1056"/>
      <c r="BG120" s="1056"/>
      <c r="BH120" s="1056"/>
      <c r="BI120" s="978"/>
      <c r="BJ120" s="978"/>
      <c r="BK120" s="978"/>
      <c r="BL120" s="1044"/>
      <c r="BM120" s="536">
        <v>67</v>
      </c>
      <c r="BN120" s="1046" t="s">
        <v>2934</v>
      </c>
    </row>
    <row r="121" spans="1:66" ht="20.100000000000001" customHeight="1">
      <c r="A121" s="40"/>
      <c r="B121" s="43"/>
      <c r="C121" s="43"/>
      <c r="D121" s="43"/>
      <c r="E121" s="43"/>
      <c r="F121" s="43"/>
      <c r="G121" s="43"/>
      <c r="H121" s="43"/>
      <c r="I121" s="43"/>
      <c r="J121" s="43"/>
      <c r="K121" s="43"/>
      <c r="L121" s="37"/>
      <c r="M121" s="1102"/>
      <c r="N121" s="1102"/>
      <c r="O121" s="46"/>
      <c r="P121" s="409"/>
      <c r="Q121" s="409"/>
      <c r="R121" s="409"/>
      <c r="BC121" s="1039">
        <v>45</v>
      </c>
      <c r="BD121" s="1042" t="str">
        <f t="shared" si="81"/>
        <v>(F68/100*INDEX('DEFAULT DATA'!$GI$9:$IN$41,START!$B$3,45)/INDEX('DEFAULT DATA'!$DX$9:$DX$41,START!$B$3,1))+</v>
      </c>
      <c r="BE121" s="1056"/>
      <c r="BF121" s="1056"/>
      <c r="BG121" s="1056"/>
      <c r="BH121" s="1056"/>
      <c r="BI121" s="978"/>
      <c r="BJ121" s="978"/>
      <c r="BK121" s="978"/>
      <c r="BL121" s="1044"/>
      <c r="BM121" s="536">
        <v>68</v>
      </c>
      <c r="BN121" s="1046" t="s">
        <v>2934</v>
      </c>
    </row>
    <row r="122" spans="1:66" ht="20.100000000000001" customHeight="1" thickBot="1">
      <c r="A122" s="40"/>
      <c r="B122" s="34"/>
      <c r="C122" s="34"/>
      <c r="D122" s="34"/>
      <c r="E122" s="34"/>
      <c r="F122" s="34"/>
      <c r="G122" s="34"/>
      <c r="H122" s="34"/>
      <c r="I122" s="34"/>
      <c r="J122" s="34"/>
      <c r="K122" s="34"/>
      <c r="L122" s="37"/>
      <c r="M122" s="1102"/>
      <c r="N122" s="1102"/>
      <c r="O122" s="46"/>
      <c r="P122" s="409"/>
      <c r="Q122" s="409"/>
      <c r="R122" s="409"/>
      <c r="S122" s="451" t="s">
        <v>2954</v>
      </c>
      <c r="T122" s="417"/>
      <c r="U122" s="417"/>
      <c r="BC122" s="1039">
        <v>46</v>
      </c>
      <c r="BD122" s="1042" t="str">
        <f t="shared" si="81"/>
        <v>(F69/100*INDEX('DEFAULT DATA'!$GI$9:$IN$41,START!$B$3,46)/INDEX('DEFAULT DATA'!$DX$9:$DX$41,START!$B$3,1))+</v>
      </c>
      <c r="BE122" s="1056"/>
      <c r="BF122" s="1056"/>
      <c r="BG122" s="1056"/>
      <c r="BH122" s="1056"/>
      <c r="BI122" s="978"/>
      <c r="BJ122" s="978"/>
      <c r="BK122" s="978"/>
      <c r="BL122" s="1044"/>
      <c r="BM122" s="536">
        <v>69</v>
      </c>
      <c r="BN122" s="1046" t="s">
        <v>2934</v>
      </c>
    </row>
    <row r="123" spans="1:66" ht="20.100000000000001" customHeight="1" thickBot="1">
      <c r="A123" s="59"/>
      <c r="B123" s="60"/>
      <c r="C123" s="60"/>
      <c r="D123" s="60"/>
      <c r="E123" s="60"/>
      <c r="F123" s="60"/>
      <c r="G123" s="60"/>
      <c r="H123" s="60"/>
      <c r="I123" s="60"/>
      <c r="J123" s="60"/>
      <c r="K123" s="60"/>
      <c r="L123" s="203"/>
      <c r="M123" s="1107"/>
      <c r="N123" s="1107"/>
      <c r="O123" s="47"/>
      <c r="P123" s="406"/>
      <c r="Q123" s="406"/>
      <c r="R123" s="406"/>
      <c r="S123" s="906" t="s">
        <v>2444</v>
      </c>
      <c r="T123" s="1023" t="s">
        <v>2438</v>
      </c>
      <c r="U123" s="1069"/>
      <c r="V123" s="1101">
        <v>2019</v>
      </c>
      <c r="W123" s="1101">
        <v>2020</v>
      </c>
      <c r="X123" s="1101">
        <v>2021</v>
      </c>
      <c r="Y123" s="1101">
        <f>X123+1</f>
        <v>2022</v>
      </c>
      <c r="Z123" s="1101">
        <f t="shared" ref="Z123" si="102">Y123+1</f>
        <v>2023</v>
      </c>
      <c r="AA123" s="1101">
        <f t="shared" ref="AA123" si="103">Z123+1</f>
        <v>2024</v>
      </c>
      <c r="AB123" s="1101">
        <f t="shared" ref="AB123" si="104">AA123+1</f>
        <v>2025</v>
      </c>
      <c r="AC123" s="1101">
        <f t="shared" ref="AC123" si="105">AB123+1</f>
        <v>2026</v>
      </c>
      <c r="AD123" s="1101">
        <f t="shared" ref="AD123" si="106">AC123+1</f>
        <v>2027</v>
      </c>
      <c r="AE123" s="1101">
        <f t="shared" ref="AE123" si="107">AD123+1</f>
        <v>2028</v>
      </c>
      <c r="AF123" s="1101">
        <f t="shared" ref="AF123" si="108">AE123+1</f>
        <v>2029</v>
      </c>
      <c r="AG123" s="1101">
        <f t="shared" ref="AG123" si="109">AF123+1</f>
        <v>2030</v>
      </c>
      <c r="AH123" s="1101">
        <f t="shared" ref="AH123" si="110">AG123+1</f>
        <v>2031</v>
      </c>
      <c r="AI123" s="1101">
        <f t="shared" ref="AI123" si="111">AH123+1</f>
        <v>2032</v>
      </c>
      <c r="AJ123" s="1101">
        <f t="shared" ref="AJ123" si="112">AI123+1</f>
        <v>2033</v>
      </c>
      <c r="AK123" s="1101">
        <f t="shared" ref="AK123" si="113">AJ123+1</f>
        <v>2034</v>
      </c>
      <c r="AL123" s="1101">
        <f t="shared" ref="AL123" si="114">AK123+1</f>
        <v>2035</v>
      </c>
      <c r="AM123" s="1101">
        <f t="shared" ref="AM123" si="115">AL123+1</f>
        <v>2036</v>
      </c>
      <c r="AN123" s="1101">
        <f t="shared" ref="AN123" si="116">AM123+1</f>
        <v>2037</v>
      </c>
      <c r="AO123" s="1101">
        <f t="shared" ref="AO123" si="117">AN123+1</f>
        <v>2038</v>
      </c>
      <c r="AP123" s="1101">
        <f t="shared" ref="AP123" si="118">AO123+1</f>
        <v>2039</v>
      </c>
      <c r="AQ123" s="1101">
        <f t="shared" ref="AQ123" si="119">AP123+1</f>
        <v>2040</v>
      </c>
      <c r="AR123" s="1101">
        <f t="shared" ref="AR123" si="120">AQ123+1</f>
        <v>2041</v>
      </c>
      <c r="AS123" s="1101">
        <f t="shared" ref="AS123" si="121">AR123+1</f>
        <v>2042</v>
      </c>
      <c r="AT123" s="1101">
        <f t="shared" ref="AT123" si="122">AS123+1</f>
        <v>2043</v>
      </c>
      <c r="AU123" s="1101">
        <f t="shared" ref="AU123" si="123">AT123+1</f>
        <v>2044</v>
      </c>
      <c r="AV123" s="1101">
        <f t="shared" ref="AV123" si="124">AU123+1</f>
        <v>2045</v>
      </c>
      <c r="AW123" s="1101">
        <f t="shared" ref="AW123" si="125">AV123+1</f>
        <v>2046</v>
      </c>
      <c r="AX123" s="1101">
        <f t="shared" ref="AX123" si="126">AW123+1</f>
        <v>2047</v>
      </c>
      <c r="AY123" s="1101">
        <f t="shared" ref="AY123" si="127">AX123+1</f>
        <v>2048</v>
      </c>
      <c r="AZ123" s="1101">
        <f t="shared" ref="AZ123" si="128">AY123+1</f>
        <v>2049</v>
      </c>
      <c r="BA123" s="318">
        <f t="shared" ref="BA123" si="129">AZ123+1</f>
        <v>2050</v>
      </c>
      <c r="BC123" s="1039">
        <v>47</v>
      </c>
      <c r="BD123" s="1042" t="str">
        <f t="shared" si="81"/>
        <v>(F70/100*INDEX('DEFAULT DATA'!$GI$9:$IN$41,START!$B$3,47)/INDEX('DEFAULT DATA'!$DX$9:$DX$41,START!$B$3,1))+</v>
      </c>
      <c r="BE123" s="1056"/>
      <c r="BF123" s="1056"/>
      <c r="BG123" s="1056"/>
      <c r="BH123" s="1056"/>
      <c r="BI123" s="978"/>
      <c r="BJ123" s="978"/>
      <c r="BK123" s="978"/>
      <c r="BL123" s="1044"/>
      <c r="BM123" s="536">
        <v>70</v>
      </c>
      <c r="BN123" s="1046" t="s">
        <v>2934</v>
      </c>
    </row>
    <row r="124" spans="1:66" ht="30" customHeight="1" thickBot="1">
      <c r="A124" s="1133"/>
      <c r="B124" s="1418" t="s">
        <v>151</v>
      </c>
      <c r="C124" s="1418"/>
      <c r="D124" s="1418"/>
      <c r="E124" s="1418"/>
      <c r="F124" s="1418"/>
      <c r="G124" s="1418"/>
      <c r="H124" s="1418"/>
      <c r="I124" s="1418"/>
      <c r="J124" s="1418"/>
      <c r="K124" s="1418"/>
      <c r="L124" s="1418"/>
      <c r="M124" s="1418"/>
      <c r="N124" s="1418"/>
      <c r="O124" s="1419"/>
      <c r="P124" s="410"/>
      <c r="Q124" s="410"/>
      <c r="R124" s="410"/>
      <c r="S124" s="907"/>
      <c r="T124" s="1444" t="s">
        <v>2984</v>
      </c>
      <c r="U124" s="1445"/>
      <c r="V124" s="879"/>
      <c r="W124" s="879"/>
      <c r="X124" s="362">
        <f>INDEX('DEFAULT DATA'!JG9:JG41,START!C3,1)*TRANSPORT!AA21</f>
        <v>200.52156268223263</v>
      </c>
      <c r="Y124" s="362">
        <f>X124*(100+INDEX('DEFAULT DATA'!$JK$9:$JM$41,START!$C$3,1))/100</f>
        <v>203.52938612246612</v>
      </c>
      <c r="Z124" s="362">
        <f>Y124*(100+INDEX('DEFAULT DATA'!$JK$9:$JM$41,START!$C$3,1))/100</f>
        <v>206.58232691430311</v>
      </c>
      <c r="AA124" s="362">
        <f>Z124*(100+INDEX('DEFAULT DATA'!$JK$9:$JM$41,START!$C$3,1))/100</f>
        <v>209.68106181801767</v>
      </c>
      <c r="AB124" s="362">
        <f>AA124*(100+INDEX('DEFAULT DATA'!$JK$9:$JM$41,START!$C$3,1))/100</f>
        <v>212.82627774528791</v>
      </c>
      <c r="AC124" s="362">
        <f>AB124*(100+INDEX('DEFAULT DATA'!$JK$9:$JM$41,START!$C$3,1))/100</f>
        <v>216.01867191146724</v>
      </c>
      <c r="AD124" s="362">
        <f>AC124*(100+INDEX('DEFAULT DATA'!$JK$9:$JM$41,START!$C$3,1))/100</f>
        <v>219.25895199013925</v>
      </c>
      <c r="AE124" s="362">
        <f>AD124*(100+INDEX('DEFAULT DATA'!$JK$9:$JM$41,START!$C$3,1))/100</f>
        <v>222.54783626999134</v>
      </c>
      <c r="AF124" s="362">
        <f>AE124*(100+INDEX('DEFAULT DATA'!$JK$9:$JM$41,START!$C$3,1))/100</f>
        <v>225.88605381404119</v>
      </c>
      <c r="AG124" s="362">
        <f>AF124*(100+INDEX('DEFAULT DATA'!$JK$9:$JM$41,START!$C$3,1))/100</f>
        <v>229.2743446212518</v>
      </c>
      <c r="AH124" s="362">
        <f>AG124*(100+INDEX('DEFAULT DATA'!$JK$9:$JM$41,START!$C$3,2))/100</f>
        <v>232.48418544594932</v>
      </c>
      <c r="AI124" s="362">
        <f>AH124*(100+INDEX('DEFAULT DATA'!$JK$9:$JM$41,START!$C$3,2))/100</f>
        <v>235.73896404219263</v>
      </c>
      <c r="AJ124" s="362">
        <f>AI124*(100+INDEX('DEFAULT DATA'!$JK$9:$JM$41,START!$C$3,2))/100</f>
        <v>239.03930953878336</v>
      </c>
      <c r="AK124" s="362">
        <f>AJ124*(100+INDEX('DEFAULT DATA'!$JK$9:$JM$41,START!$C$3,2))/100</f>
        <v>242.38585987232634</v>
      </c>
      <c r="AL124" s="362">
        <f>AK124*(100+INDEX('DEFAULT DATA'!$JK$9:$JM$41,START!$C$3,2))/100</f>
        <v>245.77926191053891</v>
      </c>
      <c r="AM124" s="362">
        <f>AL124*(100+INDEX('DEFAULT DATA'!$JK$9:$JM$41,START!$C$3,2))/100</f>
        <v>249.22017157728646</v>
      </c>
      <c r="AN124" s="362">
        <f>AM124*(100+INDEX('DEFAULT DATA'!$JK$9:$JM$41,START!$C$3,2))/100</f>
        <v>252.70925397936847</v>
      </c>
      <c r="AO124" s="362">
        <f>AN124*(100+INDEX('DEFAULT DATA'!$JK$9:$JM$41,START!$C$3,2))/100</f>
        <v>256.24718353507961</v>
      </c>
      <c r="AP124" s="362">
        <f>AO124*(100+INDEX('DEFAULT DATA'!$JK$9:$JM$41,START!$C$3,2))/100</f>
        <v>259.83464410457071</v>
      </c>
      <c r="AQ124" s="362">
        <f>AP124*(100+INDEX('DEFAULT DATA'!$JK$9:$JM$41,START!$C$3,2))/100</f>
        <v>263.47232912203469</v>
      </c>
      <c r="AR124" s="362">
        <f>AQ124*(100+INDEX('DEFAULT DATA'!$JK$9:$JM$41,START!$C$3,3))/100</f>
        <v>267.16094172974323</v>
      </c>
      <c r="AS124" s="362">
        <f>AR124*(100+INDEX('DEFAULT DATA'!$JK$9:$JM$41,START!$C$3,3))/100</f>
        <v>270.90119491395967</v>
      </c>
      <c r="AT124" s="362">
        <f>AS124*(100+INDEX('DEFAULT DATA'!$JK$9:$JM$41,START!$C$3,3))/100</f>
        <v>274.69381164275512</v>
      </c>
      <c r="AU124" s="362">
        <f>AT124*(100+INDEX('DEFAULT DATA'!$JK$9:$JM$41,START!$C$3,3))/100</f>
        <v>278.53952500575372</v>
      </c>
      <c r="AV124" s="362">
        <f>AU124*(100+INDEX('DEFAULT DATA'!$JK$9:$JM$41,START!$C$3,3))/100</f>
        <v>282.43907835583428</v>
      </c>
      <c r="AW124" s="362">
        <f>AV124*(100+INDEX('DEFAULT DATA'!$JK$9:$JM$41,START!$C$3,3))/100</f>
        <v>286.39322545281595</v>
      </c>
      <c r="AX124" s="362">
        <f>AW124*(100+INDEX('DEFAULT DATA'!$JK$9:$JM$41,START!$C$3,3))/100</f>
        <v>290.40273060915541</v>
      </c>
      <c r="AY124" s="362">
        <f>AX124*(100+INDEX('DEFAULT DATA'!$JK$9:$JM$41,START!$C$3,3))/100</f>
        <v>294.46836883768361</v>
      </c>
      <c r="AZ124" s="362">
        <f>AY124*(100+INDEX('DEFAULT DATA'!$JK$9:$JM$41,START!$C$3,3))/100</f>
        <v>298.59092600141122</v>
      </c>
      <c r="BA124" s="905">
        <f>AZ124*(100+INDEX('DEFAULT DATA'!$JK$9:$JM$41,START!$C$3,3))/100</f>
        <v>302.77119896543098</v>
      </c>
      <c r="BB124" s="1025"/>
      <c r="BC124" s="1039">
        <v>48</v>
      </c>
      <c r="BD124" s="1042" t="str">
        <f t="shared" si="81"/>
        <v>(F71/100*INDEX('DEFAULT DATA'!$GI$9:$IN$41,START!$B$3,48)/INDEX('DEFAULT DATA'!$DX$9:$DX$41,START!$B$3,1))+</v>
      </c>
      <c r="BE124" s="1056"/>
      <c r="BF124" s="1056"/>
      <c r="BG124" s="1056"/>
      <c r="BH124" s="1056"/>
      <c r="BI124" s="978"/>
      <c r="BJ124" s="978"/>
      <c r="BK124" s="978"/>
      <c r="BL124" s="1044"/>
      <c r="BM124" s="536">
        <v>71</v>
      </c>
      <c r="BN124" s="1046" t="s">
        <v>2934</v>
      </c>
    </row>
    <row r="125" spans="1:66" ht="20.100000000000001" customHeight="1" thickBot="1">
      <c r="A125" s="1078"/>
      <c r="B125" s="1024"/>
      <c r="C125" s="1024"/>
      <c r="D125" s="1024"/>
      <c r="E125" s="1024"/>
      <c r="F125" s="1024"/>
      <c r="G125" s="1024"/>
      <c r="H125" s="1024"/>
      <c r="I125" s="1024"/>
      <c r="J125" s="1024"/>
      <c r="K125" s="1024"/>
      <c r="L125" s="1024"/>
      <c r="M125" s="1024"/>
      <c r="N125" s="1024"/>
      <c r="O125" s="460"/>
      <c r="P125" s="1024"/>
      <c r="Q125" s="1024"/>
      <c r="R125" s="29"/>
      <c r="S125" s="1025"/>
      <c r="T125" s="1025"/>
      <c r="U125" s="1025"/>
      <c r="V125" s="1025"/>
      <c r="W125" s="1025"/>
      <c r="X125" s="1025"/>
      <c r="Y125" s="1025"/>
      <c r="Z125" s="1025"/>
      <c r="AA125" s="1025"/>
      <c r="AB125" s="1025"/>
      <c r="AC125" s="1025"/>
      <c r="AD125" s="1025"/>
      <c r="AE125" s="1025"/>
      <c r="AF125" s="1025"/>
      <c r="AG125" s="1025"/>
      <c r="AH125" s="1025"/>
      <c r="AI125" s="1025"/>
      <c r="AJ125" s="1025"/>
      <c r="AK125" s="1025"/>
      <c r="AL125" s="1025"/>
      <c r="AM125" s="1025"/>
      <c r="AN125" s="1025"/>
      <c r="AO125" s="1025"/>
      <c r="AP125" s="1025"/>
      <c r="AQ125" s="1025"/>
      <c r="AR125" s="1025"/>
      <c r="AS125" s="1025"/>
      <c r="AT125" s="1025"/>
      <c r="AU125" s="1025"/>
      <c r="AV125" s="1025"/>
      <c r="AW125" s="1025"/>
      <c r="AX125" s="1025"/>
      <c r="AY125" s="1025"/>
      <c r="AZ125" s="1025"/>
      <c r="BA125" s="1025"/>
      <c r="BB125" s="1025"/>
      <c r="BC125" s="1039">
        <v>49</v>
      </c>
      <c r="BD125" s="1042" t="str">
        <f t="shared" si="81"/>
        <v>(F72/100*INDEX('DEFAULT DATA'!$GI$9:$IN$41,START!$B$3,49)/INDEX('DEFAULT DATA'!$DX$9:$DX$41,START!$B$3,1))+</v>
      </c>
      <c r="BE125" s="1056"/>
      <c r="BF125" s="1056"/>
      <c r="BG125" s="1056"/>
      <c r="BH125" s="1056"/>
      <c r="BI125" s="978"/>
      <c r="BJ125" s="978"/>
      <c r="BK125" s="978"/>
      <c r="BL125" s="1044"/>
      <c r="BM125" s="536">
        <v>72</v>
      </c>
      <c r="BN125" s="1046" t="s">
        <v>2934</v>
      </c>
    </row>
    <row r="126" spans="1:66" ht="20.100000000000001" customHeight="1">
      <c r="A126" s="30"/>
      <c r="B126" s="641" t="s">
        <v>156</v>
      </c>
      <c r="C126" s="274"/>
      <c r="D126" s="274"/>
      <c r="E126" s="274"/>
      <c r="F126" s="429"/>
      <c r="G126" s="643"/>
      <c r="H126" s="429"/>
      <c r="I126" s="429"/>
      <c r="J126" s="429"/>
      <c r="K126" s="429"/>
      <c r="L126" s="429"/>
      <c r="M126" s="429"/>
      <c r="N126" s="429"/>
      <c r="O126" s="639"/>
      <c r="P126" s="1024"/>
      <c r="Q126" s="1024"/>
      <c r="R126" s="29"/>
      <c r="S126" s="468" t="s">
        <v>2439</v>
      </c>
      <c r="T126" s="1079" t="s">
        <v>2983</v>
      </c>
      <c r="U126" s="1080"/>
      <c r="V126" s="1101">
        <v>2019</v>
      </c>
      <c r="W126" s="1101">
        <v>2020</v>
      </c>
      <c r="X126" s="1101">
        <v>2021</v>
      </c>
      <c r="Y126" s="1101">
        <f>X126+1</f>
        <v>2022</v>
      </c>
      <c r="Z126" s="1101">
        <f t="shared" ref="Z126" si="130">Y126+1</f>
        <v>2023</v>
      </c>
      <c r="AA126" s="1101">
        <f t="shared" ref="AA126" si="131">Z126+1</f>
        <v>2024</v>
      </c>
      <c r="AB126" s="1101">
        <f t="shared" ref="AB126" si="132">AA126+1</f>
        <v>2025</v>
      </c>
      <c r="AC126" s="1101">
        <f t="shared" ref="AC126" si="133">AB126+1</f>
        <v>2026</v>
      </c>
      <c r="AD126" s="1101">
        <f t="shared" ref="AD126" si="134">AC126+1</f>
        <v>2027</v>
      </c>
      <c r="AE126" s="1101">
        <f t="shared" ref="AE126" si="135">AD126+1</f>
        <v>2028</v>
      </c>
      <c r="AF126" s="1101">
        <f t="shared" ref="AF126" si="136">AE126+1</f>
        <v>2029</v>
      </c>
      <c r="AG126" s="1101">
        <f t="shared" ref="AG126" si="137">AF126+1</f>
        <v>2030</v>
      </c>
      <c r="AH126" s="1101">
        <f t="shared" ref="AH126" si="138">AG126+1</f>
        <v>2031</v>
      </c>
      <c r="AI126" s="1101">
        <f t="shared" ref="AI126" si="139">AH126+1</f>
        <v>2032</v>
      </c>
      <c r="AJ126" s="1101">
        <f t="shared" ref="AJ126" si="140">AI126+1</f>
        <v>2033</v>
      </c>
      <c r="AK126" s="1101">
        <f t="shared" ref="AK126" si="141">AJ126+1</f>
        <v>2034</v>
      </c>
      <c r="AL126" s="1101">
        <f t="shared" ref="AL126" si="142">AK126+1</f>
        <v>2035</v>
      </c>
      <c r="AM126" s="1101">
        <f t="shared" ref="AM126" si="143">AL126+1</f>
        <v>2036</v>
      </c>
      <c r="AN126" s="1101">
        <f t="shared" ref="AN126" si="144">AM126+1</f>
        <v>2037</v>
      </c>
      <c r="AO126" s="1101">
        <f t="shared" ref="AO126" si="145">AN126+1</f>
        <v>2038</v>
      </c>
      <c r="AP126" s="1101">
        <f t="shared" ref="AP126" si="146">AO126+1</f>
        <v>2039</v>
      </c>
      <c r="AQ126" s="1101">
        <f t="shared" ref="AQ126" si="147">AP126+1</f>
        <v>2040</v>
      </c>
      <c r="AR126" s="1101">
        <f t="shared" ref="AR126" si="148">AQ126+1</f>
        <v>2041</v>
      </c>
      <c r="AS126" s="1101">
        <f t="shared" ref="AS126" si="149">AR126+1</f>
        <v>2042</v>
      </c>
      <c r="AT126" s="1101">
        <f t="shared" ref="AT126" si="150">AS126+1</f>
        <v>2043</v>
      </c>
      <c r="AU126" s="1101">
        <f t="shared" ref="AU126" si="151">AT126+1</f>
        <v>2044</v>
      </c>
      <c r="AV126" s="1101">
        <f t="shared" ref="AV126" si="152">AU126+1</f>
        <v>2045</v>
      </c>
      <c r="AW126" s="1101">
        <f t="shared" ref="AW126" si="153">AV126+1</f>
        <v>2046</v>
      </c>
      <c r="AX126" s="1101">
        <f t="shared" ref="AX126" si="154">AW126+1</f>
        <v>2047</v>
      </c>
      <c r="AY126" s="1101">
        <f t="shared" ref="AY126" si="155">AX126+1</f>
        <v>2048</v>
      </c>
      <c r="AZ126" s="1101">
        <f t="shared" ref="AZ126" si="156">AY126+1</f>
        <v>2049</v>
      </c>
      <c r="BA126" s="318">
        <f t="shared" ref="BA126" si="157">AZ126+1</f>
        <v>2050</v>
      </c>
      <c r="BC126" s="1039">
        <v>50</v>
      </c>
      <c r="BD126" s="1042" t="str">
        <f t="shared" si="81"/>
        <v>(F73/100*INDEX('DEFAULT DATA'!$GI$9:$IN$41,START!$B$3,50)/INDEX('DEFAULT DATA'!$DX$9:$DX$41,START!$B$3,1))+</v>
      </c>
      <c r="BE126" s="1056"/>
      <c r="BF126" s="1056"/>
      <c r="BG126" s="1056"/>
      <c r="BH126" s="1056"/>
      <c r="BI126" s="978"/>
      <c r="BJ126" s="978"/>
      <c r="BK126" s="978"/>
      <c r="BL126" s="1044"/>
      <c r="BM126" s="536">
        <v>73</v>
      </c>
      <c r="BN126" s="1046" t="s">
        <v>2934</v>
      </c>
    </row>
    <row r="127" spans="1:66" ht="20.100000000000001" customHeight="1">
      <c r="A127" s="1078"/>
      <c r="B127" s="259" t="s">
        <v>157</v>
      </c>
      <c r="C127" s="557"/>
      <c r="D127" s="557"/>
      <c r="E127" s="557"/>
      <c r="F127" s="1024"/>
      <c r="G127" s="495">
        <v>200000</v>
      </c>
      <c r="H127" s="1024"/>
      <c r="I127" s="635" t="s">
        <v>162</v>
      </c>
      <c r="J127" s="635"/>
      <c r="K127" s="635"/>
      <c r="L127" s="635"/>
      <c r="M127" s="635"/>
      <c r="N127" s="635"/>
      <c r="O127" s="644"/>
      <c r="P127" s="635"/>
      <c r="Q127" s="635"/>
      <c r="R127" s="50"/>
      <c r="S127" s="241" t="s">
        <v>2731</v>
      </c>
      <c r="T127" s="1440" t="s">
        <v>2985</v>
      </c>
      <c r="U127" s="1441"/>
      <c r="V127" s="1145"/>
      <c r="W127" s="1146"/>
      <c r="X127" s="1126">
        <f>(INDEX('DEFAULT DATA'!$JJ$9:$JJ$41,START!$C$3,1)/100*X5*INDEX('DEFAULT DATA'!$JI$9:$JI$41,START!$C$3,1))</f>
        <v>1188.7739569960388</v>
      </c>
      <c r="Y127" s="1126">
        <f>(INDEX('DEFAULT DATA'!$JJ$9:$JJ$41,START!$C$3,1)/100*Y5*INDEX('DEFAULT DATA'!$JI$9:$JI$41,START!$C$3,1))</f>
        <v>1176.8862174260787</v>
      </c>
      <c r="Z127" s="1126">
        <f>(INDEX('DEFAULT DATA'!$JJ$9:$JJ$41,START!$C$3,1)/100*Z5*INDEX('DEFAULT DATA'!$JI$9:$JI$41,START!$C$3,1))</f>
        <v>1165.1173552518178</v>
      </c>
      <c r="AA127" s="1126">
        <f>(INDEX('DEFAULT DATA'!$JJ$9:$JJ$41,START!$C$3,1)/100*AA5*INDEX('DEFAULT DATA'!$JI$9:$JI$41,START!$C$3,1))</f>
        <v>1153.4661816992996</v>
      </c>
      <c r="AB127" s="1126">
        <f>(INDEX('DEFAULT DATA'!$JJ$9:$JJ$41,START!$C$3,1)/100*AB5*INDEX('DEFAULT DATA'!$JI$9:$JI$41,START!$C$3,1))</f>
        <v>1141.9315198823065</v>
      </c>
      <c r="AC127" s="1126">
        <f>(INDEX('DEFAULT DATA'!$JJ$9:$JJ$41,START!$C$3,1)/100*AC5*INDEX('DEFAULT DATA'!$JI$9:$JI$41,START!$C$3,1))</f>
        <v>1130.5122046834833</v>
      </c>
      <c r="AD127" s="1126">
        <f>(INDEX('DEFAULT DATA'!$JJ$9:$JJ$41,START!$C$3,1)/100*AD5*INDEX('DEFAULT DATA'!$JI$9:$JI$41,START!$C$3,1))</f>
        <v>1119.2070826366487</v>
      </c>
      <c r="AE127" s="1126">
        <f>(INDEX('DEFAULT DATA'!$JJ$9:$JJ$41,START!$C$3,1)/100*AE5*INDEX('DEFAULT DATA'!$JI$9:$JI$41,START!$C$3,1))</f>
        <v>1108.0150118102822</v>
      </c>
      <c r="AF127" s="1126">
        <f>(INDEX('DEFAULT DATA'!$JJ$9:$JJ$41,START!$C$3,1)/100*AF5*INDEX('DEFAULT DATA'!$JI$9:$JI$41,START!$C$3,1))</f>
        <v>1096.9348616921795</v>
      </c>
      <c r="AG127" s="1126">
        <f>(INDEX('DEFAULT DATA'!$JJ$9:$JJ$41,START!$C$3,1)/100*AG5*INDEX('DEFAULT DATA'!$JI$9:$JI$41,START!$C$3,1))</f>
        <v>1085.9655130752576</v>
      </c>
      <c r="AH127" s="1126">
        <f>(INDEX('DEFAULT DATA'!$JJ$9:$JJ$41,START!$C$3,1)/100*AH5*INDEX('DEFAULT DATA'!$JI$9:$JI$41,START!$C$3,1))</f>
        <v>1026.2374098561183</v>
      </c>
      <c r="AI127" s="1126">
        <f>(INDEX('DEFAULT DATA'!$JJ$9:$JJ$41,START!$C$3,1)/100*AI5*INDEX('DEFAULT DATA'!$JI$9:$JI$41,START!$C$3,1))</f>
        <v>969.79435231403193</v>
      </c>
      <c r="AJ127" s="1126">
        <f>(INDEX('DEFAULT DATA'!$JJ$9:$JJ$41,START!$C$3,1)/100*AJ5*INDEX('DEFAULT DATA'!$JI$9:$JI$41,START!$C$3,1))</f>
        <v>916.45566293676006</v>
      </c>
      <c r="AK127" s="1126">
        <f>(INDEX('DEFAULT DATA'!$JJ$9:$JJ$41,START!$C$3,1)/100*AK5*INDEX('DEFAULT DATA'!$JI$9:$JI$41,START!$C$3,1))</f>
        <v>866.05060147523818</v>
      </c>
      <c r="AL127" s="1126">
        <f>(INDEX('DEFAULT DATA'!$JJ$9:$JJ$41,START!$C$3,1)/100*AL5*INDEX('DEFAULT DATA'!$JI$9:$JI$41,START!$C$3,1))</f>
        <v>818.41781839409998</v>
      </c>
      <c r="AM127" s="1126">
        <f>(INDEX('DEFAULT DATA'!$JJ$9:$JJ$41,START!$C$3,1)/100*AM5*INDEX('DEFAULT DATA'!$JI$9:$JI$41,START!$C$3,1))</f>
        <v>773.40483838242449</v>
      </c>
      <c r="AN127" s="1126">
        <f>(INDEX('DEFAULT DATA'!$JJ$9:$JJ$41,START!$C$3,1)/100*AN5*INDEX('DEFAULT DATA'!$JI$9:$JI$41,START!$C$3,1))</f>
        <v>730.86757227139105</v>
      </c>
      <c r="AO127" s="1126">
        <f>(INDEX('DEFAULT DATA'!$JJ$9:$JJ$41,START!$C$3,1)/100*AO5*INDEX('DEFAULT DATA'!$JI$9:$JI$41,START!$C$3,1))</f>
        <v>690.6698557964645</v>
      </c>
      <c r="AP127" s="1126">
        <f>(INDEX('DEFAULT DATA'!$JJ$9:$JJ$41,START!$C$3,1)/100*AP5*INDEX('DEFAULT DATA'!$JI$9:$JI$41,START!$C$3,1))</f>
        <v>652.68301372765893</v>
      </c>
      <c r="AQ127" s="1126">
        <f>(INDEX('DEFAULT DATA'!$JJ$9:$JJ$41,START!$C$3,1)/100*AQ5*INDEX('DEFAULT DATA'!$JI$9:$JI$41,START!$C$3,1))</f>
        <v>616.7854479726376</v>
      </c>
      <c r="AR127" s="1126">
        <f>(INDEX('DEFAULT DATA'!$JJ$9:$JJ$41,START!$C$3,1)/100*AR5*INDEX('DEFAULT DATA'!$JI$9:$JI$41,START!$C$3,1))</f>
        <v>582.86224833414258</v>
      </c>
      <c r="AS127" s="1126">
        <f>(INDEX('DEFAULT DATA'!$JJ$9:$JJ$41,START!$C$3,1)/100*AS5*INDEX('DEFAULT DATA'!$JI$9:$JI$41,START!$C$3,1))</f>
        <v>550.80482467576462</v>
      </c>
      <c r="AT127" s="1126">
        <f>(INDEX('DEFAULT DATA'!$JJ$9:$JJ$41,START!$C$3,1)/100*AT5*INDEX('DEFAULT DATA'!$JI$9:$JI$41,START!$C$3,1))</f>
        <v>520.51055931859753</v>
      </c>
      <c r="AU127" s="1126">
        <f>(INDEX('DEFAULT DATA'!$JJ$9:$JJ$41,START!$C$3,1)/100*AU5*INDEX('DEFAULT DATA'!$JI$9:$JI$41,START!$C$3,1))</f>
        <v>491.88247855607466</v>
      </c>
      <c r="AV127" s="1126">
        <f>(INDEX('DEFAULT DATA'!$JJ$9:$JJ$41,START!$C$3,1)/100*AV5*INDEX('DEFAULT DATA'!$JI$9:$JI$41,START!$C$3,1))</f>
        <v>464.82894223549062</v>
      </c>
      <c r="AW127" s="1126">
        <f>(INDEX('DEFAULT DATA'!$JJ$9:$JJ$41,START!$C$3,1)/100*AW5*INDEX('DEFAULT DATA'!$JI$9:$JI$41,START!$C$3,1))</f>
        <v>439.26335041253861</v>
      </c>
      <c r="AX127" s="1126">
        <f>(INDEX('DEFAULT DATA'!$JJ$9:$JJ$41,START!$C$3,1)/100*AX5*INDEX('DEFAULT DATA'!$JI$9:$JI$41,START!$C$3,1))</f>
        <v>415.10386613984895</v>
      </c>
      <c r="AY127" s="1126">
        <f>(INDEX('DEFAULT DATA'!$JJ$9:$JJ$41,START!$C$3,1)/100*AY5*INDEX('DEFAULT DATA'!$JI$9:$JI$41,START!$C$3,1))</f>
        <v>392.27315350215719</v>
      </c>
      <c r="AZ127" s="1126">
        <f>(INDEX('DEFAULT DATA'!$JJ$9:$JJ$41,START!$C$3,1)/100*AZ5*INDEX('DEFAULT DATA'!$JI$9:$JI$41,START!$C$3,1))</f>
        <v>370.69813005953853</v>
      </c>
      <c r="BA127" s="1147">
        <f>(INDEX('DEFAULT DATA'!$JJ$9:$JJ$41,START!$C$3,1)/100*BA5*INDEX('DEFAULT DATA'!$JI$9:$JI$41,START!$C$3,1))</f>
        <v>350.30973290626389</v>
      </c>
      <c r="BC127" s="1039">
        <v>51</v>
      </c>
      <c r="BD127" s="1042" t="str">
        <f t="shared" si="81"/>
        <v>(F74/100*INDEX('DEFAULT DATA'!$GI$9:$IN$41,START!$B$3,51)/INDEX('DEFAULT DATA'!$DX$9:$DX$41,START!$B$3,1))+</v>
      </c>
      <c r="BE127" s="1056"/>
      <c r="BF127" s="1056"/>
      <c r="BG127" s="1056"/>
      <c r="BH127" s="1056"/>
      <c r="BI127" s="978"/>
      <c r="BJ127" s="978"/>
      <c r="BK127" s="978"/>
      <c r="BL127" s="1044"/>
      <c r="BM127" s="536">
        <v>74</v>
      </c>
      <c r="BN127" s="1046" t="s">
        <v>2934</v>
      </c>
    </row>
    <row r="128" spans="1:66" ht="20.100000000000001" customHeight="1">
      <c r="A128" s="1078"/>
      <c r="B128" s="259" t="s">
        <v>152</v>
      </c>
      <c r="C128" s="557"/>
      <c r="D128" s="557"/>
      <c r="E128" s="557"/>
      <c r="F128" s="1093" t="s">
        <v>153</v>
      </c>
      <c r="G128" s="1093" t="s">
        <v>154</v>
      </c>
      <c r="H128" s="1024"/>
      <c r="I128" s="1024"/>
      <c r="J128" s="1024"/>
      <c r="K128" s="1024"/>
      <c r="L128" s="1024"/>
      <c r="M128" s="1024"/>
      <c r="N128" s="1024"/>
      <c r="O128" s="460"/>
      <c r="P128" s="1024"/>
      <c r="Q128" s="1024"/>
      <c r="R128" s="29"/>
      <c r="S128" s="241" t="s">
        <v>2730</v>
      </c>
      <c r="T128" s="1440" t="s">
        <v>2986</v>
      </c>
      <c r="U128" s="1441"/>
      <c r="V128" s="366"/>
      <c r="W128" s="366"/>
      <c r="X128" s="272">
        <f>(100-INDEX('DEFAULT DATA'!$JJ$9:$JJ$41,START!$C$3,1))/100*INDEX('DEFAULT DATA'!$JH$9:$JH$41,START!$C$3,1)</f>
        <v>158.92993715824835</v>
      </c>
      <c r="Y128" s="272">
        <f>(100-INDEX('DEFAULT DATA'!$JJ$9:$JJ$41,START!$C$3,1))/100*INDEX('DEFAULT DATA'!$JH$9:$JH$41,START!$C$3,1)</f>
        <v>158.92993715824835</v>
      </c>
      <c r="Z128" s="272">
        <f>(100-INDEX('DEFAULT DATA'!$JJ$9:$JJ$41,START!$C$3,1))/100*INDEX('DEFAULT DATA'!$JH$9:$JH$41,START!$C$3,1)</f>
        <v>158.92993715824835</v>
      </c>
      <c r="AA128" s="272">
        <f>(100-INDEX('DEFAULT DATA'!$JJ$9:$JJ$41,START!$C$3,1))/100*INDEX('DEFAULT DATA'!$JH$9:$JH$41,START!$C$3,1)</f>
        <v>158.92993715824835</v>
      </c>
      <c r="AB128" s="272">
        <f>(100-INDEX('DEFAULT DATA'!$JJ$9:$JJ$41,START!$C$3,1))/100*INDEX('DEFAULT DATA'!$JH$9:$JH$41,START!$C$3,1)</f>
        <v>158.92993715824835</v>
      </c>
      <c r="AC128" s="272">
        <f>(100-INDEX('DEFAULT DATA'!$JJ$9:$JJ$41,START!$C$3,1))/100*INDEX('DEFAULT DATA'!$JH$9:$JH$41,START!$C$3,1)</f>
        <v>158.92993715824835</v>
      </c>
      <c r="AD128" s="272">
        <f>(100-INDEX('DEFAULT DATA'!$JJ$9:$JJ$41,START!$C$3,1))/100*INDEX('DEFAULT DATA'!$JH$9:$JH$41,START!$C$3,1)</f>
        <v>158.92993715824835</v>
      </c>
      <c r="AE128" s="272">
        <f>(100-INDEX('DEFAULT DATA'!$JJ$9:$JJ$41,START!$C$3,1))/100*INDEX('DEFAULT DATA'!$JH$9:$JH$41,START!$C$3,1)</f>
        <v>158.92993715824835</v>
      </c>
      <c r="AF128" s="272">
        <f>(100-INDEX('DEFAULT DATA'!$JJ$9:$JJ$41,START!$C$3,1))/100*INDEX('DEFAULT DATA'!$JH$9:$JH$41,START!$C$3,1)</f>
        <v>158.92993715824835</v>
      </c>
      <c r="AG128" s="272">
        <f>(100-INDEX('DEFAULT DATA'!$JJ$9:$JJ$41,START!$C$3,1))/100*INDEX('DEFAULT DATA'!$JH$9:$JH$41,START!$C$3,1)</f>
        <v>158.92993715824835</v>
      </c>
      <c r="AH128" s="272">
        <f>(100-INDEX('DEFAULT DATA'!$JJ$9:$JJ$41,START!$C$3,1))/100*INDEX('DEFAULT DATA'!$JH$9:$JH$41,START!$C$3,1)</f>
        <v>158.92993715824835</v>
      </c>
      <c r="AI128" s="272">
        <f>(100-INDEX('DEFAULT DATA'!$JJ$9:$JJ$41,START!$C$3,1))/100*INDEX('DEFAULT DATA'!$JH$9:$JH$41,START!$C$3,1)</f>
        <v>158.92993715824835</v>
      </c>
      <c r="AJ128" s="272">
        <f>(100-INDEX('DEFAULT DATA'!$JJ$9:$JJ$41,START!$C$3,1))/100*INDEX('DEFAULT DATA'!$JH$9:$JH$41,START!$C$3,1)</f>
        <v>158.92993715824835</v>
      </c>
      <c r="AK128" s="272">
        <f>(100-INDEX('DEFAULT DATA'!$JJ$9:$JJ$41,START!$C$3,1))/100*INDEX('DEFAULT DATA'!$JH$9:$JH$41,START!$C$3,1)</f>
        <v>158.92993715824835</v>
      </c>
      <c r="AL128" s="272">
        <f>(100-INDEX('DEFAULT DATA'!$JJ$9:$JJ$41,START!$C$3,1))/100*INDEX('DEFAULT DATA'!$JH$9:$JH$41,START!$C$3,1)</f>
        <v>158.92993715824835</v>
      </c>
      <c r="AM128" s="272">
        <f>(100-INDEX('DEFAULT DATA'!$JJ$9:$JJ$41,START!$C$3,1))/100*INDEX('DEFAULT DATA'!$JH$9:$JH$41,START!$C$3,1)</f>
        <v>158.92993715824835</v>
      </c>
      <c r="AN128" s="272">
        <f>(100-INDEX('DEFAULT DATA'!$JJ$9:$JJ$41,START!$C$3,1))/100*INDEX('DEFAULT DATA'!$JH$9:$JH$41,START!$C$3,1)</f>
        <v>158.92993715824835</v>
      </c>
      <c r="AO128" s="272">
        <f>(100-INDEX('DEFAULT DATA'!$JJ$9:$JJ$41,START!$C$3,1))/100*INDEX('DEFAULT DATA'!$JH$9:$JH$41,START!$C$3,1)</f>
        <v>158.92993715824835</v>
      </c>
      <c r="AP128" s="272">
        <f>(100-INDEX('DEFAULT DATA'!$JJ$9:$JJ$41,START!$C$3,1))/100*INDEX('DEFAULT DATA'!$JH$9:$JH$41,START!$C$3,1)</f>
        <v>158.92993715824835</v>
      </c>
      <c r="AQ128" s="272">
        <f>(100-INDEX('DEFAULT DATA'!$JJ$9:$JJ$41,START!$C$3,1))/100*INDEX('DEFAULT DATA'!$JH$9:$JH$41,START!$C$3,1)</f>
        <v>158.92993715824835</v>
      </c>
      <c r="AR128" s="272">
        <f>(100-INDEX('DEFAULT DATA'!$JJ$9:$JJ$41,START!$C$3,1))/100*INDEX('DEFAULT DATA'!$JH$9:$JH$41,START!$C$3,1)</f>
        <v>158.92993715824835</v>
      </c>
      <c r="AS128" s="272">
        <f>(100-INDEX('DEFAULT DATA'!$JJ$9:$JJ$41,START!$C$3,1))/100*INDEX('DEFAULT DATA'!$JH$9:$JH$41,START!$C$3,1)</f>
        <v>158.92993715824835</v>
      </c>
      <c r="AT128" s="272">
        <f>(100-INDEX('DEFAULT DATA'!$JJ$9:$JJ$41,START!$C$3,1))/100*INDEX('DEFAULT DATA'!$JH$9:$JH$41,START!$C$3,1)</f>
        <v>158.92993715824835</v>
      </c>
      <c r="AU128" s="272">
        <f>(100-INDEX('DEFAULT DATA'!$JJ$9:$JJ$41,START!$C$3,1))/100*INDEX('DEFAULT DATA'!$JH$9:$JH$41,START!$C$3,1)</f>
        <v>158.92993715824835</v>
      </c>
      <c r="AV128" s="272">
        <f>(100-INDEX('DEFAULT DATA'!$JJ$9:$JJ$41,START!$C$3,1))/100*INDEX('DEFAULT DATA'!$JH$9:$JH$41,START!$C$3,1)</f>
        <v>158.92993715824835</v>
      </c>
      <c r="AW128" s="272">
        <f>(100-INDEX('DEFAULT DATA'!$JJ$9:$JJ$41,START!$C$3,1))/100*INDEX('DEFAULT DATA'!$JH$9:$JH$41,START!$C$3,1)</f>
        <v>158.92993715824835</v>
      </c>
      <c r="AX128" s="272">
        <f>(100-INDEX('DEFAULT DATA'!$JJ$9:$JJ$41,START!$C$3,1))/100*INDEX('DEFAULT DATA'!$JH$9:$JH$41,START!$C$3,1)</f>
        <v>158.92993715824835</v>
      </c>
      <c r="AY128" s="272">
        <f>(100-INDEX('DEFAULT DATA'!$JJ$9:$JJ$41,START!$C$3,1))/100*INDEX('DEFAULT DATA'!$JH$9:$JH$41,START!$C$3,1)</f>
        <v>158.92993715824835</v>
      </c>
      <c r="AZ128" s="272">
        <f>(100-INDEX('DEFAULT DATA'!$JJ$9:$JJ$41,START!$C$3,1))/100*INDEX('DEFAULT DATA'!$JH$9:$JH$41,START!$C$3,1)</f>
        <v>158.92993715824835</v>
      </c>
      <c r="BA128" s="324">
        <f>(100-INDEX('DEFAULT DATA'!$JJ$9:$JJ$41,START!$C$3,1))/100*INDEX('DEFAULT DATA'!$JH$9:$JH$41,START!$C$3,1)</f>
        <v>158.92993715824835</v>
      </c>
      <c r="BC128" s="1039">
        <v>52</v>
      </c>
      <c r="BD128" s="1042" t="str">
        <f t="shared" si="81"/>
        <v>(F75/100*INDEX('DEFAULT DATA'!$GI$9:$IN$41,START!$B$3,52)/INDEX('DEFAULT DATA'!$DX$9:$DX$41,START!$B$3,1))+</v>
      </c>
      <c r="BE128" s="1056"/>
      <c r="BF128" s="1056"/>
      <c r="BG128" s="1056"/>
      <c r="BH128" s="1056"/>
      <c r="BI128" s="978"/>
      <c r="BJ128" s="978"/>
      <c r="BK128" s="978"/>
      <c r="BL128" s="1044"/>
      <c r="BM128" s="536">
        <v>75</v>
      </c>
      <c r="BN128" s="1046" t="s">
        <v>2934</v>
      </c>
    </row>
    <row r="129" spans="1:66" ht="20.100000000000001" customHeight="1" thickBot="1">
      <c r="A129" s="1078"/>
      <c r="B129" s="1024"/>
      <c r="C129" s="1024"/>
      <c r="D129" s="1024"/>
      <c r="E129" s="1024"/>
      <c r="F129" s="1024">
        <v>9</v>
      </c>
      <c r="G129" s="1024">
        <v>14</v>
      </c>
      <c r="H129" s="1024"/>
      <c r="I129" s="1024"/>
      <c r="J129" s="1024"/>
      <c r="K129" s="1024"/>
      <c r="L129" s="1024"/>
      <c r="M129" s="1024"/>
      <c r="N129" s="1024"/>
      <c r="O129" s="460"/>
      <c r="P129" s="1024"/>
      <c r="Q129" s="1024"/>
      <c r="R129" s="29"/>
      <c r="S129" s="803" t="s">
        <v>2732</v>
      </c>
      <c r="T129" s="1448" t="s">
        <v>2987</v>
      </c>
      <c r="U129" s="1449"/>
      <c r="V129" s="368"/>
      <c r="W129" s="368"/>
      <c r="X129" s="325">
        <f>SUM(X127:X128)</f>
        <v>1347.7038941542871</v>
      </c>
      <c r="Y129" s="325">
        <f t="shared" ref="Y129:BA129" si="158">SUM(Y127:Y128)</f>
        <v>1335.816154584327</v>
      </c>
      <c r="Z129" s="325">
        <f t="shared" si="158"/>
        <v>1324.0472924100661</v>
      </c>
      <c r="AA129" s="325">
        <f t="shared" si="158"/>
        <v>1312.3961188575479</v>
      </c>
      <c r="AB129" s="325">
        <f t="shared" si="158"/>
        <v>1300.8614570405548</v>
      </c>
      <c r="AC129" s="325">
        <f t="shared" si="158"/>
        <v>1289.4421418417317</v>
      </c>
      <c r="AD129" s="325">
        <f t="shared" si="158"/>
        <v>1278.137019794897</v>
      </c>
      <c r="AE129" s="325">
        <f t="shared" si="158"/>
        <v>1266.9449489685305</v>
      </c>
      <c r="AF129" s="325">
        <f t="shared" si="158"/>
        <v>1255.8647988504279</v>
      </c>
      <c r="AG129" s="325">
        <f t="shared" si="158"/>
        <v>1244.8954502335059</v>
      </c>
      <c r="AH129" s="325">
        <f t="shared" si="158"/>
        <v>1185.1673470143667</v>
      </c>
      <c r="AI129" s="325">
        <f t="shared" si="158"/>
        <v>1128.7242894722804</v>
      </c>
      <c r="AJ129" s="325">
        <f t="shared" si="158"/>
        <v>1075.3856000950084</v>
      </c>
      <c r="AK129" s="325">
        <f t="shared" si="158"/>
        <v>1024.9805386334865</v>
      </c>
      <c r="AL129" s="325">
        <f t="shared" si="158"/>
        <v>977.3477555523483</v>
      </c>
      <c r="AM129" s="325">
        <f t="shared" si="158"/>
        <v>932.33477554067281</v>
      </c>
      <c r="AN129" s="325">
        <f t="shared" si="158"/>
        <v>889.79750942963938</v>
      </c>
      <c r="AO129" s="325">
        <f t="shared" si="158"/>
        <v>849.59979295471283</v>
      </c>
      <c r="AP129" s="325">
        <f t="shared" si="158"/>
        <v>811.61295088590725</v>
      </c>
      <c r="AQ129" s="325">
        <f t="shared" si="158"/>
        <v>775.71538513088592</v>
      </c>
      <c r="AR129" s="325">
        <f t="shared" si="158"/>
        <v>741.7921854923909</v>
      </c>
      <c r="AS129" s="325">
        <f t="shared" si="158"/>
        <v>709.73476183401294</v>
      </c>
      <c r="AT129" s="325">
        <f t="shared" si="158"/>
        <v>679.44049647684585</v>
      </c>
      <c r="AU129" s="325">
        <f t="shared" si="158"/>
        <v>650.81241571432304</v>
      </c>
      <c r="AV129" s="325">
        <f t="shared" si="158"/>
        <v>623.75887939373899</v>
      </c>
      <c r="AW129" s="325">
        <f t="shared" si="158"/>
        <v>598.19328757078699</v>
      </c>
      <c r="AX129" s="325">
        <f t="shared" si="158"/>
        <v>574.03380329809727</v>
      </c>
      <c r="AY129" s="325">
        <f t="shared" si="158"/>
        <v>551.20309066040556</v>
      </c>
      <c r="AZ129" s="325">
        <f t="shared" si="158"/>
        <v>529.62806721778691</v>
      </c>
      <c r="BA129" s="326">
        <f t="shared" si="158"/>
        <v>509.23967006451221</v>
      </c>
      <c r="BC129" s="1039">
        <v>53</v>
      </c>
      <c r="BD129" s="1042" t="str">
        <f t="shared" si="81"/>
        <v>(F76/100*INDEX('DEFAULT DATA'!$GI$9:$IN$41,START!$B$3,53)/INDEX('DEFAULT DATA'!$DX$9:$DX$41,START!$B$3,1))+</v>
      </c>
      <c r="BE129" s="1056"/>
      <c r="BF129" s="1056"/>
      <c r="BG129" s="1056"/>
      <c r="BH129" s="1056"/>
      <c r="BI129" s="978"/>
      <c r="BJ129" s="978"/>
      <c r="BK129" s="978"/>
      <c r="BL129" s="1044"/>
      <c r="BM129" s="536">
        <v>76</v>
      </c>
      <c r="BN129" s="1046" t="s">
        <v>2934</v>
      </c>
    </row>
    <row r="130" spans="1:66" ht="20.100000000000001" customHeight="1" thickBot="1">
      <c r="A130" s="1078"/>
      <c r="B130" s="645" t="str">
        <f>IF(G129&lt;F129,"! end year has to be after start year!","")</f>
        <v/>
      </c>
      <c r="C130" s="645"/>
      <c r="D130" s="645"/>
      <c r="E130" s="645"/>
      <c r="F130" s="645"/>
      <c r="G130" s="645"/>
      <c r="H130" s="1024"/>
      <c r="I130" s="1024"/>
      <c r="J130" s="1024"/>
      <c r="K130" s="1024"/>
      <c r="L130" s="1024"/>
      <c r="M130" s="1024"/>
      <c r="N130" s="1024"/>
      <c r="O130" s="460"/>
      <c r="P130" s="1024"/>
      <c r="Q130" s="1024"/>
      <c r="R130" s="29"/>
      <c r="BC130" s="1039">
        <v>54</v>
      </c>
      <c r="BD130" s="1042" t="str">
        <f t="shared" si="81"/>
        <v>(F77/100*INDEX('DEFAULT DATA'!$GI$9:$IN$41,START!$B$3,54)/INDEX('DEFAULT DATA'!$DX$9:$DX$41,START!$B$3,1))+</v>
      </c>
      <c r="BE130" s="1056"/>
      <c r="BF130" s="1056"/>
      <c r="BG130" s="1056"/>
      <c r="BH130" s="1056"/>
      <c r="BI130" s="978"/>
      <c r="BJ130" s="978"/>
      <c r="BK130" s="978"/>
      <c r="BL130" s="1044"/>
      <c r="BM130" s="536">
        <v>77</v>
      </c>
      <c r="BN130" s="1046" t="s">
        <v>2934</v>
      </c>
    </row>
    <row r="131" spans="1:66" ht="20.100000000000001" customHeight="1">
      <c r="A131" s="1078"/>
      <c r="B131" s="645" t="str">
        <f>IF(F129&lt;START!C2,"!  New residents scheduled starting year for the study","")</f>
        <v/>
      </c>
      <c r="C131" s="645"/>
      <c r="D131" s="645"/>
      <c r="E131" s="645"/>
      <c r="F131" s="259"/>
      <c r="G131" s="259"/>
      <c r="H131" s="1024"/>
      <c r="I131" s="1024"/>
      <c r="J131" s="1024"/>
      <c r="K131" s="1024"/>
      <c r="L131" s="1024"/>
      <c r="M131" s="1024"/>
      <c r="N131" s="1024"/>
      <c r="O131" s="460"/>
      <c r="P131" s="1024"/>
      <c r="Q131" s="1024"/>
      <c r="R131" s="29"/>
      <c r="S131" s="468" t="s">
        <v>976</v>
      </c>
      <c r="T131" s="1446" t="s">
        <v>1200</v>
      </c>
      <c r="U131" s="1447"/>
      <c r="V131" s="1101">
        <v>2019</v>
      </c>
      <c r="W131" s="1101">
        <v>2020</v>
      </c>
      <c r="X131" s="1101">
        <v>2021</v>
      </c>
      <c r="Y131" s="1101">
        <f>X131+1</f>
        <v>2022</v>
      </c>
      <c r="Z131" s="1101">
        <f t="shared" ref="Z131" si="159">Y131+1</f>
        <v>2023</v>
      </c>
      <c r="AA131" s="1101">
        <f t="shared" ref="AA131" si="160">Z131+1</f>
        <v>2024</v>
      </c>
      <c r="AB131" s="1101">
        <f t="shared" ref="AB131" si="161">AA131+1</f>
        <v>2025</v>
      </c>
      <c r="AC131" s="1101">
        <f t="shared" ref="AC131" si="162">AB131+1</f>
        <v>2026</v>
      </c>
      <c r="AD131" s="1101">
        <f t="shared" ref="AD131" si="163">AC131+1</f>
        <v>2027</v>
      </c>
      <c r="AE131" s="1101">
        <f t="shared" ref="AE131" si="164">AD131+1</f>
        <v>2028</v>
      </c>
      <c r="AF131" s="1101">
        <f t="shared" ref="AF131" si="165">AE131+1</f>
        <v>2029</v>
      </c>
      <c r="AG131" s="1101">
        <f t="shared" ref="AG131" si="166">AF131+1</f>
        <v>2030</v>
      </c>
      <c r="AH131" s="1101">
        <f t="shared" ref="AH131" si="167">AG131+1</f>
        <v>2031</v>
      </c>
      <c r="AI131" s="1101">
        <f t="shared" ref="AI131" si="168">AH131+1</f>
        <v>2032</v>
      </c>
      <c r="AJ131" s="1101">
        <f t="shared" ref="AJ131" si="169">AI131+1</f>
        <v>2033</v>
      </c>
      <c r="AK131" s="1101">
        <f t="shared" ref="AK131" si="170">AJ131+1</f>
        <v>2034</v>
      </c>
      <c r="AL131" s="1101">
        <f t="shared" ref="AL131" si="171">AK131+1</f>
        <v>2035</v>
      </c>
      <c r="AM131" s="1101">
        <f t="shared" ref="AM131" si="172">AL131+1</f>
        <v>2036</v>
      </c>
      <c r="AN131" s="1101">
        <f t="shared" ref="AN131" si="173">AM131+1</f>
        <v>2037</v>
      </c>
      <c r="AO131" s="1101">
        <f t="shared" ref="AO131" si="174">AN131+1</f>
        <v>2038</v>
      </c>
      <c r="AP131" s="1101">
        <f t="shared" ref="AP131" si="175">AO131+1</f>
        <v>2039</v>
      </c>
      <c r="AQ131" s="1101">
        <f t="shared" ref="AQ131" si="176">AP131+1</f>
        <v>2040</v>
      </c>
      <c r="AR131" s="1101">
        <f t="shared" ref="AR131" si="177">AQ131+1</f>
        <v>2041</v>
      </c>
      <c r="AS131" s="1101">
        <f t="shared" ref="AS131" si="178">AR131+1</f>
        <v>2042</v>
      </c>
      <c r="AT131" s="1101">
        <f t="shared" ref="AT131" si="179">AS131+1</f>
        <v>2043</v>
      </c>
      <c r="AU131" s="1101">
        <f t="shared" ref="AU131" si="180">AT131+1</f>
        <v>2044</v>
      </c>
      <c r="AV131" s="1101">
        <f t="shared" ref="AV131" si="181">AU131+1</f>
        <v>2045</v>
      </c>
      <c r="AW131" s="1101">
        <f t="shared" ref="AW131" si="182">AV131+1</f>
        <v>2046</v>
      </c>
      <c r="AX131" s="1101">
        <f t="shared" ref="AX131" si="183">AW131+1</f>
        <v>2047</v>
      </c>
      <c r="AY131" s="1101">
        <f t="shared" ref="AY131" si="184">AX131+1</f>
        <v>2048</v>
      </c>
      <c r="AZ131" s="1101">
        <f t="shared" ref="AZ131" si="185">AY131+1</f>
        <v>2049</v>
      </c>
      <c r="BA131" s="318">
        <f t="shared" ref="BA131" si="186">AZ131+1</f>
        <v>2050</v>
      </c>
      <c r="BC131" s="1039">
        <v>55</v>
      </c>
      <c r="BD131" s="1042" t="str">
        <f t="shared" si="81"/>
        <v>(F78/100*INDEX('DEFAULT DATA'!$GI$9:$IN$41,START!$B$3,55)/INDEX('DEFAULT DATA'!$DX$9:$DX$41,START!$B$3,1))+</v>
      </c>
      <c r="BE131" s="1056"/>
      <c r="BF131" s="1056"/>
      <c r="BG131" s="1056"/>
      <c r="BH131" s="1056"/>
      <c r="BI131" s="978"/>
      <c r="BJ131" s="978"/>
      <c r="BK131" s="978"/>
      <c r="BL131" s="1044"/>
      <c r="BM131" s="536">
        <v>78</v>
      </c>
      <c r="BN131" s="1046" t="s">
        <v>2934</v>
      </c>
    </row>
    <row r="132" spans="1:66" ht="20.100000000000001" customHeight="1" thickBot="1">
      <c r="A132" s="1078"/>
      <c r="B132" s="1024"/>
      <c r="C132" s="1024"/>
      <c r="D132" s="1024"/>
      <c r="E132" s="1024"/>
      <c r="F132" s="1093"/>
      <c r="G132" s="1093"/>
      <c r="H132" s="1024"/>
      <c r="I132" s="1024"/>
      <c r="J132" s="1024"/>
      <c r="K132" s="1024"/>
      <c r="L132" s="1024"/>
      <c r="M132" s="1024"/>
      <c r="N132" s="1024"/>
      <c r="O132" s="460"/>
      <c r="P132" s="1024"/>
      <c r="Q132" s="1024"/>
      <c r="R132" s="29"/>
      <c r="S132" s="470" t="s">
        <v>2445</v>
      </c>
      <c r="T132" s="782" t="s">
        <v>2446</v>
      </c>
      <c r="U132" s="288" t="s">
        <v>1204</v>
      </c>
      <c r="V132" s="879"/>
      <c r="W132" s="879"/>
      <c r="X132" s="362">
        <f>X124*X129/1000</f>
        <v>270.24369088874789</v>
      </c>
      <c r="Y132" s="362">
        <f t="shared" ref="Y132:BA132" si="187">Y124*Y129/1000</f>
        <v>271.87784191502135</v>
      </c>
      <c r="Z132" s="362">
        <f t="shared" si="187"/>
        <v>273.52477061065417</v>
      </c>
      <c r="AA132" s="362">
        <f t="shared" si="187"/>
        <v>275.18461172789597</v>
      </c>
      <c r="AB132" s="362">
        <f t="shared" si="187"/>
        <v>276.85750176425302</v>
      </c>
      <c r="AC132" s="362">
        <f t="shared" si="187"/>
        <v>278.5435789873286</v>
      </c>
      <c r="AD132" s="362">
        <f t="shared" si="187"/>
        <v>280.242983460029</v>
      </c>
      <c r="AE132" s="362">
        <f t="shared" si="187"/>
        <v>281.95585706614105</v>
      </c>
      <c r="AF132" s="362">
        <f t="shared" si="187"/>
        <v>283.68234353628776</v>
      </c>
      <c r="AG132" s="362">
        <f t="shared" si="187"/>
        <v>285.42258847426524</v>
      </c>
      <c r="AH132" s="362">
        <f t="shared" si="187"/>
        <v>275.53266528777181</v>
      </c>
      <c r="AI132" s="362">
        <f t="shared" si="187"/>
        <v>266.08429468945531</v>
      </c>
      <c r="AJ132" s="362">
        <f t="shared" si="187"/>
        <v>257.05943133466099</v>
      </c>
      <c r="AK132" s="362">
        <f t="shared" si="187"/>
        <v>248.44078920907782</v>
      </c>
      <c r="AL132" s="362">
        <f t="shared" si="187"/>
        <v>240.21180998957797</v>
      </c>
      <c r="AM132" s="362">
        <f t="shared" si="187"/>
        <v>232.35663272771734</v>
      </c>
      <c r="AN132" s="362">
        <f t="shared" si="187"/>
        <v>224.86006480066425</v>
      </c>
      <c r="AO132" s="362">
        <f t="shared" si="187"/>
        <v>217.70755407663194</v>
      </c>
      <c r="AP132" s="362">
        <f t="shared" si="187"/>
        <v>210.88516224410014</v>
      </c>
      <c r="AQ132" s="362">
        <f t="shared" si="187"/>
        <v>204.37953925623066</v>
      </c>
      <c r="AR132" s="362">
        <f t="shared" si="187"/>
        <v>198.17789884391152</v>
      </c>
      <c r="AS132" s="362">
        <f t="shared" si="187"/>
        <v>192.26799505280869</v>
      </c>
      <c r="AT132" s="362">
        <f t="shared" si="187"/>
        <v>186.63809976167073</v>
      </c>
      <c r="AU132" s="362">
        <f t="shared" si="187"/>
        <v>181.27698114091467</v>
      </c>
      <c r="AV132" s="362">
        <f t="shared" si="187"/>
        <v>176.17388301223562</v>
      </c>
      <c r="AW132" s="362">
        <f t="shared" si="187"/>
        <v>171.31850507162156</v>
      </c>
      <c r="AX132" s="362">
        <f t="shared" si="187"/>
        <v>166.70098393972626</v>
      </c>
      <c r="AY132" s="362">
        <f t="shared" si="187"/>
        <v>162.31187500505948</v>
      </c>
      <c r="AZ132" s="362">
        <f t="shared" si="187"/>
        <v>158.14213502689665</v>
      </c>
      <c r="BA132" s="905">
        <f t="shared" si="187"/>
        <v>154.18310546619284</v>
      </c>
      <c r="BC132" s="1039">
        <v>56</v>
      </c>
      <c r="BD132" s="1042" t="str">
        <f t="shared" si="81"/>
        <v>(F79/100*INDEX('DEFAULT DATA'!$GI$9:$IN$41,START!$B$3,56)/INDEX('DEFAULT DATA'!$DX$9:$DX$41,START!$B$3,1))+</v>
      </c>
      <c r="BE132" s="1056"/>
      <c r="BF132" s="1056"/>
      <c r="BG132" s="1056"/>
      <c r="BH132" s="1056"/>
      <c r="BI132" s="978"/>
      <c r="BJ132" s="978"/>
      <c r="BK132" s="978"/>
      <c r="BL132" s="1044"/>
      <c r="BM132" s="536">
        <v>79</v>
      </c>
      <c r="BN132" s="1046" t="s">
        <v>2934</v>
      </c>
    </row>
    <row r="133" spans="1:66" ht="20.100000000000001" customHeight="1">
      <c r="A133" s="1078"/>
      <c r="B133" s="1024"/>
      <c r="C133" s="1024"/>
      <c r="D133" s="1024"/>
      <c r="E133" s="1024"/>
      <c r="F133" s="1093"/>
      <c r="G133" s="1093"/>
      <c r="H133" s="1024"/>
      <c r="I133" s="1024"/>
      <c r="J133" s="1024"/>
      <c r="K133" s="1024"/>
      <c r="L133" s="1024"/>
      <c r="M133" s="1024"/>
      <c r="N133" s="1024"/>
      <c r="O133" s="460"/>
      <c r="P133" s="1024"/>
      <c r="Q133" s="1024"/>
      <c r="R133" s="29"/>
      <c r="BC133" s="1039">
        <v>57</v>
      </c>
      <c r="BD133" s="1042" t="str">
        <f t="shared" si="81"/>
        <v>(F80/100*INDEX('DEFAULT DATA'!$GI$9:$IN$41,START!$B$3,57)/INDEX('DEFAULT DATA'!$DX$9:$DX$41,START!$B$3,1))+</v>
      </c>
      <c r="BE133" s="1056"/>
      <c r="BF133" s="1056"/>
      <c r="BG133" s="1056"/>
      <c r="BH133" s="1056"/>
      <c r="BI133" s="978"/>
      <c r="BJ133" s="978"/>
      <c r="BK133" s="978"/>
      <c r="BL133" s="1044"/>
      <c r="BM133" s="536">
        <v>80</v>
      </c>
      <c r="BN133" s="1046" t="s">
        <v>2934</v>
      </c>
    </row>
    <row r="134" spans="1:66" ht="20.100000000000001" customHeight="1" thickBot="1">
      <c r="A134" s="1078"/>
      <c r="B134" s="1024"/>
      <c r="C134" s="1024"/>
      <c r="D134" s="1024"/>
      <c r="E134" s="1024"/>
      <c r="F134" s="1093"/>
      <c r="G134" s="1093"/>
      <c r="H134" s="1024"/>
      <c r="I134" s="1024"/>
      <c r="J134" s="1024"/>
      <c r="K134" s="1024"/>
      <c r="L134" s="1024"/>
      <c r="M134" s="1024"/>
      <c r="N134" s="1024"/>
      <c r="O134" s="460"/>
      <c r="P134" s="1024"/>
      <c r="Q134" s="1024"/>
      <c r="R134" s="29"/>
      <c r="S134" s="451" t="s">
        <v>2955</v>
      </c>
      <c r="T134" s="417"/>
      <c r="U134" s="417"/>
      <c r="BC134" s="1039">
        <v>58</v>
      </c>
      <c r="BD134" s="1042" t="str">
        <f t="shared" si="81"/>
        <v>(F81/100*INDEX('DEFAULT DATA'!$GI$9:$IN$41,START!$B$3,58)/INDEX('DEFAULT DATA'!$DX$9:$DX$41,START!$B$3,1))</v>
      </c>
      <c r="BE134" s="1056"/>
      <c r="BF134" s="1056"/>
      <c r="BG134" s="1056"/>
      <c r="BH134" s="1056"/>
      <c r="BI134" s="978"/>
      <c r="BJ134" s="978"/>
      <c r="BK134" s="978"/>
      <c r="BL134" s="1044"/>
      <c r="BM134" s="536">
        <v>81</v>
      </c>
      <c r="BN134" s="1047"/>
    </row>
    <row r="135" spans="1:66" ht="20.100000000000001" customHeight="1" thickBot="1">
      <c r="A135" s="1078"/>
      <c r="B135" s="1024"/>
      <c r="C135" s="1024"/>
      <c r="D135" s="1024"/>
      <c r="E135" s="1024"/>
      <c r="F135" s="1093"/>
      <c r="G135" s="1093"/>
      <c r="H135" s="1024"/>
      <c r="I135" s="1024"/>
      <c r="J135" s="1024"/>
      <c r="K135" s="1024"/>
      <c r="L135" s="1024"/>
      <c r="M135" s="1024"/>
      <c r="N135" s="1024"/>
      <c r="O135" s="460"/>
      <c r="P135" s="1024"/>
      <c r="Q135" s="1024"/>
      <c r="R135" s="29"/>
      <c r="S135" s="906" t="s">
        <v>2726</v>
      </c>
      <c r="T135" s="1450" t="s">
        <v>2728</v>
      </c>
      <c r="U135" s="1451"/>
      <c r="V135" s="1022">
        <v>2019</v>
      </c>
      <c r="W135" s="1022">
        <v>2020</v>
      </c>
      <c r="X135" s="1022">
        <v>2021</v>
      </c>
      <c r="Y135" s="1022">
        <f>X135+1</f>
        <v>2022</v>
      </c>
      <c r="Z135" s="1022">
        <f t="shared" ref="Z135" si="188">Y135+1</f>
        <v>2023</v>
      </c>
      <c r="AA135" s="1022">
        <f t="shared" ref="AA135" si="189">Z135+1</f>
        <v>2024</v>
      </c>
      <c r="AB135" s="1022">
        <f t="shared" ref="AB135" si="190">AA135+1</f>
        <v>2025</v>
      </c>
      <c r="AC135" s="1022">
        <f t="shared" ref="AC135" si="191">AB135+1</f>
        <v>2026</v>
      </c>
      <c r="AD135" s="1022">
        <f t="shared" ref="AD135" si="192">AC135+1</f>
        <v>2027</v>
      </c>
      <c r="AE135" s="1022">
        <f t="shared" ref="AE135" si="193">AD135+1</f>
        <v>2028</v>
      </c>
      <c r="AF135" s="1022">
        <f t="shared" ref="AF135" si="194">AE135+1</f>
        <v>2029</v>
      </c>
      <c r="AG135" s="1022">
        <f t="shared" ref="AG135" si="195">AF135+1</f>
        <v>2030</v>
      </c>
      <c r="AH135" s="1022">
        <f t="shared" ref="AH135" si="196">AG135+1</f>
        <v>2031</v>
      </c>
      <c r="AI135" s="1022">
        <f t="shared" ref="AI135" si="197">AH135+1</f>
        <v>2032</v>
      </c>
      <c r="AJ135" s="1022">
        <f t="shared" ref="AJ135" si="198">AI135+1</f>
        <v>2033</v>
      </c>
      <c r="AK135" s="1022">
        <f t="shared" ref="AK135" si="199">AJ135+1</f>
        <v>2034</v>
      </c>
      <c r="AL135" s="1022">
        <f t="shared" ref="AL135" si="200">AK135+1</f>
        <v>2035</v>
      </c>
      <c r="AM135" s="1022">
        <f t="shared" ref="AM135" si="201">AL135+1</f>
        <v>2036</v>
      </c>
      <c r="AN135" s="1022">
        <f t="shared" ref="AN135" si="202">AM135+1</f>
        <v>2037</v>
      </c>
      <c r="AO135" s="1022">
        <f t="shared" ref="AO135" si="203">AN135+1</f>
        <v>2038</v>
      </c>
      <c r="AP135" s="1022">
        <f t="shared" ref="AP135" si="204">AO135+1</f>
        <v>2039</v>
      </c>
      <c r="AQ135" s="1022">
        <f t="shared" ref="AQ135" si="205">AP135+1</f>
        <v>2040</v>
      </c>
      <c r="AR135" s="1022">
        <f t="shared" ref="AR135" si="206">AQ135+1</f>
        <v>2041</v>
      </c>
      <c r="AS135" s="1022">
        <f t="shared" ref="AS135" si="207">AR135+1</f>
        <v>2042</v>
      </c>
      <c r="AT135" s="1022">
        <f t="shared" ref="AT135" si="208">AS135+1</f>
        <v>2043</v>
      </c>
      <c r="AU135" s="1022">
        <f t="shared" ref="AU135" si="209">AT135+1</f>
        <v>2044</v>
      </c>
      <c r="AV135" s="1022">
        <f t="shared" ref="AV135" si="210">AU135+1</f>
        <v>2045</v>
      </c>
      <c r="AW135" s="1022">
        <f t="shared" ref="AW135" si="211">AV135+1</f>
        <v>2046</v>
      </c>
      <c r="AX135" s="1022">
        <f t="shared" ref="AX135" si="212">AW135+1</f>
        <v>2047</v>
      </c>
      <c r="AY135" s="1022">
        <f t="shared" ref="AY135" si="213">AX135+1</f>
        <v>2048</v>
      </c>
      <c r="AZ135" s="1022">
        <f t="shared" ref="AZ135" si="214">AY135+1</f>
        <v>2049</v>
      </c>
      <c r="BA135" s="318">
        <f t="shared" ref="BA135" si="215">AZ135+1</f>
        <v>2050</v>
      </c>
      <c r="BC135" s="1041" t="s">
        <v>2933</v>
      </c>
      <c r="BD135" s="1040" t="str">
        <f>CONCATENATE("=",BD77,BD78,BD79,BD80,BD81,BD82,BD83,BD84,BD85,BD86,BD87,BD88,BD89,BD90,BD91,BD92,BD93,BD94,BD95,BD96,BD97,BD98,BD99,BD100,BD101,BD102,BD103,BD104,BD105,BD106,BD107,BD108,BD109,BD110,BD111,BD112,BD113,BD114,BD115,BD116,BD117,BD118,BD119,BD120,BD121,BD122,BD123,BD124,BD125,BD126,BD127,BD128,BD129,BD130,BD131,BD132,BD133,BD134)</f>
        <v>=(F24/100*INDEX('DEFAULT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v>
      </c>
      <c r="BE135" s="1040"/>
      <c r="BF135" s="1040"/>
      <c r="BG135" s="1040"/>
      <c r="BH135" s="1040"/>
      <c r="BI135" s="1043"/>
      <c r="BJ135" s="1048"/>
      <c r="BK135" s="1061"/>
      <c r="BL135" s="1061"/>
      <c r="BM135" s="1061"/>
      <c r="BN135" s="1062"/>
    </row>
    <row r="136" spans="1:66" ht="20.100000000000001" customHeight="1" thickBot="1">
      <c r="A136" s="1078"/>
      <c r="B136" s="1114"/>
      <c r="C136" s="1114"/>
      <c r="D136" s="1114"/>
      <c r="E136" s="1114"/>
      <c r="F136" s="635"/>
      <c r="G136" s="636"/>
      <c r="H136" s="636"/>
      <c r="I136" s="1024"/>
      <c r="J136" s="1024"/>
      <c r="K136" s="1024"/>
      <c r="L136" s="1024"/>
      <c r="M136" s="1024"/>
      <c r="N136" s="1024"/>
      <c r="O136" s="460"/>
      <c r="P136" s="1024"/>
      <c r="Q136" s="1024"/>
      <c r="R136" s="29"/>
      <c r="S136" s="907"/>
      <c r="T136" s="1444" t="s">
        <v>2729</v>
      </c>
      <c r="U136" s="1445"/>
      <c r="V136" s="879"/>
      <c r="W136" s="879"/>
      <c r="X136" s="362">
        <f>INDEX('DEFAULT DATA'!$JT$9:$JT$41,START!$C$3,1)*AB21</f>
        <v>504.75128864415422</v>
      </c>
      <c r="Y136" s="362">
        <f>X136*(100+INDEX('DEFAULT DATA'!$JV$9:$JX$41,START!$C$3,1))/100</f>
        <v>511.31305539652823</v>
      </c>
      <c r="Z136" s="362">
        <f>Y136*(100+INDEX('DEFAULT DATA'!$JV$9:$JX$41,START!$C$3,1))/100</f>
        <v>517.960125116683</v>
      </c>
      <c r="AA136" s="362">
        <f>Z136*(100+INDEX('DEFAULT DATA'!$JV$9:$JX$41,START!$C$3,1))/100</f>
        <v>524.69360674319989</v>
      </c>
      <c r="AB136" s="362">
        <f>AA136*(100+INDEX('DEFAULT DATA'!$JV$9:$JX$41,START!$C$3,1))/100</f>
        <v>531.51462363086148</v>
      </c>
      <c r="AC136" s="362">
        <f>AB136*(100+INDEX('DEFAULT DATA'!$JV$9:$JX$41,START!$C$3,1))/100</f>
        <v>538.42431373806266</v>
      </c>
      <c r="AD136" s="362">
        <f>AC136*(100+INDEX('DEFAULT DATA'!$JV$9:$JX$41,START!$C$3,1))/100</f>
        <v>545.42382981665742</v>
      </c>
      <c r="AE136" s="362">
        <f>AD136*(100+INDEX('DEFAULT DATA'!$JV$9:$JX$41,START!$C$3,1))/100</f>
        <v>552.51433960427391</v>
      </c>
      <c r="AF136" s="362">
        <f>AE136*(100+INDEX('DEFAULT DATA'!$JV$9:$JX$41,START!$C$3,1))/100</f>
        <v>559.69702601912945</v>
      </c>
      <c r="AG136" s="362">
        <f>AF136*(100+INDEX('DEFAULT DATA'!$JV$9:$JX$41,START!$C$3,1))/100</f>
        <v>566.97308735737806</v>
      </c>
      <c r="AH136" s="362">
        <f>AG136*(100+INDEX('DEFAULT DATA'!$JV$9:$JX$41,START!$C$3,2))/100</f>
        <v>570.94189896887974</v>
      </c>
      <c r="AI136" s="362">
        <f>AH136*(100+INDEX('DEFAULT DATA'!$JV$9:$JX$41,START!$C$3,2))/100</f>
        <v>574.93849226166185</v>
      </c>
      <c r="AJ136" s="362">
        <f>AI136*(100+INDEX('DEFAULT DATA'!$JV$9:$JX$41,START!$C$3,2))/100</f>
        <v>578.96306170749347</v>
      </c>
      <c r="AK136" s="362">
        <f>AJ136*(100+INDEX('DEFAULT DATA'!$JV$9:$JX$41,START!$C$3,2))/100</f>
        <v>583.01580313944589</v>
      </c>
      <c r="AL136" s="362">
        <f>AK136*(100+INDEX('DEFAULT DATA'!$JV$9:$JX$41,START!$C$3,2))/100</f>
        <v>587.096913761422</v>
      </c>
      <c r="AM136" s="362">
        <f>AL136*(100+INDEX('DEFAULT DATA'!$JV$9:$JX$41,START!$C$3,2))/100</f>
        <v>591.20659215775197</v>
      </c>
      <c r="AN136" s="362">
        <f>AM136*(100+INDEX('DEFAULT DATA'!$JV$9:$JX$41,START!$C$3,2))/100</f>
        <v>595.34503830285621</v>
      </c>
      <c r="AO136" s="362">
        <f>AN136*(100+INDEX('DEFAULT DATA'!$JV$9:$JX$41,START!$C$3,2))/100</f>
        <v>599.51245357097616</v>
      </c>
      <c r="AP136" s="362">
        <f>AO136*(100+INDEX('DEFAULT DATA'!$JV$9:$JX$41,START!$C$3,2))/100</f>
        <v>603.70904074597308</v>
      </c>
      <c r="AQ136" s="362">
        <f>AP136*(100+INDEX('DEFAULT DATA'!$JV$9:$JX$41,START!$C$3,2))/100</f>
        <v>607.93500403119492</v>
      </c>
      <c r="AR136" s="362">
        <f>AQ136*(100+INDEX('DEFAULT DATA'!$JV$9:$JX$41,START!$C$3,3))/100</f>
        <v>612.19054905941334</v>
      </c>
      <c r="AS136" s="362">
        <f>AR136*(100+INDEX('DEFAULT DATA'!$JV$9:$JX$41,START!$C$3,3))/100</f>
        <v>616.4758829028292</v>
      </c>
      <c r="AT136" s="362">
        <f>AS136*(100+INDEX('DEFAULT DATA'!$JV$9:$JX$41,START!$C$3,3))/100</f>
        <v>620.79121408314904</v>
      </c>
      <c r="AU136" s="362">
        <f>AT136*(100+INDEX('DEFAULT DATA'!$JV$9:$JX$41,START!$C$3,3))/100</f>
        <v>625.13675258173112</v>
      </c>
      <c r="AV136" s="362">
        <f>AU136*(100+INDEX('DEFAULT DATA'!$JV$9:$JX$41,START!$C$3,3))/100</f>
        <v>629.51270984980329</v>
      </c>
      <c r="AW136" s="362">
        <f>AV136*(100+INDEX('DEFAULT DATA'!$JV$9:$JX$41,START!$C$3,3))/100</f>
        <v>633.91929881875194</v>
      </c>
      <c r="AX136" s="362">
        <f>AW136*(100+INDEX('DEFAULT DATA'!$JV$9:$JX$41,START!$C$3,3))/100</f>
        <v>638.35673391048329</v>
      </c>
      <c r="AY136" s="362">
        <f>AX136*(100+INDEX('DEFAULT DATA'!$JV$9:$JX$41,START!$C$3,3))/100</f>
        <v>642.82523104785662</v>
      </c>
      <c r="AZ136" s="362">
        <f>AY136*(100+INDEX('DEFAULT DATA'!$JV$9:$JX$41,START!$C$3,3))/100</f>
        <v>647.32500766519161</v>
      </c>
      <c r="BA136" s="905">
        <f>AZ136*(100+INDEX('DEFAULT DATA'!$JV$9:$JX$41,START!$C$3,3))/100</f>
        <v>651.85628271884798</v>
      </c>
    </row>
    <row r="137" spans="1:66" ht="20.100000000000001" customHeight="1" thickBot="1">
      <c r="A137" s="30"/>
      <c r="B137" s="646" t="s">
        <v>148</v>
      </c>
      <c r="C137" s="1115"/>
      <c r="D137" s="1115"/>
      <c r="E137" s="1115"/>
      <c r="F137" s="646"/>
      <c r="G137" s="647" t="s">
        <v>89</v>
      </c>
      <c r="H137" s="638"/>
      <c r="I137" s="429"/>
      <c r="J137" s="429"/>
      <c r="K137" s="429"/>
      <c r="L137" s="429"/>
      <c r="M137" s="429"/>
      <c r="N137" s="429"/>
      <c r="O137" s="639"/>
      <c r="P137" s="1024"/>
      <c r="Q137" s="1024"/>
      <c r="R137" s="29"/>
      <c r="BC137" s="1063" t="s">
        <v>2944</v>
      </c>
      <c r="BD137" s="1059"/>
      <c r="BE137" s="1059"/>
      <c r="BF137" s="1059"/>
      <c r="BG137" s="1059"/>
      <c r="BH137" s="1059"/>
      <c r="BI137" s="1059"/>
      <c r="BJ137" s="1059"/>
      <c r="BK137" s="1059"/>
      <c r="BL137" s="1059"/>
      <c r="BM137" s="1059"/>
      <c r="BN137" s="1064"/>
    </row>
    <row r="138" spans="1:66" ht="20.100000000000001" customHeight="1">
      <c r="A138" s="1078"/>
      <c r="B138" s="1415" t="s">
        <v>84</v>
      </c>
      <c r="C138" s="1416"/>
      <c r="D138" s="1416"/>
      <c r="E138" s="1416"/>
      <c r="F138" s="1417"/>
      <c r="G138" s="495">
        <v>0</v>
      </c>
      <c r="H138" s="640"/>
      <c r="I138" s="1024"/>
      <c r="J138" s="1024"/>
      <c r="K138" s="1024"/>
      <c r="L138" s="1024"/>
      <c r="M138" s="1024"/>
      <c r="N138" s="1024"/>
      <c r="O138" s="460"/>
      <c r="P138" s="1024"/>
      <c r="Q138" s="1024"/>
      <c r="R138" s="1078"/>
      <c r="S138" s="1452" t="s">
        <v>3001</v>
      </c>
      <c r="T138" s="1453"/>
      <c r="U138" s="1432" t="s">
        <v>1207</v>
      </c>
      <c r="V138" s="1432"/>
      <c r="W138" s="1432"/>
      <c r="X138" s="1412" t="s">
        <v>990</v>
      </c>
      <c r="Y138" s="1413"/>
      <c r="Z138" s="1413"/>
      <c r="AA138" s="1413"/>
      <c r="AB138" s="1413"/>
      <c r="AC138" s="1413"/>
      <c r="AD138" s="1413"/>
      <c r="AE138" s="1413"/>
      <c r="AF138" s="1413"/>
      <c r="AG138" s="1413"/>
      <c r="AH138" s="1413"/>
      <c r="AI138" s="1413"/>
      <c r="AJ138" s="1413"/>
      <c r="AK138" s="1413"/>
      <c r="AL138" s="1413"/>
      <c r="AM138" s="1413"/>
      <c r="AN138" s="1413"/>
      <c r="AO138" s="1413"/>
      <c r="AP138" s="1413"/>
      <c r="AQ138" s="1413"/>
      <c r="AR138" s="1413"/>
      <c r="AS138" s="1413"/>
      <c r="AT138" s="1413"/>
      <c r="AU138" s="1413"/>
      <c r="AV138" s="1413"/>
      <c r="AW138" s="1413"/>
      <c r="AX138" s="1413"/>
      <c r="AY138" s="1413"/>
      <c r="AZ138" s="1413"/>
      <c r="BA138" s="1414"/>
      <c r="BC138" s="1065" t="s">
        <v>2937</v>
      </c>
      <c r="BD138" s="531" t="s">
        <v>2939</v>
      </c>
      <c r="BE138" s="925" t="s">
        <v>2938</v>
      </c>
      <c r="BF138" s="531"/>
      <c r="BG138" s="531"/>
      <c r="BH138" s="531"/>
      <c r="BI138" s="531"/>
      <c r="BJ138" s="531"/>
      <c r="BK138" s="531"/>
      <c r="BL138" s="531"/>
      <c r="BM138" s="531"/>
      <c r="BN138" s="1066"/>
    </row>
    <row r="139" spans="1:66" ht="20.100000000000001" customHeight="1">
      <c r="A139" s="1078"/>
      <c r="B139" s="1415" t="s">
        <v>85</v>
      </c>
      <c r="C139" s="1416"/>
      <c r="D139" s="1416"/>
      <c r="E139" s="1416"/>
      <c r="F139" s="1417"/>
      <c r="G139" s="282">
        <v>0</v>
      </c>
      <c r="H139" s="640"/>
      <c r="I139" s="1024"/>
      <c r="J139" s="1024"/>
      <c r="K139" s="1024"/>
      <c r="L139" s="1024"/>
      <c r="M139" s="1024"/>
      <c r="N139" s="1024"/>
      <c r="O139" s="460"/>
      <c r="P139" s="1024"/>
      <c r="Q139" s="1024"/>
      <c r="R139" s="1078"/>
      <c r="S139" s="881" t="s">
        <v>934</v>
      </c>
      <c r="T139" s="552"/>
      <c r="U139" s="1161" t="s">
        <v>935</v>
      </c>
      <c r="V139" s="558" t="s">
        <v>936</v>
      </c>
      <c r="W139" s="558" t="s">
        <v>937</v>
      </c>
      <c r="X139" s="777">
        <v>2021</v>
      </c>
      <c r="Y139" s="777">
        <f>X139+1</f>
        <v>2022</v>
      </c>
      <c r="Z139" s="777">
        <f t="shared" ref="Z139" si="216">Y139+1</f>
        <v>2023</v>
      </c>
      <c r="AA139" s="777">
        <f t="shared" ref="AA139" si="217">Z139+1</f>
        <v>2024</v>
      </c>
      <c r="AB139" s="777">
        <f t="shared" ref="AB139" si="218">AA139+1</f>
        <v>2025</v>
      </c>
      <c r="AC139" s="777">
        <f t="shared" ref="AC139" si="219">AB139+1</f>
        <v>2026</v>
      </c>
      <c r="AD139" s="777">
        <f t="shared" ref="AD139" si="220">AC139+1</f>
        <v>2027</v>
      </c>
      <c r="AE139" s="777">
        <f t="shared" ref="AE139" si="221">AD139+1</f>
        <v>2028</v>
      </c>
      <c r="AF139" s="777">
        <f t="shared" ref="AF139" si="222">AE139+1</f>
        <v>2029</v>
      </c>
      <c r="AG139" s="777">
        <f t="shared" ref="AG139" si="223">AF139+1</f>
        <v>2030</v>
      </c>
      <c r="AH139" s="777">
        <f t="shared" ref="AH139" si="224">AG139+1</f>
        <v>2031</v>
      </c>
      <c r="AI139" s="777">
        <f t="shared" ref="AI139" si="225">AH139+1</f>
        <v>2032</v>
      </c>
      <c r="AJ139" s="777">
        <f t="shared" ref="AJ139" si="226">AI139+1</f>
        <v>2033</v>
      </c>
      <c r="AK139" s="777">
        <f t="shared" ref="AK139" si="227">AJ139+1</f>
        <v>2034</v>
      </c>
      <c r="AL139" s="777">
        <f t="shared" ref="AL139" si="228">AK139+1</f>
        <v>2035</v>
      </c>
      <c r="AM139" s="777">
        <f t="shared" ref="AM139" si="229">AL139+1</f>
        <v>2036</v>
      </c>
      <c r="AN139" s="777">
        <f t="shared" ref="AN139" si="230">AM139+1</f>
        <v>2037</v>
      </c>
      <c r="AO139" s="777">
        <f t="shared" ref="AO139" si="231">AN139+1</f>
        <v>2038</v>
      </c>
      <c r="AP139" s="777">
        <f t="shared" ref="AP139" si="232">AO139+1</f>
        <v>2039</v>
      </c>
      <c r="AQ139" s="777">
        <f t="shared" ref="AQ139" si="233">AP139+1</f>
        <v>2040</v>
      </c>
      <c r="AR139" s="777">
        <f t="shared" ref="AR139" si="234">AQ139+1</f>
        <v>2041</v>
      </c>
      <c r="AS139" s="777">
        <f t="shared" ref="AS139" si="235">AR139+1</f>
        <v>2042</v>
      </c>
      <c r="AT139" s="777">
        <f t="shared" ref="AT139" si="236">AS139+1</f>
        <v>2043</v>
      </c>
      <c r="AU139" s="777">
        <f t="shared" ref="AU139" si="237">AT139+1</f>
        <v>2044</v>
      </c>
      <c r="AV139" s="777">
        <f t="shared" ref="AV139" si="238">AU139+1</f>
        <v>2045</v>
      </c>
      <c r="AW139" s="777">
        <f t="shared" ref="AW139" si="239">AV139+1</f>
        <v>2046</v>
      </c>
      <c r="AX139" s="777">
        <f t="shared" ref="AX139" si="240">AW139+1</f>
        <v>2047</v>
      </c>
      <c r="AY139" s="777">
        <f t="shared" ref="AY139" si="241">AX139+1</f>
        <v>2048</v>
      </c>
      <c r="AZ139" s="777">
        <f t="shared" ref="AZ139" si="242">AY139+1</f>
        <v>2049</v>
      </c>
      <c r="BA139" s="319">
        <f t="shared" ref="BA139" si="243">AZ139+1</f>
        <v>2050</v>
      </c>
      <c r="BC139" s="1065"/>
      <c r="BD139" s="531" t="s">
        <v>2945</v>
      </c>
      <c r="BE139" s="1067" t="s">
        <v>2946</v>
      </c>
      <c r="BF139" s="531"/>
      <c r="BG139" s="531"/>
      <c r="BH139" s="531"/>
      <c r="BI139" s="531"/>
      <c r="BJ139" s="531"/>
      <c r="BK139" s="531"/>
      <c r="BL139" s="531"/>
      <c r="BM139" s="531"/>
      <c r="BN139" s="1066"/>
    </row>
    <row r="140" spans="1:66" ht="20.100000000000001" customHeight="1">
      <c r="A140" s="1078"/>
      <c r="B140" s="1415" t="s">
        <v>86</v>
      </c>
      <c r="C140" s="1416"/>
      <c r="D140" s="1416"/>
      <c r="E140" s="1416"/>
      <c r="F140" s="1417"/>
      <c r="G140" s="282">
        <v>0</v>
      </c>
      <c r="H140" s="640"/>
      <c r="I140" s="1024"/>
      <c r="J140" s="1024"/>
      <c r="K140" s="1024"/>
      <c r="L140" s="1024"/>
      <c r="M140" s="1024"/>
      <c r="N140" s="1024"/>
      <c r="O140" s="460"/>
      <c r="P140" s="1024"/>
      <c r="Q140" s="1024"/>
      <c r="R140" s="1078"/>
      <c r="S140" s="1178" t="s">
        <v>3039</v>
      </c>
      <c r="T140" s="1148"/>
      <c r="U140" s="1162">
        <f>0.8*V140+0.2*W140</f>
        <v>412</v>
      </c>
      <c r="V140" s="262">
        <f>INDEX('DEFAULT DATA'!$KV$9:$LD$41,START!$C$3,1)</f>
        <v>370</v>
      </c>
      <c r="W140" s="262">
        <f>INDEX('DEFAULT DATA'!$KM$9:$KU$41,START!$C$3,1)</f>
        <v>580</v>
      </c>
      <c r="X140" s="1149">
        <f>INDEX('DEFAULT DATA'!$KD$9:$KL$41,START!$C$3,1)</f>
        <v>5.5095053328162624</v>
      </c>
      <c r="Y140" s="628">
        <f>($X$140/($X$140+$X$142))*(100-(Y141+Y143+Y144+Y145+Y146+Y147+Y148))</f>
        <v>5.5096199782747259</v>
      </c>
      <c r="Z140" s="628">
        <f t="shared" ref="Z140:BA140" si="244">($X$140/($X$140+$X$142))*(100-(Z141+Z143+Z144+Z145+Z146+Z147+Z148))</f>
        <v>5.5096199782747259</v>
      </c>
      <c r="AA140" s="628">
        <f t="shared" si="244"/>
        <v>5.5096199782747259</v>
      </c>
      <c r="AB140" s="628">
        <f t="shared" si="244"/>
        <v>5.5096199782747259</v>
      </c>
      <c r="AC140" s="628">
        <f t="shared" si="244"/>
        <v>5.5096199782747259</v>
      </c>
      <c r="AD140" s="628">
        <f t="shared" si="244"/>
        <v>5.5096199782747259</v>
      </c>
      <c r="AE140" s="628">
        <f t="shared" si="244"/>
        <v>5.5096199782747259</v>
      </c>
      <c r="AF140" s="628">
        <f t="shared" si="244"/>
        <v>5.5096199782747259</v>
      </c>
      <c r="AG140" s="628">
        <f t="shared" si="244"/>
        <v>5.5096199782747259</v>
      </c>
      <c r="AH140" s="628">
        <f t="shared" si="244"/>
        <v>5.5096199782747259</v>
      </c>
      <c r="AI140" s="628">
        <f t="shared" si="244"/>
        <v>5.5096199782747259</v>
      </c>
      <c r="AJ140" s="628">
        <f t="shared" si="244"/>
        <v>5.5096199782747259</v>
      </c>
      <c r="AK140" s="628">
        <f t="shared" si="244"/>
        <v>5.5096199782747259</v>
      </c>
      <c r="AL140" s="628">
        <f t="shared" si="244"/>
        <v>5.5096199782747259</v>
      </c>
      <c r="AM140" s="628">
        <f t="shared" si="244"/>
        <v>5.5096199782747259</v>
      </c>
      <c r="AN140" s="628">
        <f t="shared" si="244"/>
        <v>5.5096199782747259</v>
      </c>
      <c r="AO140" s="628">
        <f t="shared" si="244"/>
        <v>5.5096199782747259</v>
      </c>
      <c r="AP140" s="628">
        <f t="shared" si="244"/>
        <v>5.5096199782747259</v>
      </c>
      <c r="AQ140" s="628">
        <f t="shared" si="244"/>
        <v>5.5096199782747259</v>
      </c>
      <c r="AR140" s="628">
        <f t="shared" si="244"/>
        <v>5.5096199782747259</v>
      </c>
      <c r="AS140" s="628">
        <f t="shared" si="244"/>
        <v>5.5096199782747259</v>
      </c>
      <c r="AT140" s="628">
        <f t="shared" si="244"/>
        <v>5.5096199782747259</v>
      </c>
      <c r="AU140" s="628">
        <f t="shared" si="244"/>
        <v>5.5096199782747259</v>
      </c>
      <c r="AV140" s="628">
        <f t="shared" si="244"/>
        <v>5.5096199782747259</v>
      </c>
      <c r="AW140" s="628">
        <f t="shared" si="244"/>
        <v>5.5096199782747259</v>
      </c>
      <c r="AX140" s="628">
        <f t="shared" si="244"/>
        <v>5.5096199782747259</v>
      </c>
      <c r="AY140" s="628">
        <f t="shared" si="244"/>
        <v>5.5096199782747259</v>
      </c>
      <c r="AZ140" s="628">
        <f t="shared" si="244"/>
        <v>5.5096199782747259</v>
      </c>
      <c r="BA140" s="902">
        <f t="shared" si="244"/>
        <v>5.5096199782747259</v>
      </c>
      <c r="BC140" s="1065"/>
      <c r="BD140" s="531"/>
      <c r="BE140" s="531" t="s">
        <v>2940</v>
      </c>
      <c r="BF140" s="531"/>
      <c r="BG140" s="531"/>
      <c r="BH140" s="531" t="s">
        <v>2941</v>
      </c>
      <c r="BI140" s="531"/>
      <c r="BJ140" s="531"/>
      <c r="BK140" s="531"/>
      <c r="BL140" s="531"/>
      <c r="BM140" s="531"/>
      <c r="BN140" s="1066"/>
    </row>
    <row r="141" spans="1:66" ht="20.100000000000001" customHeight="1">
      <c r="A141" s="1078"/>
      <c r="B141" s="1415" t="s">
        <v>87</v>
      </c>
      <c r="C141" s="1416"/>
      <c r="D141" s="1416"/>
      <c r="E141" s="1416"/>
      <c r="F141" s="1417"/>
      <c r="G141" s="282">
        <v>75</v>
      </c>
      <c r="H141" s="640"/>
      <c r="I141" s="1024"/>
      <c r="J141" s="1024"/>
      <c r="K141" s="1024"/>
      <c r="L141" s="1024"/>
      <c r="M141" s="1024"/>
      <c r="N141" s="1024"/>
      <c r="O141" s="460"/>
      <c r="P141" s="1024"/>
      <c r="Q141" s="1024"/>
      <c r="R141" s="1078"/>
      <c r="S141" s="1178" t="s">
        <v>3002</v>
      </c>
      <c r="T141" s="1148"/>
      <c r="U141" s="1162">
        <f t="shared" ref="U141:U148" si="245">0.8*V141+0.2*W141</f>
        <v>412</v>
      </c>
      <c r="V141" s="262">
        <f>INDEX('DEFAULT DATA'!$KV$9:$LD$41,START!$C$3,2)</f>
        <v>370</v>
      </c>
      <c r="W141" s="262">
        <f>INDEX('DEFAULT DATA'!$KM$9:$KU$41,START!$C$3,2)</f>
        <v>580</v>
      </c>
      <c r="X141" s="1149">
        <f>INDEX('DEFAULT DATA'!$KD$9:$KL$41,START!$C$3,2)</f>
        <v>0</v>
      </c>
      <c r="Y141" s="1149">
        <f>INDEX('DEFAULT DATA'!$KD$9:$KL$41,START!$C$3,2)</f>
        <v>0</v>
      </c>
      <c r="Z141" s="1149">
        <f>INDEX('DEFAULT DATA'!$KD$9:$KL$41,START!$C$3,2)</f>
        <v>0</v>
      </c>
      <c r="AA141" s="1149">
        <f>INDEX('DEFAULT DATA'!$KD$9:$KL$41,START!$C$3,2)</f>
        <v>0</v>
      </c>
      <c r="AB141" s="1149">
        <f>INDEX('DEFAULT DATA'!$KD$9:$KL$41,START!$C$3,2)</f>
        <v>0</v>
      </c>
      <c r="AC141" s="1149">
        <f>INDEX('DEFAULT DATA'!$KD$9:$KL$41,START!$C$3,2)</f>
        <v>0</v>
      </c>
      <c r="AD141" s="1149">
        <f>INDEX('DEFAULT DATA'!$KD$9:$KL$41,START!$C$3,2)</f>
        <v>0</v>
      </c>
      <c r="AE141" s="1149">
        <f>INDEX('DEFAULT DATA'!$KD$9:$KL$41,START!$C$3,2)</f>
        <v>0</v>
      </c>
      <c r="AF141" s="1149">
        <f>INDEX('DEFAULT DATA'!$KD$9:$KL$41,START!$C$3,2)</f>
        <v>0</v>
      </c>
      <c r="AG141" s="1149">
        <f>INDEX('DEFAULT DATA'!$KD$9:$KL$41,START!$C$3,2)</f>
        <v>0</v>
      </c>
      <c r="AH141" s="1149">
        <f>INDEX('DEFAULT DATA'!$KD$9:$KL$41,START!$C$3,2)</f>
        <v>0</v>
      </c>
      <c r="AI141" s="1149">
        <f>INDEX('DEFAULT DATA'!$KD$9:$KL$41,START!$C$3,2)</f>
        <v>0</v>
      </c>
      <c r="AJ141" s="1149">
        <f>INDEX('DEFAULT DATA'!$KD$9:$KL$41,START!$C$3,2)</f>
        <v>0</v>
      </c>
      <c r="AK141" s="1149">
        <f>INDEX('DEFAULT DATA'!$KD$9:$KL$41,START!$C$3,2)</f>
        <v>0</v>
      </c>
      <c r="AL141" s="1149">
        <f>INDEX('DEFAULT DATA'!$KD$9:$KL$41,START!$C$3,2)</f>
        <v>0</v>
      </c>
      <c r="AM141" s="1149">
        <f>INDEX('DEFAULT DATA'!$KD$9:$KL$41,START!$C$3,2)</f>
        <v>0</v>
      </c>
      <c r="AN141" s="1149">
        <f>INDEX('DEFAULT DATA'!$KD$9:$KL$41,START!$C$3,2)</f>
        <v>0</v>
      </c>
      <c r="AO141" s="1149">
        <f>INDEX('DEFAULT DATA'!$KD$9:$KL$41,START!$C$3,2)</f>
        <v>0</v>
      </c>
      <c r="AP141" s="1149">
        <f>INDEX('DEFAULT DATA'!$KD$9:$KL$41,START!$C$3,2)</f>
        <v>0</v>
      </c>
      <c r="AQ141" s="1149">
        <f>INDEX('DEFAULT DATA'!$KD$9:$KL$41,START!$C$3,2)</f>
        <v>0</v>
      </c>
      <c r="AR141" s="1149">
        <f>INDEX('DEFAULT DATA'!$KD$9:$KL$41,START!$C$3,2)</f>
        <v>0</v>
      </c>
      <c r="AS141" s="1149">
        <f>INDEX('DEFAULT DATA'!$KD$9:$KL$41,START!$C$3,2)</f>
        <v>0</v>
      </c>
      <c r="AT141" s="1149">
        <f>INDEX('DEFAULT DATA'!$KD$9:$KL$41,START!$C$3,2)</f>
        <v>0</v>
      </c>
      <c r="AU141" s="1149">
        <f>INDEX('DEFAULT DATA'!$KD$9:$KL$41,START!$C$3,2)</f>
        <v>0</v>
      </c>
      <c r="AV141" s="1149">
        <f>INDEX('DEFAULT DATA'!$KD$9:$KL$41,START!$C$3,2)</f>
        <v>0</v>
      </c>
      <c r="AW141" s="1149">
        <f>INDEX('DEFAULT DATA'!$KD$9:$KL$41,START!$C$3,2)</f>
        <v>0</v>
      </c>
      <c r="AX141" s="1149">
        <f>INDEX('DEFAULT DATA'!$KD$9:$KL$41,START!$C$3,2)</f>
        <v>0</v>
      </c>
      <c r="AY141" s="1149">
        <f>INDEX('DEFAULT DATA'!$KD$9:$KL$41,START!$C$3,2)</f>
        <v>0</v>
      </c>
      <c r="AZ141" s="1149">
        <f>INDEX('DEFAULT DATA'!$KD$9:$KL$41,START!$C$3,2)</f>
        <v>0</v>
      </c>
      <c r="BA141" s="1182">
        <f>INDEX('DEFAULT DATA'!$KD$9:$KL$41,START!$C$3,2)</f>
        <v>0</v>
      </c>
      <c r="BC141" s="1065"/>
      <c r="BD141" s="531"/>
      <c r="BE141" s="531" t="s">
        <v>2942</v>
      </c>
      <c r="BF141" s="531"/>
      <c r="BG141" s="531"/>
      <c r="BH141" s="531" t="s">
        <v>2943</v>
      </c>
      <c r="BI141" s="531"/>
      <c r="BJ141" s="531"/>
      <c r="BK141" s="531"/>
      <c r="BL141" s="531"/>
      <c r="BM141" s="531"/>
      <c r="BN141" s="1066"/>
    </row>
    <row r="142" spans="1:66" ht="20.100000000000001" customHeight="1">
      <c r="A142" s="1078"/>
      <c r="B142" s="1415" t="s">
        <v>88</v>
      </c>
      <c r="C142" s="1416"/>
      <c r="D142" s="1416"/>
      <c r="E142" s="1416"/>
      <c r="F142" s="1417"/>
      <c r="G142" s="282">
        <v>25</v>
      </c>
      <c r="H142" s="640"/>
      <c r="I142" s="1024"/>
      <c r="J142" s="1024"/>
      <c r="K142" s="1024"/>
      <c r="L142" s="1024"/>
      <c r="M142" s="1024"/>
      <c r="N142" s="1024"/>
      <c r="O142" s="460"/>
      <c r="P142" s="1024"/>
      <c r="Q142" s="1024"/>
      <c r="R142" s="1078"/>
      <c r="S142" s="1178" t="s">
        <v>3040</v>
      </c>
      <c r="T142" s="1148"/>
      <c r="U142" s="1162">
        <f t="shared" si="245"/>
        <v>412</v>
      </c>
      <c r="V142" s="262">
        <f>INDEX('DEFAULT DATA'!$KV$9:$LD$41,START!$C$3,3)</f>
        <v>370</v>
      </c>
      <c r="W142" s="262">
        <f>INDEX('DEFAULT DATA'!$KM$9:$KU$41,START!$C$3,3)</f>
        <v>580</v>
      </c>
      <c r="X142" s="1149">
        <f>INDEX('DEFAULT DATA'!$KD$9:$KL$41,START!$C$3,3)</f>
        <v>94.151633233306313</v>
      </c>
      <c r="Y142" s="628">
        <f>($X$142/($X$140+$X$142))*(100-(Y141+Y143+Y144+Y145+Y146+Y147+Y148))</f>
        <v>94.153592403232651</v>
      </c>
      <c r="Z142" s="628">
        <f t="shared" ref="Z142:BA142" si="246">($X$142/($X$140+$X$142))*(100-(Z141+Z143+Z144+Z145+Z146+Z147+Z148))</f>
        <v>94.153592403232651</v>
      </c>
      <c r="AA142" s="628">
        <f t="shared" si="246"/>
        <v>94.153592403232651</v>
      </c>
      <c r="AB142" s="628">
        <f t="shared" si="246"/>
        <v>94.153592403232651</v>
      </c>
      <c r="AC142" s="628">
        <f t="shared" si="246"/>
        <v>94.153592403232651</v>
      </c>
      <c r="AD142" s="628">
        <f t="shared" si="246"/>
        <v>94.153592403232651</v>
      </c>
      <c r="AE142" s="628">
        <f t="shared" si="246"/>
        <v>94.153592403232651</v>
      </c>
      <c r="AF142" s="628">
        <f t="shared" si="246"/>
        <v>94.153592403232651</v>
      </c>
      <c r="AG142" s="628">
        <f t="shared" si="246"/>
        <v>94.153592403232651</v>
      </c>
      <c r="AH142" s="628">
        <f t="shared" si="246"/>
        <v>94.153592403232651</v>
      </c>
      <c r="AI142" s="628">
        <f t="shared" si="246"/>
        <v>94.153592403232651</v>
      </c>
      <c r="AJ142" s="628">
        <f t="shared" si="246"/>
        <v>94.153592403232651</v>
      </c>
      <c r="AK142" s="628">
        <f t="shared" si="246"/>
        <v>94.153592403232651</v>
      </c>
      <c r="AL142" s="628">
        <f t="shared" si="246"/>
        <v>94.153592403232651</v>
      </c>
      <c r="AM142" s="628">
        <f t="shared" si="246"/>
        <v>94.153592403232651</v>
      </c>
      <c r="AN142" s="628">
        <f t="shared" si="246"/>
        <v>94.153592403232651</v>
      </c>
      <c r="AO142" s="628">
        <f t="shared" si="246"/>
        <v>94.153592403232651</v>
      </c>
      <c r="AP142" s="628">
        <f t="shared" si="246"/>
        <v>94.153592403232651</v>
      </c>
      <c r="AQ142" s="628">
        <f t="shared" si="246"/>
        <v>94.153592403232651</v>
      </c>
      <c r="AR142" s="628">
        <f t="shared" si="246"/>
        <v>94.153592403232651</v>
      </c>
      <c r="AS142" s="628">
        <f t="shared" si="246"/>
        <v>94.153592403232651</v>
      </c>
      <c r="AT142" s="628">
        <f t="shared" si="246"/>
        <v>94.153592403232651</v>
      </c>
      <c r="AU142" s="628">
        <f t="shared" si="246"/>
        <v>94.153592403232651</v>
      </c>
      <c r="AV142" s="628">
        <f t="shared" si="246"/>
        <v>94.153592403232651</v>
      </c>
      <c r="AW142" s="628">
        <f t="shared" si="246"/>
        <v>94.153592403232651</v>
      </c>
      <c r="AX142" s="628">
        <f t="shared" si="246"/>
        <v>94.153592403232651</v>
      </c>
      <c r="AY142" s="628">
        <f t="shared" si="246"/>
        <v>94.153592403232651</v>
      </c>
      <c r="AZ142" s="628">
        <f t="shared" si="246"/>
        <v>94.153592403232651</v>
      </c>
      <c r="BA142" s="902">
        <f t="shared" si="246"/>
        <v>94.153592403232651</v>
      </c>
      <c r="BC142" s="1065"/>
      <c r="BD142" s="531" t="s">
        <v>2947</v>
      </c>
      <c r="BE142" s="531" t="s">
        <v>2948</v>
      </c>
      <c r="BF142" s="531"/>
      <c r="BG142" s="531"/>
      <c r="BH142" s="531"/>
      <c r="BI142" s="531"/>
      <c r="BJ142" s="531"/>
      <c r="BK142" s="531"/>
      <c r="BL142" s="531"/>
      <c r="BM142" s="531"/>
      <c r="BN142" s="1066"/>
    </row>
    <row r="143" spans="1:66" ht="20.100000000000001" customHeight="1" thickBot="1">
      <c r="A143" s="1078"/>
      <c r="B143" s="222"/>
      <c r="C143" s="222"/>
      <c r="D143" s="222"/>
      <c r="E143" s="222"/>
      <c r="F143" s="222"/>
      <c r="G143" s="640">
        <f>SUM(G138:G142)</f>
        <v>100</v>
      </c>
      <c r="H143" s="640"/>
      <c r="I143" s="1024"/>
      <c r="J143" s="1024"/>
      <c r="K143" s="1024"/>
      <c r="L143" s="1024"/>
      <c r="M143" s="1024"/>
      <c r="N143" s="1024"/>
      <c r="O143" s="460"/>
      <c r="P143" s="1024"/>
      <c r="Q143" s="1024"/>
      <c r="R143" s="1078"/>
      <c r="S143" s="1178" t="s">
        <v>3003</v>
      </c>
      <c r="T143" s="1148"/>
      <c r="U143" s="1162">
        <f t="shared" si="245"/>
        <v>412</v>
      </c>
      <c r="V143" s="262">
        <f>INDEX('DEFAULT DATA'!$KV$9:$LD$41,START!$C$3,4)</f>
        <v>370</v>
      </c>
      <c r="W143" s="262">
        <f>INDEX('DEFAULT DATA'!$KM$9:$KU$41,START!$C$3,4)</f>
        <v>580</v>
      </c>
      <c r="X143" s="1149">
        <f>INDEX('DEFAULT DATA'!$KD$9:$KL$41,START!$C$3,4)</f>
        <v>0</v>
      </c>
      <c r="Y143" s="1149">
        <f>INDEX('DEFAULT DATA'!$KD$9:$KL$41,START!$C$3,4)</f>
        <v>0</v>
      </c>
      <c r="Z143" s="1149">
        <f>INDEX('DEFAULT DATA'!$KD$9:$KL$41,START!$C$3,4)</f>
        <v>0</v>
      </c>
      <c r="AA143" s="1149">
        <f>INDEX('DEFAULT DATA'!$KD$9:$KL$41,START!$C$3,4)</f>
        <v>0</v>
      </c>
      <c r="AB143" s="1149">
        <f>INDEX('DEFAULT DATA'!$KD$9:$KL$41,START!$C$3,4)</f>
        <v>0</v>
      </c>
      <c r="AC143" s="1149">
        <f>INDEX('DEFAULT DATA'!$KD$9:$KL$41,START!$C$3,4)</f>
        <v>0</v>
      </c>
      <c r="AD143" s="1149">
        <f>INDEX('DEFAULT DATA'!$KD$9:$KL$41,START!$C$3,4)</f>
        <v>0</v>
      </c>
      <c r="AE143" s="1149">
        <f>INDEX('DEFAULT DATA'!$KD$9:$KL$41,START!$C$3,4)</f>
        <v>0</v>
      </c>
      <c r="AF143" s="1149">
        <f>INDEX('DEFAULT DATA'!$KD$9:$KL$41,START!$C$3,4)</f>
        <v>0</v>
      </c>
      <c r="AG143" s="1149">
        <f>INDEX('DEFAULT DATA'!$KD$9:$KL$41,START!$C$3,4)</f>
        <v>0</v>
      </c>
      <c r="AH143" s="1149">
        <f>INDEX('DEFAULT DATA'!$KD$9:$KL$41,START!$C$3,4)</f>
        <v>0</v>
      </c>
      <c r="AI143" s="1149">
        <f>INDEX('DEFAULT DATA'!$KD$9:$KL$41,START!$C$3,4)</f>
        <v>0</v>
      </c>
      <c r="AJ143" s="1149">
        <f>INDEX('DEFAULT DATA'!$KD$9:$KL$41,START!$C$3,4)</f>
        <v>0</v>
      </c>
      <c r="AK143" s="1149">
        <f>INDEX('DEFAULT DATA'!$KD$9:$KL$41,START!$C$3,4)</f>
        <v>0</v>
      </c>
      <c r="AL143" s="1149">
        <f>INDEX('DEFAULT DATA'!$KD$9:$KL$41,START!$C$3,4)</f>
        <v>0</v>
      </c>
      <c r="AM143" s="1149">
        <f>INDEX('DEFAULT DATA'!$KD$9:$KL$41,START!$C$3,4)</f>
        <v>0</v>
      </c>
      <c r="AN143" s="1149">
        <f>INDEX('DEFAULT DATA'!$KD$9:$KL$41,START!$C$3,4)</f>
        <v>0</v>
      </c>
      <c r="AO143" s="1149">
        <f>INDEX('DEFAULT DATA'!$KD$9:$KL$41,START!$C$3,4)</f>
        <v>0</v>
      </c>
      <c r="AP143" s="1149">
        <f>INDEX('DEFAULT DATA'!$KD$9:$KL$41,START!$C$3,4)</f>
        <v>0</v>
      </c>
      <c r="AQ143" s="1149">
        <f>INDEX('DEFAULT DATA'!$KD$9:$KL$41,START!$C$3,4)</f>
        <v>0</v>
      </c>
      <c r="AR143" s="1149">
        <f>INDEX('DEFAULT DATA'!$KD$9:$KL$41,START!$C$3,4)</f>
        <v>0</v>
      </c>
      <c r="AS143" s="1149">
        <f>INDEX('DEFAULT DATA'!$KD$9:$KL$41,START!$C$3,4)</f>
        <v>0</v>
      </c>
      <c r="AT143" s="1149">
        <f>INDEX('DEFAULT DATA'!$KD$9:$KL$41,START!$C$3,4)</f>
        <v>0</v>
      </c>
      <c r="AU143" s="1149">
        <f>INDEX('DEFAULT DATA'!$KD$9:$KL$41,START!$C$3,4)</f>
        <v>0</v>
      </c>
      <c r="AV143" s="1149">
        <f>INDEX('DEFAULT DATA'!$KD$9:$KL$41,START!$C$3,4)</f>
        <v>0</v>
      </c>
      <c r="AW143" s="1149">
        <f>INDEX('DEFAULT DATA'!$KD$9:$KL$41,START!$C$3,4)</f>
        <v>0</v>
      </c>
      <c r="AX143" s="1149">
        <f>INDEX('DEFAULT DATA'!$KD$9:$KL$41,START!$C$3,4)</f>
        <v>0</v>
      </c>
      <c r="AY143" s="1149">
        <f>INDEX('DEFAULT DATA'!$KD$9:$KL$41,START!$C$3,4)</f>
        <v>0</v>
      </c>
      <c r="AZ143" s="1149">
        <f>INDEX('DEFAULT DATA'!$KD$9:$KL$41,START!$C$3,4)</f>
        <v>0</v>
      </c>
      <c r="BA143" s="1182">
        <f>INDEX('DEFAULT DATA'!$KD$9:$KL$41,START!$C$3,4)</f>
        <v>0</v>
      </c>
      <c r="BC143" s="1068"/>
      <c r="BD143" s="1061" t="s">
        <v>2936</v>
      </c>
      <c r="BE143" s="1061"/>
      <c r="BF143" s="1061"/>
      <c r="BG143" s="1061"/>
      <c r="BH143" s="1061"/>
      <c r="BI143" s="1061"/>
      <c r="BJ143" s="1061"/>
      <c r="BK143" s="1061"/>
      <c r="BL143" s="1061"/>
      <c r="BM143" s="1061"/>
      <c r="BN143" s="1062"/>
    </row>
    <row r="144" spans="1:66" ht="20.100000000000001" customHeight="1">
      <c r="A144" s="1078"/>
      <c r="B144" s="1116" t="str">
        <f>IF(G143=100,"","The sum is not 100%")</f>
        <v/>
      </c>
      <c r="C144" s="1116"/>
      <c r="D144" s="1116"/>
      <c r="E144" s="1116"/>
      <c r="F144" s="1024"/>
      <c r="G144" s="1024"/>
      <c r="H144" s="1024"/>
      <c r="I144" s="1024"/>
      <c r="J144" s="1024"/>
      <c r="K144" s="1024"/>
      <c r="L144" s="1024"/>
      <c r="M144" s="1024"/>
      <c r="N144" s="1024"/>
      <c r="O144" s="460"/>
      <c r="P144" s="1024"/>
      <c r="Q144" s="1024"/>
      <c r="R144" s="1078"/>
      <c r="S144" s="1178" t="s">
        <v>933</v>
      </c>
      <c r="T144" s="1148"/>
      <c r="U144" s="1162">
        <f t="shared" si="245"/>
        <v>0</v>
      </c>
      <c r="V144" s="262">
        <f>INDEX('DEFAULT DATA'!$KV$9:$LD$41,START!$C$3,5)</f>
        <v>0</v>
      </c>
      <c r="W144" s="262">
        <f>INDEX('DEFAULT DATA'!$KM$9:$KU$41,START!$C$3,5)</f>
        <v>0</v>
      </c>
      <c r="X144" s="1149">
        <f>INDEX('DEFAULT DATA'!$KD$9:$KL$41,START!$C$3,5)</f>
        <v>8.2123089238349822E-2</v>
      </c>
      <c r="Y144" s="1149">
        <f>INDEX('DEFAULT DATA'!$KD$9:$KL$41,START!$C$3,5)</f>
        <v>8.2123089238349822E-2</v>
      </c>
      <c r="Z144" s="1149">
        <f>INDEX('DEFAULT DATA'!$KD$9:$KL$41,START!$C$3,5)</f>
        <v>8.2123089238349822E-2</v>
      </c>
      <c r="AA144" s="1149">
        <f>INDEX('DEFAULT DATA'!$KD$9:$KL$41,START!$C$3,5)</f>
        <v>8.2123089238349822E-2</v>
      </c>
      <c r="AB144" s="1149">
        <f>INDEX('DEFAULT DATA'!$KD$9:$KL$41,START!$C$3,5)</f>
        <v>8.2123089238349822E-2</v>
      </c>
      <c r="AC144" s="1149">
        <f>INDEX('DEFAULT DATA'!$KD$9:$KL$41,START!$C$3,5)</f>
        <v>8.2123089238349822E-2</v>
      </c>
      <c r="AD144" s="1149">
        <f>INDEX('DEFAULT DATA'!$KD$9:$KL$41,START!$C$3,5)</f>
        <v>8.2123089238349822E-2</v>
      </c>
      <c r="AE144" s="1149">
        <f>INDEX('DEFAULT DATA'!$KD$9:$KL$41,START!$C$3,5)</f>
        <v>8.2123089238349822E-2</v>
      </c>
      <c r="AF144" s="1149">
        <f>INDEX('DEFAULT DATA'!$KD$9:$KL$41,START!$C$3,5)</f>
        <v>8.2123089238349822E-2</v>
      </c>
      <c r="AG144" s="1149">
        <f>INDEX('DEFAULT DATA'!$KD$9:$KL$41,START!$C$3,5)</f>
        <v>8.2123089238349822E-2</v>
      </c>
      <c r="AH144" s="1149">
        <f>INDEX('DEFAULT DATA'!$KD$9:$KL$41,START!$C$3,5)</f>
        <v>8.2123089238349822E-2</v>
      </c>
      <c r="AI144" s="1149">
        <f>INDEX('DEFAULT DATA'!$KD$9:$KL$41,START!$C$3,5)</f>
        <v>8.2123089238349822E-2</v>
      </c>
      <c r="AJ144" s="1149">
        <f>INDEX('DEFAULT DATA'!$KD$9:$KL$41,START!$C$3,5)</f>
        <v>8.2123089238349822E-2</v>
      </c>
      <c r="AK144" s="1149">
        <f>INDEX('DEFAULT DATA'!$KD$9:$KL$41,START!$C$3,5)</f>
        <v>8.2123089238349822E-2</v>
      </c>
      <c r="AL144" s="1149">
        <f>INDEX('DEFAULT DATA'!$KD$9:$KL$41,START!$C$3,5)</f>
        <v>8.2123089238349822E-2</v>
      </c>
      <c r="AM144" s="1149">
        <f>INDEX('DEFAULT DATA'!$KD$9:$KL$41,START!$C$3,5)</f>
        <v>8.2123089238349822E-2</v>
      </c>
      <c r="AN144" s="1149">
        <f>INDEX('DEFAULT DATA'!$KD$9:$KL$41,START!$C$3,5)</f>
        <v>8.2123089238349822E-2</v>
      </c>
      <c r="AO144" s="1149">
        <f>INDEX('DEFAULT DATA'!$KD$9:$KL$41,START!$C$3,5)</f>
        <v>8.2123089238349822E-2</v>
      </c>
      <c r="AP144" s="1149">
        <f>INDEX('DEFAULT DATA'!$KD$9:$KL$41,START!$C$3,5)</f>
        <v>8.2123089238349822E-2</v>
      </c>
      <c r="AQ144" s="1149">
        <f>INDEX('DEFAULT DATA'!$KD$9:$KL$41,START!$C$3,5)</f>
        <v>8.2123089238349822E-2</v>
      </c>
      <c r="AR144" s="1149">
        <f>INDEX('DEFAULT DATA'!$KD$9:$KL$41,START!$C$3,5)</f>
        <v>8.2123089238349822E-2</v>
      </c>
      <c r="AS144" s="1149">
        <f>INDEX('DEFAULT DATA'!$KD$9:$KL$41,START!$C$3,5)</f>
        <v>8.2123089238349822E-2</v>
      </c>
      <c r="AT144" s="1149">
        <f>INDEX('DEFAULT DATA'!$KD$9:$KL$41,START!$C$3,5)</f>
        <v>8.2123089238349822E-2</v>
      </c>
      <c r="AU144" s="1149">
        <f>INDEX('DEFAULT DATA'!$KD$9:$KL$41,START!$C$3,5)</f>
        <v>8.2123089238349822E-2</v>
      </c>
      <c r="AV144" s="1149">
        <f>INDEX('DEFAULT DATA'!$KD$9:$KL$41,START!$C$3,5)</f>
        <v>8.2123089238349822E-2</v>
      </c>
      <c r="AW144" s="1149">
        <f>INDEX('DEFAULT DATA'!$KD$9:$KL$41,START!$C$3,5)</f>
        <v>8.2123089238349822E-2</v>
      </c>
      <c r="AX144" s="1149">
        <f>INDEX('DEFAULT DATA'!$KD$9:$KL$41,START!$C$3,5)</f>
        <v>8.2123089238349822E-2</v>
      </c>
      <c r="AY144" s="1149">
        <f>INDEX('DEFAULT DATA'!$KD$9:$KL$41,START!$C$3,5)</f>
        <v>8.2123089238349822E-2</v>
      </c>
      <c r="AZ144" s="1149">
        <f>INDEX('DEFAULT DATA'!$KD$9:$KL$41,START!$C$3,5)</f>
        <v>8.2123089238349822E-2</v>
      </c>
      <c r="BA144" s="1182">
        <f>INDEX('DEFAULT DATA'!$KD$9:$KL$41,START!$C$3,5)</f>
        <v>8.2123089238349822E-2</v>
      </c>
    </row>
    <row r="145" spans="1:54" ht="20.100000000000001" customHeight="1" thickBot="1">
      <c r="A145" s="1078"/>
      <c r="B145" s="1024"/>
      <c r="C145" s="1024"/>
      <c r="D145" s="1024"/>
      <c r="E145" s="1024"/>
      <c r="F145" s="1024"/>
      <c r="G145" s="1024"/>
      <c r="H145" s="1024"/>
      <c r="I145" s="1024"/>
      <c r="J145" s="1024"/>
      <c r="K145" s="1024"/>
      <c r="L145" s="1024"/>
      <c r="M145" s="1024"/>
      <c r="N145" s="1024"/>
      <c r="O145" s="460"/>
      <c r="P145" s="1024"/>
      <c r="Q145" s="1024"/>
      <c r="R145" s="1078"/>
      <c r="S145" s="1178" t="s">
        <v>3004</v>
      </c>
      <c r="T145" s="1148"/>
      <c r="U145" s="1162">
        <f t="shared" si="245"/>
        <v>412</v>
      </c>
      <c r="V145" s="262">
        <f>INDEX('DEFAULT DATA'!$KV$9:$LD$41,START!$C$3,6)</f>
        <v>370</v>
      </c>
      <c r="W145" s="262">
        <f>INDEX('DEFAULT DATA'!$KM$9:$KU$41,START!$C$3,6)</f>
        <v>580</v>
      </c>
      <c r="X145" s="1149">
        <f>INDEX('DEFAULT DATA'!$KD$9:$KL$41,START!$C$3,6)</f>
        <v>0.25466452925427668</v>
      </c>
      <c r="Y145" s="1149">
        <f>INDEX('DEFAULT DATA'!$KD$9:$KL$41,START!$C$3,6)</f>
        <v>0.25466452925427668</v>
      </c>
      <c r="Z145" s="1149">
        <f>INDEX('DEFAULT DATA'!$KD$9:$KL$41,START!$C$3,6)</f>
        <v>0.25466452925427668</v>
      </c>
      <c r="AA145" s="1149">
        <f>INDEX('DEFAULT DATA'!$KD$9:$KL$41,START!$C$3,6)</f>
        <v>0.25466452925427668</v>
      </c>
      <c r="AB145" s="1149">
        <f>INDEX('DEFAULT DATA'!$KD$9:$KL$41,START!$C$3,6)</f>
        <v>0.25466452925427668</v>
      </c>
      <c r="AC145" s="1149">
        <f>INDEX('DEFAULT DATA'!$KD$9:$KL$41,START!$C$3,6)</f>
        <v>0.25466452925427668</v>
      </c>
      <c r="AD145" s="1149">
        <f>INDEX('DEFAULT DATA'!$KD$9:$KL$41,START!$C$3,6)</f>
        <v>0.25466452925427668</v>
      </c>
      <c r="AE145" s="1149">
        <f>INDEX('DEFAULT DATA'!$KD$9:$KL$41,START!$C$3,6)</f>
        <v>0.25466452925427668</v>
      </c>
      <c r="AF145" s="1149">
        <f>INDEX('DEFAULT DATA'!$KD$9:$KL$41,START!$C$3,6)</f>
        <v>0.25466452925427668</v>
      </c>
      <c r="AG145" s="1149">
        <f>INDEX('DEFAULT DATA'!$KD$9:$KL$41,START!$C$3,6)</f>
        <v>0.25466452925427668</v>
      </c>
      <c r="AH145" s="1149">
        <f>INDEX('DEFAULT DATA'!$KD$9:$KL$41,START!$C$3,6)</f>
        <v>0.25466452925427668</v>
      </c>
      <c r="AI145" s="1149">
        <f>INDEX('DEFAULT DATA'!$KD$9:$KL$41,START!$C$3,6)</f>
        <v>0.25466452925427668</v>
      </c>
      <c r="AJ145" s="1149">
        <f>INDEX('DEFAULT DATA'!$KD$9:$KL$41,START!$C$3,6)</f>
        <v>0.25466452925427668</v>
      </c>
      <c r="AK145" s="1149">
        <f>INDEX('DEFAULT DATA'!$KD$9:$KL$41,START!$C$3,6)</f>
        <v>0.25466452925427668</v>
      </c>
      <c r="AL145" s="1149">
        <f>INDEX('DEFAULT DATA'!$KD$9:$KL$41,START!$C$3,6)</f>
        <v>0.25466452925427668</v>
      </c>
      <c r="AM145" s="1149">
        <f>INDEX('DEFAULT DATA'!$KD$9:$KL$41,START!$C$3,6)</f>
        <v>0.25466452925427668</v>
      </c>
      <c r="AN145" s="1149">
        <f>INDEX('DEFAULT DATA'!$KD$9:$KL$41,START!$C$3,6)</f>
        <v>0.25466452925427668</v>
      </c>
      <c r="AO145" s="1149">
        <f>INDEX('DEFAULT DATA'!$KD$9:$KL$41,START!$C$3,6)</f>
        <v>0.25466452925427668</v>
      </c>
      <c r="AP145" s="1149">
        <f>INDEX('DEFAULT DATA'!$KD$9:$KL$41,START!$C$3,6)</f>
        <v>0.25466452925427668</v>
      </c>
      <c r="AQ145" s="1149">
        <f>INDEX('DEFAULT DATA'!$KD$9:$KL$41,START!$C$3,6)</f>
        <v>0.25466452925427668</v>
      </c>
      <c r="AR145" s="1149">
        <f>INDEX('DEFAULT DATA'!$KD$9:$KL$41,START!$C$3,6)</f>
        <v>0.25466452925427668</v>
      </c>
      <c r="AS145" s="1149">
        <f>INDEX('DEFAULT DATA'!$KD$9:$KL$41,START!$C$3,6)</f>
        <v>0.25466452925427668</v>
      </c>
      <c r="AT145" s="1149">
        <f>INDEX('DEFAULT DATA'!$KD$9:$KL$41,START!$C$3,6)</f>
        <v>0.25466452925427668</v>
      </c>
      <c r="AU145" s="1149">
        <f>INDEX('DEFAULT DATA'!$KD$9:$KL$41,START!$C$3,6)</f>
        <v>0.25466452925427668</v>
      </c>
      <c r="AV145" s="1149">
        <f>INDEX('DEFAULT DATA'!$KD$9:$KL$41,START!$C$3,6)</f>
        <v>0.25466452925427668</v>
      </c>
      <c r="AW145" s="1149">
        <f>INDEX('DEFAULT DATA'!$KD$9:$KL$41,START!$C$3,6)</f>
        <v>0.25466452925427668</v>
      </c>
      <c r="AX145" s="1149">
        <f>INDEX('DEFAULT DATA'!$KD$9:$KL$41,START!$C$3,6)</f>
        <v>0.25466452925427668</v>
      </c>
      <c r="AY145" s="1149">
        <f>INDEX('DEFAULT DATA'!$KD$9:$KL$41,START!$C$3,6)</f>
        <v>0.25466452925427668</v>
      </c>
      <c r="AZ145" s="1149">
        <f>INDEX('DEFAULT DATA'!$KD$9:$KL$41,START!$C$3,6)</f>
        <v>0.25466452925427668</v>
      </c>
      <c r="BA145" s="1182">
        <f>INDEX('DEFAULT DATA'!$KD$9:$KL$41,START!$C$3,6)</f>
        <v>0.25466452925427668</v>
      </c>
    </row>
    <row r="146" spans="1:54" ht="30" customHeight="1" thickBot="1">
      <c r="A146" s="1133"/>
      <c r="B146" s="1288" t="s">
        <v>163</v>
      </c>
      <c r="C146" s="1288"/>
      <c r="D146" s="1288"/>
      <c r="E146" s="1288"/>
      <c r="F146" s="1288"/>
      <c r="G146" s="1288"/>
      <c r="H146" s="1288"/>
      <c r="I146" s="1288"/>
      <c r="J146" s="1288"/>
      <c r="K146" s="1288"/>
      <c r="L146" s="1288"/>
      <c r="M146" s="1288"/>
      <c r="N146" s="1288"/>
      <c r="O146" s="1289"/>
      <c r="P146" s="410"/>
      <c r="Q146" s="410"/>
      <c r="R146" s="1078"/>
      <c r="S146" s="1178" t="s">
        <v>986</v>
      </c>
      <c r="T146" s="1148"/>
      <c r="U146" s="1162">
        <f t="shared" si="245"/>
        <v>412</v>
      </c>
      <c r="V146" s="262">
        <f>INDEX('DEFAULT DATA'!$KV$9:$LD$41,START!$C$3,7)</f>
        <v>370</v>
      </c>
      <c r="W146" s="262">
        <f>INDEX('DEFAULT DATA'!$KM$9:$KU$41,START!$C$3,7)</f>
        <v>580</v>
      </c>
      <c r="X146" s="1149">
        <f>INDEX('DEFAULT DATA'!$KD$9:$KL$41,START!$C$3,7)</f>
        <v>0</v>
      </c>
      <c r="Y146" s="1149">
        <f>INDEX('DEFAULT DATA'!$KD$9:$KL$41,START!$C$3,7)</f>
        <v>0</v>
      </c>
      <c r="Z146" s="1149">
        <f>INDEX('DEFAULT DATA'!$KD$9:$KL$41,START!$C$3,7)</f>
        <v>0</v>
      </c>
      <c r="AA146" s="1149">
        <f>INDEX('DEFAULT DATA'!$KD$9:$KL$41,START!$C$3,7)</f>
        <v>0</v>
      </c>
      <c r="AB146" s="1149">
        <f>INDEX('DEFAULT DATA'!$KD$9:$KL$41,START!$C$3,7)</f>
        <v>0</v>
      </c>
      <c r="AC146" s="1149">
        <f>INDEX('DEFAULT DATA'!$KD$9:$KL$41,START!$C$3,7)</f>
        <v>0</v>
      </c>
      <c r="AD146" s="1149">
        <f>INDEX('DEFAULT DATA'!$KD$9:$KL$41,START!$C$3,7)</f>
        <v>0</v>
      </c>
      <c r="AE146" s="1149">
        <f>INDEX('DEFAULT DATA'!$KD$9:$KL$41,START!$C$3,7)</f>
        <v>0</v>
      </c>
      <c r="AF146" s="1149">
        <f>INDEX('DEFAULT DATA'!$KD$9:$KL$41,START!$C$3,7)</f>
        <v>0</v>
      </c>
      <c r="AG146" s="1149">
        <f>INDEX('DEFAULT DATA'!$KD$9:$KL$41,START!$C$3,7)</f>
        <v>0</v>
      </c>
      <c r="AH146" s="1149">
        <f>INDEX('DEFAULT DATA'!$KD$9:$KL$41,START!$C$3,7)</f>
        <v>0</v>
      </c>
      <c r="AI146" s="1149">
        <f>INDEX('DEFAULT DATA'!$KD$9:$KL$41,START!$C$3,7)</f>
        <v>0</v>
      </c>
      <c r="AJ146" s="1149">
        <f>INDEX('DEFAULT DATA'!$KD$9:$KL$41,START!$C$3,7)</f>
        <v>0</v>
      </c>
      <c r="AK146" s="1149">
        <f>INDEX('DEFAULT DATA'!$KD$9:$KL$41,START!$C$3,7)</f>
        <v>0</v>
      </c>
      <c r="AL146" s="1149">
        <f>INDEX('DEFAULT DATA'!$KD$9:$KL$41,START!$C$3,7)</f>
        <v>0</v>
      </c>
      <c r="AM146" s="1149">
        <f>INDEX('DEFAULT DATA'!$KD$9:$KL$41,START!$C$3,7)</f>
        <v>0</v>
      </c>
      <c r="AN146" s="1149">
        <f>INDEX('DEFAULT DATA'!$KD$9:$KL$41,START!$C$3,7)</f>
        <v>0</v>
      </c>
      <c r="AO146" s="1149">
        <f>INDEX('DEFAULT DATA'!$KD$9:$KL$41,START!$C$3,7)</f>
        <v>0</v>
      </c>
      <c r="AP146" s="1149">
        <f>INDEX('DEFAULT DATA'!$KD$9:$KL$41,START!$C$3,7)</f>
        <v>0</v>
      </c>
      <c r="AQ146" s="1149">
        <f>INDEX('DEFAULT DATA'!$KD$9:$KL$41,START!$C$3,7)</f>
        <v>0</v>
      </c>
      <c r="AR146" s="1149">
        <f>INDEX('DEFAULT DATA'!$KD$9:$KL$41,START!$C$3,7)</f>
        <v>0</v>
      </c>
      <c r="AS146" s="1149">
        <f>INDEX('DEFAULT DATA'!$KD$9:$KL$41,START!$C$3,7)</f>
        <v>0</v>
      </c>
      <c r="AT146" s="1149">
        <f>INDEX('DEFAULT DATA'!$KD$9:$KL$41,START!$C$3,7)</f>
        <v>0</v>
      </c>
      <c r="AU146" s="1149">
        <f>INDEX('DEFAULT DATA'!$KD$9:$KL$41,START!$C$3,7)</f>
        <v>0</v>
      </c>
      <c r="AV146" s="1149">
        <f>INDEX('DEFAULT DATA'!$KD$9:$KL$41,START!$C$3,7)</f>
        <v>0</v>
      </c>
      <c r="AW146" s="1149">
        <f>INDEX('DEFAULT DATA'!$KD$9:$KL$41,START!$C$3,7)</f>
        <v>0</v>
      </c>
      <c r="AX146" s="1149">
        <f>INDEX('DEFAULT DATA'!$KD$9:$KL$41,START!$C$3,7)</f>
        <v>0</v>
      </c>
      <c r="AY146" s="1149">
        <f>INDEX('DEFAULT DATA'!$KD$9:$KL$41,START!$C$3,7)</f>
        <v>0</v>
      </c>
      <c r="AZ146" s="1149">
        <f>INDEX('DEFAULT DATA'!$KD$9:$KL$41,START!$C$3,7)</f>
        <v>0</v>
      </c>
      <c r="BA146" s="1182">
        <f>INDEX('DEFAULT DATA'!$KD$9:$KL$41,START!$C$3,7)</f>
        <v>0</v>
      </c>
      <c r="BB146" s="1025"/>
    </row>
    <row r="147" spans="1:54" ht="20.100000000000001" customHeight="1">
      <c r="A147" s="48"/>
      <c r="B147" s="1117" t="s">
        <v>161</v>
      </c>
      <c r="C147" s="1117"/>
      <c r="D147" s="1117"/>
      <c r="E147" s="1117"/>
      <c r="F147" s="1421" t="s">
        <v>166</v>
      </c>
      <c r="G147" s="1421" t="s">
        <v>167</v>
      </c>
      <c r="H147" s="383"/>
      <c r="I147" s="383"/>
      <c r="J147" s="383"/>
      <c r="K147" s="383"/>
      <c r="L147" s="383"/>
      <c r="M147" s="383"/>
      <c r="N147" s="383"/>
      <c r="O147" s="433"/>
      <c r="P147" s="1024"/>
      <c r="Q147" s="1024"/>
      <c r="R147" s="1078"/>
      <c r="S147" s="1178" t="s">
        <v>987</v>
      </c>
      <c r="T147" s="1148"/>
      <c r="U147" s="1162">
        <f t="shared" si="245"/>
        <v>412</v>
      </c>
      <c r="V147" s="262">
        <f>INDEX('DEFAULT DATA'!$KV$9:$LD$41,START!$C$3,8)</f>
        <v>370</v>
      </c>
      <c r="W147" s="262">
        <f>INDEX('DEFAULT DATA'!$KM$9:$KU$41,START!$C$3,8)</f>
        <v>580</v>
      </c>
      <c r="X147" s="1149">
        <f>INDEX('DEFAULT DATA'!$KD$9:$KL$41,START!$C$3,8)</f>
        <v>0</v>
      </c>
      <c r="Y147" s="1149">
        <f>INDEX('DEFAULT DATA'!$KD$9:$KL$41,START!$C$3,8)</f>
        <v>0</v>
      </c>
      <c r="Z147" s="1149">
        <f>INDEX('DEFAULT DATA'!$KD$9:$KL$41,START!$C$3,8)</f>
        <v>0</v>
      </c>
      <c r="AA147" s="1149">
        <f>INDEX('DEFAULT DATA'!$KD$9:$KL$41,START!$C$3,8)</f>
        <v>0</v>
      </c>
      <c r="AB147" s="1149">
        <f>INDEX('DEFAULT DATA'!$KD$9:$KL$41,START!$C$3,8)</f>
        <v>0</v>
      </c>
      <c r="AC147" s="1149">
        <f>INDEX('DEFAULT DATA'!$KD$9:$KL$41,START!$C$3,8)</f>
        <v>0</v>
      </c>
      <c r="AD147" s="1149">
        <f>INDEX('DEFAULT DATA'!$KD$9:$KL$41,START!$C$3,8)</f>
        <v>0</v>
      </c>
      <c r="AE147" s="1149">
        <f>INDEX('DEFAULT DATA'!$KD$9:$KL$41,START!$C$3,8)</f>
        <v>0</v>
      </c>
      <c r="AF147" s="1149">
        <f>INDEX('DEFAULT DATA'!$KD$9:$KL$41,START!$C$3,8)</f>
        <v>0</v>
      </c>
      <c r="AG147" s="1149">
        <f>INDEX('DEFAULT DATA'!$KD$9:$KL$41,START!$C$3,8)</f>
        <v>0</v>
      </c>
      <c r="AH147" s="1149">
        <f>INDEX('DEFAULT DATA'!$KD$9:$KL$41,START!$C$3,8)</f>
        <v>0</v>
      </c>
      <c r="AI147" s="1149">
        <f>INDEX('DEFAULT DATA'!$KD$9:$KL$41,START!$C$3,8)</f>
        <v>0</v>
      </c>
      <c r="AJ147" s="1149">
        <f>INDEX('DEFAULT DATA'!$KD$9:$KL$41,START!$C$3,8)</f>
        <v>0</v>
      </c>
      <c r="AK147" s="1149">
        <f>INDEX('DEFAULT DATA'!$KD$9:$KL$41,START!$C$3,8)</f>
        <v>0</v>
      </c>
      <c r="AL147" s="1149">
        <f>INDEX('DEFAULT DATA'!$KD$9:$KL$41,START!$C$3,8)</f>
        <v>0</v>
      </c>
      <c r="AM147" s="1149">
        <f>INDEX('DEFAULT DATA'!$KD$9:$KL$41,START!$C$3,8)</f>
        <v>0</v>
      </c>
      <c r="AN147" s="1149">
        <f>INDEX('DEFAULT DATA'!$KD$9:$KL$41,START!$C$3,8)</f>
        <v>0</v>
      </c>
      <c r="AO147" s="1149">
        <f>INDEX('DEFAULT DATA'!$KD$9:$KL$41,START!$C$3,8)</f>
        <v>0</v>
      </c>
      <c r="AP147" s="1149">
        <f>INDEX('DEFAULT DATA'!$KD$9:$KL$41,START!$C$3,8)</f>
        <v>0</v>
      </c>
      <c r="AQ147" s="1149">
        <f>INDEX('DEFAULT DATA'!$KD$9:$KL$41,START!$C$3,8)</f>
        <v>0</v>
      </c>
      <c r="AR147" s="1149">
        <f>INDEX('DEFAULT DATA'!$KD$9:$KL$41,START!$C$3,8)</f>
        <v>0</v>
      </c>
      <c r="AS147" s="1149">
        <f>INDEX('DEFAULT DATA'!$KD$9:$KL$41,START!$C$3,8)</f>
        <v>0</v>
      </c>
      <c r="AT147" s="1149">
        <f>INDEX('DEFAULT DATA'!$KD$9:$KL$41,START!$C$3,8)</f>
        <v>0</v>
      </c>
      <c r="AU147" s="1149">
        <f>INDEX('DEFAULT DATA'!$KD$9:$KL$41,START!$C$3,8)</f>
        <v>0</v>
      </c>
      <c r="AV147" s="1149">
        <f>INDEX('DEFAULT DATA'!$KD$9:$KL$41,START!$C$3,8)</f>
        <v>0</v>
      </c>
      <c r="AW147" s="1149">
        <f>INDEX('DEFAULT DATA'!$KD$9:$KL$41,START!$C$3,8)</f>
        <v>0</v>
      </c>
      <c r="AX147" s="1149">
        <f>INDEX('DEFAULT DATA'!$KD$9:$KL$41,START!$C$3,8)</f>
        <v>0</v>
      </c>
      <c r="AY147" s="1149">
        <f>INDEX('DEFAULT DATA'!$KD$9:$KL$41,START!$C$3,8)</f>
        <v>0</v>
      </c>
      <c r="AZ147" s="1149">
        <f>INDEX('DEFAULT DATA'!$KD$9:$KL$41,START!$C$3,8)</f>
        <v>0</v>
      </c>
      <c r="BA147" s="1182">
        <f>INDEX('DEFAULT DATA'!$KD$9:$KL$41,START!$C$3,8)</f>
        <v>0</v>
      </c>
    </row>
    <row r="148" spans="1:54" ht="20.100000000000001" customHeight="1" thickBot="1">
      <c r="A148" s="1132"/>
      <c r="B148" s="641" t="s">
        <v>169</v>
      </c>
      <c r="C148" s="274"/>
      <c r="D148" s="274"/>
      <c r="E148" s="274"/>
      <c r="F148" s="1422"/>
      <c r="G148" s="1422"/>
      <c r="H148" s="429"/>
      <c r="I148" s="429"/>
      <c r="J148" s="429"/>
      <c r="K148" s="429"/>
      <c r="L148" s="429"/>
      <c r="M148" s="429"/>
      <c r="N148" s="429"/>
      <c r="O148" s="639"/>
      <c r="P148" s="1024"/>
      <c r="Q148" s="1024"/>
      <c r="R148" s="1078"/>
      <c r="S148" s="1179" t="s">
        <v>3005</v>
      </c>
      <c r="T148" s="1180"/>
      <c r="U148" s="1181">
        <f t="shared" si="245"/>
        <v>412</v>
      </c>
      <c r="V148" s="335">
        <f>INDEX('DEFAULT DATA'!$KV$9:$LD$41,START!$C$3,9)</f>
        <v>370</v>
      </c>
      <c r="W148" s="335">
        <f>INDEX('DEFAULT DATA'!$KM$9:$KU$41,START!$C$3,9)</f>
        <v>580</v>
      </c>
      <c r="X148" s="629">
        <f>INDEX('DEFAULT DATA'!$KD$9:$KL$41,START!$C$3,9)</f>
        <v>0</v>
      </c>
      <c r="Y148" s="629">
        <f>INDEX('DEFAULT DATA'!$KD$9:$KL$41,START!$C$3,9)</f>
        <v>0</v>
      </c>
      <c r="Z148" s="629">
        <f>INDEX('DEFAULT DATA'!$KD$9:$KL$41,START!$C$3,9)</f>
        <v>0</v>
      </c>
      <c r="AA148" s="629">
        <f>INDEX('DEFAULT DATA'!$KD$9:$KL$41,START!$C$3,9)</f>
        <v>0</v>
      </c>
      <c r="AB148" s="629">
        <f>INDEX('DEFAULT DATA'!$KD$9:$KL$41,START!$C$3,9)</f>
        <v>0</v>
      </c>
      <c r="AC148" s="629">
        <f>INDEX('DEFAULT DATA'!$KD$9:$KL$41,START!$C$3,9)</f>
        <v>0</v>
      </c>
      <c r="AD148" s="629">
        <f>INDEX('DEFAULT DATA'!$KD$9:$KL$41,START!$C$3,9)</f>
        <v>0</v>
      </c>
      <c r="AE148" s="629">
        <f>INDEX('DEFAULT DATA'!$KD$9:$KL$41,START!$C$3,9)</f>
        <v>0</v>
      </c>
      <c r="AF148" s="629">
        <f>INDEX('DEFAULT DATA'!$KD$9:$KL$41,START!$C$3,9)</f>
        <v>0</v>
      </c>
      <c r="AG148" s="629">
        <f>INDEX('DEFAULT DATA'!$KD$9:$KL$41,START!$C$3,9)</f>
        <v>0</v>
      </c>
      <c r="AH148" s="629">
        <f>INDEX('DEFAULT DATA'!$KD$9:$KL$41,START!$C$3,9)</f>
        <v>0</v>
      </c>
      <c r="AI148" s="629">
        <f>INDEX('DEFAULT DATA'!$KD$9:$KL$41,START!$C$3,9)</f>
        <v>0</v>
      </c>
      <c r="AJ148" s="629">
        <f>INDEX('DEFAULT DATA'!$KD$9:$KL$41,START!$C$3,9)</f>
        <v>0</v>
      </c>
      <c r="AK148" s="629">
        <f>INDEX('DEFAULT DATA'!$KD$9:$KL$41,START!$C$3,9)</f>
        <v>0</v>
      </c>
      <c r="AL148" s="629">
        <f>INDEX('DEFAULT DATA'!$KD$9:$KL$41,START!$C$3,9)</f>
        <v>0</v>
      </c>
      <c r="AM148" s="629">
        <f>INDEX('DEFAULT DATA'!$KD$9:$KL$41,START!$C$3,9)</f>
        <v>0</v>
      </c>
      <c r="AN148" s="629">
        <f>INDEX('DEFAULT DATA'!$KD$9:$KL$41,START!$C$3,9)</f>
        <v>0</v>
      </c>
      <c r="AO148" s="629">
        <f>INDEX('DEFAULT DATA'!$KD$9:$KL$41,START!$C$3,9)</f>
        <v>0</v>
      </c>
      <c r="AP148" s="629">
        <f>INDEX('DEFAULT DATA'!$KD$9:$KL$41,START!$C$3,9)</f>
        <v>0</v>
      </c>
      <c r="AQ148" s="629">
        <f>INDEX('DEFAULT DATA'!$KD$9:$KL$41,START!$C$3,9)</f>
        <v>0</v>
      </c>
      <c r="AR148" s="629">
        <f>INDEX('DEFAULT DATA'!$KD$9:$KL$41,START!$C$3,9)</f>
        <v>0</v>
      </c>
      <c r="AS148" s="629">
        <f>INDEX('DEFAULT DATA'!$KD$9:$KL$41,START!$C$3,9)</f>
        <v>0</v>
      </c>
      <c r="AT148" s="629">
        <f>INDEX('DEFAULT DATA'!$KD$9:$KL$41,START!$C$3,9)</f>
        <v>0</v>
      </c>
      <c r="AU148" s="629">
        <f>INDEX('DEFAULT DATA'!$KD$9:$KL$41,START!$C$3,9)</f>
        <v>0</v>
      </c>
      <c r="AV148" s="629">
        <f>INDEX('DEFAULT DATA'!$KD$9:$KL$41,START!$C$3,9)</f>
        <v>0</v>
      </c>
      <c r="AW148" s="629">
        <f>INDEX('DEFAULT DATA'!$KD$9:$KL$41,START!$C$3,9)</f>
        <v>0</v>
      </c>
      <c r="AX148" s="629">
        <f>INDEX('DEFAULT DATA'!$KD$9:$KL$41,START!$C$3,9)</f>
        <v>0</v>
      </c>
      <c r="AY148" s="629">
        <f>INDEX('DEFAULT DATA'!$KD$9:$KL$41,START!$C$3,9)</f>
        <v>0</v>
      </c>
      <c r="AZ148" s="629">
        <f>INDEX('DEFAULT DATA'!$KD$9:$KL$41,START!$C$3,9)</f>
        <v>0</v>
      </c>
      <c r="BA148" s="903">
        <f>INDEX('DEFAULT DATA'!$KD$9:$KL$41,START!$C$3,9)</f>
        <v>0</v>
      </c>
    </row>
    <row r="149" spans="1:54" ht="20.100000000000001" customHeight="1">
      <c r="A149" s="28"/>
      <c r="B149" s="259" t="s">
        <v>168</v>
      </c>
      <c r="C149" s="557"/>
      <c r="D149" s="557"/>
      <c r="E149" s="557"/>
      <c r="F149" s="648">
        <v>50</v>
      </c>
      <c r="G149" s="648">
        <v>100</v>
      </c>
      <c r="H149" s="1024"/>
      <c r="I149" s="649"/>
      <c r="J149" s="649"/>
      <c r="K149" s="649"/>
      <c r="L149" s="649"/>
      <c r="M149" s="649"/>
      <c r="N149" s="649"/>
      <c r="O149" s="662"/>
      <c r="P149" s="649"/>
      <c r="Q149" s="649"/>
      <c r="R149" s="1078"/>
      <c r="S149" s="1166" t="s">
        <v>2423</v>
      </c>
      <c r="T149" s="784" t="s">
        <v>164</v>
      </c>
      <c r="U149" s="1163"/>
      <c r="V149" s="1163"/>
      <c r="W149" s="1163"/>
      <c r="X149" s="1167">
        <f>(X140/100*$U$140)+(X141/100*$U$141)+(X142/100*$U$142)+(X143/100*$U$143)+(X144/100*$U$144)+(X145/100*$U$145)+(X146/100*$U$146)+(X147/100*$U$147)+(X148/100*$U$148)</f>
        <v>411.65310875295262</v>
      </c>
      <c r="Y149" s="1167">
        <f t="shared" ref="Y149:BA149" si="247">(Y140/100*$U$140)+(Y141/100*$U$141)+(Y142/100*$U$142)+(Y143/100*$U$143)+(Y144/100*$U$144)+(Y145/100*$U$145)+(Y146/100*$U$146)+(Y147/100*$U$147)+(Y148/100*$U$148)</f>
        <v>411.66165287233804</v>
      </c>
      <c r="Z149" s="1167">
        <f t="shared" si="247"/>
        <v>411.66165287233804</v>
      </c>
      <c r="AA149" s="1167">
        <f t="shared" si="247"/>
        <v>411.66165287233804</v>
      </c>
      <c r="AB149" s="1167">
        <f t="shared" si="247"/>
        <v>411.66165287233804</v>
      </c>
      <c r="AC149" s="1167">
        <f t="shared" si="247"/>
        <v>411.66165287233804</v>
      </c>
      <c r="AD149" s="1167">
        <f t="shared" si="247"/>
        <v>411.66165287233804</v>
      </c>
      <c r="AE149" s="1167">
        <f t="shared" si="247"/>
        <v>411.66165287233804</v>
      </c>
      <c r="AF149" s="1167">
        <f t="shared" si="247"/>
        <v>411.66165287233804</v>
      </c>
      <c r="AG149" s="1167">
        <f t="shared" si="247"/>
        <v>411.66165287233804</v>
      </c>
      <c r="AH149" s="1167">
        <f t="shared" si="247"/>
        <v>411.66165287233804</v>
      </c>
      <c r="AI149" s="1167">
        <f t="shared" si="247"/>
        <v>411.66165287233804</v>
      </c>
      <c r="AJ149" s="1167">
        <f t="shared" si="247"/>
        <v>411.66165287233804</v>
      </c>
      <c r="AK149" s="1167">
        <f t="shared" si="247"/>
        <v>411.66165287233804</v>
      </c>
      <c r="AL149" s="1167">
        <f t="shared" si="247"/>
        <v>411.66165287233804</v>
      </c>
      <c r="AM149" s="1167">
        <f t="shared" si="247"/>
        <v>411.66165287233804</v>
      </c>
      <c r="AN149" s="1167">
        <f t="shared" si="247"/>
        <v>411.66165287233804</v>
      </c>
      <c r="AO149" s="1167">
        <f t="shared" si="247"/>
        <v>411.66165287233804</v>
      </c>
      <c r="AP149" s="1167">
        <f t="shared" si="247"/>
        <v>411.66165287233804</v>
      </c>
      <c r="AQ149" s="1167">
        <f t="shared" si="247"/>
        <v>411.66165287233804</v>
      </c>
      <c r="AR149" s="1167">
        <f t="shared" si="247"/>
        <v>411.66165287233804</v>
      </c>
      <c r="AS149" s="1167">
        <f t="shared" si="247"/>
        <v>411.66165287233804</v>
      </c>
      <c r="AT149" s="1167">
        <f t="shared" si="247"/>
        <v>411.66165287233804</v>
      </c>
      <c r="AU149" s="1167">
        <f t="shared" si="247"/>
        <v>411.66165287233804</v>
      </c>
      <c r="AV149" s="1167">
        <f t="shared" si="247"/>
        <v>411.66165287233804</v>
      </c>
      <c r="AW149" s="1167">
        <f t="shared" si="247"/>
        <v>411.66165287233804</v>
      </c>
      <c r="AX149" s="1167">
        <f t="shared" si="247"/>
        <v>411.66165287233804</v>
      </c>
      <c r="AY149" s="1167">
        <f t="shared" si="247"/>
        <v>411.66165287233804</v>
      </c>
      <c r="AZ149" s="1167">
        <f t="shared" si="247"/>
        <v>411.66165287233804</v>
      </c>
      <c r="BA149" s="1168">
        <f t="shared" si="247"/>
        <v>411.66165287233804</v>
      </c>
    </row>
    <row r="150" spans="1:54" ht="20.100000000000001" customHeight="1">
      <c r="A150" s="28"/>
      <c r="B150" s="259" t="s">
        <v>165</v>
      </c>
      <c r="C150" s="557"/>
      <c r="D150" s="557"/>
      <c r="E150" s="557"/>
      <c r="F150" s="1296" t="s">
        <v>153</v>
      </c>
      <c r="G150" s="1296" t="s">
        <v>154</v>
      </c>
      <c r="H150" s="1024"/>
      <c r="I150" s="649"/>
      <c r="J150" s="649"/>
      <c r="K150" s="649"/>
      <c r="L150" s="649"/>
      <c r="M150" s="649"/>
      <c r="N150" s="649"/>
      <c r="O150" s="662"/>
      <c r="P150" s="649"/>
      <c r="Q150" s="649"/>
      <c r="R150" s="1078"/>
      <c r="S150" s="241" t="s">
        <v>3006</v>
      </c>
      <c r="T150" s="552" t="s">
        <v>164</v>
      </c>
      <c r="U150" s="1164"/>
      <c r="V150" s="562"/>
      <c r="W150" s="562"/>
      <c r="X150" s="272">
        <f>(X140/100*$V$140)+(X141/100*$V$141)+(X142/100*$V$142)+(X143/100*$V$143)+(X144/100*$V$144)+(X145/100*$V$145)+(X146/100*$V$146)+(X147/100*$V$147)+(X148/100*$V$148)</f>
        <v>369.68847145289431</v>
      </c>
      <c r="Y150" s="272">
        <f t="shared" ref="Y150:BA150" si="248">(Y140/100*$V$140)+(Y141/100*$V$141)+(Y142/100*$V$142)+(Y143/100*$V$143)+(Y144/100*$V$144)+(Y145/100*$V$145)+(Y146/100*$V$146)+(Y147/100*$V$147)+(Y148/100*$V$148)</f>
        <v>369.69614456981816</v>
      </c>
      <c r="Z150" s="272">
        <f t="shared" si="248"/>
        <v>369.69614456981816</v>
      </c>
      <c r="AA150" s="272">
        <f t="shared" si="248"/>
        <v>369.69614456981816</v>
      </c>
      <c r="AB150" s="272">
        <f t="shared" si="248"/>
        <v>369.69614456981816</v>
      </c>
      <c r="AC150" s="272">
        <f t="shared" si="248"/>
        <v>369.69614456981816</v>
      </c>
      <c r="AD150" s="272">
        <f t="shared" si="248"/>
        <v>369.69614456981816</v>
      </c>
      <c r="AE150" s="272">
        <f t="shared" si="248"/>
        <v>369.69614456981816</v>
      </c>
      <c r="AF150" s="272">
        <f t="shared" si="248"/>
        <v>369.69614456981816</v>
      </c>
      <c r="AG150" s="272">
        <f t="shared" si="248"/>
        <v>369.69614456981816</v>
      </c>
      <c r="AH150" s="272">
        <f t="shared" si="248"/>
        <v>369.69614456981816</v>
      </c>
      <c r="AI150" s="272">
        <f t="shared" si="248"/>
        <v>369.69614456981816</v>
      </c>
      <c r="AJ150" s="272">
        <f t="shared" si="248"/>
        <v>369.69614456981816</v>
      </c>
      <c r="AK150" s="272">
        <f t="shared" si="248"/>
        <v>369.69614456981816</v>
      </c>
      <c r="AL150" s="272">
        <f t="shared" si="248"/>
        <v>369.69614456981816</v>
      </c>
      <c r="AM150" s="272">
        <f t="shared" si="248"/>
        <v>369.69614456981816</v>
      </c>
      <c r="AN150" s="272">
        <f t="shared" si="248"/>
        <v>369.69614456981816</v>
      </c>
      <c r="AO150" s="272">
        <f t="shared" si="248"/>
        <v>369.69614456981816</v>
      </c>
      <c r="AP150" s="272">
        <f t="shared" si="248"/>
        <v>369.69614456981816</v>
      </c>
      <c r="AQ150" s="272">
        <f t="shared" si="248"/>
        <v>369.69614456981816</v>
      </c>
      <c r="AR150" s="272">
        <f t="shared" si="248"/>
        <v>369.69614456981816</v>
      </c>
      <c r="AS150" s="272">
        <f t="shared" si="248"/>
        <v>369.69614456981816</v>
      </c>
      <c r="AT150" s="272">
        <f t="shared" si="248"/>
        <v>369.69614456981816</v>
      </c>
      <c r="AU150" s="272">
        <f t="shared" si="248"/>
        <v>369.69614456981816</v>
      </c>
      <c r="AV150" s="272">
        <f t="shared" si="248"/>
        <v>369.69614456981816</v>
      </c>
      <c r="AW150" s="272">
        <f t="shared" si="248"/>
        <v>369.69614456981816</v>
      </c>
      <c r="AX150" s="272">
        <f t="shared" si="248"/>
        <v>369.69614456981816</v>
      </c>
      <c r="AY150" s="272">
        <f t="shared" si="248"/>
        <v>369.69614456981816</v>
      </c>
      <c r="AZ150" s="272">
        <f t="shared" si="248"/>
        <v>369.69614456981816</v>
      </c>
      <c r="BA150" s="324">
        <f t="shared" si="248"/>
        <v>369.69614456981816</v>
      </c>
    </row>
    <row r="151" spans="1:54" ht="20.100000000000001" customHeight="1" thickBot="1">
      <c r="A151" s="28"/>
      <c r="B151" s="1024"/>
      <c r="C151" s="1024"/>
      <c r="D151" s="1024"/>
      <c r="E151" s="1024"/>
      <c r="F151" s="1024">
        <v>4</v>
      </c>
      <c r="G151" s="1024">
        <v>9</v>
      </c>
      <c r="H151" s="1024"/>
      <c r="I151" s="649"/>
      <c r="J151" s="649"/>
      <c r="K151" s="649"/>
      <c r="L151" s="649"/>
      <c r="M151" s="649"/>
      <c r="N151" s="649"/>
      <c r="O151" s="662"/>
      <c r="P151" s="649"/>
      <c r="Q151" s="649"/>
      <c r="R151" s="1078"/>
      <c r="S151" s="470" t="s">
        <v>3007</v>
      </c>
      <c r="T151" s="782" t="s">
        <v>164</v>
      </c>
      <c r="U151" s="1165"/>
      <c r="V151" s="888"/>
      <c r="W151" s="888"/>
      <c r="X151" s="325">
        <f>(X140/100*$W$140)+(X141/100*$W$141)+(X142/100*$W$142)+(X143/100*$W$143)+(X144/100*$W$144)+(X145/100*$W$145)+(X146/100*$W$146)+(X147/100*$W$147)+(X148/100*$W$148)</f>
        <v>579.5116579531857</v>
      </c>
      <c r="Y151" s="325">
        <f t="shared" ref="Y151:BA151" si="249">(Y140/100*$W$140)+(Y141/100*$W$141)+(Y142/100*$W$142)+(Y143/100*$W$143)+(Y144/100*$W$144)+(Y145/100*$W$145)+(Y146/100*$W$146)+(Y147/100*$W$147)+(Y148/100*$W$148)</f>
        <v>579.52368608241761</v>
      </c>
      <c r="Z151" s="325">
        <f t="shared" si="249"/>
        <v>579.52368608241761</v>
      </c>
      <c r="AA151" s="325">
        <f t="shared" si="249"/>
        <v>579.52368608241761</v>
      </c>
      <c r="AB151" s="325">
        <f t="shared" si="249"/>
        <v>579.52368608241761</v>
      </c>
      <c r="AC151" s="325">
        <f t="shared" si="249"/>
        <v>579.52368608241761</v>
      </c>
      <c r="AD151" s="325">
        <f t="shared" si="249"/>
        <v>579.52368608241761</v>
      </c>
      <c r="AE151" s="325">
        <f t="shared" si="249"/>
        <v>579.52368608241761</v>
      </c>
      <c r="AF151" s="325">
        <f t="shared" si="249"/>
        <v>579.52368608241761</v>
      </c>
      <c r="AG151" s="325">
        <f t="shared" si="249"/>
        <v>579.52368608241761</v>
      </c>
      <c r="AH151" s="325">
        <f t="shared" si="249"/>
        <v>579.52368608241761</v>
      </c>
      <c r="AI151" s="325">
        <f t="shared" si="249"/>
        <v>579.52368608241761</v>
      </c>
      <c r="AJ151" s="325">
        <f t="shared" si="249"/>
        <v>579.52368608241761</v>
      </c>
      <c r="AK151" s="325">
        <f t="shared" si="249"/>
        <v>579.52368608241761</v>
      </c>
      <c r="AL151" s="325">
        <f t="shared" si="249"/>
        <v>579.52368608241761</v>
      </c>
      <c r="AM151" s="325">
        <f t="shared" si="249"/>
        <v>579.52368608241761</v>
      </c>
      <c r="AN151" s="325">
        <f t="shared" si="249"/>
        <v>579.52368608241761</v>
      </c>
      <c r="AO151" s="325">
        <f t="shared" si="249"/>
        <v>579.52368608241761</v>
      </c>
      <c r="AP151" s="325">
        <f t="shared" si="249"/>
        <v>579.52368608241761</v>
      </c>
      <c r="AQ151" s="325">
        <f t="shared" si="249"/>
        <v>579.52368608241761</v>
      </c>
      <c r="AR151" s="325">
        <f t="shared" si="249"/>
        <v>579.52368608241761</v>
      </c>
      <c r="AS151" s="325">
        <f t="shared" si="249"/>
        <v>579.52368608241761</v>
      </c>
      <c r="AT151" s="325">
        <f t="shared" si="249"/>
        <v>579.52368608241761</v>
      </c>
      <c r="AU151" s="325">
        <f t="shared" si="249"/>
        <v>579.52368608241761</v>
      </c>
      <c r="AV151" s="325">
        <f t="shared" si="249"/>
        <v>579.52368608241761</v>
      </c>
      <c r="AW151" s="325">
        <f t="shared" si="249"/>
        <v>579.52368608241761</v>
      </c>
      <c r="AX151" s="325">
        <f t="shared" si="249"/>
        <v>579.52368608241761</v>
      </c>
      <c r="AY151" s="325">
        <f t="shared" si="249"/>
        <v>579.52368608241761</v>
      </c>
      <c r="AZ151" s="325">
        <f t="shared" si="249"/>
        <v>579.52368608241761</v>
      </c>
      <c r="BA151" s="326">
        <f t="shared" si="249"/>
        <v>579.52368608241761</v>
      </c>
    </row>
    <row r="152" spans="1:54" ht="20.100000000000001" customHeight="1" thickBot="1">
      <c r="A152" s="28"/>
      <c r="B152" s="650" t="str">
        <f>IF(G151&lt;F151,"! end year has to be after start year!","")</f>
        <v/>
      </c>
      <c r="C152" s="650"/>
      <c r="D152" s="650"/>
      <c r="E152" s="650"/>
      <c r="F152" s="650"/>
      <c r="G152" s="650"/>
      <c r="H152" s="1024"/>
      <c r="I152" s="1024"/>
      <c r="J152" s="1024"/>
      <c r="K152" s="1024"/>
      <c r="L152" s="1024"/>
      <c r="M152" s="1024"/>
      <c r="N152" s="1024"/>
      <c r="O152" s="460"/>
      <c r="P152" s="1024"/>
      <c r="Q152" s="1024"/>
      <c r="R152" s="1078"/>
      <c r="S152" s="168"/>
      <c r="T152" s="168"/>
      <c r="U152" s="168"/>
      <c r="V152" s="168"/>
      <c r="W152" s="168"/>
      <c r="X152" s="1183"/>
      <c r="Y152" s="168"/>
      <c r="Z152" s="168"/>
      <c r="AA152" s="168"/>
      <c r="AB152" s="168"/>
      <c r="AC152" s="168"/>
      <c r="AD152" s="168"/>
      <c r="AE152" s="168"/>
      <c r="AF152" s="168"/>
      <c r="AG152" s="168"/>
      <c r="AH152" s="168"/>
      <c r="AI152" s="168"/>
      <c r="AJ152" s="168"/>
      <c r="AK152" s="168"/>
      <c r="AL152" s="168"/>
      <c r="AM152" s="168"/>
      <c r="AN152" s="168"/>
      <c r="AO152" s="168"/>
      <c r="AP152" s="168"/>
      <c r="AQ152" s="168"/>
      <c r="AR152" s="168"/>
      <c r="AS152" s="168"/>
      <c r="AT152" s="168"/>
      <c r="AU152" s="168"/>
      <c r="AV152" s="168"/>
      <c r="AW152" s="168"/>
      <c r="AX152" s="168"/>
      <c r="AY152" s="168"/>
      <c r="AZ152" s="168"/>
      <c r="BA152" s="168"/>
    </row>
    <row r="153" spans="1:54" ht="20.100000000000001" customHeight="1">
      <c r="A153" s="28"/>
      <c r="B153" s="650" t="str">
        <f>IF(F151&lt;START!$C$2,"Policy period starts before the starting year for the study","")</f>
        <v/>
      </c>
      <c r="C153" s="650"/>
      <c r="D153" s="650"/>
      <c r="E153" s="650"/>
      <c r="F153" s="650"/>
      <c r="G153" s="650"/>
      <c r="H153" s="1024"/>
      <c r="I153" s="1024"/>
      <c r="J153" s="1024"/>
      <c r="K153" s="1024"/>
      <c r="L153" s="1024"/>
      <c r="M153" s="1024"/>
      <c r="N153" s="1024"/>
      <c r="O153" s="460"/>
      <c r="P153" s="1024"/>
      <c r="Q153" s="1024"/>
      <c r="R153" s="1078"/>
      <c r="S153" s="468" t="s">
        <v>3008</v>
      </c>
      <c r="T153" s="287"/>
      <c r="U153" s="1142" t="s">
        <v>988</v>
      </c>
      <c r="V153" s="1142"/>
      <c r="W153" s="1142" t="s">
        <v>944</v>
      </c>
      <c r="X153" s="287"/>
      <c r="Y153" s="287"/>
      <c r="Z153" s="287"/>
      <c r="AA153" s="287"/>
      <c r="AB153" s="287"/>
      <c r="AC153" s="287"/>
      <c r="AD153" s="287"/>
      <c r="AE153" s="287"/>
      <c r="AF153" s="287"/>
      <c r="AG153" s="287"/>
      <c r="AH153" s="287"/>
      <c r="AI153" s="287"/>
      <c r="AJ153" s="287"/>
      <c r="AK153" s="287"/>
      <c r="AL153" s="287"/>
      <c r="AM153" s="287"/>
      <c r="AN153" s="287"/>
      <c r="AO153" s="287"/>
      <c r="AP153" s="287"/>
      <c r="AQ153" s="287"/>
      <c r="AR153" s="287"/>
      <c r="AS153" s="287"/>
      <c r="AT153" s="287"/>
      <c r="AU153" s="287"/>
      <c r="AV153" s="287"/>
      <c r="AW153" s="287"/>
      <c r="AX153" s="287"/>
      <c r="AY153" s="287"/>
      <c r="AZ153" s="287"/>
      <c r="BA153" s="895"/>
    </row>
    <row r="154" spans="1:54" ht="20.100000000000001" customHeight="1">
      <c r="A154" s="28"/>
      <c r="B154" s="650"/>
      <c r="C154" s="650"/>
      <c r="D154" s="650"/>
      <c r="E154" s="650"/>
      <c r="F154" s="650"/>
      <c r="G154" s="650"/>
      <c r="H154" s="1024"/>
      <c r="I154" s="1024"/>
      <c r="J154" s="1024"/>
      <c r="K154" s="1024"/>
      <c r="L154" s="1024"/>
      <c r="M154" s="1024"/>
      <c r="N154" s="1024"/>
      <c r="O154" s="460"/>
      <c r="P154" s="1024"/>
      <c r="Q154" s="1024"/>
      <c r="R154" s="1078"/>
      <c r="S154" s="241" t="s">
        <v>941</v>
      </c>
      <c r="T154" s="1362" t="s">
        <v>3061</v>
      </c>
      <c r="U154" s="777" t="s">
        <v>936</v>
      </c>
      <c r="V154" s="777" t="s">
        <v>937</v>
      </c>
      <c r="W154" s="777" t="s">
        <v>943</v>
      </c>
      <c r="X154" s="262">
        <v>2021</v>
      </c>
      <c r="Y154" s="262">
        <f>X154+1</f>
        <v>2022</v>
      </c>
      <c r="Z154" s="262">
        <f t="shared" ref="Z154" si="250">Y154+1</f>
        <v>2023</v>
      </c>
      <c r="AA154" s="262">
        <f t="shared" ref="AA154" si="251">Z154+1</f>
        <v>2024</v>
      </c>
      <c r="AB154" s="262">
        <f t="shared" ref="AB154" si="252">AA154+1</f>
        <v>2025</v>
      </c>
      <c r="AC154" s="262">
        <f t="shared" ref="AC154" si="253">AB154+1</f>
        <v>2026</v>
      </c>
      <c r="AD154" s="262">
        <f t="shared" ref="AD154" si="254">AC154+1</f>
        <v>2027</v>
      </c>
      <c r="AE154" s="262">
        <f t="shared" ref="AE154" si="255">AD154+1</f>
        <v>2028</v>
      </c>
      <c r="AF154" s="262">
        <f t="shared" ref="AF154" si="256">AE154+1</f>
        <v>2029</v>
      </c>
      <c r="AG154" s="262">
        <f t="shared" ref="AG154" si="257">AF154+1</f>
        <v>2030</v>
      </c>
      <c r="AH154" s="262">
        <f t="shared" ref="AH154" si="258">AG154+1</f>
        <v>2031</v>
      </c>
      <c r="AI154" s="262">
        <f t="shared" ref="AI154" si="259">AH154+1</f>
        <v>2032</v>
      </c>
      <c r="AJ154" s="262">
        <f t="shared" ref="AJ154" si="260">AI154+1</f>
        <v>2033</v>
      </c>
      <c r="AK154" s="262">
        <f t="shared" ref="AK154" si="261">AJ154+1</f>
        <v>2034</v>
      </c>
      <c r="AL154" s="262">
        <f t="shared" ref="AL154" si="262">AK154+1</f>
        <v>2035</v>
      </c>
      <c r="AM154" s="262">
        <f t="shared" ref="AM154" si="263">AL154+1</f>
        <v>2036</v>
      </c>
      <c r="AN154" s="262">
        <f t="shared" ref="AN154" si="264">AM154+1</f>
        <v>2037</v>
      </c>
      <c r="AO154" s="262">
        <f t="shared" ref="AO154" si="265">AN154+1</f>
        <v>2038</v>
      </c>
      <c r="AP154" s="262">
        <f t="shared" ref="AP154" si="266">AO154+1</f>
        <v>2039</v>
      </c>
      <c r="AQ154" s="262">
        <f t="shared" ref="AQ154" si="267">AP154+1</f>
        <v>2040</v>
      </c>
      <c r="AR154" s="262">
        <f t="shared" ref="AR154" si="268">AQ154+1</f>
        <v>2041</v>
      </c>
      <c r="AS154" s="262">
        <f t="shared" ref="AS154" si="269">AR154+1</f>
        <v>2042</v>
      </c>
      <c r="AT154" s="262">
        <f t="shared" ref="AT154" si="270">AS154+1</f>
        <v>2043</v>
      </c>
      <c r="AU154" s="262">
        <f t="shared" ref="AU154" si="271">AT154+1</f>
        <v>2044</v>
      </c>
      <c r="AV154" s="262">
        <f t="shared" ref="AV154" si="272">AU154+1</f>
        <v>2045</v>
      </c>
      <c r="AW154" s="262">
        <f t="shared" ref="AW154" si="273">AV154+1</f>
        <v>2046</v>
      </c>
      <c r="AX154" s="262">
        <f t="shared" ref="AX154" si="274">AW154+1</f>
        <v>2047</v>
      </c>
      <c r="AY154" s="262">
        <f t="shared" ref="AY154" si="275">AX154+1</f>
        <v>2048</v>
      </c>
      <c r="AZ154" s="262">
        <f t="shared" ref="AZ154" si="276">AY154+1</f>
        <v>2049</v>
      </c>
      <c r="BA154" s="492">
        <f t="shared" ref="BA154" si="277">AZ154+1</f>
        <v>2050</v>
      </c>
    </row>
    <row r="155" spans="1:54" ht="20.100000000000001" customHeight="1">
      <c r="A155" s="28"/>
      <c r="B155" s="1024"/>
      <c r="C155" s="1024"/>
      <c r="D155" s="1024"/>
      <c r="E155" s="1024"/>
      <c r="F155" s="1024"/>
      <c r="G155" s="1024"/>
      <c r="H155" s="1024"/>
      <c r="I155" s="1024"/>
      <c r="J155" s="1024"/>
      <c r="K155" s="1024"/>
      <c r="L155" s="1024"/>
      <c r="M155" s="1024"/>
      <c r="N155" s="1024"/>
      <c r="O155" s="460"/>
      <c r="P155" s="1024"/>
      <c r="Q155" s="1024"/>
      <c r="R155" s="1078"/>
      <c r="S155" s="241" t="s">
        <v>84</v>
      </c>
      <c r="T155" s="552" t="s">
        <v>2434</v>
      </c>
      <c r="U155" s="558">
        <f>INDEX('DEFAULT DATA'!$LE$9:$LI$41,START!$C$3,1)</f>
        <v>0</v>
      </c>
      <c r="V155" s="558">
        <f>100-U155</f>
        <v>100</v>
      </c>
      <c r="W155" s="282">
        <f>G8</f>
        <v>75</v>
      </c>
      <c r="X155" s="272">
        <f>($U155/100*X$150)+($V155/100*X$151)</f>
        <v>579.5116579531857</v>
      </c>
      <c r="Y155" s="272">
        <f>($U155/100*Y$150)+($V155/100*Y$151)</f>
        <v>579.52368608241761</v>
      </c>
      <c r="Z155" s="272">
        <f t="shared" ref="Z155:BA159" si="278">($U155/100*Z$150)+($V155/100*Z$151)</f>
        <v>579.52368608241761</v>
      </c>
      <c r="AA155" s="272">
        <f t="shared" si="278"/>
        <v>579.52368608241761</v>
      </c>
      <c r="AB155" s="272">
        <f t="shared" si="278"/>
        <v>579.52368608241761</v>
      </c>
      <c r="AC155" s="272">
        <f t="shared" si="278"/>
        <v>579.52368608241761</v>
      </c>
      <c r="AD155" s="272">
        <f t="shared" si="278"/>
        <v>579.52368608241761</v>
      </c>
      <c r="AE155" s="272">
        <f t="shared" si="278"/>
        <v>579.52368608241761</v>
      </c>
      <c r="AF155" s="272">
        <f t="shared" si="278"/>
        <v>579.52368608241761</v>
      </c>
      <c r="AG155" s="272">
        <f t="shared" si="278"/>
        <v>579.52368608241761</v>
      </c>
      <c r="AH155" s="272">
        <f t="shared" si="278"/>
        <v>579.52368608241761</v>
      </c>
      <c r="AI155" s="272">
        <f t="shared" si="278"/>
        <v>579.52368608241761</v>
      </c>
      <c r="AJ155" s="272">
        <f t="shared" si="278"/>
        <v>579.52368608241761</v>
      </c>
      <c r="AK155" s="272">
        <f t="shared" si="278"/>
        <v>579.52368608241761</v>
      </c>
      <c r="AL155" s="272">
        <f t="shared" si="278"/>
        <v>579.52368608241761</v>
      </c>
      <c r="AM155" s="272">
        <f t="shared" si="278"/>
        <v>579.52368608241761</v>
      </c>
      <c r="AN155" s="272">
        <f t="shared" si="278"/>
        <v>579.52368608241761</v>
      </c>
      <c r="AO155" s="272">
        <f t="shared" si="278"/>
        <v>579.52368608241761</v>
      </c>
      <c r="AP155" s="272">
        <f t="shared" si="278"/>
        <v>579.52368608241761</v>
      </c>
      <c r="AQ155" s="272">
        <f t="shared" si="278"/>
        <v>579.52368608241761</v>
      </c>
      <c r="AR155" s="272">
        <f t="shared" si="278"/>
        <v>579.52368608241761</v>
      </c>
      <c r="AS155" s="272">
        <f t="shared" si="278"/>
        <v>579.52368608241761</v>
      </c>
      <c r="AT155" s="272">
        <f t="shared" si="278"/>
        <v>579.52368608241761</v>
      </c>
      <c r="AU155" s="272">
        <f t="shared" si="278"/>
        <v>579.52368608241761</v>
      </c>
      <c r="AV155" s="272">
        <f t="shared" si="278"/>
        <v>579.52368608241761</v>
      </c>
      <c r="AW155" s="272">
        <f t="shared" si="278"/>
        <v>579.52368608241761</v>
      </c>
      <c r="AX155" s="272">
        <f t="shared" si="278"/>
        <v>579.52368608241761</v>
      </c>
      <c r="AY155" s="272">
        <f t="shared" si="278"/>
        <v>579.52368608241761</v>
      </c>
      <c r="AZ155" s="272">
        <f t="shared" si="278"/>
        <v>579.52368608241761</v>
      </c>
      <c r="BA155" s="324">
        <f t="shared" si="278"/>
        <v>579.52368608241761</v>
      </c>
    </row>
    <row r="156" spans="1:54" ht="20.100000000000001" customHeight="1">
      <c r="A156" s="28"/>
      <c r="B156" s="650"/>
      <c r="C156" s="650"/>
      <c r="D156" s="650"/>
      <c r="E156" s="650"/>
      <c r="F156" s="1420" t="s">
        <v>185</v>
      </c>
      <c r="G156" s="650"/>
      <c r="H156" s="1024"/>
      <c r="I156" s="1024"/>
      <c r="J156" s="1024"/>
      <c r="K156" s="1024"/>
      <c r="L156" s="1024"/>
      <c r="M156" s="1024"/>
      <c r="N156" s="1024"/>
      <c r="O156" s="460"/>
      <c r="P156" s="1024"/>
      <c r="Q156" s="1024"/>
      <c r="R156" s="1078"/>
      <c r="S156" s="241" t="s">
        <v>85</v>
      </c>
      <c r="T156" s="552" t="s">
        <v>2434</v>
      </c>
      <c r="U156" s="558">
        <f>INDEX('DEFAULT DATA'!$LE$9:$LI$41,START!$C$3,2)</f>
        <v>10</v>
      </c>
      <c r="V156" s="558">
        <f t="shared" ref="V156:V159" si="279">100-U156</f>
        <v>90</v>
      </c>
      <c r="W156" s="282">
        <f t="shared" ref="W156:W159" si="280">G9</f>
        <v>25</v>
      </c>
      <c r="X156" s="272">
        <f t="shared" ref="X156:AM159" si="281">($U156/100*X$150)+($V156/100*X$151)</f>
        <v>558.52933930315658</v>
      </c>
      <c r="Y156" s="272">
        <f t="shared" si="281"/>
        <v>558.54093193115773</v>
      </c>
      <c r="Z156" s="272">
        <f t="shared" si="281"/>
        <v>558.54093193115773</v>
      </c>
      <c r="AA156" s="272">
        <f t="shared" si="281"/>
        <v>558.54093193115773</v>
      </c>
      <c r="AB156" s="272">
        <f t="shared" si="281"/>
        <v>558.54093193115773</v>
      </c>
      <c r="AC156" s="272">
        <f t="shared" si="281"/>
        <v>558.54093193115773</v>
      </c>
      <c r="AD156" s="272">
        <f t="shared" si="281"/>
        <v>558.54093193115773</v>
      </c>
      <c r="AE156" s="272">
        <f t="shared" si="281"/>
        <v>558.54093193115773</v>
      </c>
      <c r="AF156" s="272">
        <f t="shared" si="281"/>
        <v>558.54093193115773</v>
      </c>
      <c r="AG156" s="272">
        <f t="shared" si="281"/>
        <v>558.54093193115773</v>
      </c>
      <c r="AH156" s="272">
        <f t="shared" si="281"/>
        <v>558.54093193115773</v>
      </c>
      <c r="AI156" s="272">
        <f t="shared" si="281"/>
        <v>558.54093193115773</v>
      </c>
      <c r="AJ156" s="272">
        <f t="shared" si="281"/>
        <v>558.54093193115773</v>
      </c>
      <c r="AK156" s="272">
        <f t="shared" si="281"/>
        <v>558.54093193115773</v>
      </c>
      <c r="AL156" s="272">
        <f t="shared" si="281"/>
        <v>558.54093193115773</v>
      </c>
      <c r="AM156" s="272">
        <f t="shared" si="281"/>
        <v>558.54093193115773</v>
      </c>
      <c r="AN156" s="272">
        <f t="shared" si="278"/>
        <v>558.54093193115773</v>
      </c>
      <c r="AO156" s="272">
        <f t="shared" si="278"/>
        <v>558.54093193115773</v>
      </c>
      <c r="AP156" s="272">
        <f t="shared" si="278"/>
        <v>558.54093193115773</v>
      </c>
      <c r="AQ156" s="272">
        <f t="shared" si="278"/>
        <v>558.54093193115773</v>
      </c>
      <c r="AR156" s="272">
        <f t="shared" si="278"/>
        <v>558.54093193115773</v>
      </c>
      <c r="AS156" s="272">
        <f t="shared" si="278"/>
        <v>558.54093193115773</v>
      </c>
      <c r="AT156" s="272">
        <f t="shared" si="278"/>
        <v>558.54093193115773</v>
      </c>
      <c r="AU156" s="272">
        <f t="shared" si="278"/>
        <v>558.54093193115773</v>
      </c>
      <c r="AV156" s="272">
        <f t="shared" si="278"/>
        <v>558.54093193115773</v>
      </c>
      <c r="AW156" s="272">
        <f t="shared" si="278"/>
        <v>558.54093193115773</v>
      </c>
      <c r="AX156" s="272">
        <f t="shared" si="278"/>
        <v>558.54093193115773</v>
      </c>
      <c r="AY156" s="272">
        <f t="shared" si="278"/>
        <v>558.54093193115773</v>
      </c>
      <c r="AZ156" s="272">
        <f t="shared" si="278"/>
        <v>558.54093193115773</v>
      </c>
      <c r="BA156" s="324">
        <f t="shared" si="278"/>
        <v>558.54093193115773</v>
      </c>
    </row>
    <row r="157" spans="1:54" ht="20.100000000000001" customHeight="1">
      <c r="A157" s="1132"/>
      <c r="B157" s="641" t="s">
        <v>187</v>
      </c>
      <c r="C157" s="274"/>
      <c r="D157" s="274"/>
      <c r="E157" s="274"/>
      <c r="F157" s="1425"/>
      <c r="G157" s="408"/>
      <c r="H157" s="429"/>
      <c r="I157" s="429"/>
      <c r="J157" s="429"/>
      <c r="K157" s="429"/>
      <c r="L157" s="429"/>
      <c r="M157" s="429"/>
      <c r="N157" s="429"/>
      <c r="O157" s="639"/>
      <c r="P157" s="1024"/>
      <c r="Q157" s="1024"/>
      <c r="R157" s="1078"/>
      <c r="S157" s="241" t="s">
        <v>86</v>
      </c>
      <c r="T157" s="552" t="s">
        <v>2434</v>
      </c>
      <c r="U157" s="558">
        <f>INDEX('DEFAULT DATA'!$LE$9:$LI$41,START!$C$3,3)</f>
        <v>20</v>
      </c>
      <c r="V157" s="558">
        <f t="shared" si="279"/>
        <v>80</v>
      </c>
      <c r="W157" s="282">
        <f t="shared" si="280"/>
        <v>0</v>
      </c>
      <c r="X157" s="272">
        <f t="shared" si="281"/>
        <v>537.54702065312745</v>
      </c>
      <c r="Y157" s="272">
        <f t="shared" si="281"/>
        <v>537.55817777989773</v>
      </c>
      <c r="Z157" s="272">
        <f t="shared" si="278"/>
        <v>537.55817777989773</v>
      </c>
      <c r="AA157" s="272">
        <f t="shared" si="278"/>
        <v>537.55817777989773</v>
      </c>
      <c r="AB157" s="272">
        <f t="shared" si="278"/>
        <v>537.55817777989773</v>
      </c>
      <c r="AC157" s="272">
        <f t="shared" si="278"/>
        <v>537.55817777989773</v>
      </c>
      <c r="AD157" s="272">
        <f t="shared" si="278"/>
        <v>537.55817777989773</v>
      </c>
      <c r="AE157" s="272">
        <f t="shared" si="278"/>
        <v>537.55817777989773</v>
      </c>
      <c r="AF157" s="272">
        <f t="shared" si="278"/>
        <v>537.55817777989773</v>
      </c>
      <c r="AG157" s="272">
        <f t="shared" si="278"/>
        <v>537.55817777989773</v>
      </c>
      <c r="AH157" s="272">
        <f t="shared" si="278"/>
        <v>537.55817777989773</v>
      </c>
      <c r="AI157" s="272">
        <f t="shared" si="278"/>
        <v>537.55817777989773</v>
      </c>
      <c r="AJ157" s="272">
        <f t="shared" si="278"/>
        <v>537.55817777989773</v>
      </c>
      <c r="AK157" s="272">
        <f t="shared" si="278"/>
        <v>537.55817777989773</v>
      </c>
      <c r="AL157" s="272">
        <f t="shared" si="278"/>
        <v>537.55817777989773</v>
      </c>
      <c r="AM157" s="272">
        <f t="shared" si="278"/>
        <v>537.55817777989773</v>
      </c>
      <c r="AN157" s="272">
        <f t="shared" si="278"/>
        <v>537.55817777989773</v>
      </c>
      <c r="AO157" s="272">
        <f t="shared" si="278"/>
        <v>537.55817777989773</v>
      </c>
      <c r="AP157" s="272">
        <f t="shared" si="278"/>
        <v>537.55817777989773</v>
      </c>
      <c r="AQ157" s="272">
        <f t="shared" si="278"/>
        <v>537.55817777989773</v>
      </c>
      <c r="AR157" s="272">
        <f t="shared" si="278"/>
        <v>537.55817777989773</v>
      </c>
      <c r="AS157" s="272">
        <f t="shared" si="278"/>
        <v>537.55817777989773</v>
      </c>
      <c r="AT157" s="272">
        <f t="shared" si="278"/>
        <v>537.55817777989773</v>
      </c>
      <c r="AU157" s="272">
        <f t="shared" si="278"/>
        <v>537.55817777989773</v>
      </c>
      <c r="AV157" s="272">
        <f t="shared" si="278"/>
        <v>537.55817777989773</v>
      </c>
      <c r="AW157" s="272">
        <f t="shared" si="278"/>
        <v>537.55817777989773</v>
      </c>
      <c r="AX157" s="272">
        <f t="shared" si="278"/>
        <v>537.55817777989773</v>
      </c>
      <c r="AY157" s="272">
        <f t="shared" si="278"/>
        <v>537.55817777989773</v>
      </c>
      <c r="AZ157" s="272">
        <f t="shared" si="278"/>
        <v>537.55817777989773</v>
      </c>
      <c r="BA157" s="324">
        <f t="shared" si="278"/>
        <v>537.55817777989773</v>
      </c>
    </row>
    <row r="158" spans="1:54" ht="20.100000000000001" customHeight="1">
      <c r="A158" s="28"/>
      <c r="B158" s="259" t="s">
        <v>186</v>
      </c>
      <c r="C158" s="557"/>
      <c r="D158" s="557"/>
      <c r="E158" s="557"/>
      <c r="F158" s="651">
        <v>0</v>
      </c>
      <c r="G158" s="652"/>
      <c r="H158" s="1024"/>
      <c r="I158" s="1024"/>
      <c r="J158" s="1024"/>
      <c r="K158" s="1024"/>
      <c r="L158" s="1024"/>
      <c r="M158" s="1024"/>
      <c r="N158" s="1024"/>
      <c r="O158" s="460"/>
      <c r="P158" s="1024"/>
      <c r="Q158" s="1024"/>
      <c r="R158" s="1078"/>
      <c r="S158" s="241" t="s">
        <v>87</v>
      </c>
      <c r="T158" s="552" t="s">
        <v>2434</v>
      </c>
      <c r="U158" s="558">
        <f>INDEX('DEFAULT DATA'!$LE$9:$LI$41,START!$C$3,4)</f>
        <v>70</v>
      </c>
      <c r="V158" s="558">
        <f t="shared" si="279"/>
        <v>30</v>
      </c>
      <c r="W158" s="282">
        <f t="shared" si="280"/>
        <v>0</v>
      </c>
      <c r="X158" s="272">
        <f t="shared" si="281"/>
        <v>432.63542740298169</v>
      </c>
      <c r="Y158" s="272">
        <f t="shared" si="281"/>
        <v>432.64440702359798</v>
      </c>
      <c r="Z158" s="272">
        <f t="shared" si="278"/>
        <v>432.64440702359798</v>
      </c>
      <c r="AA158" s="272">
        <f t="shared" si="278"/>
        <v>432.64440702359798</v>
      </c>
      <c r="AB158" s="272">
        <f t="shared" si="278"/>
        <v>432.64440702359798</v>
      </c>
      <c r="AC158" s="272">
        <f t="shared" si="278"/>
        <v>432.64440702359798</v>
      </c>
      <c r="AD158" s="272">
        <f t="shared" si="278"/>
        <v>432.64440702359798</v>
      </c>
      <c r="AE158" s="272">
        <f t="shared" si="278"/>
        <v>432.64440702359798</v>
      </c>
      <c r="AF158" s="272">
        <f t="shared" si="278"/>
        <v>432.64440702359798</v>
      </c>
      <c r="AG158" s="272">
        <f t="shared" si="278"/>
        <v>432.64440702359798</v>
      </c>
      <c r="AH158" s="272">
        <f t="shared" si="278"/>
        <v>432.64440702359798</v>
      </c>
      <c r="AI158" s="272">
        <f t="shared" si="278"/>
        <v>432.64440702359798</v>
      </c>
      <c r="AJ158" s="272">
        <f t="shared" si="278"/>
        <v>432.64440702359798</v>
      </c>
      <c r="AK158" s="272">
        <f t="shared" si="278"/>
        <v>432.64440702359798</v>
      </c>
      <c r="AL158" s="272">
        <f t="shared" si="278"/>
        <v>432.64440702359798</v>
      </c>
      <c r="AM158" s="272">
        <f t="shared" si="278"/>
        <v>432.64440702359798</v>
      </c>
      <c r="AN158" s="272">
        <f t="shared" si="278"/>
        <v>432.64440702359798</v>
      </c>
      <c r="AO158" s="272">
        <f t="shared" si="278"/>
        <v>432.64440702359798</v>
      </c>
      <c r="AP158" s="272">
        <f t="shared" si="278"/>
        <v>432.64440702359798</v>
      </c>
      <c r="AQ158" s="272">
        <f t="shared" si="278"/>
        <v>432.64440702359798</v>
      </c>
      <c r="AR158" s="272">
        <f t="shared" si="278"/>
        <v>432.64440702359798</v>
      </c>
      <c r="AS158" s="272">
        <f t="shared" si="278"/>
        <v>432.64440702359798</v>
      </c>
      <c r="AT158" s="272">
        <f t="shared" si="278"/>
        <v>432.64440702359798</v>
      </c>
      <c r="AU158" s="272">
        <f t="shared" si="278"/>
        <v>432.64440702359798</v>
      </c>
      <c r="AV158" s="272">
        <f t="shared" si="278"/>
        <v>432.64440702359798</v>
      </c>
      <c r="AW158" s="272">
        <f t="shared" si="278"/>
        <v>432.64440702359798</v>
      </c>
      <c r="AX158" s="272">
        <f t="shared" si="278"/>
        <v>432.64440702359798</v>
      </c>
      <c r="AY158" s="272">
        <f t="shared" si="278"/>
        <v>432.64440702359798</v>
      </c>
      <c r="AZ158" s="272">
        <f t="shared" si="278"/>
        <v>432.64440702359798</v>
      </c>
      <c r="BA158" s="324">
        <f t="shared" si="278"/>
        <v>432.64440702359798</v>
      </c>
    </row>
    <row r="159" spans="1:54" ht="20.100000000000001" customHeight="1">
      <c r="A159" s="28"/>
      <c r="B159" s="259" t="s">
        <v>165</v>
      </c>
      <c r="C159" s="557"/>
      <c r="D159" s="557"/>
      <c r="E159" s="557"/>
      <c r="F159" s="1296" t="s">
        <v>153</v>
      </c>
      <c r="G159" s="1296" t="s">
        <v>154</v>
      </c>
      <c r="H159" s="1024"/>
      <c r="I159" s="1024"/>
      <c r="J159" s="1024"/>
      <c r="K159" s="1024"/>
      <c r="L159" s="1024"/>
      <c r="M159" s="1024"/>
      <c r="N159" s="1024"/>
      <c r="O159" s="460"/>
      <c r="P159" s="1024"/>
      <c r="Q159" s="1024"/>
      <c r="R159" s="1078"/>
      <c r="S159" s="241" t="s">
        <v>88</v>
      </c>
      <c r="T159" s="552" t="s">
        <v>2434</v>
      </c>
      <c r="U159" s="558">
        <f>INDEX('DEFAULT DATA'!$LE$9:$LI$41,START!$C$3,5)</f>
        <v>100</v>
      </c>
      <c r="V159" s="558">
        <f t="shared" si="279"/>
        <v>0</v>
      </c>
      <c r="W159" s="282">
        <f t="shared" si="280"/>
        <v>0</v>
      </c>
      <c r="X159" s="272">
        <f t="shared" si="281"/>
        <v>369.68847145289431</v>
      </c>
      <c r="Y159" s="272">
        <f t="shared" si="281"/>
        <v>369.69614456981816</v>
      </c>
      <c r="Z159" s="272">
        <f t="shared" si="278"/>
        <v>369.69614456981816</v>
      </c>
      <c r="AA159" s="272">
        <f t="shared" si="278"/>
        <v>369.69614456981816</v>
      </c>
      <c r="AB159" s="272">
        <f t="shared" si="278"/>
        <v>369.69614456981816</v>
      </c>
      <c r="AC159" s="272">
        <f t="shared" si="278"/>
        <v>369.69614456981816</v>
      </c>
      <c r="AD159" s="272">
        <f t="shared" si="278"/>
        <v>369.69614456981816</v>
      </c>
      <c r="AE159" s="272">
        <f t="shared" si="278"/>
        <v>369.69614456981816</v>
      </c>
      <c r="AF159" s="272">
        <f t="shared" si="278"/>
        <v>369.69614456981816</v>
      </c>
      <c r="AG159" s="272">
        <f t="shared" si="278"/>
        <v>369.69614456981816</v>
      </c>
      <c r="AH159" s="272">
        <f t="shared" si="278"/>
        <v>369.69614456981816</v>
      </c>
      <c r="AI159" s="272">
        <f t="shared" si="278"/>
        <v>369.69614456981816</v>
      </c>
      <c r="AJ159" s="272">
        <f t="shared" si="278"/>
        <v>369.69614456981816</v>
      </c>
      <c r="AK159" s="272">
        <f t="shared" si="278"/>
        <v>369.69614456981816</v>
      </c>
      <c r="AL159" s="272">
        <f t="shared" si="278"/>
        <v>369.69614456981816</v>
      </c>
      <c r="AM159" s="272">
        <f t="shared" si="278"/>
        <v>369.69614456981816</v>
      </c>
      <c r="AN159" s="272">
        <f t="shared" si="278"/>
        <v>369.69614456981816</v>
      </c>
      <c r="AO159" s="272">
        <f t="shared" si="278"/>
        <v>369.69614456981816</v>
      </c>
      <c r="AP159" s="272">
        <f t="shared" si="278"/>
        <v>369.69614456981816</v>
      </c>
      <c r="AQ159" s="272">
        <f t="shared" si="278"/>
        <v>369.69614456981816</v>
      </c>
      <c r="AR159" s="272">
        <f t="shared" si="278"/>
        <v>369.69614456981816</v>
      </c>
      <c r="AS159" s="272">
        <f t="shared" si="278"/>
        <v>369.69614456981816</v>
      </c>
      <c r="AT159" s="272">
        <f t="shared" si="278"/>
        <v>369.69614456981816</v>
      </c>
      <c r="AU159" s="272">
        <f t="shared" si="278"/>
        <v>369.69614456981816</v>
      </c>
      <c r="AV159" s="272">
        <f t="shared" si="278"/>
        <v>369.69614456981816</v>
      </c>
      <c r="AW159" s="272">
        <f t="shared" si="278"/>
        <v>369.69614456981816</v>
      </c>
      <c r="AX159" s="272">
        <f t="shared" si="278"/>
        <v>369.69614456981816</v>
      </c>
      <c r="AY159" s="272">
        <f t="shared" si="278"/>
        <v>369.69614456981816</v>
      </c>
      <c r="AZ159" s="272">
        <f t="shared" si="278"/>
        <v>369.69614456981816</v>
      </c>
      <c r="BA159" s="324">
        <f t="shared" si="278"/>
        <v>369.69614456981816</v>
      </c>
    </row>
    <row r="160" spans="1:54" ht="20.100000000000001" customHeight="1" thickBot="1">
      <c r="A160" s="28"/>
      <c r="B160" s="1024"/>
      <c r="C160" s="1024"/>
      <c r="D160" s="1024"/>
      <c r="E160" s="1024"/>
      <c r="F160" s="1024">
        <v>6</v>
      </c>
      <c r="G160" s="1024">
        <v>9</v>
      </c>
      <c r="H160" s="1024"/>
      <c r="I160" s="1024"/>
      <c r="J160" s="1024"/>
      <c r="K160" s="1024"/>
      <c r="L160" s="1024"/>
      <c r="M160" s="1024"/>
      <c r="N160" s="1024"/>
      <c r="O160" s="460"/>
      <c r="P160" s="1024"/>
      <c r="Q160" s="1024"/>
      <c r="R160" s="1078"/>
      <c r="S160" s="470" t="s">
        <v>3009</v>
      </c>
      <c r="T160" s="782" t="s">
        <v>164</v>
      </c>
      <c r="U160" s="288"/>
      <c r="V160" s="288"/>
      <c r="W160" s="320" t="s">
        <v>1202</v>
      </c>
      <c r="X160" s="325">
        <f>($W$155/100*X155)+($W$156/100*X156)+($W$157/100*X157)+($W$158/100*X158)+($W$159/100*X159)</f>
        <v>574.26607829067848</v>
      </c>
      <c r="Y160" s="325">
        <f>($W$155/100*Y155)+($W$156/100*Y156)+($W$157/100*Y157)+($W$158/100*Y158)+($W$159/100*Y159)</f>
        <v>574.27799754460261</v>
      </c>
      <c r="Z160" s="325">
        <f t="shared" ref="Z160:BA160" si="282">($W$155/100*Z155)+($W$156/100*Z156)+($W$157/100*Z157)+($W$158/100*Z158)+($W$159/100*Z159)</f>
        <v>574.27799754460261</v>
      </c>
      <c r="AA160" s="325">
        <f t="shared" si="282"/>
        <v>574.27799754460261</v>
      </c>
      <c r="AB160" s="325">
        <f t="shared" si="282"/>
        <v>574.27799754460261</v>
      </c>
      <c r="AC160" s="325">
        <f t="shared" si="282"/>
        <v>574.27799754460261</v>
      </c>
      <c r="AD160" s="325">
        <f t="shared" si="282"/>
        <v>574.27799754460261</v>
      </c>
      <c r="AE160" s="325">
        <f t="shared" si="282"/>
        <v>574.27799754460261</v>
      </c>
      <c r="AF160" s="325">
        <f t="shared" si="282"/>
        <v>574.27799754460261</v>
      </c>
      <c r="AG160" s="325">
        <f t="shared" si="282"/>
        <v>574.27799754460261</v>
      </c>
      <c r="AH160" s="325">
        <f t="shared" si="282"/>
        <v>574.27799754460261</v>
      </c>
      <c r="AI160" s="325">
        <f t="shared" si="282"/>
        <v>574.27799754460261</v>
      </c>
      <c r="AJ160" s="325">
        <f t="shared" si="282"/>
        <v>574.27799754460261</v>
      </c>
      <c r="AK160" s="325">
        <f t="shared" si="282"/>
        <v>574.27799754460261</v>
      </c>
      <c r="AL160" s="325">
        <f t="shared" si="282"/>
        <v>574.27799754460261</v>
      </c>
      <c r="AM160" s="325">
        <f t="shared" si="282"/>
        <v>574.27799754460261</v>
      </c>
      <c r="AN160" s="325">
        <f t="shared" si="282"/>
        <v>574.27799754460261</v>
      </c>
      <c r="AO160" s="325">
        <f t="shared" si="282"/>
        <v>574.27799754460261</v>
      </c>
      <c r="AP160" s="325">
        <f t="shared" si="282"/>
        <v>574.27799754460261</v>
      </c>
      <c r="AQ160" s="325">
        <f t="shared" si="282"/>
        <v>574.27799754460261</v>
      </c>
      <c r="AR160" s="325">
        <f t="shared" si="282"/>
        <v>574.27799754460261</v>
      </c>
      <c r="AS160" s="325">
        <f t="shared" si="282"/>
        <v>574.27799754460261</v>
      </c>
      <c r="AT160" s="325">
        <f t="shared" si="282"/>
        <v>574.27799754460261</v>
      </c>
      <c r="AU160" s="325">
        <f t="shared" si="282"/>
        <v>574.27799754460261</v>
      </c>
      <c r="AV160" s="325">
        <f t="shared" si="282"/>
        <v>574.27799754460261</v>
      </c>
      <c r="AW160" s="325">
        <f t="shared" si="282"/>
        <v>574.27799754460261</v>
      </c>
      <c r="AX160" s="325">
        <f t="shared" si="282"/>
        <v>574.27799754460261</v>
      </c>
      <c r="AY160" s="325">
        <f t="shared" si="282"/>
        <v>574.27799754460261</v>
      </c>
      <c r="AZ160" s="325">
        <f t="shared" si="282"/>
        <v>574.27799754460261</v>
      </c>
      <c r="BA160" s="326">
        <f t="shared" si="282"/>
        <v>574.27799754460261</v>
      </c>
    </row>
    <row r="161" spans="1:54" ht="20.100000000000001" customHeight="1" thickBot="1">
      <c r="A161" s="28"/>
      <c r="B161" s="1118" t="str">
        <f>IF(G160&lt;F160,"! end year has to be after start year!","")</f>
        <v/>
      </c>
      <c r="C161" s="1118"/>
      <c r="D161" s="1118"/>
      <c r="E161" s="1118"/>
      <c r="F161" s="650"/>
      <c r="G161" s="650"/>
      <c r="H161" s="1024"/>
      <c r="I161" s="1024"/>
      <c r="J161" s="1024"/>
      <c r="K161" s="1024"/>
      <c r="L161" s="1024"/>
      <c r="M161" s="1024"/>
      <c r="N161" s="1024"/>
      <c r="O161" s="460"/>
      <c r="P161" s="1024"/>
      <c r="Q161" s="1024"/>
      <c r="R161" s="1078"/>
    </row>
    <row r="162" spans="1:54" ht="20.100000000000001" customHeight="1">
      <c r="A162" s="28"/>
      <c r="B162" s="650" t="str">
        <f>IF(F160&lt;START!$C$2,"Policy period starts before the starting year for the study","")</f>
        <v/>
      </c>
      <c r="C162" s="650"/>
      <c r="D162" s="650"/>
      <c r="E162" s="650"/>
      <c r="F162" s="1024"/>
      <c r="G162" s="1024"/>
      <c r="H162" s="1024"/>
      <c r="I162" s="1024"/>
      <c r="J162" s="1024"/>
      <c r="K162" s="1024"/>
      <c r="L162" s="1024"/>
      <c r="M162" s="1024"/>
      <c r="N162" s="1024"/>
      <c r="O162" s="460"/>
      <c r="P162" s="1024"/>
      <c r="Q162" s="1024"/>
      <c r="R162" s="1078"/>
      <c r="S162" s="468" t="s">
        <v>976</v>
      </c>
      <c r="T162" s="1135" t="s">
        <v>1200</v>
      </c>
      <c r="U162" s="1136"/>
      <c r="V162" s="1142">
        <v>2019</v>
      </c>
      <c r="W162" s="1142">
        <v>2020</v>
      </c>
      <c r="X162" s="1142">
        <v>2021</v>
      </c>
      <c r="Y162" s="1142">
        <f>X162+1</f>
        <v>2022</v>
      </c>
      <c r="Z162" s="1142">
        <f t="shared" ref="Z162" si="283">Y162+1</f>
        <v>2023</v>
      </c>
      <c r="AA162" s="1142">
        <f t="shared" ref="AA162" si="284">Z162+1</f>
        <v>2024</v>
      </c>
      <c r="AB162" s="1142">
        <f t="shared" ref="AB162" si="285">AA162+1</f>
        <v>2025</v>
      </c>
      <c r="AC162" s="1142">
        <f t="shared" ref="AC162" si="286">AB162+1</f>
        <v>2026</v>
      </c>
      <c r="AD162" s="1142">
        <f t="shared" ref="AD162" si="287">AC162+1</f>
        <v>2027</v>
      </c>
      <c r="AE162" s="1142">
        <f t="shared" ref="AE162" si="288">AD162+1</f>
        <v>2028</v>
      </c>
      <c r="AF162" s="1142">
        <f t="shared" ref="AF162" si="289">AE162+1</f>
        <v>2029</v>
      </c>
      <c r="AG162" s="1142">
        <f t="shared" ref="AG162" si="290">AF162+1</f>
        <v>2030</v>
      </c>
      <c r="AH162" s="1142">
        <f t="shared" ref="AH162" si="291">AG162+1</f>
        <v>2031</v>
      </c>
      <c r="AI162" s="1142">
        <f t="shared" ref="AI162" si="292">AH162+1</f>
        <v>2032</v>
      </c>
      <c r="AJ162" s="1142">
        <f t="shared" ref="AJ162" si="293">AI162+1</f>
        <v>2033</v>
      </c>
      <c r="AK162" s="1142">
        <f t="shared" ref="AK162" si="294">AJ162+1</f>
        <v>2034</v>
      </c>
      <c r="AL162" s="1142">
        <f t="shared" ref="AL162" si="295">AK162+1</f>
        <v>2035</v>
      </c>
      <c r="AM162" s="1142">
        <f t="shared" ref="AM162" si="296">AL162+1</f>
        <v>2036</v>
      </c>
      <c r="AN162" s="1142">
        <f t="shared" ref="AN162" si="297">AM162+1</f>
        <v>2037</v>
      </c>
      <c r="AO162" s="1142">
        <f t="shared" ref="AO162" si="298">AN162+1</f>
        <v>2038</v>
      </c>
      <c r="AP162" s="1142">
        <f t="shared" ref="AP162" si="299">AO162+1</f>
        <v>2039</v>
      </c>
      <c r="AQ162" s="1142">
        <f t="shared" ref="AQ162" si="300">AP162+1</f>
        <v>2040</v>
      </c>
      <c r="AR162" s="1142">
        <f t="shared" ref="AR162" si="301">AQ162+1</f>
        <v>2041</v>
      </c>
      <c r="AS162" s="1142">
        <f t="shared" ref="AS162" si="302">AR162+1</f>
        <v>2042</v>
      </c>
      <c r="AT162" s="1142">
        <f t="shared" ref="AT162" si="303">AS162+1</f>
        <v>2043</v>
      </c>
      <c r="AU162" s="1142">
        <f t="shared" ref="AU162" si="304">AT162+1</f>
        <v>2044</v>
      </c>
      <c r="AV162" s="1142">
        <f t="shared" ref="AV162" si="305">AU162+1</f>
        <v>2045</v>
      </c>
      <c r="AW162" s="1142">
        <f t="shared" ref="AW162" si="306">AV162+1</f>
        <v>2046</v>
      </c>
      <c r="AX162" s="1142">
        <f t="shared" ref="AX162" si="307">AW162+1</f>
        <v>2047</v>
      </c>
      <c r="AY162" s="1142">
        <f t="shared" ref="AY162" si="308">AX162+1</f>
        <v>2048</v>
      </c>
      <c r="AZ162" s="1142">
        <f t="shared" ref="AZ162" si="309">AY162+1</f>
        <v>2049</v>
      </c>
      <c r="BA162" s="318">
        <f t="shared" ref="BA162" si="310">AZ162+1</f>
        <v>2050</v>
      </c>
    </row>
    <row r="163" spans="1:54" ht="20.100000000000001" customHeight="1" thickBot="1">
      <c r="A163" s="28"/>
      <c r="B163" s="650" t="str">
        <f>IF(F151&lt;START!C2,"!  New residents moving in before starting year for the study","")</f>
        <v/>
      </c>
      <c r="C163" s="650"/>
      <c r="D163" s="650"/>
      <c r="E163" s="650"/>
      <c r="F163" s="650"/>
      <c r="G163" s="650"/>
      <c r="H163" s="1024"/>
      <c r="I163" s="1024"/>
      <c r="J163" s="1024"/>
      <c r="K163" s="1024"/>
      <c r="L163" s="1024"/>
      <c r="M163" s="1024"/>
      <c r="N163" s="1024"/>
      <c r="O163" s="460"/>
      <c r="P163" s="1024"/>
      <c r="Q163" s="1024"/>
      <c r="R163" s="1078"/>
      <c r="S163" s="470" t="s">
        <v>2698</v>
      </c>
      <c r="T163" s="782" t="s">
        <v>2727</v>
      </c>
      <c r="U163" s="288" t="s">
        <v>1204</v>
      </c>
      <c r="V163" s="288"/>
      <c r="W163" s="288"/>
      <c r="X163" s="362">
        <f t="shared" ref="X163:BA163" si="311">X136*X160/1000</f>
        <v>289.86154304184475</v>
      </c>
      <c r="Y163" s="362">
        <f t="shared" si="311"/>
        <v>293.63583757153071</v>
      </c>
      <c r="Z163" s="362">
        <f t="shared" si="311"/>
        <v>297.45310345996057</v>
      </c>
      <c r="AA163" s="362">
        <f t="shared" si="311"/>
        <v>301.31999380494</v>
      </c>
      <c r="AB163" s="362">
        <f t="shared" si="311"/>
        <v>305.23715372440421</v>
      </c>
      <c r="AC163" s="362">
        <f t="shared" si="311"/>
        <v>309.2052367228215</v>
      </c>
      <c r="AD163" s="362">
        <f t="shared" si="311"/>
        <v>313.2249048002181</v>
      </c>
      <c r="AE163" s="362">
        <f t="shared" si="311"/>
        <v>317.29682856262099</v>
      </c>
      <c r="AF163" s="362">
        <f t="shared" si="311"/>
        <v>321.42168733393498</v>
      </c>
      <c r="AG163" s="362">
        <f t="shared" si="311"/>
        <v>325.60016926927614</v>
      </c>
      <c r="AH163" s="362">
        <f t="shared" si="311"/>
        <v>327.87937045416106</v>
      </c>
      <c r="AI163" s="362">
        <f t="shared" si="311"/>
        <v>330.17452604734018</v>
      </c>
      <c r="AJ163" s="362">
        <f t="shared" si="311"/>
        <v>332.48574772967152</v>
      </c>
      <c r="AK163" s="362">
        <f t="shared" si="311"/>
        <v>334.81314796377922</v>
      </c>
      <c r="AL163" s="362">
        <f t="shared" si="311"/>
        <v>337.15683999952569</v>
      </c>
      <c r="AM163" s="362">
        <f t="shared" si="311"/>
        <v>339.5169378795224</v>
      </c>
      <c r="AN163" s="362">
        <f t="shared" si="311"/>
        <v>341.89355644467901</v>
      </c>
      <c r="AO163" s="362">
        <f t="shared" si="311"/>
        <v>344.28681133979177</v>
      </c>
      <c r="AP163" s="362">
        <f t="shared" si="311"/>
        <v>346.69681901917028</v>
      </c>
      <c r="AQ163" s="362">
        <f t="shared" si="311"/>
        <v>349.12369675230457</v>
      </c>
      <c r="AR163" s="362">
        <f t="shared" si="311"/>
        <v>351.56756262957072</v>
      </c>
      <c r="AS163" s="362">
        <f t="shared" si="311"/>
        <v>354.02853556797771</v>
      </c>
      <c r="AT163" s="362">
        <f t="shared" si="311"/>
        <v>356.50673531695355</v>
      </c>
      <c r="AU163" s="362">
        <f t="shared" si="311"/>
        <v>359.00228246417225</v>
      </c>
      <c r="AV163" s="362">
        <f t="shared" si="311"/>
        <v>361.51529844142146</v>
      </c>
      <c r="AW163" s="362">
        <f t="shared" si="311"/>
        <v>364.04590553051145</v>
      </c>
      <c r="AX163" s="362">
        <f t="shared" si="311"/>
        <v>366.59422686922505</v>
      </c>
      <c r="AY163" s="362">
        <f t="shared" si="311"/>
        <v>369.16038645730958</v>
      </c>
      <c r="AZ163" s="362">
        <f t="shared" si="311"/>
        <v>371.74450916251072</v>
      </c>
      <c r="BA163" s="362">
        <f t="shared" si="311"/>
        <v>374.34672072664836</v>
      </c>
    </row>
    <row r="164" spans="1:54" ht="20.100000000000001" customHeight="1">
      <c r="A164" s="28"/>
      <c r="B164" s="1024"/>
      <c r="C164" s="1024"/>
      <c r="D164" s="1024"/>
      <c r="E164" s="1024"/>
      <c r="F164" s="259"/>
      <c r="G164" s="259"/>
      <c r="H164" s="1024"/>
      <c r="I164" s="1024"/>
      <c r="J164" s="1024"/>
      <c r="K164" s="1024"/>
      <c r="L164" s="1024"/>
      <c r="M164" s="1024"/>
      <c r="N164" s="1024"/>
      <c r="O164" s="460"/>
      <c r="P164" s="1024"/>
      <c r="Q164" s="1024"/>
      <c r="R164" s="1078"/>
    </row>
    <row r="165" spans="1:54" ht="20.100000000000001" customHeight="1" thickBot="1">
      <c r="A165" s="28"/>
      <c r="B165" s="1024"/>
      <c r="C165" s="1024"/>
      <c r="D165" s="1024"/>
      <c r="E165" s="1024"/>
      <c r="F165" s="1024"/>
      <c r="G165" s="1024"/>
      <c r="H165" s="1024"/>
      <c r="I165" s="1024"/>
      <c r="J165" s="1024"/>
      <c r="K165" s="1024"/>
      <c r="L165" s="1024"/>
      <c r="M165" s="1024"/>
      <c r="N165" s="1024"/>
      <c r="O165" s="460"/>
      <c r="P165" s="1024"/>
      <c r="Q165" s="1024"/>
      <c r="R165" s="1078"/>
      <c r="S165" s="451" t="s">
        <v>2956</v>
      </c>
      <c r="T165" s="417"/>
      <c r="U165" s="417"/>
    </row>
    <row r="166" spans="1:54" ht="20.100000000000001" customHeight="1">
      <c r="A166" s="28"/>
      <c r="B166" s="1024"/>
      <c r="C166" s="1024"/>
      <c r="D166" s="1024"/>
      <c r="E166" s="1024"/>
      <c r="F166" s="259" t="s">
        <v>173</v>
      </c>
      <c r="G166" s="259"/>
      <c r="H166" s="448"/>
      <c r="I166" s="1024"/>
      <c r="J166" s="1024"/>
      <c r="K166" s="1024"/>
      <c r="L166" s="1024"/>
      <c r="M166" s="1024"/>
      <c r="N166" s="1024"/>
      <c r="O166" s="460"/>
      <c r="P166" s="1024"/>
      <c r="Q166" s="1024"/>
      <c r="R166" s="1078"/>
      <c r="S166" s="906" t="s">
        <v>2699</v>
      </c>
      <c r="T166" s="1196" t="s">
        <v>2701</v>
      </c>
      <c r="U166" s="1197"/>
      <c r="V166" s="1142">
        <v>2019</v>
      </c>
      <c r="W166" s="1142">
        <v>2020</v>
      </c>
      <c r="X166" s="1142">
        <v>2021</v>
      </c>
      <c r="Y166" s="1142">
        <f>X166+1</f>
        <v>2022</v>
      </c>
      <c r="Z166" s="1142">
        <f t="shared" ref="Z166" si="312">Y166+1</f>
        <v>2023</v>
      </c>
      <c r="AA166" s="1142">
        <f t="shared" ref="AA166" si="313">Z166+1</f>
        <v>2024</v>
      </c>
      <c r="AB166" s="1142">
        <f t="shared" ref="AB166" si="314">AA166+1</f>
        <v>2025</v>
      </c>
      <c r="AC166" s="1142">
        <f t="shared" ref="AC166" si="315">AB166+1</f>
        <v>2026</v>
      </c>
      <c r="AD166" s="1142">
        <f t="shared" ref="AD166" si="316">AC166+1</f>
        <v>2027</v>
      </c>
      <c r="AE166" s="1142">
        <f t="shared" ref="AE166" si="317">AD166+1</f>
        <v>2028</v>
      </c>
      <c r="AF166" s="1142">
        <f t="shared" ref="AF166" si="318">AE166+1</f>
        <v>2029</v>
      </c>
      <c r="AG166" s="1142">
        <f t="shared" ref="AG166" si="319">AF166+1</f>
        <v>2030</v>
      </c>
      <c r="AH166" s="1142">
        <f t="shared" ref="AH166" si="320">AG166+1</f>
        <v>2031</v>
      </c>
      <c r="AI166" s="1142">
        <f t="shared" ref="AI166" si="321">AH166+1</f>
        <v>2032</v>
      </c>
      <c r="AJ166" s="1142">
        <f t="shared" ref="AJ166" si="322">AI166+1</f>
        <v>2033</v>
      </c>
      <c r="AK166" s="1142">
        <f t="shared" ref="AK166" si="323">AJ166+1</f>
        <v>2034</v>
      </c>
      <c r="AL166" s="1142">
        <f t="shared" ref="AL166" si="324">AK166+1</f>
        <v>2035</v>
      </c>
      <c r="AM166" s="1142">
        <f t="shared" ref="AM166" si="325">AL166+1</f>
        <v>2036</v>
      </c>
      <c r="AN166" s="1142">
        <f t="shared" ref="AN166" si="326">AM166+1</f>
        <v>2037</v>
      </c>
      <c r="AO166" s="1142">
        <f t="shared" ref="AO166" si="327">AN166+1</f>
        <v>2038</v>
      </c>
      <c r="AP166" s="1142">
        <f t="shared" ref="AP166" si="328">AO166+1</f>
        <v>2039</v>
      </c>
      <c r="AQ166" s="1142">
        <f t="shared" ref="AQ166" si="329">AP166+1</f>
        <v>2040</v>
      </c>
      <c r="AR166" s="1142">
        <f t="shared" ref="AR166" si="330">AQ166+1</f>
        <v>2041</v>
      </c>
      <c r="AS166" s="1142">
        <f t="shared" ref="AS166" si="331">AR166+1</f>
        <v>2042</v>
      </c>
      <c r="AT166" s="1142">
        <f t="shared" ref="AT166" si="332">AS166+1</f>
        <v>2043</v>
      </c>
      <c r="AU166" s="1142">
        <f t="shared" ref="AU166" si="333">AT166+1</f>
        <v>2044</v>
      </c>
      <c r="AV166" s="1142">
        <f t="shared" ref="AV166" si="334">AU166+1</f>
        <v>2045</v>
      </c>
      <c r="AW166" s="1142">
        <f t="shared" ref="AW166" si="335">AV166+1</f>
        <v>2046</v>
      </c>
      <c r="AX166" s="1142">
        <f t="shared" ref="AX166" si="336">AW166+1</f>
        <v>2047</v>
      </c>
      <c r="AY166" s="1142">
        <f t="shared" ref="AY166" si="337">AX166+1</f>
        <v>2048</v>
      </c>
      <c r="AZ166" s="1142">
        <f t="shared" ref="AZ166" si="338">AY166+1</f>
        <v>2049</v>
      </c>
      <c r="BA166" s="318">
        <f t="shared" ref="BA166" si="339">AZ166+1</f>
        <v>2050</v>
      </c>
    </row>
    <row r="167" spans="1:54" ht="20.100000000000001" customHeight="1" thickBot="1">
      <c r="A167" s="28"/>
      <c r="B167" s="1024"/>
      <c r="C167" s="1024"/>
      <c r="D167" s="1024"/>
      <c r="E167" s="1024"/>
      <c r="F167" s="1420" t="s">
        <v>174</v>
      </c>
      <c r="G167" s="1420" t="s">
        <v>2155</v>
      </c>
      <c r="H167" s="1426" t="s">
        <v>167</v>
      </c>
      <c r="I167" s="1024"/>
      <c r="J167" s="1024"/>
      <c r="K167" s="1024"/>
      <c r="L167" s="1024"/>
      <c r="M167" s="1024"/>
      <c r="N167" s="1024"/>
      <c r="O167" s="460"/>
      <c r="P167" s="1024"/>
      <c r="Q167" s="1024"/>
      <c r="R167" s="1078"/>
      <c r="S167" s="907"/>
      <c r="T167" s="1190" t="s">
        <v>2705</v>
      </c>
      <c r="U167" s="1191"/>
      <c r="V167" s="876"/>
      <c r="W167" s="876"/>
      <c r="X167" s="362">
        <f>INDEX('DEFAULT DATA'!$LK$9:$LK$41,START!$C$3,1)*AC21</f>
        <v>40.162326274220952</v>
      </c>
      <c r="Y167" s="362">
        <f>X167*((100+INDEX('DEFAULT DATA'!$LM$9:$LO$41,START!$C$3,1))/100)</f>
        <v>40.523787210688944</v>
      </c>
      <c r="Z167" s="362">
        <f>Y167*((100+INDEX('DEFAULT DATA'!$LM$9:$LO$41,START!$C$3,1))/100)</f>
        <v>40.888501295585151</v>
      </c>
      <c r="AA167" s="362">
        <f>Z167*((100+INDEX('DEFAULT DATA'!$LM$9:$LO$41,START!$C$3,1))/100)</f>
        <v>41.256497807245424</v>
      </c>
      <c r="AB167" s="362">
        <f>AA167*((100+INDEX('DEFAULT DATA'!$LM$9:$LO$41,START!$C$3,1))/100)</f>
        <v>41.627806287510637</v>
      </c>
      <c r="AC167" s="362">
        <f>AB167*((100+INDEX('DEFAULT DATA'!$LM$9:$LO$41,START!$C$3,1))/100)</f>
        <v>42.002456544098237</v>
      </c>
      <c r="AD167" s="362">
        <f>AC167*((100+INDEX('DEFAULT DATA'!$LM$9:$LO$41,START!$C$3,1))/100)</f>
        <v>42.380478652995123</v>
      </c>
      <c r="AE167" s="362">
        <f>AD167*((100+INDEX('DEFAULT DATA'!$LM$9:$LO$41,START!$C$3,1))/100)</f>
        <v>42.761902960872085</v>
      </c>
      <c r="AF167" s="362">
        <f>AE167*((100+INDEX('DEFAULT DATA'!$LM$9:$LO$41,START!$C$3,1))/100)</f>
        <v>43.146760087519937</v>
      </c>
      <c r="AG167" s="362">
        <f>AF167*((100+INDEX('DEFAULT DATA'!$LM$9:$LO$41,START!$C$3,1))/100)</f>
        <v>43.535080928307622</v>
      </c>
      <c r="AH167" s="362">
        <f>AG167*((100+INDEX('DEFAULT DATA'!$LM$9:$LO$41,START!$C$3,2))/100)</f>
        <v>44.013966818519002</v>
      </c>
      <c r="AI167" s="362">
        <f>AH167*((100+INDEX('DEFAULT DATA'!$LM$9:$LO$41,START!$C$3,2))/100)</f>
        <v>44.498120453522709</v>
      </c>
      <c r="AJ167" s="362">
        <f>AI167*((100+INDEX('DEFAULT DATA'!$LM$9:$LO$41,START!$C$3,2))/100)</f>
        <v>44.987599778511452</v>
      </c>
      <c r="AK167" s="362">
        <f>AJ167*((100+INDEX('DEFAULT DATA'!$LM$9:$LO$41,START!$C$3,2))/100)</f>
        <v>45.482463376075074</v>
      </c>
      <c r="AL167" s="362">
        <f>AK167*((100+INDEX('DEFAULT DATA'!$LM$9:$LO$41,START!$C$3,2))/100)</f>
        <v>45.982770473211893</v>
      </c>
      <c r="AM167" s="362">
        <f>AL167*((100+INDEX('DEFAULT DATA'!$LM$9:$LO$41,START!$C$3,2))/100)</f>
        <v>46.488580948417223</v>
      </c>
      <c r="AN167" s="362">
        <f>AM167*((100+INDEX('DEFAULT DATA'!$LM$9:$LO$41,START!$C$3,2))/100)</f>
        <v>46.999955338849809</v>
      </c>
      <c r="AO167" s="362">
        <f>AN167*((100+INDEX('DEFAULT DATA'!$LM$9:$LO$41,START!$C$3,2))/100)</f>
        <v>47.516954847577153</v>
      </c>
      <c r="AP167" s="362">
        <f>AO167*((100+INDEX('DEFAULT DATA'!$LM$9:$LO$41,START!$C$3,2))/100)</f>
        <v>48.039641350900496</v>
      </c>
      <c r="AQ167" s="362">
        <f>AP167*((100+INDEX('DEFAULT DATA'!$LM$9:$LO$41,START!$C$3,2))/100)</f>
        <v>48.568077405760398</v>
      </c>
      <c r="AR167" s="362">
        <f>AQ167*((100+INDEX('DEFAULT DATA'!$LM$9:$LO$41,START!$C$3,3))/100)</f>
        <v>49.102326257223758</v>
      </c>
      <c r="AS167" s="362">
        <f>AR167*((100+INDEX('DEFAULT DATA'!$LM$9:$LO$41,START!$C$3,3))/100)</f>
        <v>49.642451846053213</v>
      </c>
      <c r="AT167" s="362">
        <f>AS167*((100+INDEX('DEFAULT DATA'!$LM$9:$LO$41,START!$C$3,3))/100)</f>
        <v>50.188518816359796</v>
      </c>
      <c r="AU167" s="362">
        <f>AT167*((100+INDEX('DEFAULT DATA'!$LM$9:$LO$41,START!$C$3,3))/100)</f>
        <v>50.74059252333975</v>
      </c>
      <c r="AV167" s="362">
        <f>AU167*((100+INDEX('DEFAULT DATA'!$LM$9:$LO$41,START!$C$3,3))/100)</f>
        <v>51.298739041096482</v>
      </c>
      <c r="AW167" s="362">
        <f>AV167*((100+INDEX('DEFAULT DATA'!$LM$9:$LO$41,START!$C$3,3))/100)</f>
        <v>51.863025170548539</v>
      </c>
      <c r="AX167" s="362">
        <f>AW167*((100+INDEX('DEFAULT DATA'!$LM$9:$LO$41,START!$C$3,3))/100)</f>
        <v>52.433518447424568</v>
      </c>
      <c r="AY167" s="362">
        <f>AX167*((100+INDEX('DEFAULT DATA'!$LM$9:$LO$41,START!$C$3,3))/100)</f>
        <v>53.01028715034623</v>
      </c>
      <c r="AZ167" s="362">
        <f>AY167*((100+INDEX('DEFAULT DATA'!$LM$9:$LO$41,START!$C$3,3))/100)</f>
        <v>53.593400309000032</v>
      </c>
      <c r="BA167" s="905">
        <f>AZ167*((100+INDEX('DEFAULT DATA'!$LM$9:$LO$41,START!$C$3,3))/100)</f>
        <v>54.182927712399028</v>
      </c>
    </row>
    <row r="168" spans="1:54" ht="20.100000000000001" customHeight="1" thickBot="1">
      <c r="A168" s="28"/>
      <c r="B168" s="1024"/>
      <c r="C168" s="1024"/>
      <c r="D168" s="1024"/>
      <c r="E168" s="1024"/>
      <c r="F168" s="1420"/>
      <c r="G168" s="1420"/>
      <c r="H168" s="1426"/>
      <c r="I168" s="1024"/>
      <c r="J168" s="1024"/>
      <c r="K168" s="1024"/>
      <c r="L168" s="1024"/>
      <c r="M168" s="1024"/>
      <c r="N168" s="1024"/>
      <c r="O168" s="460"/>
      <c r="P168" s="1024"/>
      <c r="Q168" s="1024"/>
      <c r="R168" s="1078"/>
      <c r="S168" s="1078"/>
      <c r="T168" s="854"/>
      <c r="U168" s="854"/>
      <c r="V168" s="854"/>
      <c r="W168" s="854"/>
      <c r="X168" s="1078"/>
      <c r="Y168" s="1078"/>
      <c r="Z168" s="1078"/>
      <c r="AA168" s="1078"/>
      <c r="AB168" s="1078"/>
      <c r="AC168" s="1078"/>
      <c r="AD168" s="1078"/>
      <c r="AE168" s="1078"/>
      <c r="AF168" s="1078"/>
      <c r="AG168" s="1078"/>
      <c r="AH168" s="1078"/>
      <c r="AI168" s="1078"/>
      <c r="AJ168" s="1078"/>
      <c r="AK168" s="1078"/>
      <c r="AL168" s="1078"/>
      <c r="AM168" s="1078"/>
      <c r="AN168" s="1078"/>
      <c r="AO168" s="1078"/>
      <c r="AP168" s="1078"/>
      <c r="AQ168" s="1078"/>
      <c r="AR168" s="1078"/>
      <c r="AS168" s="1078"/>
      <c r="AT168" s="1078"/>
      <c r="AU168" s="1078"/>
      <c r="AV168" s="1078"/>
      <c r="AW168" s="1078"/>
      <c r="AX168" s="1078"/>
      <c r="AY168" s="1078"/>
      <c r="AZ168" s="1078"/>
      <c r="BA168" s="1078"/>
    </row>
    <row r="169" spans="1:54" ht="20.100000000000001" customHeight="1">
      <c r="A169" s="1132"/>
      <c r="B169" s="641" t="s">
        <v>171</v>
      </c>
      <c r="C169" s="274"/>
      <c r="D169" s="274"/>
      <c r="E169" s="274"/>
      <c r="F169" s="408">
        <f>2021+G177</f>
        <v>2030</v>
      </c>
      <c r="G169" s="1296">
        <f>2021+G177</f>
        <v>2030</v>
      </c>
      <c r="H169" s="1427"/>
      <c r="I169" s="429"/>
      <c r="J169" s="429"/>
      <c r="K169" s="429"/>
      <c r="L169" s="429"/>
      <c r="M169" s="429"/>
      <c r="N169" s="429"/>
      <c r="O169" s="639"/>
      <c r="P169" s="1024"/>
      <c r="Q169" s="1024"/>
      <c r="R169" s="1078"/>
      <c r="S169" s="468" t="s">
        <v>2700</v>
      </c>
      <c r="T169" s="1200"/>
      <c r="U169" s="1201"/>
      <c r="V169" s="1142">
        <v>2019</v>
      </c>
      <c r="W169" s="1142">
        <v>2020</v>
      </c>
      <c r="X169" s="1142">
        <v>2021</v>
      </c>
      <c r="Y169" s="1142">
        <f>X169+1</f>
        <v>2022</v>
      </c>
      <c r="Z169" s="1142">
        <f t="shared" ref="Z169" si="340">Y169+1</f>
        <v>2023</v>
      </c>
      <c r="AA169" s="1142">
        <f t="shared" ref="AA169" si="341">Z169+1</f>
        <v>2024</v>
      </c>
      <c r="AB169" s="1142">
        <f t="shared" ref="AB169" si="342">AA169+1</f>
        <v>2025</v>
      </c>
      <c r="AC169" s="1142">
        <f t="shared" ref="AC169" si="343">AB169+1</f>
        <v>2026</v>
      </c>
      <c r="AD169" s="1142">
        <f t="shared" ref="AD169" si="344">AC169+1</f>
        <v>2027</v>
      </c>
      <c r="AE169" s="1142">
        <f t="shared" ref="AE169" si="345">AD169+1</f>
        <v>2028</v>
      </c>
      <c r="AF169" s="1142">
        <f t="shared" ref="AF169" si="346">AE169+1</f>
        <v>2029</v>
      </c>
      <c r="AG169" s="1142">
        <f t="shared" ref="AG169" si="347">AF169+1</f>
        <v>2030</v>
      </c>
      <c r="AH169" s="1142">
        <f t="shared" ref="AH169" si="348">AG169+1</f>
        <v>2031</v>
      </c>
      <c r="AI169" s="1142">
        <f t="shared" ref="AI169" si="349">AH169+1</f>
        <v>2032</v>
      </c>
      <c r="AJ169" s="1142">
        <f t="shared" ref="AJ169" si="350">AI169+1</f>
        <v>2033</v>
      </c>
      <c r="AK169" s="1142">
        <f t="shared" ref="AK169" si="351">AJ169+1</f>
        <v>2034</v>
      </c>
      <c r="AL169" s="1142">
        <f t="shared" ref="AL169" si="352">AK169+1</f>
        <v>2035</v>
      </c>
      <c r="AM169" s="1142">
        <f t="shared" ref="AM169" si="353">AL169+1</f>
        <v>2036</v>
      </c>
      <c r="AN169" s="1142">
        <f t="shared" ref="AN169" si="354">AM169+1</f>
        <v>2037</v>
      </c>
      <c r="AO169" s="1142">
        <f t="shared" ref="AO169" si="355">AN169+1</f>
        <v>2038</v>
      </c>
      <c r="AP169" s="1142">
        <f t="shared" ref="AP169" si="356">AO169+1</f>
        <v>2039</v>
      </c>
      <c r="AQ169" s="1142">
        <f t="shared" ref="AQ169" si="357">AP169+1</f>
        <v>2040</v>
      </c>
      <c r="AR169" s="1142">
        <f t="shared" ref="AR169" si="358">AQ169+1</f>
        <v>2041</v>
      </c>
      <c r="AS169" s="1142">
        <f t="shared" ref="AS169" si="359">AR169+1</f>
        <v>2042</v>
      </c>
      <c r="AT169" s="1142">
        <f t="shared" ref="AT169" si="360">AS169+1</f>
        <v>2043</v>
      </c>
      <c r="AU169" s="1142">
        <f t="shared" ref="AU169" si="361">AT169+1</f>
        <v>2044</v>
      </c>
      <c r="AV169" s="1142">
        <f t="shared" ref="AV169" si="362">AU169+1</f>
        <v>2045</v>
      </c>
      <c r="AW169" s="1142">
        <f t="shared" ref="AW169" si="363">AV169+1</f>
        <v>2046</v>
      </c>
      <c r="AX169" s="1142">
        <f t="shared" ref="AX169" si="364">AW169+1</f>
        <v>2047</v>
      </c>
      <c r="AY169" s="1142">
        <f t="shared" ref="AY169" si="365">AX169+1</f>
        <v>2048</v>
      </c>
      <c r="AZ169" s="1142">
        <f t="shared" ref="AZ169" si="366">AY169+1</f>
        <v>2049</v>
      </c>
      <c r="BA169" s="318">
        <f t="shared" ref="BA169" si="367">AZ169+1</f>
        <v>2050</v>
      </c>
    </row>
    <row r="170" spans="1:54" ht="20.100000000000001" customHeight="1" thickBot="1">
      <c r="A170" s="28"/>
      <c r="B170" s="557" t="s">
        <v>36</v>
      </c>
      <c r="C170" s="557"/>
      <c r="D170" s="557"/>
      <c r="E170" s="557"/>
      <c r="F170" s="653">
        <f>INDEX($Y$272:$BA$277,1,$G$177)</f>
        <v>21.709146125174655</v>
      </c>
      <c r="G170" s="272">
        <v>30</v>
      </c>
      <c r="H170" s="777">
        <v>0</v>
      </c>
      <c r="I170" s="1024"/>
      <c r="J170" s="1024"/>
      <c r="K170" s="1024"/>
      <c r="L170" s="1024"/>
      <c r="M170" s="1024"/>
      <c r="N170" s="1024"/>
      <c r="O170" s="460"/>
      <c r="P170" s="1024"/>
      <c r="Q170" s="1024"/>
      <c r="R170" s="1078"/>
      <c r="S170" s="907"/>
      <c r="T170" s="1194" t="s">
        <v>2702</v>
      </c>
      <c r="U170" s="1195"/>
      <c r="V170" s="850"/>
      <c r="W170" s="850"/>
      <c r="X170" s="1018">
        <f>INDEX('DEFAULT DATA'!LL9:LL41,START!C3,1)</f>
        <v>29</v>
      </c>
      <c r="Y170" s="1018">
        <f>X170</f>
        <v>29</v>
      </c>
      <c r="Z170" s="1018">
        <f t="shared" ref="Z170:BA170" si="368">Y170</f>
        <v>29</v>
      </c>
      <c r="AA170" s="1018">
        <f t="shared" si="368"/>
        <v>29</v>
      </c>
      <c r="AB170" s="1018">
        <f t="shared" si="368"/>
        <v>29</v>
      </c>
      <c r="AC170" s="1018">
        <f t="shared" si="368"/>
        <v>29</v>
      </c>
      <c r="AD170" s="1018">
        <f t="shared" si="368"/>
        <v>29</v>
      </c>
      <c r="AE170" s="1018">
        <f t="shared" si="368"/>
        <v>29</v>
      </c>
      <c r="AF170" s="1018">
        <f t="shared" si="368"/>
        <v>29</v>
      </c>
      <c r="AG170" s="1018">
        <f t="shared" si="368"/>
        <v>29</v>
      </c>
      <c r="AH170" s="1018">
        <f t="shared" si="368"/>
        <v>29</v>
      </c>
      <c r="AI170" s="1018">
        <f t="shared" si="368"/>
        <v>29</v>
      </c>
      <c r="AJ170" s="1018">
        <f t="shared" si="368"/>
        <v>29</v>
      </c>
      <c r="AK170" s="1018">
        <f t="shared" si="368"/>
        <v>29</v>
      </c>
      <c r="AL170" s="1018">
        <f t="shared" si="368"/>
        <v>29</v>
      </c>
      <c r="AM170" s="1018">
        <f t="shared" si="368"/>
        <v>29</v>
      </c>
      <c r="AN170" s="1018">
        <f t="shared" si="368"/>
        <v>29</v>
      </c>
      <c r="AO170" s="1018">
        <f t="shared" si="368"/>
        <v>29</v>
      </c>
      <c r="AP170" s="1018">
        <f t="shared" si="368"/>
        <v>29</v>
      </c>
      <c r="AQ170" s="1018">
        <f t="shared" si="368"/>
        <v>29</v>
      </c>
      <c r="AR170" s="1018">
        <f t="shared" si="368"/>
        <v>29</v>
      </c>
      <c r="AS170" s="1018">
        <f t="shared" si="368"/>
        <v>29</v>
      </c>
      <c r="AT170" s="1018">
        <f t="shared" si="368"/>
        <v>29</v>
      </c>
      <c r="AU170" s="1018">
        <f t="shared" si="368"/>
        <v>29</v>
      </c>
      <c r="AV170" s="1018">
        <f t="shared" si="368"/>
        <v>29</v>
      </c>
      <c r="AW170" s="1018">
        <f t="shared" si="368"/>
        <v>29</v>
      </c>
      <c r="AX170" s="1018">
        <f t="shared" si="368"/>
        <v>29</v>
      </c>
      <c r="AY170" s="1018">
        <f t="shared" si="368"/>
        <v>29</v>
      </c>
      <c r="AZ170" s="1018">
        <f t="shared" si="368"/>
        <v>29</v>
      </c>
      <c r="BA170" s="1019">
        <f t="shared" si="368"/>
        <v>29</v>
      </c>
      <c r="BB170" s="1078"/>
    </row>
    <row r="171" spans="1:54" ht="20.100000000000001" customHeight="1" thickBot="1">
      <c r="A171" s="28"/>
      <c r="B171" s="557" t="s">
        <v>38</v>
      </c>
      <c r="C171" s="557"/>
      <c r="D171" s="557"/>
      <c r="E171" s="557"/>
      <c r="F171" s="653">
        <f>INDEX($Y$272:$BA$277,2,$G$177)</f>
        <v>0</v>
      </c>
      <c r="G171" s="272">
        <v>5</v>
      </c>
      <c r="H171" s="1296"/>
      <c r="I171" s="1024"/>
      <c r="J171" s="1024"/>
      <c r="K171" s="1024"/>
      <c r="L171" s="1024"/>
      <c r="M171" s="1024"/>
      <c r="N171" s="1024"/>
      <c r="O171" s="460"/>
      <c r="P171" s="1024"/>
      <c r="Q171" s="1024"/>
      <c r="R171" s="1078"/>
      <c r="S171" s="1078"/>
      <c r="T171" s="1078"/>
      <c r="U171" s="1078"/>
      <c r="V171" s="1078"/>
      <c r="W171" s="1078"/>
      <c r="X171" s="1078"/>
      <c r="Y171" s="1078"/>
      <c r="Z171" s="1078"/>
      <c r="AA171" s="1078"/>
      <c r="AB171" s="1078"/>
      <c r="AC171" s="1078"/>
      <c r="AD171" s="1078"/>
      <c r="AE171" s="1078"/>
      <c r="AF171" s="1078"/>
      <c r="AG171" s="1078"/>
      <c r="AH171" s="1078"/>
      <c r="AI171" s="1078"/>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row>
    <row r="172" spans="1:54" ht="20.100000000000001" customHeight="1">
      <c r="A172" s="28"/>
      <c r="B172" s="557" t="s">
        <v>39</v>
      </c>
      <c r="C172" s="557"/>
      <c r="D172" s="557"/>
      <c r="E172" s="557"/>
      <c r="F172" s="653">
        <f>INDEX($Y$272:$BA$277,3,$G$177)</f>
        <v>3.0566303255346052</v>
      </c>
      <c r="G172" s="272">
        <v>5</v>
      </c>
      <c r="H172" s="654"/>
      <c r="I172" s="1024"/>
      <c r="J172" s="1024"/>
      <c r="K172" s="1024"/>
      <c r="L172" s="1024"/>
      <c r="M172" s="1024"/>
      <c r="N172" s="1024"/>
      <c r="O172" s="460"/>
      <c r="P172" s="1024"/>
      <c r="Q172" s="1024"/>
      <c r="R172" s="29"/>
      <c r="S172" s="468" t="s">
        <v>976</v>
      </c>
      <c r="T172" s="1192" t="s">
        <v>1200</v>
      </c>
      <c r="U172" s="1193"/>
      <c r="V172" s="1142">
        <v>2019</v>
      </c>
      <c r="W172" s="1142">
        <v>2020</v>
      </c>
      <c r="X172" s="1142">
        <v>2021</v>
      </c>
      <c r="Y172" s="1142">
        <f>X172+1</f>
        <v>2022</v>
      </c>
      <c r="Z172" s="1142">
        <f t="shared" ref="Z172" si="369">Y172+1</f>
        <v>2023</v>
      </c>
      <c r="AA172" s="1142">
        <f t="shared" ref="AA172" si="370">Z172+1</f>
        <v>2024</v>
      </c>
      <c r="AB172" s="1142">
        <f t="shared" ref="AB172" si="371">AA172+1</f>
        <v>2025</v>
      </c>
      <c r="AC172" s="1142">
        <f t="shared" ref="AC172" si="372">AB172+1</f>
        <v>2026</v>
      </c>
      <c r="AD172" s="1142">
        <f t="shared" ref="AD172" si="373">AC172+1</f>
        <v>2027</v>
      </c>
      <c r="AE172" s="1142">
        <f t="shared" ref="AE172" si="374">AD172+1</f>
        <v>2028</v>
      </c>
      <c r="AF172" s="1142">
        <f t="shared" ref="AF172" si="375">AE172+1</f>
        <v>2029</v>
      </c>
      <c r="AG172" s="1142">
        <f t="shared" ref="AG172" si="376">AF172+1</f>
        <v>2030</v>
      </c>
      <c r="AH172" s="1142">
        <f t="shared" ref="AH172" si="377">AG172+1</f>
        <v>2031</v>
      </c>
      <c r="AI172" s="1142">
        <f t="shared" ref="AI172" si="378">AH172+1</f>
        <v>2032</v>
      </c>
      <c r="AJ172" s="1142">
        <f t="shared" ref="AJ172" si="379">AI172+1</f>
        <v>2033</v>
      </c>
      <c r="AK172" s="1142">
        <f t="shared" ref="AK172" si="380">AJ172+1</f>
        <v>2034</v>
      </c>
      <c r="AL172" s="1142">
        <f t="shared" ref="AL172" si="381">AK172+1</f>
        <v>2035</v>
      </c>
      <c r="AM172" s="1142">
        <f t="shared" ref="AM172" si="382">AL172+1</f>
        <v>2036</v>
      </c>
      <c r="AN172" s="1142">
        <f t="shared" ref="AN172" si="383">AM172+1</f>
        <v>2037</v>
      </c>
      <c r="AO172" s="1142">
        <f t="shared" ref="AO172" si="384">AN172+1</f>
        <v>2038</v>
      </c>
      <c r="AP172" s="1142">
        <f t="shared" ref="AP172" si="385">AO172+1</f>
        <v>2039</v>
      </c>
      <c r="AQ172" s="1142">
        <f t="shared" ref="AQ172" si="386">AP172+1</f>
        <v>2040</v>
      </c>
      <c r="AR172" s="1142">
        <f t="shared" ref="AR172" si="387">AQ172+1</f>
        <v>2041</v>
      </c>
      <c r="AS172" s="1142">
        <f t="shared" ref="AS172" si="388">AR172+1</f>
        <v>2042</v>
      </c>
      <c r="AT172" s="1142">
        <f t="shared" ref="AT172" si="389">AS172+1</f>
        <v>2043</v>
      </c>
      <c r="AU172" s="1142">
        <f t="shared" ref="AU172" si="390">AT172+1</f>
        <v>2044</v>
      </c>
      <c r="AV172" s="1142">
        <f t="shared" ref="AV172" si="391">AU172+1</f>
        <v>2045</v>
      </c>
      <c r="AW172" s="1142">
        <f t="shared" ref="AW172" si="392">AV172+1</f>
        <v>2046</v>
      </c>
      <c r="AX172" s="1142">
        <f t="shared" ref="AX172" si="393">AW172+1</f>
        <v>2047</v>
      </c>
      <c r="AY172" s="1142">
        <f t="shared" ref="AY172" si="394">AX172+1</f>
        <v>2048</v>
      </c>
      <c r="AZ172" s="1142">
        <f t="shared" ref="AZ172" si="395">AY172+1</f>
        <v>2049</v>
      </c>
      <c r="BA172" s="318">
        <f t="shared" ref="BA172" si="396">AZ172+1</f>
        <v>2050</v>
      </c>
    </row>
    <row r="173" spans="1:54" ht="20.100000000000001" customHeight="1" thickBot="1">
      <c r="A173" s="28"/>
      <c r="B173" s="557" t="s">
        <v>3157</v>
      </c>
      <c r="C173" s="557"/>
      <c r="D173" s="557"/>
      <c r="E173" s="557"/>
      <c r="F173" s="653">
        <f>INDEX($Y$272:$BA$277,4,$G$177)</f>
        <v>13.018905809663103</v>
      </c>
      <c r="G173" s="272">
        <v>20</v>
      </c>
      <c r="H173" s="654"/>
      <c r="I173" s="1024"/>
      <c r="J173" s="1024"/>
      <c r="K173" s="1024"/>
      <c r="L173" s="1024"/>
      <c r="M173" s="1024"/>
      <c r="N173" s="1024"/>
      <c r="O173" s="460"/>
      <c r="P173" s="1024"/>
      <c r="Q173" s="1024"/>
      <c r="R173" s="29"/>
      <c r="S173" s="470" t="s">
        <v>2703</v>
      </c>
      <c r="T173" s="782" t="s">
        <v>2704</v>
      </c>
      <c r="U173" s="288" t="s">
        <v>1204</v>
      </c>
      <c r="V173" s="288"/>
      <c r="W173" s="288"/>
      <c r="X173" s="362">
        <f>X167*X170/1000</f>
        <v>1.1647074619524076</v>
      </c>
      <c r="Y173" s="362">
        <f t="shared" ref="Y173:BA173" si="397">Y167*Y170/1000</f>
        <v>1.1751898291099794</v>
      </c>
      <c r="Z173" s="362">
        <f t="shared" si="397"/>
        <v>1.1857665375719693</v>
      </c>
      <c r="AA173" s="362">
        <f t="shared" si="397"/>
        <v>1.1964384364101173</v>
      </c>
      <c r="AB173" s="362">
        <f t="shared" si="397"/>
        <v>1.2072063823378085</v>
      </c>
      <c r="AC173" s="362">
        <f t="shared" si="397"/>
        <v>1.2180712397788489</v>
      </c>
      <c r="AD173" s="362">
        <f t="shared" si="397"/>
        <v>1.2290338809368586</v>
      </c>
      <c r="AE173" s="362">
        <f t="shared" si="397"/>
        <v>1.2400951858652904</v>
      </c>
      <c r="AF173" s="362">
        <f t="shared" si="397"/>
        <v>1.2512560425380781</v>
      </c>
      <c r="AG173" s="362">
        <f t="shared" si="397"/>
        <v>1.262517346920921</v>
      </c>
      <c r="AH173" s="362">
        <f t="shared" si="397"/>
        <v>1.2764050377370511</v>
      </c>
      <c r="AI173" s="362">
        <f t="shared" si="397"/>
        <v>1.2904454931521587</v>
      </c>
      <c r="AJ173" s="362">
        <f t="shared" si="397"/>
        <v>1.304640393576832</v>
      </c>
      <c r="AK173" s="362">
        <f t="shared" si="397"/>
        <v>1.3189914379061771</v>
      </c>
      <c r="AL173" s="362">
        <f t="shared" si="397"/>
        <v>1.3335003437231447</v>
      </c>
      <c r="AM173" s="362">
        <f t="shared" si="397"/>
        <v>1.3481688475040994</v>
      </c>
      <c r="AN173" s="362">
        <f t="shared" si="397"/>
        <v>1.3629987048266443</v>
      </c>
      <c r="AO173" s="362">
        <f t="shared" si="397"/>
        <v>1.3779916905797374</v>
      </c>
      <c r="AP173" s="362">
        <f t="shared" si="397"/>
        <v>1.3931495991761145</v>
      </c>
      <c r="AQ173" s="362">
        <f t="shared" si="397"/>
        <v>1.4084742447670515</v>
      </c>
      <c r="AR173" s="362">
        <f t="shared" si="397"/>
        <v>1.423967461459489</v>
      </c>
      <c r="AS173" s="362">
        <f t="shared" si="397"/>
        <v>1.4396311035355431</v>
      </c>
      <c r="AT173" s="362">
        <f t="shared" si="397"/>
        <v>1.4554670456744341</v>
      </c>
      <c r="AU173" s="362">
        <f t="shared" si="397"/>
        <v>1.4714771831768527</v>
      </c>
      <c r="AV173" s="362">
        <f t="shared" si="397"/>
        <v>1.4876634321917979</v>
      </c>
      <c r="AW173" s="362">
        <f t="shared" si="397"/>
        <v>1.5040277299459075</v>
      </c>
      <c r="AX173" s="362">
        <f t="shared" si="397"/>
        <v>1.5205720349753125</v>
      </c>
      <c r="AY173" s="362">
        <f t="shared" si="397"/>
        <v>1.5372983273600407</v>
      </c>
      <c r="AZ173" s="362">
        <f t="shared" si="397"/>
        <v>1.554208608961001</v>
      </c>
      <c r="BA173" s="905">
        <f t="shared" si="397"/>
        <v>1.5713049036595719</v>
      </c>
    </row>
    <row r="174" spans="1:54" ht="20.100000000000001" customHeight="1">
      <c r="A174" s="28"/>
      <c r="B174" s="1119" t="s">
        <v>960</v>
      </c>
      <c r="C174" s="1119"/>
      <c r="D174" s="1119"/>
      <c r="E174" s="1119"/>
      <c r="F174" s="655">
        <f>INDEX($Y$272:$BA$277,5,$G$177)</f>
        <v>62.215317739627643</v>
      </c>
      <c r="G174" s="655">
        <f>100-(SUM(G170:G173))</f>
        <v>40</v>
      </c>
      <c r="H174" s="654"/>
      <c r="I174" s="1024"/>
      <c r="J174" s="1024"/>
      <c r="K174" s="1024"/>
      <c r="L174" s="1024"/>
      <c r="M174" s="1024"/>
      <c r="N174" s="1024"/>
      <c r="O174" s="460"/>
      <c r="P174" s="1024"/>
      <c r="Q174" s="1024"/>
      <c r="R174" s="29"/>
    </row>
    <row r="175" spans="1:54" ht="20.100000000000001" customHeight="1" thickBot="1">
      <c r="A175" s="28"/>
      <c r="B175" s="557" t="s">
        <v>170</v>
      </c>
      <c r="C175" s="557"/>
      <c r="D175" s="557"/>
      <c r="E175" s="557"/>
      <c r="F175" s="653">
        <f>SUM(F170:F174)</f>
        <v>100</v>
      </c>
      <c r="G175" s="656">
        <v>100</v>
      </c>
      <c r="H175" s="654"/>
      <c r="I175" s="1024"/>
      <c r="J175" s="1024"/>
      <c r="K175" s="1024"/>
      <c r="L175" s="1024"/>
      <c r="M175" s="1024"/>
      <c r="N175" s="1024"/>
      <c r="O175" s="460"/>
      <c r="P175" s="1024"/>
      <c r="Q175" s="1024"/>
      <c r="R175" s="29"/>
    </row>
    <row r="176" spans="1:54" ht="20.100000000000001" customHeight="1">
      <c r="A176" s="28"/>
      <c r="B176" s="557" t="s">
        <v>165</v>
      </c>
      <c r="C176" s="557"/>
      <c r="D176" s="557"/>
      <c r="E176" s="557"/>
      <c r="F176" s="1296" t="s">
        <v>153</v>
      </c>
      <c r="G176" s="1296" t="s">
        <v>154</v>
      </c>
      <c r="H176" s="1024"/>
      <c r="I176" s="1024"/>
      <c r="J176" s="1024"/>
      <c r="K176" s="1024"/>
      <c r="L176" s="1024"/>
      <c r="M176" s="1024"/>
      <c r="N176" s="1024"/>
      <c r="O176" s="460"/>
      <c r="P176" s="1024"/>
      <c r="Q176" s="1024"/>
      <c r="R176" s="29"/>
      <c r="S176" s="872" t="s">
        <v>2958</v>
      </c>
      <c r="T176" s="367"/>
      <c r="U176" s="367"/>
      <c r="V176" s="1256">
        <v>2019</v>
      </c>
      <c r="W176" s="1256">
        <v>2020</v>
      </c>
      <c r="X176" s="1256">
        <v>2021</v>
      </c>
      <c r="Y176" s="1256">
        <f>X176+1</f>
        <v>2022</v>
      </c>
      <c r="Z176" s="1256">
        <f t="shared" ref="Z176" si="398">Y176+1</f>
        <v>2023</v>
      </c>
      <c r="AA176" s="1256">
        <f t="shared" ref="AA176" si="399">Z176+1</f>
        <v>2024</v>
      </c>
      <c r="AB176" s="1256">
        <f t="shared" ref="AB176" si="400">AA176+1</f>
        <v>2025</v>
      </c>
      <c r="AC176" s="1256">
        <f t="shared" ref="AC176" si="401">AB176+1</f>
        <v>2026</v>
      </c>
      <c r="AD176" s="1256">
        <f t="shared" ref="AD176" si="402">AC176+1</f>
        <v>2027</v>
      </c>
      <c r="AE176" s="1256">
        <f t="shared" ref="AE176" si="403">AD176+1</f>
        <v>2028</v>
      </c>
      <c r="AF176" s="1256">
        <f t="shared" ref="AF176" si="404">AE176+1</f>
        <v>2029</v>
      </c>
      <c r="AG176" s="1256">
        <f t="shared" ref="AG176" si="405">AF176+1</f>
        <v>2030</v>
      </c>
      <c r="AH176" s="1256">
        <f t="shared" ref="AH176" si="406">AG176+1</f>
        <v>2031</v>
      </c>
      <c r="AI176" s="1256">
        <f t="shared" ref="AI176" si="407">AH176+1</f>
        <v>2032</v>
      </c>
      <c r="AJ176" s="1256">
        <f t="shared" ref="AJ176" si="408">AI176+1</f>
        <v>2033</v>
      </c>
      <c r="AK176" s="1256">
        <f t="shared" ref="AK176" si="409">AJ176+1</f>
        <v>2034</v>
      </c>
      <c r="AL176" s="1256">
        <f t="shared" ref="AL176" si="410">AK176+1</f>
        <v>2035</v>
      </c>
      <c r="AM176" s="1256">
        <f t="shared" ref="AM176" si="411">AL176+1</f>
        <v>2036</v>
      </c>
      <c r="AN176" s="1256">
        <f t="shared" ref="AN176" si="412">AM176+1</f>
        <v>2037</v>
      </c>
      <c r="AO176" s="1256">
        <f t="shared" ref="AO176" si="413">AN176+1</f>
        <v>2038</v>
      </c>
      <c r="AP176" s="1256">
        <f t="shared" ref="AP176" si="414">AO176+1</f>
        <v>2039</v>
      </c>
      <c r="AQ176" s="1256">
        <f t="shared" ref="AQ176" si="415">AP176+1</f>
        <v>2040</v>
      </c>
      <c r="AR176" s="1256">
        <f t="shared" ref="AR176" si="416">AQ176+1</f>
        <v>2041</v>
      </c>
      <c r="AS176" s="1256">
        <f t="shared" ref="AS176" si="417">AR176+1</f>
        <v>2042</v>
      </c>
      <c r="AT176" s="1256">
        <f t="shared" ref="AT176" si="418">AS176+1</f>
        <v>2043</v>
      </c>
      <c r="AU176" s="1256">
        <f t="shared" ref="AU176" si="419">AT176+1</f>
        <v>2044</v>
      </c>
      <c r="AV176" s="1256">
        <f t="shared" ref="AV176" si="420">AU176+1</f>
        <v>2045</v>
      </c>
      <c r="AW176" s="1256">
        <f t="shared" ref="AW176" si="421">AV176+1</f>
        <v>2046</v>
      </c>
      <c r="AX176" s="1256">
        <f t="shared" ref="AX176" si="422">AW176+1</f>
        <v>2047</v>
      </c>
      <c r="AY176" s="1256">
        <f t="shared" ref="AY176" si="423">AX176+1</f>
        <v>2048</v>
      </c>
      <c r="AZ176" s="1256">
        <f t="shared" ref="AZ176" si="424">AY176+1</f>
        <v>2049</v>
      </c>
      <c r="BA176" s="318">
        <f t="shared" ref="BA176" si="425">AZ176+1</f>
        <v>2050</v>
      </c>
    </row>
    <row r="177" spans="1:65" ht="20.100000000000001" customHeight="1">
      <c r="A177" s="28"/>
      <c r="B177" s="1024"/>
      <c r="C177" s="1024"/>
      <c r="D177" s="1024"/>
      <c r="E177" s="1024"/>
      <c r="F177" s="1024">
        <v>4</v>
      </c>
      <c r="G177" s="1024">
        <v>9</v>
      </c>
      <c r="H177" s="1024"/>
      <c r="I177" s="1024"/>
      <c r="J177" s="1024"/>
      <c r="K177" s="1024"/>
      <c r="L177" s="1024"/>
      <c r="M177" s="1024"/>
      <c r="N177" s="1024"/>
      <c r="O177" s="460"/>
      <c r="P177" s="1024"/>
      <c r="Q177" s="1024"/>
      <c r="R177" s="29"/>
      <c r="S177" s="844" t="s">
        <v>2949</v>
      </c>
      <c r="T177" s="787" t="s">
        <v>2963</v>
      </c>
      <c r="U177" s="366"/>
      <c r="V177" s="360">
        <f>IF(V176&lt;START!$C$2+2021,0,V48)</f>
        <v>0</v>
      </c>
      <c r="W177" s="360">
        <f>IF(W176&lt;START!$C$2+2021,0,W48)</f>
        <v>0</v>
      </c>
      <c r="X177" s="360">
        <f>IF(X176&lt;START!$C$2+2021,0,X48)</f>
        <v>0</v>
      </c>
      <c r="Y177" s="360">
        <f>IF(Y176&lt;START!$C$2+2021,0,Y48)</f>
        <v>0</v>
      </c>
      <c r="Z177" s="360">
        <f>IF(Z176&lt;START!$C$2+2021,0,Z48)</f>
        <v>98.329173658390388</v>
      </c>
      <c r="AA177" s="360">
        <f>IF(AA176&lt;START!$C$2+2021,0,AA48)</f>
        <v>98.575305536076399</v>
      </c>
      <c r="AB177" s="360">
        <f>IF(AB176&lt;START!$C$2+2021,0,AB48)</f>
        <v>98.821814440484076</v>
      </c>
      <c r="AC177" s="360">
        <f>IF(AC176&lt;START!$C$2+2021,0,AC48)</f>
        <v>98.971385522060871</v>
      </c>
      <c r="AD177" s="360">
        <f>IF(AD176&lt;START!$C$2+2021,0,AD48)</f>
        <v>99.120317469641023</v>
      </c>
      <c r="AE177" s="360">
        <f>IF(AE176&lt;START!$C$2+2021,0,AE48)</f>
        <v>99.268612943553137</v>
      </c>
      <c r="AF177" s="360">
        <f>IF(AF176&lt;START!$C$2+2021,0,AF48)</f>
        <v>99.416274547574929</v>
      </c>
      <c r="AG177" s="360">
        <f>IF(AG176&lt;START!$C$2+2021,0,AG48)</f>
        <v>99.563304829283283</v>
      </c>
      <c r="AH177" s="360">
        <f>IF(AH176&lt;START!$C$2+2021,0,AH48)</f>
        <v>99.797932075688038</v>
      </c>
      <c r="AI177" s="360">
        <f>IF(AI176&lt;START!$C$2+2021,0,AI48)</f>
        <v>100.03271509171631</v>
      </c>
      <c r="AJ177" s="360">
        <f>IF(AJ176&lt;START!$C$2+2021,0,AJ48)</f>
        <v>100.26770185171509</v>
      </c>
      <c r="AK177" s="360">
        <f>IF(AK176&lt;START!$C$2+2021,0,AK48)</f>
        <v>100.50293645704861</v>
      </c>
      <c r="AL177" s="360">
        <f>IF(AL176&lt;START!$C$2+2021,0,AL48)</f>
        <v>100.73845941263193</v>
      </c>
      <c r="AM177" s="360">
        <f>IF(AM176&lt;START!$C$2+2021,0,AM48)</f>
        <v>100.97430788515628</v>
      </c>
      <c r="AN177" s="360">
        <f>IF(AN176&lt;START!$C$2+2021,0,AN48)</f>
        <v>101.21051594416507</v>
      </c>
      <c r="AO177" s="360">
        <f>IF(AO176&lt;START!$C$2+2021,0,AO48)</f>
        <v>101.44711478706596</v>
      </c>
      <c r="AP177" s="360">
        <f>IF(AP176&lt;START!$C$2+2021,0,AP48)</f>
        <v>101.68413294909955</v>
      </c>
      <c r="AQ177" s="360">
        <f>IF(AQ176&lt;START!$C$2+2021,0,AQ48)</f>
        <v>101.92159649922193</v>
      </c>
      <c r="AR177" s="360">
        <f>IF(AR176&lt;START!$C$2+2021,0,AR48)</f>
        <v>102.17833634287773</v>
      </c>
      <c r="AS177" s="360">
        <f>IF(AS176&lt;START!$C$2+2021,0,AS48)</f>
        <v>102.43589618415712</v>
      </c>
      <c r="AT177" s="360">
        <f>IF(AT176&lt;START!$C$2+2021,0,AT48)</f>
        <v>102.69428029625804</v>
      </c>
      <c r="AU177" s="360">
        <f>IF(AU176&lt;START!$C$2+2021,0,AU48)</f>
        <v>102.95349226137238</v>
      </c>
      <c r="AV177" s="360">
        <f>IF(AV176&lt;START!$C$2+2021,0,AV48)</f>
        <v>103.21353503597122</v>
      </c>
      <c r="AW177" s="360">
        <f>IF(AW176&lt;START!$C$2+2021,0,AW48)</f>
        <v>103.45482977575514</v>
      </c>
      <c r="AX177" s="360">
        <f>IF(AX176&lt;START!$C$2+2021,0,AX48)</f>
        <v>103.69667663277075</v>
      </c>
      <c r="AY177" s="360">
        <f>IF(AY176&lt;START!$C$2+2021,0,AY48)</f>
        <v>103.93908870535681</v>
      </c>
      <c r="AZ177" s="360">
        <f>IF(AZ176&lt;START!$C$2+2021,0,AZ48)</f>
        <v>104.1820778274337</v>
      </c>
      <c r="BA177" s="1070">
        <f>IF(BA176&lt;START!$C$2+2021,0,BA48)</f>
        <v>104.42565466785858</v>
      </c>
    </row>
    <row r="178" spans="1:65" ht="20.100000000000001" customHeight="1">
      <c r="A178" s="28"/>
      <c r="B178" s="650" t="str">
        <f>IF(G177&lt;F177,"! end year has to be after start year!","")</f>
        <v/>
      </c>
      <c r="C178" s="650"/>
      <c r="D178" s="650"/>
      <c r="E178" s="650"/>
      <c r="F178" s="650"/>
      <c r="G178" s="650"/>
      <c r="H178" s="654"/>
      <c r="I178" s="1024"/>
      <c r="J178" s="1024"/>
      <c r="K178" s="1024"/>
      <c r="L178" s="1024"/>
      <c r="M178" s="1024"/>
      <c r="N178" s="1024"/>
      <c r="O178" s="460"/>
      <c r="P178" s="1024"/>
      <c r="Q178" s="1024"/>
      <c r="R178" s="29"/>
      <c r="S178" s="844" t="s">
        <v>2950</v>
      </c>
      <c r="T178" s="787" t="s">
        <v>2963</v>
      </c>
      <c r="U178" s="366"/>
      <c r="V178" s="360">
        <f>IF(V176&lt;START!$C$2+2021,0,V87)</f>
        <v>0</v>
      </c>
      <c r="W178" s="360">
        <f>IF(W176&lt;START!$C$2+2021,0,W87)</f>
        <v>0</v>
      </c>
      <c r="X178" s="360">
        <f>IF(X176&lt;START!$C$2+2021,0,X87)</f>
        <v>0</v>
      </c>
      <c r="Y178" s="360">
        <f>IF(Y176&lt;START!$C$2+2021,0,Y87)</f>
        <v>0</v>
      </c>
      <c r="Z178" s="360">
        <f>IF(Z176&lt;START!$C$2+2021,0,Z87)</f>
        <v>825.67518175982059</v>
      </c>
      <c r="AA178" s="360">
        <f>IF(AA176&lt;START!$C$2+2021,0,AA87)</f>
        <v>829.32422338612866</v>
      </c>
      <c r="AB178" s="360">
        <f>IF(AB176&lt;START!$C$2+2021,0,AB87)</f>
        <v>832.63804301704454</v>
      </c>
      <c r="AC178" s="360">
        <f>IF(AC176&lt;START!$C$2+2021,0,AC87)</f>
        <v>835.96513892915027</v>
      </c>
      <c r="AD178" s="360">
        <f>IF(AD176&lt;START!$C$2+2021,0,AD87)</f>
        <v>839.30556410071461</v>
      </c>
      <c r="AE178" s="360">
        <f>IF(AE176&lt;START!$C$2+2021,0,AE87)</f>
        <v>842.65937172268571</v>
      </c>
      <c r="AF178" s="360">
        <f>IF(AF176&lt;START!$C$2+2021,0,AF87)</f>
        <v>846.02661519953631</v>
      </c>
      <c r="AG178" s="360">
        <f>IF(AG176&lt;START!$C$2+2021,0,AG87)</f>
        <v>849.40734815011535</v>
      </c>
      <c r="AH178" s="360">
        <f>IF(AH176&lt;START!$C$2+2021,0,AH87)</f>
        <v>851.10281639174832</v>
      </c>
      <c r="AI178" s="360">
        <f>IF(AI176&lt;START!$C$2+2021,0,AI87)</f>
        <v>852.80170240843063</v>
      </c>
      <c r="AJ178" s="360">
        <f>IF(AJ176&lt;START!$C$2+2021,0,AJ87)</f>
        <v>854.50401282046778</v>
      </c>
      <c r="AK178" s="360">
        <f>IF(AK176&lt;START!$C$2+2021,0,AK87)</f>
        <v>856.19505463973144</v>
      </c>
      <c r="AL178" s="360">
        <f>IF(AL176&lt;START!$C$2+2021,0,AL87)</f>
        <v>857.89043272785432</v>
      </c>
      <c r="AM178" s="360">
        <f>IF(AM176&lt;START!$C$2+2021,0,AM87)</f>
        <v>859.59010508059714</v>
      </c>
      <c r="AN178" s="360">
        <f>IF(AN176&lt;START!$C$2+2021,0,AN87)</f>
        <v>861.29403230115543</v>
      </c>
      <c r="AO178" s="360">
        <f>IF(AO176&lt;START!$C$2+2021,0,AO87)</f>
        <v>863.00217746243288</v>
      </c>
      <c r="AP178" s="360">
        <f>IF(AP176&lt;START!$C$2+2021,0,AP87)</f>
        <v>864.71450597662829</v>
      </c>
      <c r="AQ178" s="360">
        <f>IF(AQ176&lt;START!$C$2+2021,0,AQ87)</f>
        <v>866.43098547175316</v>
      </c>
      <c r="AR178" s="360">
        <f>IF(AR176&lt;START!$C$2+2021,0,AR87)</f>
        <v>868.15158567470723</v>
      </c>
      <c r="AS178" s="360">
        <f>IF(AS176&lt;START!$C$2+2021,0,AS87)</f>
        <v>869.87627830056522</v>
      </c>
      <c r="AT178" s="360">
        <f>IF(AT176&lt;START!$C$2+2021,0,AT87)</f>
        <v>871.60503694774559</v>
      </c>
      <c r="AU178" s="360">
        <f>IF(AU176&lt;START!$C$2+2021,0,AU87)</f>
        <v>873.33783699874994</v>
      </c>
      <c r="AV178" s="360">
        <f>IF(AV176&lt;START!$C$2+2021,0,AV87)</f>
        <v>875.07465552617214</v>
      </c>
      <c r="AW178" s="360">
        <f>IF(AW176&lt;START!$C$2+2021,0,AW87)</f>
        <v>876.81547120370351</v>
      </c>
      <c r="AX178" s="360">
        <f>IF(AX176&lt;START!$C$2+2021,0,AX87)</f>
        <v>878.56026422186653</v>
      </c>
      <c r="AY178" s="360">
        <f>IF(AY176&lt;START!$C$2+2021,0,AY87)</f>
        <v>880.30901620822226</v>
      </c>
      <c r="AZ178" s="360">
        <f>IF(AZ176&lt;START!$C$2+2021,0,AZ87)</f>
        <v>882.0617101518211</v>
      </c>
      <c r="BA178" s="1070">
        <f>IF(BA176&lt;START!$C$2+2021,0,BA87)</f>
        <v>883.81833033166436</v>
      </c>
    </row>
    <row r="179" spans="1:65" ht="20.100000000000001" customHeight="1">
      <c r="A179" s="28"/>
      <c r="B179" s="650" t="str">
        <f>IF(F177&lt;START!$C$2,"Policy period starts before the starting year for the study","")</f>
        <v/>
      </c>
      <c r="C179" s="650"/>
      <c r="D179" s="650"/>
      <c r="E179" s="650"/>
      <c r="F179" s="1420" t="s">
        <v>924</v>
      </c>
      <c r="G179" s="1420" t="s">
        <v>2158</v>
      </c>
      <c r="H179" s="1024"/>
      <c r="I179" s="1024"/>
      <c r="J179" s="1024"/>
      <c r="K179" s="1024"/>
      <c r="L179" s="1024"/>
      <c r="M179" s="1024"/>
      <c r="N179" s="1024"/>
      <c r="O179" s="460"/>
      <c r="P179" s="1024"/>
      <c r="Q179" s="1024"/>
      <c r="R179" s="29"/>
      <c r="S179" s="844" t="s">
        <v>2733</v>
      </c>
      <c r="T179" s="787" t="s">
        <v>2962</v>
      </c>
      <c r="U179" s="366"/>
      <c r="V179" s="360">
        <f>IF(V176&lt;START!$C$2+2021,0,V98/V8*1000)</f>
        <v>0</v>
      </c>
      <c r="W179" s="360">
        <f>IF(W176&lt;START!$C$2+2021,0,W98/W8*1000)</f>
        <v>0</v>
      </c>
      <c r="X179" s="360">
        <f>IF(X176&lt;START!$C$2+2021,0,X98/X8*1000)</f>
        <v>0</v>
      </c>
      <c r="Y179" s="360">
        <f>IF(Y176&lt;START!$C$2+2021,0,Y98/Y8*1000)</f>
        <v>0</v>
      </c>
      <c r="Z179" s="360">
        <f>IF(Z176&lt;START!$C$2+2021,0,Z98/Z8*1000)</f>
        <v>0</v>
      </c>
      <c r="AA179" s="360">
        <f>IF(AA176&lt;START!$C$2+2021,0,AA98/AA8*1000)</f>
        <v>0</v>
      </c>
      <c r="AB179" s="360">
        <f>IF(AB176&lt;START!$C$2+2021,0,AB98/AB8*1000)</f>
        <v>0</v>
      </c>
      <c r="AC179" s="360">
        <f>IF(AC176&lt;START!$C$2+2021,0,AC98/AC8*1000)</f>
        <v>0</v>
      </c>
      <c r="AD179" s="360">
        <f>IF(AD176&lt;START!$C$2+2021,0,AD98/AD8*1000)</f>
        <v>0</v>
      </c>
      <c r="AE179" s="360">
        <f>IF(AE176&lt;START!$C$2+2021,0,AE98/AE8*1000)</f>
        <v>0</v>
      </c>
      <c r="AF179" s="360">
        <f>IF(AF176&lt;START!$C$2+2021,0,AF98/AF8*1000)</f>
        <v>0</v>
      </c>
      <c r="AG179" s="360">
        <f>IF(AG176&lt;START!$C$2+2021,0,AG98/AG8*1000)</f>
        <v>0</v>
      </c>
      <c r="AH179" s="360">
        <f>IF(AH176&lt;START!$C$2+2021,0,AH98/AH8*1000)</f>
        <v>0</v>
      </c>
      <c r="AI179" s="360">
        <f>IF(AI176&lt;START!$C$2+2021,0,AI98/AI8*1000)</f>
        <v>0</v>
      </c>
      <c r="AJ179" s="360">
        <f>IF(AJ176&lt;START!$C$2+2021,0,AJ98/AJ8*1000)</f>
        <v>0</v>
      </c>
      <c r="AK179" s="360">
        <f>IF(AK176&lt;START!$C$2+2021,0,AK98/AK8*1000)</f>
        <v>0</v>
      </c>
      <c r="AL179" s="360">
        <f>IF(AL176&lt;START!$C$2+2021,0,AL98/AL8*1000)</f>
        <v>0</v>
      </c>
      <c r="AM179" s="360">
        <f>IF(AM176&lt;START!$C$2+2021,0,AM98/AM8*1000)</f>
        <v>0</v>
      </c>
      <c r="AN179" s="360">
        <f>IF(AN176&lt;START!$C$2+2021,0,AN98/AN8*1000)</f>
        <v>0</v>
      </c>
      <c r="AO179" s="360">
        <f>IF(AO176&lt;START!$C$2+2021,0,AO98/AO8*1000)</f>
        <v>0</v>
      </c>
      <c r="AP179" s="360">
        <f>IF(AP176&lt;START!$C$2+2021,0,AP98/AP8*1000)</f>
        <v>0</v>
      </c>
      <c r="AQ179" s="360">
        <f>IF(AQ176&lt;START!$C$2+2021,0,AQ98/AQ8*1000)</f>
        <v>0</v>
      </c>
      <c r="AR179" s="360">
        <f>IF(AR176&lt;START!$C$2+2021,0,AR98/AR8*1000)</f>
        <v>0</v>
      </c>
      <c r="AS179" s="360">
        <f>IF(AS176&lt;START!$C$2+2021,0,AS98/AS8*1000)</f>
        <v>0</v>
      </c>
      <c r="AT179" s="360">
        <f>IF(AT176&lt;START!$C$2+2021,0,AT98/AT8*1000)</f>
        <v>0</v>
      </c>
      <c r="AU179" s="360">
        <f>IF(AU176&lt;START!$C$2+2021,0,AU98/AU8*1000)</f>
        <v>0</v>
      </c>
      <c r="AV179" s="360">
        <f>IF(AV176&lt;START!$C$2+2021,0,AV98/AV8*1000)</f>
        <v>0</v>
      </c>
      <c r="AW179" s="360">
        <f>IF(AW176&lt;START!$C$2+2021,0,AW98/AW8*1000)</f>
        <v>0</v>
      </c>
      <c r="AX179" s="360">
        <f>IF(AX176&lt;START!$C$2+2021,0,AX98/AX8*1000)</f>
        <v>0</v>
      </c>
      <c r="AY179" s="360">
        <f>IF(AY176&lt;START!$C$2+2021,0,AY98/AY8*1000)</f>
        <v>0</v>
      </c>
      <c r="AZ179" s="360">
        <f>IF(AZ176&lt;START!$C$2+2021,0,AZ98/AZ8*1000)</f>
        <v>0</v>
      </c>
      <c r="BA179" s="1070">
        <f>IF(BA176&lt;START!$C$2+2021,0,BA98/BA8*1000)</f>
        <v>0</v>
      </c>
    </row>
    <row r="180" spans="1:65" ht="20.100000000000001" customHeight="1">
      <c r="A180" s="28"/>
      <c r="B180" s="1024"/>
      <c r="C180" s="1024"/>
      <c r="D180" s="1024"/>
      <c r="E180" s="1024"/>
      <c r="F180" s="1420"/>
      <c r="G180" s="1420"/>
      <c r="H180" s="1420" t="s">
        <v>2156</v>
      </c>
      <c r="I180" s="1024"/>
      <c r="J180" s="1024"/>
      <c r="K180" s="1024"/>
      <c r="L180" s="1024"/>
      <c r="M180" s="1024"/>
      <c r="N180" s="1024"/>
      <c r="O180" s="460"/>
      <c r="P180" s="1024"/>
      <c r="Q180" s="1024"/>
      <c r="R180" s="29"/>
      <c r="S180" s="844" t="s">
        <v>2869</v>
      </c>
      <c r="T180" s="787" t="s">
        <v>2962</v>
      </c>
      <c r="U180" s="366"/>
      <c r="V180" s="360">
        <f>IF(V176&lt;START!$C$2+2021,0,V108/V8*1000)</f>
        <v>0</v>
      </c>
      <c r="W180" s="360">
        <f>IF(W176&lt;START!$C$2+2021,0,W108/W8*1000)</f>
        <v>0</v>
      </c>
      <c r="X180" s="360">
        <f>IF(X176&lt;START!$C$2+2021,0,X108/X8*1000)</f>
        <v>0</v>
      </c>
      <c r="Y180" s="360">
        <f>IF(Y176&lt;START!$C$2+2021,0,Y108/Y8*1000)</f>
        <v>0</v>
      </c>
      <c r="Z180" s="360">
        <f>IF(Z176&lt;START!$C$2+2021,0,Z108/Z8*1000)</f>
        <v>4.6755635107838228E-2</v>
      </c>
      <c r="AA180" s="360">
        <f>IF(AA176&lt;START!$C$2+2021,0,AA108/AA8*1000)</f>
        <v>4.6564356570074468E-2</v>
      </c>
      <c r="AB180" s="360">
        <f>IF(AB176&lt;START!$C$2+2021,0,AB108/AB8*1000)</f>
        <v>4.6373831459038693E-2</v>
      </c>
      <c r="AC180" s="360">
        <f>IF(AC176&lt;START!$C$2+2021,0,AC108/AC8*1000)</f>
        <v>4.6184063055613574E-2</v>
      </c>
      <c r="AD180" s="360">
        <f>IF(AD176&lt;START!$C$2+2021,0,AD108/AD8*1000)</f>
        <v>4.5995054461725533E-2</v>
      </c>
      <c r="AE180" s="360">
        <f>IF(AE176&lt;START!$C$2+2021,0,AE108/AE8*1000)</f>
        <v>4.5806808603978615E-2</v>
      </c>
      <c r="AF180" s="360">
        <f>IF(AF176&lt;START!$C$2+2021,0,AF108/AF8*1000)</f>
        <v>4.5619328237246369E-2</v>
      </c>
      <c r="AG180" s="360">
        <f>IF(AG176&lt;START!$C$2+2021,0,AG108/AG8*1000)</f>
        <v>4.5432615948221865E-2</v>
      </c>
      <c r="AH180" s="360">
        <f>IF(AH176&lt;START!$C$2+2021,0,AH108/AH8*1000)</f>
        <v>4.3233704235268407E-2</v>
      </c>
      <c r="AI180" s="360">
        <f>IF(AI176&lt;START!$C$2+2021,0,AI108/AI8*1000)</f>
        <v>4.114117967818845E-2</v>
      </c>
      <c r="AJ180" s="360">
        <f>IF(AJ176&lt;START!$C$2+2021,0,AJ108/AJ8*1000)</f>
        <v>3.9149897497863469E-2</v>
      </c>
      <c r="AK180" s="360">
        <f>IF(AK176&lt;START!$C$2+2021,0,AK108/AK8*1000)</f>
        <v>3.7254961566352593E-2</v>
      </c>
      <c r="AL180" s="360">
        <f>IF(AL176&lt;START!$C$2+2021,0,AL108/AL8*1000)</f>
        <v>3.5451886265204055E-2</v>
      </c>
      <c r="AM180" s="360">
        <f>IF(AM176&lt;START!$C$2+2021,0,AM108/AM8*1000)</f>
        <v>3.3736045961672644E-2</v>
      </c>
      <c r="AN180" s="360">
        <f>IF(AN176&lt;START!$C$2+2021,0,AN108/AN8*1000)</f>
        <v>3.2103222036672992E-2</v>
      </c>
      <c r="AO180" s="360">
        <f>IF(AO176&lt;START!$C$2+2021,0,AO108/AO8*1000)</f>
        <v>3.0549399764667171E-2</v>
      </c>
      <c r="AP180" s="360">
        <f>IF(AP176&lt;START!$C$2+2021,0,AP108/AP8*1000)</f>
        <v>2.9070758465930713E-2</v>
      </c>
      <c r="AQ180" s="360">
        <f>IF(AQ176&lt;START!$C$2+2021,0,AQ108/AQ8*1000)</f>
        <v>2.7663662134054991E-2</v>
      </c>
      <c r="AR180" s="360">
        <f>IF(AR176&lt;START!$C$2+2021,0,AR108/AR8*1000)</f>
        <v>2.6324778080553297E-2</v>
      </c>
      <c r="AS180" s="360">
        <f>IF(AS176&lt;START!$C$2+2021,0,AS108/AS8*1000)</f>
        <v>2.5050672916648375E-2</v>
      </c>
      <c r="AT180" s="360">
        <f>IF(AT176&lt;START!$C$2+2021,0,AT108/AT8*1000)</f>
        <v>2.3838213804008399E-2</v>
      </c>
      <c r="AU180" s="360">
        <f>IF(AU176&lt;START!$C$2+2021,0,AU108/AU8*1000)</f>
        <v>2.2684419333159844E-2</v>
      </c>
      <c r="AV180" s="360">
        <f>IF(AV176&lt;START!$C$2+2021,0,AV108/AV8*1000)</f>
        <v>2.1586452208848188E-2</v>
      </c>
      <c r="AW180" s="360">
        <f>IF(AW176&lt;START!$C$2+2021,0,AW108/AW8*1000)</f>
        <v>2.0541612288446077E-2</v>
      </c>
      <c r="AX180" s="360">
        <f>IF(AX176&lt;START!$C$2+2021,0,AX108/AX8*1000)</f>
        <v>1.9547423549212153E-2</v>
      </c>
      <c r="AY180" s="360">
        <f>IF(AY176&lt;START!$C$2+2021,0,AY108/AY8*1000)</f>
        <v>1.8601337587728434E-2</v>
      </c>
      <c r="AZ180" s="360">
        <f>IF(AZ176&lt;START!$C$2+2021,0,AZ108/AZ8*1000)</f>
        <v>1.7701027939830569E-2</v>
      </c>
      <c r="BA180" s="1070">
        <f>IF(BA176&lt;START!$C$2+2021,0,BA108/BA8*1000)</f>
        <v>1.6844280602099897E-2</v>
      </c>
    </row>
    <row r="181" spans="1:65" ht="20.100000000000001" customHeight="1">
      <c r="A181" s="1132"/>
      <c r="B181" s="641" t="s">
        <v>926</v>
      </c>
      <c r="C181" s="641"/>
      <c r="D181" s="641"/>
      <c r="E181" s="641"/>
      <c r="F181" s="408">
        <f>2021+G187</f>
        <v>2030</v>
      </c>
      <c r="G181" s="1296">
        <f>2021+G187</f>
        <v>2030</v>
      </c>
      <c r="H181" s="1425"/>
      <c r="I181" s="429"/>
      <c r="J181" s="429"/>
      <c r="K181" s="429"/>
      <c r="L181" s="429"/>
      <c r="M181" s="429"/>
      <c r="N181" s="429"/>
      <c r="O181" s="639"/>
      <c r="P181" s="1024"/>
      <c r="Q181" s="1024"/>
      <c r="R181" s="29"/>
      <c r="S181" s="844" t="s">
        <v>2951</v>
      </c>
      <c r="T181" s="787" t="s">
        <v>2963</v>
      </c>
      <c r="U181" s="366"/>
      <c r="V181" s="360">
        <f>IF(V176&lt;(START!$C$2+2021),0,V120)</f>
        <v>0</v>
      </c>
      <c r="W181" s="360">
        <f>IF(W176&lt;(START!$C$2+2021),0,W120)</f>
        <v>0</v>
      </c>
      <c r="X181" s="360">
        <f>IF(X176&lt;(START!$C$2+2021),0,X120)</f>
        <v>0</v>
      </c>
      <c r="Y181" s="360">
        <f>IF(Y176&lt;(START!$C$2+2021),0,Y120)</f>
        <v>0</v>
      </c>
      <c r="Z181" s="360">
        <f>IF(Z176&lt;(START!$C$2+2021),0,Z120)</f>
        <v>11.559267102288691</v>
      </c>
      <c r="AA181" s="360">
        <f>IF(AA176&lt;(START!$C$2+2021),0,AA120)</f>
        <v>11.583582459554682</v>
      </c>
      <c r="AB181" s="360">
        <f>IF(AB176&lt;(START!$C$2+2021),0,AB120)</f>
        <v>11.608073761193632</v>
      </c>
      <c r="AC181" s="360">
        <f>IF(AC176&lt;(START!$C$2+2021),0,AC120)</f>
        <v>11.632742861136789</v>
      </c>
      <c r="AD181" s="360">
        <f>IF(AD176&lt;(START!$C$2+2021),0,AD120)</f>
        <v>11.65759163363615</v>
      </c>
      <c r="AE181" s="360">
        <f>IF(AE176&lt;(START!$C$2+2021),0,AE120)</f>
        <v>11.682621973487915</v>
      </c>
      <c r="AF181" s="360">
        <f>IF(AF176&lt;(START!$C$2+2021),0,AF120)</f>
        <v>11.707835796258429</v>
      </c>
      <c r="AG181" s="360">
        <f>IF(AG176&lt;(START!$C$2+2021),0,AG120)</f>
        <v>11.733235038512559</v>
      </c>
      <c r="AH181" s="360">
        <f>IF(AH176&lt;(START!$C$2+2021),0,AH120)</f>
        <v>11.270825725357534</v>
      </c>
      <c r="AI181" s="360">
        <f>IF(AI176&lt;(START!$C$2+2021),0,AI120)</f>
        <v>10.830664280267301</v>
      </c>
      <c r="AJ181" s="360">
        <f>IF(AJ176&lt;(START!$C$2+2021),0,AJ120)</f>
        <v>10.411723021939627</v>
      </c>
      <c r="AK181" s="360">
        <f>IF(AK176&lt;(START!$C$2+2021),0,AK120)</f>
        <v>10.013022111714353</v>
      </c>
      <c r="AL181" s="360">
        <f>IF(AL176&lt;(START!$C$2+2021),0,AL120)</f>
        <v>9.6336273296751163</v>
      </c>
      <c r="AM181" s="360">
        <f>IF(AM176&lt;(START!$C$2+2021),0,AM120)</f>
        <v>9.2726479541562004</v>
      </c>
      <c r="AN181" s="360">
        <f>IF(AN176&lt;(START!$C$2+2021),0,AN120)</f>
        <v>8.9292347398466045</v>
      </c>
      <c r="AO181" s="360">
        <f>IF(AO176&lt;(START!$C$2+2021),0,AO120)</f>
        <v>8.6025779899072052</v>
      </c>
      <c r="AP181" s="360">
        <f>IF(AP176&lt;(START!$C$2+2021),0,AP120)</f>
        <v>8.291905717729847</v>
      </c>
      <c r="AQ181" s="360">
        <f>IF(AQ176&lt;(START!$C$2+2021),0,AQ120)</f>
        <v>7.9964818941705422</v>
      </c>
      <c r="AR181" s="360">
        <f>IF(AR176&lt;(START!$C$2+2021),0,AR120)</f>
        <v>7.7156047762827109</v>
      </c>
      <c r="AS181" s="360">
        <f>IF(AS176&lt;(START!$C$2+2021),0,AS120)</f>
        <v>7.4486053137611048</v>
      </c>
      <c r="AT181" s="360">
        <f>IF(AT176&lt;(START!$C$2+2021),0,AT120)</f>
        <v>7.1948456294834058</v>
      </c>
      <c r="AU181" s="360">
        <f>IF(AU176&lt;(START!$C$2+2021),0,AU120)</f>
        <v>6.9537175707042707</v>
      </c>
      <c r="AV181" s="360">
        <f>IF(AV176&lt;(START!$C$2+2021),0,AV120)</f>
        <v>6.7246413276169461</v>
      </c>
      <c r="AW181" s="360">
        <f>IF(AW176&lt;(START!$C$2+2021),0,AW120)</f>
        <v>6.5070641161502278</v>
      </c>
      <c r="AX181" s="360">
        <f>IF(AX176&lt;(START!$C$2+2021),0,AX120)</f>
        <v>6.3004589220142018</v>
      </c>
      <c r="AY181" s="360">
        <f>IF(AY176&lt;(START!$C$2+2021),0,AY120)</f>
        <v>6.1043233031470301</v>
      </c>
      <c r="AZ181" s="360">
        <f>IF(AZ176&lt;(START!$C$2+2021),0,AZ120)</f>
        <v>5.9181782478474947</v>
      </c>
      <c r="BA181" s="1070">
        <f>IF(BA176&lt;(START!$C$2+2021),0,BA120)</f>
        <v>5.741567086004232</v>
      </c>
    </row>
    <row r="182" spans="1:65" ht="20.100000000000001" customHeight="1">
      <c r="A182" s="28"/>
      <c r="B182" s="557" t="s">
        <v>3158</v>
      </c>
      <c r="C182" s="557"/>
      <c r="D182" s="557"/>
      <c r="E182" s="557"/>
      <c r="F182" s="653">
        <f>INDEX($Y$286:$BA$288,1,$G$187)</f>
        <v>41.981043003898904</v>
      </c>
      <c r="G182" s="657">
        <v>42</v>
      </c>
      <c r="H182" s="1296"/>
      <c r="I182" s="1024"/>
      <c r="J182" s="1024"/>
      <c r="K182" s="1024"/>
      <c r="L182" s="1024"/>
      <c r="M182" s="1024"/>
      <c r="N182" s="1024"/>
      <c r="O182" s="460"/>
      <c r="P182" s="1024"/>
      <c r="Q182" s="1024"/>
      <c r="R182" s="410"/>
      <c r="S182" s="844" t="s">
        <v>2952</v>
      </c>
      <c r="T182" s="787" t="s">
        <v>2963</v>
      </c>
      <c r="U182" s="366"/>
      <c r="V182" s="360">
        <f>IF(V176&lt;START!$C$2+2021,0,V132)</f>
        <v>0</v>
      </c>
      <c r="W182" s="360">
        <f>IF(W176&lt;START!$C$2+2021,0,W132)</f>
        <v>0</v>
      </c>
      <c r="X182" s="360">
        <f>IF(X176&lt;START!$C$2+2021,0,X132)</f>
        <v>0</v>
      </c>
      <c r="Y182" s="360">
        <f>IF(Y176&lt;START!$C$2+2021,0,Y132)</f>
        <v>0</v>
      </c>
      <c r="Z182" s="360">
        <f>IF(Z176&lt;START!$C$2+2021,0,Z132)</f>
        <v>273.52477061065417</v>
      </c>
      <c r="AA182" s="360">
        <f>IF(AA176&lt;START!$C$2+2021,0,AA132)</f>
        <v>275.18461172789597</v>
      </c>
      <c r="AB182" s="360">
        <f>IF(AB176&lt;START!$C$2+2021,0,AB132)</f>
        <v>276.85750176425302</v>
      </c>
      <c r="AC182" s="360">
        <f>IF(AC176&lt;START!$C$2+2021,0,AC132)</f>
        <v>278.5435789873286</v>
      </c>
      <c r="AD182" s="360">
        <f>IF(AD176&lt;START!$C$2+2021,0,AD132)</f>
        <v>280.242983460029</v>
      </c>
      <c r="AE182" s="360">
        <f>IF(AE176&lt;START!$C$2+2021,0,AE132)</f>
        <v>281.95585706614105</v>
      </c>
      <c r="AF182" s="360">
        <f>IF(AF176&lt;START!$C$2+2021,0,AF132)</f>
        <v>283.68234353628776</v>
      </c>
      <c r="AG182" s="360">
        <f>IF(AG176&lt;START!$C$2+2021,0,AG132)</f>
        <v>285.42258847426524</v>
      </c>
      <c r="AH182" s="360">
        <f>IF(AH176&lt;START!$C$2+2021,0,AH132)</f>
        <v>275.53266528777181</v>
      </c>
      <c r="AI182" s="360">
        <f>IF(AI176&lt;START!$C$2+2021,0,AI132)</f>
        <v>266.08429468945531</v>
      </c>
      <c r="AJ182" s="360">
        <f>IF(AJ176&lt;START!$C$2+2021,0,AJ132)</f>
        <v>257.05943133466099</v>
      </c>
      <c r="AK182" s="360">
        <f>IF(AK176&lt;START!$C$2+2021,0,AK132)</f>
        <v>248.44078920907782</v>
      </c>
      <c r="AL182" s="360">
        <f>IF(AL176&lt;START!$C$2+2021,0,AL132)</f>
        <v>240.21180998957797</v>
      </c>
      <c r="AM182" s="360">
        <f>IF(AM176&lt;START!$C$2+2021,0,AM132)</f>
        <v>232.35663272771734</v>
      </c>
      <c r="AN182" s="360">
        <f>IF(AN176&lt;START!$C$2+2021,0,AN132)</f>
        <v>224.86006480066425</v>
      </c>
      <c r="AO182" s="360">
        <f>IF(AO176&lt;START!$C$2+2021,0,AO132)</f>
        <v>217.70755407663194</v>
      </c>
      <c r="AP182" s="360">
        <f>IF(AP176&lt;START!$C$2+2021,0,AP132)</f>
        <v>210.88516224410014</v>
      </c>
      <c r="AQ182" s="360">
        <f>IF(AQ176&lt;START!$C$2+2021,0,AQ132)</f>
        <v>204.37953925623066</v>
      </c>
      <c r="AR182" s="360">
        <f>IF(AR176&lt;START!$C$2+2021,0,AR132)</f>
        <v>198.17789884391152</v>
      </c>
      <c r="AS182" s="360">
        <f>IF(AS176&lt;START!$C$2+2021,0,AS132)</f>
        <v>192.26799505280869</v>
      </c>
      <c r="AT182" s="360">
        <f>IF(AT176&lt;START!$C$2+2021,0,AT132)</f>
        <v>186.63809976167073</v>
      </c>
      <c r="AU182" s="360">
        <f>IF(AU176&lt;START!$C$2+2021,0,AU132)</f>
        <v>181.27698114091467</v>
      </c>
      <c r="AV182" s="360">
        <f>IF(AV176&lt;START!$C$2+2021,0,AV132)</f>
        <v>176.17388301223562</v>
      </c>
      <c r="AW182" s="360">
        <f>IF(AW176&lt;START!$C$2+2021,0,AW132)</f>
        <v>171.31850507162156</v>
      </c>
      <c r="AX182" s="360">
        <f>IF(AX176&lt;START!$C$2+2021,0,AX132)</f>
        <v>166.70098393972626</v>
      </c>
      <c r="AY182" s="360">
        <f>IF(AY176&lt;START!$C$2+2021,0,AY132)</f>
        <v>162.31187500505948</v>
      </c>
      <c r="AZ182" s="360">
        <f>IF(AZ176&lt;START!$C$2+2021,0,AZ132)</f>
        <v>158.14213502689665</v>
      </c>
      <c r="BA182" s="1070">
        <f>IF(BA176&lt;START!$C$2+2021,0,BA132)</f>
        <v>154.18310546619284</v>
      </c>
    </row>
    <row r="183" spans="1:65" ht="20.100000000000001" customHeight="1">
      <c r="A183" s="28"/>
      <c r="B183" s="557" t="s">
        <v>3159</v>
      </c>
      <c r="C183" s="557"/>
      <c r="D183" s="557"/>
      <c r="E183" s="557"/>
      <c r="F183" s="653">
        <f>INDEX($Y$286:$BA$288,3,$G$187)</f>
        <v>5.8782939599384223</v>
      </c>
      <c r="G183" s="657">
        <v>6</v>
      </c>
      <c r="H183" s="654"/>
      <c r="I183" s="1024"/>
      <c r="J183" s="1024"/>
      <c r="K183" s="1024"/>
      <c r="L183" s="1024"/>
      <c r="M183" s="1024"/>
      <c r="N183" s="1024"/>
      <c r="O183" s="460"/>
      <c r="P183" s="1024"/>
      <c r="Q183" s="1024"/>
      <c r="R183" s="410"/>
      <c r="S183" s="844" t="s">
        <v>2953</v>
      </c>
      <c r="T183" s="787" t="s">
        <v>2963</v>
      </c>
      <c r="U183" s="366"/>
      <c r="V183" s="360">
        <f>IF(V176&lt;START!$C$2+2021,0,V163)</f>
        <v>0</v>
      </c>
      <c r="W183" s="360">
        <f>IF(W176&lt;START!$C$2+2021,0,W163)</f>
        <v>0</v>
      </c>
      <c r="X183" s="360">
        <f>IF(X176&lt;START!$C$2+2021,0,X163)</f>
        <v>0</v>
      </c>
      <c r="Y183" s="360">
        <f>IF(Y176&lt;START!$C$2+2021,0,Y163)</f>
        <v>0</v>
      </c>
      <c r="Z183" s="360">
        <f>IF(Z176&lt;START!$C$2+2021,0,Z163)</f>
        <v>297.45310345996057</v>
      </c>
      <c r="AA183" s="360">
        <f>IF(AA176&lt;START!$C$2+2021,0,AA163)</f>
        <v>301.31999380494</v>
      </c>
      <c r="AB183" s="360">
        <f>IF(AB176&lt;START!$C$2+2021,0,AB163)</f>
        <v>305.23715372440421</v>
      </c>
      <c r="AC183" s="360">
        <f>IF(AC176&lt;START!$C$2+2021,0,AC163)</f>
        <v>309.2052367228215</v>
      </c>
      <c r="AD183" s="360">
        <f>IF(AD176&lt;START!$C$2+2021,0,AD163)</f>
        <v>313.2249048002181</v>
      </c>
      <c r="AE183" s="360">
        <f>IF(AE176&lt;START!$C$2+2021,0,AE163)</f>
        <v>317.29682856262099</v>
      </c>
      <c r="AF183" s="360">
        <f>IF(AF176&lt;START!$C$2+2021,0,AF163)</f>
        <v>321.42168733393498</v>
      </c>
      <c r="AG183" s="360">
        <f>IF(AG176&lt;START!$C$2+2021,0,AG163)</f>
        <v>325.60016926927614</v>
      </c>
      <c r="AH183" s="360">
        <f>IF(AH176&lt;START!$C$2+2021,0,AH163)</f>
        <v>327.87937045416106</v>
      </c>
      <c r="AI183" s="360">
        <f>IF(AI176&lt;START!$C$2+2021,0,AI163)</f>
        <v>330.17452604734018</v>
      </c>
      <c r="AJ183" s="360">
        <f>IF(AJ176&lt;START!$C$2+2021,0,AJ163)</f>
        <v>332.48574772967152</v>
      </c>
      <c r="AK183" s="360">
        <f>IF(AK176&lt;START!$C$2+2021,0,AK163)</f>
        <v>334.81314796377922</v>
      </c>
      <c r="AL183" s="360">
        <f>IF(AL176&lt;START!$C$2+2021,0,AL163)</f>
        <v>337.15683999952569</v>
      </c>
      <c r="AM183" s="360">
        <f>IF(AM176&lt;START!$C$2+2021,0,AM163)</f>
        <v>339.5169378795224</v>
      </c>
      <c r="AN183" s="360">
        <f>IF(AN176&lt;START!$C$2+2021,0,AN163)</f>
        <v>341.89355644467901</v>
      </c>
      <c r="AO183" s="360">
        <f>IF(AO176&lt;START!$C$2+2021,0,AO163)</f>
        <v>344.28681133979177</v>
      </c>
      <c r="AP183" s="360">
        <f>IF(AP176&lt;START!$C$2+2021,0,AP163)</f>
        <v>346.69681901917028</v>
      </c>
      <c r="AQ183" s="360">
        <f>IF(AQ176&lt;START!$C$2+2021,0,AQ163)</f>
        <v>349.12369675230457</v>
      </c>
      <c r="AR183" s="360">
        <f>IF(AR176&lt;START!$C$2+2021,0,AR163)</f>
        <v>351.56756262957072</v>
      </c>
      <c r="AS183" s="360">
        <f>IF(AS176&lt;START!$C$2+2021,0,AS163)</f>
        <v>354.02853556797771</v>
      </c>
      <c r="AT183" s="360">
        <f>IF(AT176&lt;START!$C$2+2021,0,AT163)</f>
        <v>356.50673531695355</v>
      </c>
      <c r="AU183" s="360">
        <f>IF(AU176&lt;START!$C$2+2021,0,AU163)</f>
        <v>359.00228246417225</v>
      </c>
      <c r="AV183" s="360">
        <f>IF(AV176&lt;START!$C$2+2021,0,AV163)</f>
        <v>361.51529844142146</v>
      </c>
      <c r="AW183" s="360">
        <f>IF(AW176&lt;START!$C$2+2021,0,AW163)</f>
        <v>364.04590553051145</v>
      </c>
      <c r="AX183" s="360">
        <f>IF(AX176&lt;START!$C$2+2021,0,AX163)</f>
        <v>366.59422686922505</v>
      </c>
      <c r="AY183" s="360">
        <f>IF(AY176&lt;START!$C$2+2021,0,AY163)</f>
        <v>369.16038645730958</v>
      </c>
      <c r="AZ183" s="360">
        <f>IF(AZ176&lt;START!$C$2+2021,0,AZ163)</f>
        <v>371.74450916251072</v>
      </c>
      <c r="BA183" s="1070">
        <f>IF(BA176&lt;START!$C$2+2021,0,BA163)</f>
        <v>374.34672072664836</v>
      </c>
    </row>
    <row r="184" spans="1:65" ht="20.100000000000001" customHeight="1">
      <c r="A184" s="28"/>
      <c r="B184" s="1119" t="s">
        <v>936</v>
      </c>
      <c r="C184" s="1119"/>
      <c r="D184" s="1119"/>
      <c r="E184" s="1119"/>
      <c r="F184" s="655">
        <f>INDEX($Y$286:$BA$288,2,$G$187)</f>
        <v>52.140663036162671</v>
      </c>
      <c r="G184" s="658">
        <f>100-(G182+G183)</f>
        <v>52</v>
      </c>
      <c r="H184" s="654"/>
      <c r="I184" s="1024"/>
      <c r="J184" s="1024"/>
      <c r="K184" s="1024"/>
      <c r="L184" s="1024"/>
      <c r="M184" s="1024"/>
      <c r="N184" s="1024"/>
      <c r="O184" s="460"/>
      <c r="P184" s="1024"/>
      <c r="Q184" s="1024"/>
      <c r="R184" s="410"/>
      <c r="S184" s="844" t="s">
        <v>2957</v>
      </c>
      <c r="T184" s="787" t="s">
        <v>2963</v>
      </c>
      <c r="U184" s="366"/>
      <c r="V184" s="360">
        <f>IF(V176&lt;START!$C$2+2021,0,V173)</f>
        <v>0</v>
      </c>
      <c r="W184" s="360">
        <f>IF(W176&lt;START!$C$2+2021,0,W173)</f>
        <v>0</v>
      </c>
      <c r="X184" s="360">
        <f>IF(X176&lt;START!$C$2+2021,0,X173)</f>
        <v>0</v>
      </c>
      <c r="Y184" s="360">
        <f>IF(Y176&lt;START!$C$2+2021,0,Y173)</f>
        <v>0</v>
      </c>
      <c r="Z184" s="360">
        <f>IF(Z176&lt;START!$C$2+2021,0,Z173)</f>
        <v>1.1857665375719693</v>
      </c>
      <c r="AA184" s="360">
        <f>IF(AA176&lt;START!$C$2+2021,0,AA173)</f>
        <v>1.1964384364101173</v>
      </c>
      <c r="AB184" s="360">
        <f>IF(AB176&lt;START!$C$2+2021,0,AB173)</f>
        <v>1.2072063823378085</v>
      </c>
      <c r="AC184" s="360">
        <f>IF(AC176&lt;START!$C$2+2021,0,AC173)</f>
        <v>1.2180712397788489</v>
      </c>
      <c r="AD184" s="360">
        <f>IF(AD176&lt;START!$C$2+2021,0,AD173)</f>
        <v>1.2290338809368586</v>
      </c>
      <c r="AE184" s="360">
        <f>IF(AE176&lt;START!$C$2+2021,0,AE173)</f>
        <v>1.2400951858652904</v>
      </c>
      <c r="AF184" s="360">
        <f>IF(AF176&lt;START!$C$2+2021,0,AF173)</f>
        <v>1.2512560425380781</v>
      </c>
      <c r="AG184" s="360">
        <f>IF(AG176&lt;START!$C$2+2021,0,AG173)</f>
        <v>1.262517346920921</v>
      </c>
      <c r="AH184" s="360">
        <f>IF(AH176&lt;START!$C$2+2021,0,AH173)</f>
        <v>1.2764050377370511</v>
      </c>
      <c r="AI184" s="360">
        <f>IF(AI176&lt;START!$C$2+2021,0,AI173)</f>
        <v>1.2904454931521587</v>
      </c>
      <c r="AJ184" s="360">
        <f>IF(AJ176&lt;START!$C$2+2021,0,AJ173)</f>
        <v>1.304640393576832</v>
      </c>
      <c r="AK184" s="360">
        <f>IF(AK176&lt;START!$C$2+2021,0,AK173)</f>
        <v>1.3189914379061771</v>
      </c>
      <c r="AL184" s="360">
        <f>IF(AL176&lt;START!$C$2+2021,0,AL173)</f>
        <v>1.3335003437231447</v>
      </c>
      <c r="AM184" s="360">
        <f>IF(AM176&lt;START!$C$2+2021,0,AM173)</f>
        <v>1.3481688475040994</v>
      </c>
      <c r="AN184" s="360">
        <f>IF(AN176&lt;START!$C$2+2021,0,AN173)</f>
        <v>1.3629987048266443</v>
      </c>
      <c r="AO184" s="360">
        <f>IF(AO176&lt;START!$C$2+2021,0,AO173)</f>
        <v>1.3779916905797374</v>
      </c>
      <c r="AP184" s="360">
        <f>IF(AP176&lt;START!$C$2+2021,0,AP173)</f>
        <v>1.3931495991761145</v>
      </c>
      <c r="AQ184" s="360">
        <f>IF(AQ176&lt;START!$C$2+2021,0,AQ173)</f>
        <v>1.4084742447670515</v>
      </c>
      <c r="AR184" s="360">
        <f>IF(AR176&lt;START!$C$2+2021,0,AR173)</f>
        <v>1.423967461459489</v>
      </c>
      <c r="AS184" s="360">
        <f>IF(AS176&lt;START!$C$2+2021,0,AS173)</f>
        <v>1.4396311035355431</v>
      </c>
      <c r="AT184" s="360">
        <f>IF(AT176&lt;START!$C$2+2021,0,AT173)</f>
        <v>1.4554670456744341</v>
      </c>
      <c r="AU184" s="360">
        <f>IF(AU176&lt;START!$C$2+2021,0,AU173)</f>
        <v>1.4714771831768527</v>
      </c>
      <c r="AV184" s="360">
        <f>IF(AV176&lt;START!$C$2+2021,0,AV173)</f>
        <v>1.4876634321917979</v>
      </c>
      <c r="AW184" s="360">
        <f>IF(AW176&lt;START!$C$2+2021,0,AW173)</f>
        <v>1.5040277299459075</v>
      </c>
      <c r="AX184" s="360">
        <f>IF(AX176&lt;START!$C$2+2021,0,AX173)</f>
        <v>1.5205720349753125</v>
      </c>
      <c r="AY184" s="360">
        <f>IF(AY176&lt;START!$C$2+2021,0,AY173)</f>
        <v>1.5372983273600407</v>
      </c>
      <c r="AZ184" s="360">
        <f>IF(AZ176&lt;START!$C$2+2021,0,AZ173)</f>
        <v>1.554208608961001</v>
      </c>
      <c r="BA184" s="1070">
        <f>IF(BA176&lt;START!$C$2+2021,0,BA173)</f>
        <v>1.5713049036595719</v>
      </c>
    </row>
    <row r="185" spans="1:65" ht="20.100000000000001" customHeight="1" thickBot="1">
      <c r="A185" s="28"/>
      <c r="B185" s="557" t="s">
        <v>170</v>
      </c>
      <c r="C185" s="557"/>
      <c r="D185" s="557"/>
      <c r="E185" s="557"/>
      <c r="F185" s="653">
        <f>SUM(F182:F184)</f>
        <v>100</v>
      </c>
      <c r="G185" s="656">
        <v>100</v>
      </c>
      <c r="H185" s="654"/>
      <c r="I185" s="1024"/>
      <c r="J185" s="1024"/>
      <c r="K185" s="1024"/>
      <c r="L185" s="1024"/>
      <c r="M185" s="1024"/>
      <c r="N185" s="1024"/>
      <c r="O185" s="460"/>
      <c r="P185" s="1024"/>
      <c r="Q185" s="1024"/>
      <c r="R185" s="410"/>
      <c r="S185" s="845" t="s">
        <v>2960</v>
      </c>
      <c r="T185" s="851"/>
      <c r="U185" s="368"/>
      <c r="V185" s="362">
        <f>SUM(V177:V184)</f>
        <v>0</v>
      </c>
      <c r="W185" s="362">
        <f t="shared" ref="W185:BA185" si="426">SUM(W177:W184)</f>
        <v>0</v>
      </c>
      <c r="X185" s="362">
        <f t="shared" si="426"/>
        <v>0</v>
      </c>
      <c r="Y185" s="362">
        <f t="shared" si="426"/>
        <v>0</v>
      </c>
      <c r="Z185" s="362">
        <f t="shared" si="426"/>
        <v>1507.7740187637942</v>
      </c>
      <c r="AA185" s="362">
        <f t="shared" si="426"/>
        <v>1517.2307197075759</v>
      </c>
      <c r="AB185" s="362">
        <f t="shared" si="426"/>
        <v>1526.4161669211762</v>
      </c>
      <c r="AC185" s="362">
        <f t="shared" si="426"/>
        <v>1535.5823383253326</v>
      </c>
      <c r="AD185" s="362">
        <f t="shared" si="426"/>
        <v>1544.8263903996374</v>
      </c>
      <c r="AE185" s="362">
        <f t="shared" si="426"/>
        <v>1554.1491942629582</v>
      </c>
      <c r="AF185" s="362">
        <f t="shared" si="426"/>
        <v>1563.5516317843676</v>
      </c>
      <c r="AG185" s="362">
        <f t="shared" si="426"/>
        <v>1573.0345957243219</v>
      </c>
      <c r="AH185" s="362">
        <f t="shared" si="426"/>
        <v>1566.9032486766991</v>
      </c>
      <c r="AI185" s="362">
        <f t="shared" si="426"/>
        <v>1561.2554891900402</v>
      </c>
      <c r="AJ185" s="362">
        <f t="shared" si="426"/>
        <v>1556.0724070495298</v>
      </c>
      <c r="AK185" s="362">
        <f t="shared" si="426"/>
        <v>1551.3211967808236</v>
      </c>
      <c r="AL185" s="362">
        <f t="shared" si="426"/>
        <v>1547.0001216892533</v>
      </c>
      <c r="AM185" s="362">
        <f t="shared" si="426"/>
        <v>1543.0925364206153</v>
      </c>
      <c r="AN185" s="362">
        <f t="shared" si="426"/>
        <v>1539.5825061573737</v>
      </c>
      <c r="AO185" s="362">
        <f t="shared" si="426"/>
        <v>1536.4547767461743</v>
      </c>
      <c r="AP185" s="362">
        <f t="shared" si="426"/>
        <v>1533.69474626437</v>
      </c>
      <c r="AQ185" s="362">
        <f t="shared" si="426"/>
        <v>1531.2884377805819</v>
      </c>
      <c r="AR185" s="362">
        <f t="shared" si="426"/>
        <v>1529.2412805068902</v>
      </c>
      <c r="AS185" s="362">
        <f t="shared" si="426"/>
        <v>1527.5219921957221</v>
      </c>
      <c r="AT185" s="362">
        <f t="shared" si="426"/>
        <v>1526.1183032115898</v>
      </c>
      <c r="AU185" s="362">
        <f t="shared" si="426"/>
        <v>1525.0184720384236</v>
      </c>
      <c r="AV185" s="362">
        <f t="shared" si="426"/>
        <v>1524.2112632278179</v>
      </c>
      <c r="AW185" s="362">
        <f t="shared" si="426"/>
        <v>1523.666345039976</v>
      </c>
      <c r="AX185" s="362">
        <f t="shared" si="426"/>
        <v>1523.3927300441271</v>
      </c>
      <c r="AY185" s="362">
        <f t="shared" si="426"/>
        <v>1523.3805893440428</v>
      </c>
      <c r="AZ185" s="362">
        <f t="shared" si="426"/>
        <v>1523.6205200534105</v>
      </c>
      <c r="BA185" s="905">
        <f t="shared" si="426"/>
        <v>1524.1035274626302</v>
      </c>
      <c r="BB185" s="410"/>
      <c r="BC185" s="410"/>
      <c r="BD185" s="410"/>
      <c r="BE185" s="410"/>
      <c r="BF185" s="410"/>
      <c r="BG185" s="410"/>
      <c r="BH185" s="410"/>
      <c r="BI185" s="410"/>
      <c r="BJ185" s="410"/>
      <c r="BK185" s="410"/>
      <c r="BL185" s="410"/>
      <c r="BM185" s="410"/>
    </row>
    <row r="186" spans="1:65" ht="20.100000000000001" customHeight="1" thickBot="1">
      <c r="A186" s="28"/>
      <c r="B186" s="557" t="s">
        <v>165</v>
      </c>
      <c r="C186" s="557"/>
      <c r="D186" s="557"/>
      <c r="E186" s="557"/>
      <c r="F186" s="1296" t="s">
        <v>153</v>
      </c>
      <c r="G186" s="1296" t="s">
        <v>154</v>
      </c>
      <c r="H186" s="1024"/>
      <c r="I186" s="1024"/>
      <c r="J186" s="1024"/>
      <c r="K186" s="1024"/>
      <c r="L186" s="1024"/>
      <c r="M186" s="1024"/>
      <c r="N186" s="1024"/>
      <c r="O186" s="460"/>
      <c r="P186" s="1024"/>
      <c r="Q186" s="1024"/>
      <c r="R186" s="410"/>
      <c r="BB186" s="410"/>
      <c r="BC186" s="410"/>
      <c r="BD186" s="410"/>
      <c r="BE186" s="410"/>
      <c r="BF186" s="410"/>
      <c r="BG186" s="410"/>
      <c r="BH186" s="410"/>
      <c r="BI186" s="410"/>
      <c r="BJ186" s="410"/>
      <c r="BK186" s="410"/>
      <c r="BL186" s="410"/>
      <c r="BM186" s="410"/>
    </row>
    <row r="187" spans="1:65" ht="20.100000000000001" customHeight="1">
      <c r="A187" s="28"/>
      <c r="B187" s="1024"/>
      <c r="C187" s="1024"/>
      <c r="D187" s="1024"/>
      <c r="E187" s="1024"/>
      <c r="F187" s="1024">
        <v>4</v>
      </c>
      <c r="G187" s="1024">
        <v>9</v>
      </c>
      <c r="H187" s="1024"/>
      <c r="I187" s="1024"/>
      <c r="J187" s="1024"/>
      <c r="K187" s="1024"/>
      <c r="L187" s="1024"/>
      <c r="M187" s="1024"/>
      <c r="N187" s="1024"/>
      <c r="O187" s="460"/>
      <c r="P187" s="1024"/>
      <c r="Q187" s="1024"/>
      <c r="R187" s="410"/>
      <c r="S187" s="872" t="s">
        <v>2959</v>
      </c>
      <c r="T187" s="367"/>
      <c r="U187" s="367"/>
      <c r="V187" s="1256">
        <v>2019</v>
      </c>
      <c r="W187" s="1256">
        <v>2020</v>
      </c>
      <c r="X187" s="1256">
        <v>2021</v>
      </c>
      <c r="Y187" s="1256">
        <f>X187+1</f>
        <v>2022</v>
      </c>
      <c r="Z187" s="1256">
        <f t="shared" ref="Z187" si="427">Y187+1</f>
        <v>2023</v>
      </c>
      <c r="AA187" s="1256">
        <f t="shared" ref="AA187" si="428">Z187+1</f>
        <v>2024</v>
      </c>
      <c r="AB187" s="1256">
        <f t="shared" ref="AB187" si="429">AA187+1</f>
        <v>2025</v>
      </c>
      <c r="AC187" s="1256">
        <f t="shared" ref="AC187" si="430">AB187+1</f>
        <v>2026</v>
      </c>
      <c r="AD187" s="1256">
        <f t="shared" ref="AD187" si="431">AC187+1</f>
        <v>2027</v>
      </c>
      <c r="AE187" s="1256">
        <f t="shared" ref="AE187" si="432">AD187+1</f>
        <v>2028</v>
      </c>
      <c r="AF187" s="1256">
        <f t="shared" ref="AF187" si="433">AE187+1</f>
        <v>2029</v>
      </c>
      <c r="AG187" s="1256">
        <f t="shared" ref="AG187" si="434">AF187+1</f>
        <v>2030</v>
      </c>
      <c r="AH187" s="1256">
        <f t="shared" ref="AH187" si="435">AG187+1</f>
        <v>2031</v>
      </c>
      <c r="AI187" s="1256">
        <f t="shared" ref="AI187" si="436">AH187+1</f>
        <v>2032</v>
      </c>
      <c r="AJ187" s="1256">
        <f t="shared" ref="AJ187" si="437">AI187+1</f>
        <v>2033</v>
      </c>
      <c r="AK187" s="1256">
        <f t="shared" ref="AK187" si="438">AJ187+1</f>
        <v>2034</v>
      </c>
      <c r="AL187" s="1256">
        <f t="shared" ref="AL187" si="439">AK187+1</f>
        <v>2035</v>
      </c>
      <c r="AM187" s="1256">
        <f t="shared" ref="AM187" si="440">AL187+1</f>
        <v>2036</v>
      </c>
      <c r="AN187" s="1256">
        <f t="shared" ref="AN187" si="441">AM187+1</f>
        <v>2037</v>
      </c>
      <c r="AO187" s="1256">
        <f t="shared" ref="AO187" si="442">AN187+1</f>
        <v>2038</v>
      </c>
      <c r="AP187" s="1256">
        <f t="shared" ref="AP187" si="443">AO187+1</f>
        <v>2039</v>
      </c>
      <c r="AQ187" s="1256">
        <f t="shared" ref="AQ187" si="444">AP187+1</f>
        <v>2040</v>
      </c>
      <c r="AR187" s="1256">
        <f t="shared" ref="AR187" si="445">AQ187+1</f>
        <v>2041</v>
      </c>
      <c r="AS187" s="1256">
        <f t="shared" ref="AS187" si="446">AR187+1</f>
        <v>2042</v>
      </c>
      <c r="AT187" s="1256">
        <f t="shared" ref="AT187" si="447">AS187+1</f>
        <v>2043</v>
      </c>
      <c r="AU187" s="1256">
        <f t="shared" ref="AU187" si="448">AT187+1</f>
        <v>2044</v>
      </c>
      <c r="AV187" s="1256">
        <f t="shared" ref="AV187" si="449">AU187+1</f>
        <v>2045</v>
      </c>
      <c r="AW187" s="1256">
        <f t="shared" ref="AW187" si="450">AV187+1</f>
        <v>2046</v>
      </c>
      <c r="AX187" s="1256">
        <f t="shared" ref="AX187" si="451">AW187+1</f>
        <v>2047</v>
      </c>
      <c r="AY187" s="1256">
        <f t="shared" ref="AY187" si="452">AX187+1</f>
        <v>2048</v>
      </c>
      <c r="AZ187" s="1256">
        <f t="shared" ref="AZ187" si="453">AY187+1</f>
        <v>2049</v>
      </c>
      <c r="BA187" s="318">
        <f t="shared" ref="BA187" si="454">AZ187+1</f>
        <v>2050</v>
      </c>
      <c r="BB187" s="410"/>
      <c r="BC187" s="410"/>
      <c r="BD187" s="410"/>
      <c r="BE187" s="410"/>
      <c r="BF187" s="410"/>
      <c r="BG187" s="410"/>
      <c r="BH187" s="410"/>
      <c r="BI187" s="410"/>
      <c r="BJ187" s="410"/>
      <c r="BK187" s="410"/>
      <c r="BL187" s="410"/>
      <c r="BM187" s="410"/>
    </row>
    <row r="188" spans="1:65" ht="20.100000000000001" customHeight="1">
      <c r="A188" s="28"/>
      <c r="B188" s="650" t="str">
        <f>IF(G187&lt;F187,"! end year has to be after start year!","")</f>
        <v/>
      </c>
      <c r="C188" s="650"/>
      <c r="D188" s="650"/>
      <c r="E188" s="650"/>
      <c r="F188" s="1420" t="s">
        <v>2159</v>
      </c>
      <c r="G188" s="1420" t="s">
        <v>925</v>
      </c>
      <c r="H188" s="654"/>
      <c r="I188" s="1024"/>
      <c r="J188" s="1024"/>
      <c r="K188" s="1024"/>
      <c r="L188" s="1024"/>
      <c r="M188" s="1024"/>
      <c r="N188" s="1024"/>
      <c r="O188" s="460"/>
      <c r="P188" s="1024"/>
      <c r="Q188" s="1024"/>
      <c r="R188" s="410"/>
      <c r="S188" s="844" t="s">
        <v>2949</v>
      </c>
      <c r="T188" s="787" t="s">
        <v>2964</v>
      </c>
      <c r="U188" s="366"/>
      <c r="V188" s="360">
        <f>IF(V187&lt;START!$C$2+2021,0,V48*V8/1000)</f>
        <v>0</v>
      </c>
      <c r="W188" s="360">
        <f>IF(W176&lt;START!$C$2+2021,0,W48*W8/1000)</f>
        <v>0</v>
      </c>
      <c r="X188" s="360">
        <f>IF(X176&lt;START!$C$2+2021,0,X48*X8/1000)</f>
        <v>0</v>
      </c>
      <c r="Y188" s="360">
        <f>IF(Y176&lt;START!$C$2+2021,0,Y48*Y8/1000)</f>
        <v>0</v>
      </c>
      <c r="Z188" s="360">
        <f>IF(Z176&lt;START!$C$2+2021,0,Z48*Z8/1000)</f>
        <v>19168.485771313939</v>
      </c>
      <c r="AA188" s="360">
        <f>IF(AA176&lt;START!$C$2+2021,0,AA48*AA8/1000)</f>
        <v>19312.578134711483</v>
      </c>
      <c r="AB188" s="360">
        <f>IF(AB176&lt;START!$C$2+2021,0,AB48*AB8/1000)</f>
        <v>19457.718797887992</v>
      </c>
      <c r="AC188" s="360">
        <f>IF(AC176&lt;START!$C$2+2021,0,AC48*AC8/1000)</f>
        <v>19584.65570987645</v>
      </c>
      <c r="AD188" s="360">
        <f>IF(AD176&lt;START!$C$2+2021,0,AD48*AD8/1000)</f>
        <v>19712.25577582245</v>
      </c>
      <c r="AE188" s="360">
        <f>IF(AE176&lt;START!$C$2+2021,0,AE48*AE8/1000)</f>
        <v>19840.519863189136</v>
      </c>
      <c r="AF188" s="360">
        <f>IF(AF176&lt;START!$C$2+2021,0,AF48*AF8/1000)</f>
        <v>19969.448819547732</v>
      </c>
      <c r="AG188" s="360">
        <f>IF(AG176&lt;START!$C$2+2021,0,AG48*AG8/1000)</f>
        <v>20099.043472497076</v>
      </c>
      <c r="AH188" s="360">
        <f>IF(AH176&lt;START!$C$2+2021,0,AH48*AH8/1000)</f>
        <v>20186.726508541873</v>
      </c>
      <c r="AI188" s="360">
        <f>IF(AI176&lt;START!$C$2+2021,0,AI48*AI8/1000)</f>
        <v>20274.730727504153</v>
      </c>
      <c r="AJ188" s="360">
        <f>IF(AJ176&lt;START!$C$2+2021,0,AJ48*AJ8/1000)</f>
        <v>20363.066765959262</v>
      </c>
      <c r="AK188" s="360">
        <f>IF(AK176&lt;START!$C$2+2021,0,AK48*AK8/1000)</f>
        <v>20451.74455139065</v>
      </c>
      <c r="AL188" s="360">
        <f>IF(AL176&lt;START!$C$2+2021,0,AL48*AL8/1000)</f>
        <v>20540.67261269506</v>
      </c>
      <c r="AM188" s="360">
        <f>IF(AM176&lt;START!$C$2+2021,0,AM48*AM8/1000)</f>
        <v>20629.959869708393</v>
      </c>
      <c r="AN188" s="360">
        <f>IF(AN176&lt;START!$C$2+2021,0,AN48*AN8/1000)</f>
        <v>20719.614403057582</v>
      </c>
      <c r="AO188" s="360">
        <f>IF(AO176&lt;START!$C$2+2021,0,AO48*AO8/1000)</f>
        <v>20809.643762041265</v>
      </c>
      <c r="AP188" s="360">
        <f>IF(AP176&lt;START!$C$2+2021,0,AP48*AP8/1000)</f>
        <v>20900.05500222497</v>
      </c>
      <c r="AQ188" s="360">
        <f>IF(AQ176&lt;START!$C$2+2021,0,AQ48*AQ8/1000)</f>
        <v>20990.854720611256</v>
      </c>
      <c r="AR188" s="360">
        <f>IF(AR176&lt;START!$C$2+2021,0,AR48*AR8/1000)</f>
        <v>21085.828022725276</v>
      </c>
      <c r="AS188" s="360">
        <f>IF(AS176&lt;START!$C$2+2021,0,AS48*AS8/1000)</f>
        <v>21181.284869375275</v>
      </c>
      <c r="AT188" s="360">
        <f>IF(AT176&lt;START!$C$2+2021,0,AT48*AT8/1000)</f>
        <v>21277.227934581704</v>
      </c>
      <c r="AU188" s="360">
        <f>IF(AU176&lt;START!$C$2+2021,0,AU48*AU8/1000)</f>
        <v>21373.659760922212</v>
      </c>
      <c r="AV188" s="360">
        <f>IF(AV176&lt;START!$C$2+2021,0,AV48*AV8/1000)</f>
        <v>21470.582771717767</v>
      </c>
      <c r="AW188" s="360">
        <f>IF(AW176&lt;START!$C$2+2021,0,AW48*AW8/1000)</f>
        <v>21563.917808798851</v>
      </c>
      <c r="AX188" s="360">
        <f>IF(AX176&lt;START!$C$2+2021,0,AX48*AX8/1000)</f>
        <v>21657.569398137333</v>
      </c>
      <c r="AY188" s="360">
        <f>IF(AY176&lt;START!$C$2+2021,0,AY48*AY8/1000)</f>
        <v>21751.644910636136</v>
      </c>
      <c r="AZ188" s="360">
        <f>IF(AZ176&lt;START!$C$2+2021,0,AZ48*AZ8/1000)</f>
        <v>21846.148263790226</v>
      </c>
      <c r="BA188" s="1070">
        <f>IF(BA176&lt;START!$C$2+2021,0,BA48*BA8/1000)</f>
        <v>21941.083153573105</v>
      </c>
      <c r="BB188" s="410"/>
      <c r="BC188" s="410"/>
      <c r="BD188" s="410"/>
      <c r="BE188" s="410"/>
      <c r="BF188" s="410"/>
      <c r="BG188" s="410"/>
      <c r="BH188" s="410"/>
      <c r="BI188" s="410"/>
      <c r="BJ188" s="410"/>
      <c r="BK188" s="410"/>
      <c r="BL188" s="410"/>
      <c r="BM188" s="410"/>
    </row>
    <row r="189" spans="1:65" ht="20.100000000000001" customHeight="1">
      <c r="A189" s="28"/>
      <c r="B189" s="413" t="str">
        <f>IF(F187&lt;START!$C$2,"Policy period starts before the starting year for the study","")</f>
        <v/>
      </c>
      <c r="C189" s="413"/>
      <c r="D189" s="413"/>
      <c r="E189" s="413"/>
      <c r="F189" s="1420"/>
      <c r="G189" s="1420"/>
      <c r="H189" s="1296" t="s">
        <v>928</v>
      </c>
      <c r="I189" s="1024"/>
      <c r="J189" s="1024"/>
      <c r="K189" s="1024"/>
      <c r="L189" s="1024"/>
      <c r="M189" s="1024"/>
      <c r="N189" s="1024"/>
      <c r="O189" s="460"/>
      <c r="P189" s="1024"/>
      <c r="Q189" s="1024"/>
      <c r="R189" s="410"/>
      <c r="S189" s="844" t="s">
        <v>2950</v>
      </c>
      <c r="T189" s="787" t="s">
        <v>2964</v>
      </c>
      <c r="U189" s="366"/>
      <c r="V189" s="360">
        <f>IF(V187&lt;START!$C$2+2021,0,V87*V8/1000)</f>
        <v>0</v>
      </c>
      <c r="W189" s="360">
        <f>IF(W187&lt;START!$C$2+2021,0,W87*W8/1000)</f>
        <v>0</v>
      </c>
      <c r="X189" s="360">
        <f>IF(X187&lt;START!$C$2+2021,0,X87*X8/1000)</f>
        <v>0</v>
      </c>
      <c r="Y189" s="360">
        <f>IF(Y187&lt;START!$C$2+2021,0,Y87*Y8/1000)</f>
        <v>0</v>
      </c>
      <c r="Z189" s="360">
        <f>IF(Z187&lt;START!$C$2+2021,0,Z87*Z8/1000)</f>
        <v>160958.77128262294</v>
      </c>
      <c r="AA189" s="360">
        <f>IF(AA187&lt;START!$C$2+2021,0,AA87*AA8/1000)</f>
        <v>162478.71387314016</v>
      </c>
      <c r="AB189" s="360">
        <f>IF(AB187&lt;START!$C$2+2021,0,AB87*AB8/1000)</f>
        <v>163943.93275592703</v>
      </c>
      <c r="AC189" s="360">
        <f>IF(AC187&lt;START!$C$2+2021,0,AC87*AC8/1000)</f>
        <v>165422.45362157814</v>
      </c>
      <c r="AD189" s="360">
        <f>IF(AD187&lt;START!$C$2+2021,0,AD87*AD8/1000)</f>
        <v>166914.37614383729</v>
      </c>
      <c r="AE189" s="360">
        <f>IF(AE187&lt;START!$C$2+2021,0,AE87*AE8/1000)</f>
        <v>168419.80064809803</v>
      </c>
      <c r="AF189" s="360">
        <f>IF(AF187&lt;START!$C$2+2021,0,AF87*AF8/1000)</f>
        <v>169938.82811528526</v>
      </c>
      <c r="AG189" s="360">
        <f>IF(AG187&lt;START!$C$2+2021,0,AG87*AG8/1000)</f>
        <v>171471.56018576009</v>
      </c>
      <c r="AH189" s="360">
        <f>IF(AH187&lt;START!$C$2+2021,0,AH87*AH8/1000)</f>
        <v>172157.67328845727</v>
      </c>
      <c r="AI189" s="360">
        <f>IF(AI187&lt;START!$C$2+2021,0,AI87*AI8/1000)</f>
        <v>172846.70184584314</v>
      </c>
      <c r="AJ189" s="360">
        <f>IF(AJ187&lt;START!$C$2+2021,0,AJ87*AJ8/1000)</f>
        <v>173538.65645167034</v>
      </c>
      <c r="AK189" s="360">
        <f>IF(AK187&lt;START!$C$2+2021,0,AK87*AK8/1000)</f>
        <v>174230.5564488575</v>
      </c>
      <c r="AL189" s="360">
        <f>IF(AL187&lt;START!$C$2+2021,0,AL87*AL8/1000)</f>
        <v>174924.71712364224</v>
      </c>
      <c r="AM189" s="360">
        <f>IF(AM187&lt;START!$C$2+2021,0,AM87*AM8/1000)</f>
        <v>175621.9947789117</v>
      </c>
      <c r="AN189" s="360">
        <f>IF(AN187&lt;START!$C$2+2021,0,AN87*AN8/1000)</f>
        <v>176322.39170462792</v>
      </c>
      <c r="AO189" s="360">
        <f>IF(AO187&lt;START!$C$2+2021,0,AO87*AO8/1000)</f>
        <v>177025.91065851392</v>
      </c>
      <c r="AP189" s="360">
        <f>IF(AP187&lt;START!$C$2+2021,0,AP87*AP8/1000)</f>
        <v>177732.55484393021</v>
      </c>
      <c r="AQ189" s="360">
        <f>IF(AQ187&lt;START!$C$2+2021,0,AQ87*AQ8/1000)</f>
        <v>178442.32788889305</v>
      </c>
      <c r="AR189" s="360">
        <f>IF(AR187&lt;START!$C$2+2021,0,AR87*AR8/1000)</f>
        <v>179154.36567458962</v>
      </c>
      <c r="AS189" s="360">
        <f>IF(AS187&lt;START!$C$2+2021,0,AS87*AS8/1000)</f>
        <v>179869.53732187769</v>
      </c>
      <c r="AT189" s="360">
        <f>IF(AT187&lt;START!$C$2+2021,0,AT87*AT8/1000)</f>
        <v>180587.84760520342</v>
      </c>
      <c r="AU189" s="360">
        <f>IF(AU187&lt;START!$C$2+2021,0,AU87*AU8/1000)</f>
        <v>181309.30165012548</v>
      </c>
      <c r="AV189" s="360">
        <f>IF(AV187&lt;START!$C$2+2021,0,AV87*AV8/1000)</f>
        <v>182033.90491720987</v>
      </c>
      <c r="AW189" s="360">
        <f>IF(AW187&lt;START!$C$2+2021,0,AW87*AW8/1000)</f>
        <v>182761.66318675756</v>
      </c>
      <c r="AX189" s="360">
        <f>IF(AX187&lt;START!$C$2+2021,0,AX87*AX8/1000)</f>
        <v>183491.70398405794</v>
      </c>
      <c r="AY189" s="360">
        <f>IF(AY187&lt;START!$C$2+2021,0,AY87*AY8/1000)</f>
        <v>184224.9087489433</v>
      </c>
      <c r="AZ189" s="360">
        <f>IF(AZ187&lt;START!$C$2+2021,0,AZ87*AZ8/1000)</f>
        <v>184961.28412515565</v>
      </c>
      <c r="BA189" s="1070">
        <f>IF(BA187&lt;START!$C$2+2021,0,BA87*BA8/1000)</f>
        <v>185700.83702264668</v>
      </c>
    </row>
    <row r="190" spans="1:65" ht="20.100000000000001" customHeight="1">
      <c r="A190" s="1132"/>
      <c r="B190" s="641" t="s">
        <v>929</v>
      </c>
      <c r="C190" s="641"/>
      <c r="D190" s="641"/>
      <c r="E190" s="641"/>
      <c r="F190" s="659">
        <f>2021+G198</f>
        <v>2034</v>
      </c>
      <c r="G190" s="1296">
        <f>2021+G198</f>
        <v>2034</v>
      </c>
      <c r="H190" s="1296" t="s">
        <v>927</v>
      </c>
      <c r="I190" s="429"/>
      <c r="J190" s="429"/>
      <c r="K190" s="429"/>
      <c r="L190" s="429"/>
      <c r="M190" s="429"/>
      <c r="N190" s="429"/>
      <c r="O190" s="639"/>
      <c r="P190" s="1024"/>
      <c r="Q190" s="1024"/>
      <c r="R190" s="410"/>
      <c r="S190" s="844" t="s">
        <v>2733</v>
      </c>
      <c r="T190" s="787" t="s">
        <v>2965</v>
      </c>
      <c r="U190" s="366"/>
      <c r="V190" s="360">
        <f>IF(V187&lt;START!$C$2+2021,0,V98)</f>
        <v>0</v>
      </c>
      <c r="W190" s="360">
        <f>IF(W187&lt;START!$C$2+2021,0,W98)</f>
        <v>0</v>
      </c>
      <c r="X190" s="360">
        <f>IF(X187&lt;START!$C$2+2021,0,X98)</f>
        <v>0</v>
      </c>
      <c r="Y190" s="360">
        <f>IF(Y187&lt;START!$C$2+2021,0,Y98)</f>
        <v>0</v>
      </c>
      <c r="Z190" s="360">
        <f>IF(Z187&lt;START!$C$2+2021,0,Z98)</f>
        <v>0</v>
      </c>
      <c r="AA190" s="360">
        <f>IF(AA187&lt;START!$C$2+2021,0,AA98)</f>
        <v>0</v>
      </c>
      <c r="AB190" s="360">
        <f>IF(AB187&lt;START!$C$2+2021,0,AB98)</f>
        <v>0</v>
      </c>
      <c r="AC190" s="360">
        <f>IF(AC187&lt;START!$C$2+2021,0,AC98)</f>
        <v>0</v>
      </c>
      <c r="AD190" s="360">
        <f>IF(AD187&lt;START!$C$2+2021,0,AD98)</f>
        <v>0</v>
      </c>
      <c r="AE190" s="360">
        <f>IF(AE187&lt;START!$C$2+2021,0,AE98)</f>
        <v>0</v>
      </c>
      <c r="AF190" s="360">
        <f>IF(AF187&lt;START!$C$2+2021,0,AF98)</f>
        <v>0</v>
      </c>
      <c r="AG190" s="360">
        <f>IF(AG187&lt;START!$C$2+2021,0,AG98)</f>
        <v>0</v>
      </c>
      <c r="AH190" s="360">
        <f>IF(AH187&lt;START!$C$2+2021,0,AH98)</f>
        <v>0</v>
      </c>
      <c r="AI190" s="360">
        <f>IF(AI187&lt;START!$C$2+2021,0,AI98)</f>
        <v>0</v>
      </c>
      <c r="AJ190" s="360">
        <f>IF(AJ187&lt;START!$C$2+2021,0,AJ98)</f>
        <v>0</v>
      </c>
      <c r="AK190" s="360">
        <f>IF(AK187&lt;START!$C$2+2021,0,AK98)</f>
        <v>0</v>
      </c>
      <c r="AL190" s="360">
        <f>IF(AL187&lt;START!$C$2+2021,0,AL98)</f>
        <v>0</v>
      </c>
      <c r="AM190" s="360">
        <f>IF(AM187&lt;START!$C$2+2021,0,AM98)</f>
        <v>0</v>
      </c>
      <c r="AN190" s="360">
        <f>IF(AN187&lt;START!$C$2+2021,0,AN98)</f>
        <v>0</v>
      </c>
      <c r="AO190" s="360">
        <f>IF(AO187&lt;START!$C$2+2021,0,AO98)</f>
        <v>0</v>
      </c>
      <c r="AP190" s="360">
        <f>IF(AP187&lt;START!$C$2+2021,0,AP98)</f>
        <v>0</v>
      </c>
      <c r="AQ190" s="360">
        <f>IF(AQ187&lt;START!$C$2+2021,0,AQ98)</f>
        <v>0</v>
      </c>
      <c r="AR190" s="360">
        <f>IF(AR187&lt;START!$C$2+2021,0,AR98)</f>
        <v>0</v>
      </c>
      <c r="AS190" s="360">
        <f>IF(AS187&lt;START!$C$2+2021,0,AS98)</f>
        <v>0</v>
      </c>
      <c r="AT190" s="360">
        <f>IF(AT187&lt;START!$C$2+2021,0,AT98)</f>
        <v>0</v>
      </c>
      <c r="AU190" s="360">
        <f>IF(AU187&lt;START!$C$2+2021,0,AU98)</f>
        <v>0</v>
      </c>
      <c r="AV190" s="360">
        <f>IF(AV187&lt;START!$C$2+2021,0,AV98)</f>
        <v>0</v>
      </c>
      <c r="AW190" s="360">
        <f>IF(AW187&lt;START!$C$2+2021,0,AW98)</f>
        <v>0</v>
      </c>
      <c r="AX190" s="360">
        <f>IF(AX187&lt;START!$C$2+2021,0,AX98)</f>
        <v>0</v>
      </c>
      <c r="AY190" s="360">
        <f>IF(AY187&lt;START!$C$2+2021,0,AY98)</f>
        <v>0</v>
      </c>
      <c r="AZ190" s="360">
        <f>IF(AZ187&lt;START!$C$2+2021,0,AZ98)</f>
        <v>0</v>
      </c>
      <c r="BA190" s="1070">
        <f>IF(BA187&lt;START!$C$2+2021,0,BA98)</f>
        <v>0</v>
      </c>
    </row>
    <row r="191" spans="1:65" ht="20.100000000000001" customHeight="1">
      <c r="A191" s="28"/>
      <c r="B191" s="259" t="s">
        <v>938</v>
      </c>
      <c r="C191" s="557"/>
      <c r="D191" s="557"/>
      <c r="E191" s="557"/>
      <c r="F191" s="653">
        <f>INDEX($X$424:$BA$424,1,$G$198)</f>
        <v>0.2</v>
      </c>
      <c r="G191" s="272">
        <v>0.2</v>
      </c>
      <c r="H191" s="777">
        <v>0</v>
      </c>
      <c r="I191" s="1024"/>
      <c r="J191" s="1024"/>
      <c r="K191" s="1024"/>
      <c r="L191" s="1024"/>
      <c r="M191" s="1024"/>
      <c r="N191" s="1024"/>
      <c r="O191" s="460"/>
      <c r="P191" s="1024"/>
      <c r="Q191" s="1024"/>
      <c r="R191" s="410"/>
      <c r="S191" s="844" t="s">
        <v>2869</v>
      </c>
      <c r="T191" s="787" t="s">
        <v>2965</v>
      </c>
      <c r="U191" s="366"/>
      <c r="V191" s="360">
        <f>IF(V187&lt;START!$C$2+2021,0,V108)</f>
        <v>0</v>
      </c>
      <c r="W191" s="360">
        <f>IF(W187&lt;START!$C$2+2021,0,W108)</f>
        <v>0</v>
      </c>
      <c r="X191" s="360">
        <f>IF(X187&lt;START!$C$2+2021,0,X108)</f>
        <v>0</v>
      </c>
      <c r="Y191" s="360">
        <f>IF(Y187&lt;START!$C$2+2021,0,Y108)</f>
        <v>0</v>
      </c>
      <c r="Z191" s="360">
        <f>IF(Z187&lt;START!$C$2+2021,0,Z108)</f>
        <v>9.1146370191921999</v>
      </c>
      <c r="AA191" s="360">
        <f>IF(AA187&lt;START!$C$2+2021,0,AA108)</f>
        <v>9.1227490461392797</v>
      </c>
      <c r="AB191" s="360">
        <f>IF(AB187&lt;START!$C$2+2021,0,AB108)</f>
        <v>9.1308682927903426</v>
      </c>
      <c r="AC191" s="360">
        <f>IF(AC187&lt;START!$C$2+2021,0,AC108)</f>
        <v>9.1389947655709243</v>
      </c>
      <c r="AD191" s="360">
        <f>IF(AD187&lt;START!$C$2+2021,0,AD108)</f>
        <v>9.1471284709122802</v>
      </c>
      <c r="AE191" s="360">
        <f>IF(AE187&lt;START!$C$2+2021,0,AE108)</f>
        <v>9.1552694152513947</v>
      </c>
      <c r="AF191" s="360">
        <f>IF(AF187&lt;START!$C$2+2021,0,AF108)</f>
        <v>9.1634176050309666</v>
      </c>
      <c r="AG191" s="360">
        <f>IF(AG187&lt;START!$C$2+2021,0,AG108)</f>
        <v>9.1715730466994447</v>
      </c>
      <c r="AH191" s="360">
        <f>IF(AH187&lt;START!$C$2+2021,0,AH108)</f>
        <v>8.7451407578931519</v>
      </c>
      <c r="AI191" s="360">
        <f>IF(AI187&lt;START!$C$2+2021,0,AI108)</f>
        <v>8.3385354383549135</v>
      </c>
      <c r="AJ191" s="360">
        <f>IF(AJ187&lt;START!$C$2+2021,0,AJ108)</f>
        <v>7.9508352331485987</v>
      </c>
      <c r="AK191" s="360">
        <f>IF(AK187&lt;START!$C$2+2021,0,AK108)</f>
        <v>7.5811611489833544</v>
      </c>
      <c r="AL191" s="360">
        <f>IF(AL187&lt;START!$C$2+2021,0,AL108)</f>
        <v>7.2286750613613719</v>
      </c>
      <c r="AM191" s="360">
        <f>IF(AM187&lt;START!$C$2+2021,0,AM108)</f>
        <v>6.892577814383376</v>
      </c>
      <c r="AN191" s="360">
        <f>IF(AN187&lt;START!$C$2+2021,0,AN108)</f>
        <v>6.5721074089036211</v>
      </c>
      <c r="AO191" s="360">
        <f>IF(AO187&lt;START!$C$2+2021,0,AO108)</f>
        <v>6.2665372749266472</v>
      </c>
      <c r="AP191" s="360">
        <f>IF(AP187&lt;START!$C$2+2021,0,AP108)</f>
        <v>5.9751746243289325</v>
      </c>
      <c r="AQ191" s="360">
        <f>IF(AQ187&lt;START!$C$2+2021,0,AQ108)</f>
        <v>5.6973588801707598</v>
      </c>
      <c r="AR191" s="360">
        <f>IF(AR187&lt;START!$C$2+2021,0,AR108)</f>
        <v>5.4324601790372196</v>
      </c>
      <c r="AS191" s="360">
        <f>IF(AS187&lt;START!$C$2+2021,0,AS108)</f>
        <v>5.1798779430128841</v>
      </c>
      <c r="AT191" s="360">
        <f>IF(AT187&lt;START!$C$2+2021,0,AT108)</f>
        <v>4.9390395180524997</v>
      </c>
      <c r="AU191" s="360">
        <f>IF(AU187&lt;START!$C$2+2021,0,AU108)</f>
        <v>4.70939887566065</v>
      </c>
      <c r="AV191" s="360">
        <f>IF(AV187&lt;START!$C$2+2021,0,AV108)</f>
        <v>4.4904353749368084</v>
      </c>
      <c r="AW191" s="360">
        <f>IF(AW187&lt;START!$C$2+2021,0,AW108)</f>
        <v>4.2816525821791229</v>
      </c>
      <c r="AX191" s="360">
        <f>IF(AX187&lt;START!$C$2+2021,0,AX108)</f>
        <v>4.0825771453707045</v>
      </c>
      <c r="AY191" s="360">
        <f>IF(AY187&lt;START!$C$2+2021,0,AY108)</f>
        <v>3.892757720996693</v>
      </c>
      <c r="AZ191" s="360">
        <f>IF(AZ187&lt;START!$C$2+2021,0,AZ108)</f>
        <v>3.7117639507589515</v>
      </c>
      <c r="BA191" s="1070">
        <f>IF(BA187&lt;START!$C$2+2021,0,BA108)</f>
        <v>3.5391854858684142</v>
      </c>
    </row>
    <row r="192" spans="1:65" ht="20.100000000000001" customHeight="1">
      <c r="A192" s="28"/>
      <c r="B192" s="259" t="s">
        <v>2067</v>
      </c>
      <c r="C192" s="557"/>
      <c r="D192" s="557"/>
      <c r="E192" s="557"/>
      <c r="F192" s="653">
        <f>INDEX($X$427:$BA$427,1,$G$198)</f>
        <v>0</v>
      </c>
      <c r="G192" s="272">
        <v>0</v>
      </c>
      <c r="H192" s="654"/>
      <c r="I192" s="1024"/>
      <c r="J192" s="1024"/>
      <c r="K192" s="1024"/>
      <c r="L192" s="1024"/>
      <c r="M192" s="1024"/>
      <c r="N192" s="1024"/>
      <c r="O192" s="460"/>
      <c r="P192" s="1024"/>
      <c r="Q192" s="1024"/>
      <c r="R192" s="410"/>
      <c r="S192" s="844" t="s">
        <v>2951</v>
      </c>
      <c r="T192" s="787" t="s">
        <v>2964</v>
      </c>
      <c r="U192" s="366"/>
      <c r="V192" s="360">
        <v>0</v>
      </c>
      <c r="W192" s="360">
        <v>0</v>
      </c>
      <c r="X192" s="360">
        <v>0</v>
      </c>
      <c r="Y192" s="360">
        <v>0</v>
      </c>
      <c r="Z192" s="360">
        <v>0</v>
      </c>
      <c r="AA192" s="360">
        <v>0</v>
      </c>
      <c r="AB192" s="360">
        <v>0</v>
      </c>
      <c r="AC192" s="360">
        <v>0</v>
      </c>
      <c r="AD192" s="360">
        <v>0</v>
      </c>
      <c r="AE192" s="360">
        <v>0</v>
      </c>
      <c r="AF192" s="360">
        <v>0</v>
      </c>
      <c r="AG192" s="360">
        <v>0</v>
      </c>
      <c r="AH192" s="360">
        <v>0</v>
      </c>
      <c r="AI192" s="360">
        <v>0</v>
      </c>
      <c r="AJ192" s="360">
        <v>0</v>
      </c>
      <c r="AK192" s="360">
        <v>0</v>
      </c>
      <c r="AL192" s="360">
        <v>0</v>
      </c>
      <c r="AM192" s="360">
        <v>0</v>
      </c>
      <c r="AN192" s="360">
        <v>0</v>
      </c>
      <c r="AO192" s="360">
        <v>0</v>
      </c>
      <c r="AP192" s="360">
        <v>0</v>
      </c>
      <c r="AQ192" s="360">
        <v>0</v>
      </c>
      <c r="AR192" s="360">
        <v>0</v>
      </c>
      <c r="AS192" s="360">
        <v>0</v>
      </c>
      <c r="AT192" s="360">
        <v>0</v>
      </c>
      <c r="AU192" s="360">
        <v>0</v>
      </c>
      <c r="AV192" s="360">
        <v>0</v>
      </c>
      <c r="AW192" s="360">
        <v>0</v>
      </c>
      <c r="AX192" s="360">
        <v>0</v>
      </c>
      <c r="AY192" s="360">
        <v>0</v>
      </c>
      <c r="AZ192" s="360">
        <v>0</v>
      </c>
      <c r="BA192" s="1070">
        <v>0</v>
      </c>
    </row>
    <row r="193" spans="1:53" ht="20.100000000000001" customHeight="1">
      <c r="A193" s="28"/>
      <c r="B193" s="259" t="s">
        <v>3160</v>
      </c>
      <c r="C193" s="557"/>
      <c r="D193" s="557"/>
      <c r="E193" s="557"/>
      <c r="F193" s="653">
        <f>INDEX($X$430:$BA$430,1,$G$198)</f>
        <v>0.5</v>
      </c>
      <c r="G193" s="272">
        <v>0.5</v>
      </c>
      <c r="H193" s="654"/>
      <c r="I193" s="1024"/>
      <c r="J193" s="1024"/>
      <c r="K193" s="1024"/>
      <c r="L193" s="1024"/>
      <c r="M193" s="1024"/>
      <c r="N193" s="1024"/>
      <c r="O193" s="460"/>
      <c r="P193" s="1024"/>
      <c r="Q193" s="1024"/>
      <c r="R193" s="410"/>
      <c r="S193" s="844" t="s">
        <v>2952</v>
      </c>
      <c r="T193" s="787" t="s">
        <v>2964</v>
      </c>
      <c r="U193" s="366"/>
      <c r="V193" s="360">
        <v>0</v>
      </c>
      <c r="W193" s="360">
        <v>0</v>
      </c>
      <c r="X193" s="360">
        <v>0</v>
      </c>
      <c r="Y193" s="360">
        <v>0</v>
      </c>
      <c r="Z193" s="360">
        <v>0</v>
      </c>
      <c r="AA193" s="360">
        <v>0</v>
      </c>
      <c r="AB193" s="360">
        <v>0</v>
      </c>
      <c r="AC193" s="360">
        <v>0</v>
      </c>
      <c r="AD193" s="360">
        <v>0</v>
      </c>
      <c r="AE193" s="360">
        <v>0</v>
      </c>
      <c r="AF193" s="360">
        <v>0</v>
      </c>
      <c r="AG193" s="360">
        <v>0</v>
      </c>
      <c r="AH193" s="360">
        <v>0</v>
      </c>
      <c r="AI193" s="360">
        <v>0</v>
      </c>
      <c r="AJ193" s="360">
        <v>0</v>
      </c>
      <c r="AK193" s="360">
        <v>0</v>
      </c>
      <c r="AL193" s="360">
        <v>0</v>
      </c>
      <c r="AM193" s="360">
        <v>0</v>
      </c>
      <c r="AN193" s="360">
        <v>0</v>
      </c>
      <c r="AO193" s="360">
        <v>0</v>
      </c>
      <c r="AP193" s="360">
        <v>0</v>
      </c>
      <c r="AQ193" s="360">
        <v>0</v>
      </c>
      <c r="AR193" s="360">
        <v>0</v>
      </c>
      <c r="AS193" s="360">
        <v>0</v>
      </c>
      <c r="AT193" s="360">
        <v>0</v>
      </c>
      <c r="AU193" s="360">
        <v>0</v>
      </c>
      <c r="AV193" s="360">
        <v>0</v>
      </c>
      <c r="AW193" s="360">
        <v>0</v>
      </c>
      <c r="AX193" s="360">
        <v>0</v>
      </c>
      <c r="AY193" s="360">
        <v>0</v>
      </c>
      <c r="AZ193" s="360">
        <v>0</v>
      </c>
      <c r="BA193" s="1070">
        <v>0</v>
      </c>
    </row>
    <row r="194" spans="1:53" ht="20.100000000000001" customHeight="1">
      <c r="A194" s="28"/>
      <c r="B194" s="259" t="s">
        <v>933</v>
      </c>
      <c r="C194" s="1078"/>
      <c r="D194" s="557"/>
      <c r="E194" s="557"/>
      <c r="F194" s="653">
        <f>INDEX($X$433:$BA$433,1,$G$198)</f>
        <v>1.5799999999999998</v>
      </c>
      <c r="G194" s="272">
        <v>1.6</v>
      </c>
      <c r="H194" s="654"/>
      <c r="I194" s="1024"/>
      <c r="J194" s="1024"/>
      <c r="K194" s="1024"/>
      <c r="L194" s="1024"/>
      <c r="M194" s="1024"/>
      <c r="N194" s="1024"/>
      <c r="O194" s="460"/>
      <c r="P194" s="1024"/>
      <c r="Q194" s="1024"/>
      <c r="R194" s="410"/>
      <c r="S194" s="844" t="s">
        <v>2953</v>
      </c>
      <c r="T194" s="787" t="s">
        <v>2964</v>
      </c>
      <c r="U194" s="366"/>
      <c r="V194" s="360">
        <v>0</v>
      </c>
      <c r="W194" s="360">
        <v>0</v>
      </c>
      <c r="X194" s="360">
        <v>0</v>
      </c>
      <c r="Y194" s="360">
        <v>0</v>
      </c>
      <c r="Z194" s="360">
        <v>0</v>
      </c>
      <c r="AA194" s="360">
        <v>0</v>
      </c>
      <c r="AB194" s="360">
        <v>0</v>
      </c>
      <c r="AC194" s="360">
        <v>0</v>
      </c>
      <c r="AD194" s="360">
        <v>0</v>
      </c>
      <c r="AE194" s="360">
        <v>0</v>
      </c>
      <c r="AF194" s="360">
        <v>0</v>
      </c>
      <c r="AG194" s="360">
        <v>0</v>
      </c>
      <c r="AH194" s="360">
        <v>0</v>
      </c>
      <c r="AI194" s="360">
        <v>0</v>
      </c>
      <c r="AJ194" s="360">
        <v>0</v>
      </c>
      <c r="AK194" s="360">
        <v>0</v>
      </c>
      <c r="AL194" s="360">
        <v>0</v>
      </c>
      <c r="AM194" s="360">
        <v>0</v>
      </c>
      <c r="AN194" s="360">
        <v>0</v>
      </c>
      <c r="AO194" s="360">
        <v>0</v>
      </c>
      <c r="AP194" s="360">
        <v>0</v>
      </c>
      <c r="AQ194" s="360">
        <v>0</v>
      </c>
      <c r="AR194" s="360">
        <v>0</v>
      </c>
      <c r="AS194" s="360">
        <v>0</v>
      </c>
      <c r="AT194" s="360">
        <v>0</v>
      </c>
      <c r="AU194" s="360">
        <v>0</v>
      </c>
      <c r="AV194" s="360">
        <v>0</v>
      </c>
      <c r="AW194" s="360">
        <v>0</v>
      </c>
      <c r="AX194" s="360">
        <v>0</v>
      </c>
      <c r="AY194" s="360">
        <v>0</v>
      </c>
      <c r="AZ194" s="360">
        <v>0</v>
      </c>
      <c r="BA194" s="1070">
        <v>0</v>
      </c>
    </row>
    <row r="195" spans="1:53" ht="20.100000000000001" customHeight="1">
      <c r="A195" s="28"/>
      <c r="B195" s="1283" t="s">
        <v>932</v>
      </c>
      <c r="C195" s="30"/>
      <c r="D195" s="1119"/>
      <c r="E195" s="1119"/>
      <c r="F195" s="655">
        <f>INDEX($X$436:$BA$436,1,$G$198)</f>
        <v>97.72</v>
      </c>
      <c r="G195" s="655">
        <f>100-SUM(G191:G194)</f>
        <v>97.7</v>
      </c>
      <c r="H195" s="654"/>
      <c r="I195" s="1024"/>
      <c r="J195" s="1024"/>
      <c r="K195" s="1024"/>
      <c r="L195" s="1024"/>
      <c r="M195" s="1024"/>
      <c r="N195" s="1024"/>
      <c r="O195" s="460"/>
      <c r="P195" s="1024"/>
      <c r="Q195" s="1024"/>
      <c r="R195" s="410"/>
      <c r="S195" s="844" t="s">
        <v>2957</v>
      </c>
      <c r="T195" s="787" t="s">
        <v>2964</v>
      </c>
      <c r="U195" s="366"/>
      <c r="V195" s="360">
        <f>IF(V187&lt;START!$C$2+2021,0,V173*V8/1000)</f>
        <v>0</v>
      </c>
      <c r="W195" s="360">
        <f>IF(W187&lt;START!$C$2+2021,0,W173*W8/1000)</f>
        <v>0</v>
      </c>
      <c r="X195" s="360">
        <f>IF(X187&lt;START!$C$2+2021,0,X173*X8/1000)</f>
        <v>0</v>
      </c>
      <c r="Y195" s="360">
        <f>IF(Y187&lt;START!$C$2+2021,0,Y173*Y8/1000)</f>
        <v>0</v>
      </c>
      <c r="Z195" s="360">
        <f>IF(Z187&lt;START!$C$2+2021,0,Z173*Z8/1000)</f>
        <v>231.15570036735483</v>
      </c>
      <c r="AA195" s="360">
        <f>IF(AA187&lt;START!$C$2+2021,0,AA173*AA8/1000)</f>
        <v>234.40262914616093</v>
      </c>
      <c r="AB195" s="360">
        <f>IF(AB187&lt;START!$C$2+2021,0,AB173*AB8/1000)</f>
        <v>237.69531506316747</v>
      </c>
      <c r="AC195" s="360">
        <f>IF(AC187&lt;START!$C$2+2021,0,AC173*AC8/1000)</f>
        <v>241.03437306991819</v>
      </c>
      <c r="AD195" s="360">
        <f>IF(AD187&lt;START!$C$2+2021,0,AD173*AD8/1000)</f>
        <v>244.42042596967494</v>
      </c>
      <c r="AE195" s="360">
        <f>IF(AE187&lt;START!$C$2+2021,0,AE173*AE8/1000)</f>
        <v>247.854104513338</v>
      </c>
      <c r="AF195" s="360">
        <f>IF(AF187&lt;START!$C$2+2021,0,AF173*AF8/1000)</f>
        <v>251.33604749649615</v>
      </c>
      <c r="AG195" s="360">
        <f>IF(AG187&lt;START!$C$2+2021,0,AG173*AG8/1000)</f>
        <v>254.86690185762015</v>
      </c>
      <c r="AH195" s="360">
        <f>IF(AH187&lt;START!$C$2+2021,0,AH173*AH8/1000)</f>
        <v>258.18610541329974</v>
      </c>
      <c r="AI195" s="360">
        <f>IF(AI187&lt;START!$C$2+2021,0,AI173*AI8/1000)</f>
        <v>261.54878299757269</v>
      </c>
      <c r="AJ195" s="360">
        <f>IF(AJ187&lt;START!$C$2+2021,0,AJ173*AJ8/1000)</f>
        <v>264.9555036103381</v>
      </c>
      <c r="AK195" s="360">
        <f>IF(AK187&lt;START!$C$2+2021,0,AK173*AK8/1000)</f>
        <v>268.40684366527961</v>
      </c>
      <c r="AL195" s="360">
        <f>IF(AL187&lt;START!$C$2+2021,0,AL173*AL8/1000)</f>
        <v>271.90205358549292</v>
      </c>
      <c r="AM195" s="360">
        <f>IF(AM187&lt;START!$C$2+2021,0,AM173*AM8/1000)</f>
        <v>275.44302906471501</v>
      </c>
      <c r="AN195" s="360">
        <f>IF(AN187&lt;START!$C$2+2021,0,AN173*AN8/1000)</f>
        <v>279.03036885470101</v>
      </c>
      <c r="AO195" s="360">
        <f>IF(AO187&lt;START!$C$2+2021,0,AO173*AO8/1000)</f>
        <v>282.66467950524037</v>
      </c>
      <c r="AP195" s="360">
        <f>IF(AP187&lt;START!$C$2+2021,0,AP173*AP8/1000)</f>
        <v>286.34657546505935</v>
      </c>
      <c r="AQ195" s="360">
        <f>IF(AQ187&lt;START!$C$2+2021,0,AQ173*AQ8/1000)</f>
        <v>290.07667918401904</v>
      </c>
      <c r="AR195" s="360">
        <f>IF(AR187&lt;START!$C$2+2021,0,AR173*AR8/1000)</f>
        <v>293.85419724916449</v>
      </c>
      <c r="AS195" s="360">
        <f>IF(AS187&lt;START!$C$2+2021,0,AS173*AS8/1000)</f>
        <v>297.68116106466545</v>
      </c>
      <c r="AT195" s="360">
        <f>IF(AT187&lt;START!$C$2+2021,0,AT173*AT8/1000)</f>
        <v>301.558217193286</v>
      </c>
      <c r="AU195" s="360">
        <f>IF(AU187&lt;START!$C$2+2021,0,AU173*AU8/1000)</f>
        <v>305.48602061343053</v>
      </c>
      <c r="AV195" s="360">
        <f>IF(AV187&lt;START!$C$2+2021,0,AV173*AV8/1000)</f>
        <v>309.46523482796999</v>
      </c>
      <c r="AW195" s="360">
        <f>IF(AW187&lt;START!$C$2+2021,0,AW173*AW8/1000)</f>
        <v>313.49653197446509</v>
      </c>
      <c r="AX195" s="360">
        <f>IF(AX187&lt;START!$C$2+2021,0,AX173*AX8/1000)</f>
        <v>317.57907236476888</v>
      </c>
      <c r="AY195" s="360">
        <f>IF(AY187&lt;START!$C$2+2021,0,AY173*AY8/1000)</f>
        <v>321.71503286161783</v>
      </c>
      <c r="AZ195" s="360">
        <f>IF(AZ187&lt;START!$C$2+2021,0,AZ173*AZ8/1000)</f>
        <v>325.90511163025025</v>
      </c>
      <c r="BA195" s="1070">
        <f>IF(BA187&lt;START!$C$2+2021,0,BA173*BA8/1000)</f>
        <v>330.15001591772</v>
      </c>
    </row>
    <row r="196" spans="1:53" ht="20.100000000000001" customHeight="1" thickBot="1">
      <c r="A196" s="28"/>
      <c r="B196" s="259" t="s">
        <v>170</v>
      </c>
      <c r="C196" s="557"/>
      <c r="D196" s="557"/>
      <c r="E196" s="557"/>
      <c r="F196" s="653">
        <f>SUM(F191:F195)</f>
        <v>100</v>
      </c>
      <c r="G196" s="656">
        <v>100</v>
      </c>
      <c r="H196" s="654"/>
      <c r="I196" s="1024"/>
      <c r="J196" s="1024"/>
      <c r="K196" s="1024"/>
      <c r="L196" s="1024"/>
      <c r="M196" s="1024"/>
      <c r="N196" s="1024"/>
      <c r="O196" s="460"/>
      <c r="P196" s="1024"/>
      <c r="Q196" s="1024"/>
      <c r="R196" s="410"/>
      <c r="S196" s="845" t="s">
        <v>2961</v>
      </c>
      <c r="T196" s="851"/>
      <c r="U196" s="368"/>
      <c r="V196" s="362">
        <f>SUM(V188:V195)</f>
        <v>0</v>
      </c>
      <c r="W196" s="362">
        <f t="shared" ref="W196:BA196" si="455">SUM(W188:W195)</f>
        <v>0</v>
      </c>
      <c r="X196" s="362">
        <f t="shared" si="455"/>
        <v>0</v>
      </c>
      <c r="Y196" s="362">
        <f t="shared" si="455"/>
        <v>0</v>
      </c>
      <c r="Z196" s="362">
        <f t="shared" si="455"/>
        <v>180367.52739132344</v>
      </c>
      <c r="AA196" s="362">
        <f t="shared" si="455"/>
        <v>182034.81738604393</v>
      </c>
      <c r="AB196" s="362">
        <f t="shared" si="455"/>
        <v>183648.47773717099</v>
      </c>
      <c r="AC196" s="362">
        <f t="shared" si="455"/>
        <v>185257.28269929008</v>
      </c>
      <c r="AD196" s="362">
        <f t="shared" si="455"/>
        <v>186880.19947410031</v>
      </c>
      <c r="AE196" s="362">
        <f t="shared" si="455"/>
        <v>188517.32988521576</v>
      </c>
      <c r="AF196" s="362">
        <f t="shared" si="455"/>
        <v>190168.77639993452</v>
      </c>
      <c r="AG196" s="362">
        <f t="shared" si="455"/>
        <v>191834.64213316151</v>
      </c>
      <c r="AH196" s="362">
        <f t="shared" si="455"/>
        <v>192611.33104317036</v>
      </c>
      <c r="AI196" s="362">
        <f t="shared" si="455"/>
        <v>193391.31989178321</v>
      </c>
      <c r="AJ196" s="362">
        <f t="shared" si="455"/>
        <v>194174.62955647308</v>
      </c>
      <c r="AK196" s="362">
        <f t="shared" si="455"/>
        <v>194958.28900506243</v>
      </c>
      <c r="AL196" s="362">
        <f t="shared" si="455"/>
        <v>195744.52046498415</v>
      </c>
      <c r="AM196" s="362">
        <f t="shared" si="455"/>
        <v>196534.29025549919</v>
      </c>
      <c r="AN196" s="362">
        <f t="shared" si="455"/>
        <v>197327.6085839491</v>
      </c>
      <c r="AO196" s="362">
        <f t="shared" si="455"/>
        <v>198124.48563733537</v>
      </c>
      <c r="AP196" s="362">
        <f t="shared" si="455"/>
        <v>198924.93159624457</v>
      </c>
      <c r="AQ196" s="362">
        <f t="shared" si="455"/>
        <v>199728.9566475685</v>
      </c>
      <c r="AR196" s="362">
        <f t="shared" si="455"/>
        <v>200539.48035474308</v>
      </c>
      <c r="AS196" s="362">
        <f t="shared" si="455"/>
        <v>201353.68323026062</v>
      </c>
      <c r="AT196" s="362">
        <f t="shared" si="455"/>
        <v>202171.57279649645</v>
      </c>
      <c r="AU196" s="362">
        <f t="shared" si="455"/>
        <v>202993.15683053678</v>
      </c>
      <c r="AV196" s="362">
        <f t="shared" si="455"/>
        <v>203818.44335913056</v>
      </c>
      <c r="AW196" s="362">
        <f t="shared" si="455"/>
        <v>204643.35918011304</v>
      </c>
      <c r="AX196" s="362">
        <f t="shared" si="455"/>
        <v>205470.93503170542</v>
      </c>
      <c r="AY196" s="362">
        <f t="shared" si="455"/>
        <v>206302.16145016204</v>
      </c>
      <c r="AZ196" s="362">
        <f t="shared" si="455"/>
        <v>207137.0492645269</v>
      </c>
      <c r="BA196" s="905">
        <f t="shared" si="455"/>
        <v>207975.60937762336</v>
      </c>
    </row>
    <row r="197" spans="1:53" ht="20.100000000000001" customHeight="1">
      <c r="A197" s="28"/>
      <c r="B197" s="557" t="s">
        <v>165</v>
      </c>
      <c r="C197" s="557"/>
      <c r="D197" s="557"/>
      <c r="E197" s="557"/>
      <c r="F197" s="1296" t="s">
        <v>153</v>
      </c>
      <c r="G197" s="1296" t="s">
        <v>154</v>
      </c>
      <c r="H197" s="1024"/>
      <c r="I197" s="1024"/>
      <c r="J197" s="1024"/>
      <c r="K197" s="1024"/>
      <c r="L197" s="1024"/>
      <c r="M197" s="1024"/>
      <c r="N197" s="1024"/>
      <c r="O197" s="460"/>
      <c r="P197" s="1024"/>
      <c r="Q197" s="1024"/>
      <c r="R197" s="410"/>
    </row>
    <row r="198" spans="1:53" ht="20.100000000000001" customHeight="1">
      <c r="A198" s="28"/>
      <c r="B198" s="1024"/>
      <c r="C198" s="1024"/>
      <c r="D198" s="1024"/>
      <c r="E198" s="1024"/>
      <c r="F198" s="1024">
        <v>4</v>
      </c>
      <c r="G198" s="1024">
        <v>13</v>
      </c>
      <c r="H198" s="1024"/>
      <c r="I198" s="1024"/>
      <c r="J198" s="1024"/>
      <c r="K198" s="1024"/>
      <c r="L198" s="1024"/>
      <c r="M198" s="1024"/>
      <c r="N198" s="1024"/>
      <c r="O198" s="460"/>
      <c r="P198" s="1024"/>
      <c r="Q198" s="1024"/>
      <c r="R198" s="29"/>
    </row>
    <row r="199" spans="1:53" ht="20.100000000000001" customHeight="1" thickBot="1">
      <c r="A199" s="28"/>
      <c r="B199" s="650" t="str">
        <f>IF(G198&lt;F198,"! end year has to be after start year!","")</f>
        <v/>
      </c>
      <c r="C199" s="650"/>
      <c r="D199" s="650"/>
      <c r="E199" s="650"/>
      <c r="F199" s="650"/>
      <c r="G199" s="650"/>
      <c r="H199" s="654"/>
      <c r="I199" s="1024"/>
      <c r="J199" s="1024"/>
      <c r="K199" s="1024"/>
      <c r="L199" s="1024"/>
      <c r="M199" s="1024"/>
      <c r="N199" s="1024"/>
      <c r="O199" s="460"/>
      <c r="P199" s="1024"/>
      <c r="Q199" s="1024"/>
      <c r="R199" s="29"/>
      <c r="S199" s="1322" t="s">
        <v>3187</v>
      </c>
    </row>
    <row r="200" spans="1:53" ht="20.100000000000001" customHeight="1">
      <c r="A200" s="28"/>
      <c r="B200" s="650" t="str">
        <f>IF(F198&lt;START!$C$2,"Policy period starts before the starting year for the study","")</f>
        <v/>
      </c>
      <c r="C200" s="650"/>
      <c r="D200" s="650"/>
      <c r="E200" s="650"/>
      <c r="F200" s="650"/>
      <c r="G200" s="650"/>
      <c r="H200" s="654"/>
      <c r="I200" s="1024"/>
      <c r="J200" s="1024"/>
      <c r="K200" s="1024"/>
      <c r="L200" s="1024"/>
      <c r="M200" s="1024"/>
      <c r="N200" s="1024"/>
      <c r="O200" s="460"/>
      <c r="P200" s="1024"/>
      <c r="Q200" s="1024"/>
      <c r="R200" s="29"/>
      <c r="S200" s="823"/>
      <c r="T200" s="858"/>
      <c r="U200" s="792"/>
      <c r="V200" s="792"/>
      <c r="W200" s="792"/>
      <c r="X200" s="798">
        <v>2021</v>
      </c>
      <c r="Y200" s="798">
        <f>X200+1</f>
        <v>2022</v>
      </c>
      <c r="Z200" s="798">
        <f t="shared" ref="Z200:BA200" si="456">Y200+1</f>
        <v>2023</v>
      </c>
      <c r="AA200" s="798">
        <f t="shared" si="456"/>
        <v>2024</v>
      </c>
      <c r="AB200" s="798">
        <f t="shared" si="456"/>
        <v>2025</v>
      </c>
      <c r="AC200" s="798">
        <f t="shared" si="456"/>
        <v>2026</v>
      </c>
      <c r="AD200" s="798">
        <f t="shared" si="456"/>
        <v>2027</v>
      </c>
      <c r="AE200" s="798">
        <f t="shared" si="456"/>
        <v>2028</v>
      </c>
      <c r="AF200" s="798">
        <f t="shared" si="456"/>
        <v>2029</v>
      </c>
      <c r="AG200" s="798">
        <f t="shared" si="456"/>
        <v>2030</v>
      </c>
      <c r="AH200" s="798">
        <f t="shared" si="456"/>
        <v>2031</v>
      </c>
      <c r="AI200" s="798">
        <f t="shared" si="456"/>
        <v>2032</v>
      </c>
      <c r="AJ200" s="798">
        <f t="shared" si="456"/>
        <v>2033</v>
      </c>
      <c r="AK200" s="798">
        <f t="shared" si="456"/>
        <v>2034</v>
      </c>
      <c r="AL200" s="798">
        <f t="shared" si="456"/>
        <v>2035</v>
      </c>
      <c r="AM200" s="798">
        <f t="shared" si="456"/>
        <v>2036</v>
      </c>
      <c r="AN200" s="798">
        <f t="shared" si="456"/>
        <v>2037</v>
      </c>
      <c r="AO200" s="798">
        <f t="shared" si="456"/>
        <v>2038</v>
      </c>
      <c r="AP200" s="798">
        <f t="shared" si="456"/>
        <v>2039</v>
      </c>
      <c r="AQ200" s="798">
        <f t="shared" si="456"/>
        <v>2040</v>
      </c>
      <c r="AR200" s="798">
        <f t="shared" si="456"/>
        <v>2041</v>
      </c>
      <c r="AS200" s="798">
        <f t="shared" si="456"/>
        <v>2042</v>
      </c>
      <c r="AT200" s="798">
        <f t="shared" si="456"/>
        <v>2043</v>
      </c>
      <c r="AU200" s="798">
        <f t="shared" si="456"/>
        <v>2044</v>
      </c>
      <c r="AV200" s="798">
        <f t="shared" si="456"/>
        <v>2045</v>
      </c>
      <c r="AW200" s="798">
        <f t="shared" si="456"/>
        <v>2046</v>
      </c>
      <c r="AX200" s="798">
        <f t="shared" si="456"/>
        <v>2047</v>
      </c>
      <c r="AY200" s="798">
        <f t="shared" si="456"/>
        <v>2048</v>
      </c>
      <c r="AZ200" s="798">
        <f t="shared" si="456"/>
        <v>2049</v>
      </c>
      <c r="BA200" s="799">
        <f t="shared" si="456"/>
        <v>2050</v>
      </c>
    </row>
    <row r="201" spans="1:53" ht="20.100000000000001" customHeight="1">
      <c r="A201" s="28"/>
      <c r="B201" s="1024"/>
      <c r="C201" s="1024"/>
      <c r="D201" s="1024"/>
      <c r="E201" s="1024"/>
      <c r="F201" s="1296" t="s">
        <v>924</v>
      </c>
      <c r="G201" s="1296" t="s">
        <v>2158</v>
      </c>
      <c r="H201" s="1423" t="s">
        <v>2157</v>
      </c>
      <c r="I201" s="1024"/>
      <c r="J201" s="1024"/>
      <c r="K201" s="1024"/>
      <c r="L201" s="1024"/>
      <c r="M201" s="1024"/>
      <c r="N201" s="1024"/>
      <c r="O201" s="460"/>
      <c r="P201" s="1024"/>
      <c r="Q201" s="1024"/>
      <c r="R201" s="29"/>
      <c r="S201" s="859" t="s">
        <v>156</v>
      </c>
      <c r="T201" s="791" t="s">
        <v>137</v>
      </c>
      <c r="U201" s="789"/>
      <c r="V201" s="789"/>
      <c r="W201" s="789"/>
      <c r="X201" s="54">
        <f>INDEX('DEFAULT DATA'!$B$9:$D$41,START!$C$3,1)</f>
        <v>0.5</v>
      </c>
      <c r="Y201" s="54">
        <f>INDEX('DEFAULT DATA'!$B$9:$D$41,START!$C$3,1)</f>
        <v>0.5</v>
      </c>
      <c r="Z201" s="54">
        <f>INDEX('DEFAULT DATA'!$B$9:$D$41,START!$C$3,1)</f>
        <v>0.5</v>
      </c>
      <c r="AA201" s="54">
        <f>INDEX('DEFAULT DATA'!$B$9:$D$41,START!$C$3,1)</f>
        <v>0.5</v>
      </c>
      <c r="AB201" s="54">
        <f>INDEX('DEFAULT DATA'!$B$9:$D$41,START!$C$3,1)</f>
        <v>0.5</v>
      </c>
      <c r="AC201" s="54">
        <f>INDEX('DEFAULT DATA'!$B$9:$D$41,START!$C$3,1)</f>
        <v>0.5</v>
      </c>
      <c r="AD201" s="54">
        <f>INDEX('DEFAULT DATA'!$B$9:$D$41,START!$C$3,1)</f>
        <v>0.5</v>
      </c>
      <c r="AE201" s="54">
        <f>INDEX('DEFAULT DATA'!$B$9:$D$41,START!$C$3,1)</f>
        <v>0.5</v>
      </c>
      <c r="AF201" s="54">
        <f>INDEX('DEFAULT DATA'!$B$9:$D$41,START!$C$3,1)</f>
        <v>0.5</v>
      </c>
      <c r="AG201" s="54">
        <f>INDEX('DEFAULT DATA'!$B$9:$D$41,START!$C$3,1)</f>
        <v>0.5</v>
      </c>
      <c r="AH201" s="54">
        <f>INDEX('DEFAULT DATA'!$B$9:$D$41,START!$C$3,2)</f>
        <v>0.2</v>
      </c>
      <c r="AI201" s="54">
        <f>INDEX('DEFAULT DATA'!$B$9:$D$41,START!$C$3,2)</f>
        <v>0.2</v>
      </c>
      <c r="AJ201" s="54">
        <f>INDEX('DEFAULT DATA'!$B$9:$D$41,START!$C$3,2)</f>
        <v>0.2</v>
      </c>
      <c r="AK201" s="54">
        <f>INDEX('DEFAULT DATA'!$B$9:$D$41,START!$C$3,2)</f>
        <v>0.2</v>
      </c>
      <c r="AL201" s="54">
        <f>INDEX('DEFAULT DATA'!$B$9:$D$41,START!$C$3,2)</f>
        <v>0.2</v>
      </c>
      <c r="AM201" s="54">
        <f>INDEX('DEFAULT DATA'!$B$9:$D$41,START!$C$3,2)</f>
        <v>0.2</v>
      </c>
      <c r="AN201" s="54">
        <f>INDEX('DEFAULT DATA'!$B$9:$D$41,START!$C$3,2)</f>
        <v>0.2</v>
      </c>
      <c r="AO201" s="54">
        <f>INDEX('DEFAULT DATA'!$B$9:$D$41,START!$C$3,2)</f>
        <v>0.2</v>
      </c>
      <c r="AP201" s="54">
        <f>INDEX('DEFAULT DATA'!$B$9:$D$41,START!$C$3,2)</f>
        <v>0.2</v>
      </c>
      <c r="AQ201" s="54">
        <f>INDEX('DEFAULT DATA'!$B$9:$D$41,START!$C$3,2)</f>
        <v>0.2</v>
      </c>
      <c r="AR201" s="54">
        <f>INDEX('DEFAULT DATA'!$B$9:$D$41,START!$C$3,3)</f>
        <v>0.2</v>
      </c>
      <c r="AS201" s="54">
        <f>INDEX('DEFAULT DATA'!$B$9:$D$41,START!$C$3,3)</f>
        <v>0.2</v>
      </c>
      <c r="AT201" s="54">
        <f>INDEX('DEFAULT DATA'!$B$9:$D$41,START!$C$3,3)</f>
        <v>0.2</v>
      </c>
      <c r="AU201" s="54">
        <f>INDEX('DEFAULT DATA'!$B$9:$D$41,START!$C$3,3)</f>
        <v>0.2</v>
      </c>
      <c r="AV201" s="54">
        <f>INDEX('DEFAULT DATA'!$B$9:$D$41,START!$C$3,3)</f>
        <v>0.2</v>
      </c>
      <c r="AW201" s="54">
        <f>INDEX('DEFAULT DATA'!$B$9:$D$41,START!$C$3,3)</f>
        <v>0.2</v>
      </c>
      <c r="AX201" s="54">
        <f>INDEX('DEFAULT DATA'!$B$9:$D$41,START!$C$3,3)</f>
        <v>0.2</v>
      </c>
      <c r="AY201" s="54">
        <f>INDEX('DEFAULT DATA'!$B$9:$D$41,START!$C$3,3)</f>
        <v>0.2</v>
      </c>
      <c r="AZ201" s="54">
        <f>INDEX('DEFAULT DATA'!$B$9:$D$41,START!$C$3,3)</f>
        <v>0.2</v>
      </c>
      <c r="BA201" s="860">
        <f>INDEX('DEFAULT DATA'!$B$9:$D$41,START!$C$3,3)</f>
        <v>0.2</v>
      </c>
    </row>
    <row r="202" spans="1:53" ht="20.100000000000001" customHeight="1">
      <c r="A202" s="1132"/>
      <c r="B202" s="641" t="s">
        <v>2161</v>
      </c>
      <c r="C202" s="274"/>
      <c r="D202" s="274"/>
      <c r="E202" s="274"/>
      <c r="F202" s="408">
        <f>2021+G220</f>
        <v>2030</v>
      </c>
      <c r="G202" s="1296">
        <f>2021+G220</f>
        <v>2030</v>
      </c>
      <c r="H202" s="1424"/>
      <c r="I202" s="429"/>
      <c r="J202" s="429"/>
      <c r="K202" s="429"/>
      <c r="L202" s="429"/>
      <c r="M202" s="429"/>
      <c r="N202" s="429"/>
      <c r="O202" s="639"/>
      <c r="P202" s="1024"/>
      <c r="Q202" s="1024"/>
      <c r="R202" s="29"/>
      <c r="S202" s="861" t="s">
        <v>2979</v>
      </c>
      <c r="T202" s="791" t="s">
        <v>158</v>
      </c>
      <c r="U202" s="789"/>
      <c r="V202" s="789"/>
      <c r="W202" s="789"/>
      <c r="X202" s="54">
        <v>0</v>
      </c>
      <c r="Y202" s="54">
        <f>IF(Y200=$G$4,START!$C$4,INT(TRANSPORT!X202*(100+TRANSPORT!Y201)/100))</f>
        <v>0</v>
      </c>
      <c r="Z202" s="54">
        <f>IF(Z200=$G$4,START!$C$4,INT(TRANSPORT!Y202*(100+TRANSPORT!Z201)/100))</f>
        <v>194942</v>
      </c>
      <c r="AA202" s="54">
        <f>IF(AA200=$G$4,START!$C$4,INT(TRANSPORT!Z202*(100+TRANSPORT!AA201)/100))</f>
        <v>195916</v>
      </c>
      <c r="AB202" s="54">
        <f>IF(AB200=$G$4,START!$C$4,INT(TRANSPORT!AA202*(100+TRANSPORT!AB201)/100))</f>
        <v>196895</v>
      </c>
      <c r="AC202" s="54">
        <f>IF(AC200=$G$4,START!$C$4,INT(TRANSPORT!AB202*(100+TRANSPORT!AC201)/100))</f>
        <v>197879</v>
      </c>
      <c r="AD202" s="54">
        <f>IF(AD200=$G$4,START!$C$4,INT(TRANSPORT!AC202*(100+TRANSPORT!AD201)/100))</f>
        <v>198868</v>
      </c>
      <c r="AE202" s="54">
        <f>IF(AE200=$G$4,START!$C$4,INT(TRANSPORT!AD202*(100+TRANSPORT!AE201)/100))</f>
        <v>199862</v>
      </c>
      <c r="AF202" s="54">
        <f>IF(AF200=$G$4,START!$C$4,INT(TRANSPORT!AE202*(100+TRANSPORT!AF201)/100))</f>
        <v>200861</v>
      </c>
      <c r="AG202" s="54">
        <f>IF(AG200=$G$4,START!$C$4,INT(TRANSPORT!AF202*(100+TRANSPORT!AG201)/100))</f>
        <v>201865</v>
      </c>
      <c r="AH202" s="54">
        <f>IF(AH200=$G$4,START!$C$4,INT(TRANSPORT!AG202*(100+TRANSPORT!AH201)/100))</f>
        <v>202268</v>
      </c>
      <c r="AI202" s="54">
        <f>IF(AI200=$G$4,START!$C$4,INT(TRANSPORT!AH202*(100+TRANSPORT!AI201)/100))</f>
        <v>202672</v>
      </c>
      <c r="AJ202" s="54">
        <f>IF(AJ200=$G$4,START!$C$4,INT(TRANSPORT!AI202*(100+TRANSPORT!AJ201)/100))</f>
        <v>203077</v>
      </c>
      <c r="AK202" s="54">
        <f>IF(AK200=$G$4,START!$C$4,INT(TRANSPORT!AJ202*(100+TRANSPORT!AK201)/100))</f>
        <v>203483</v>
      </c>
      <c r="AL202" s="54">
        <f>IF(AL200=$G$4,START!$C$4,INT(TRANSPORT!AK202*(100+TRANSPORT!AL201)/100))</f>
        <v>203889</v>
      </c>
      <c r="AM202" s="54">
        <f>IF(AM200=$G$4,START!$C$4,INT(TRANSPORT!AL202*(100+TRANSPORT!AM201)/100))</f>
        <v>204296</v>
      </c>
      <c r="AN202" s="54">
        <f>IF(AN200=$G$4,START!$C$4,INT(TRANSPORT!AM202*(100+TRANSPORT!AN201)/100))</f>
        <v>204704</v>
      </c>
      <c r="AO202" s="54">
        <f>IF(AO200=$G$4,START!$C$4,INT(TRANSPORT!AN202*(100+TRANSPORT!AO201)/100))</f>
        <v>205113</v>
      </c>
      <c r="AP202" s="54">
        <f>IF(AP200=$G$4,START!$C$4,INT(TRANSPORT!AO202*(100+TRANSPORT!AP201)/100))</f>
        <v>205523</v>
      </c>
      <c r="AQ202" s="54">
        <f>IF(AQ200=$G$4,START!$C$4,INT(TRANSPORT!AP202*(100+TRANSPORT!AQ201)/100))</f>
        <v>205934</v>
      </c>
      <c r="AR202" s="54">
        <f>IF(AR200=$G$4,START!$C$4,INT(TRANSPORT!AQ202*(100+TRANSPORT!AR201)/100))</f>
        <v>206345</v>
      </c>
      <c r="AS202" s="54">
        <f>IF(AS200=$G$4,START!$C$4,INT(TRANSPORT!AR202*(100+TRANSPORT!AS201)/100))</f>
        <v>206757</v>
      </c>
      <c r="AT202" s="54">
        <f>IF(AT200=$G$4,START!$C$4,INT(TRANSPORT!AS202*(100+TRANSPORT!AT201)/100))</f>
        <v>207170</v>
      </c>
      <c r="AU202" s="54">
        <f>IF(AU200=$G$4,START!$C$4,INT(TRANSPORT!AT202*(100+TRANSPORT!AU201)/100))</f>
        <v>207584</v>
      </c>
      <c r="AV202" s="54">
        <f>IF(AV200=$G$4,START!$C$4,INT(TRANSPORT!AU202*(100+TRANSPORT!AV201)/100))</f>
        <v>207999</v>
      </c>
      <c r="AW202" s="54">
        <f>IF(AW200=$G$4,START!$C$4,INT(TRANSPORT!AV202*(100+TRANSPORT!AW201)/100))</f>
        <v>208414</v>
      </c>
      <c r="AX202" s="54">
        <f>IF(AX200=$G$4,START!$C$4,INT(TRANSPORT!AW202*(100+TRANSPORT!AX201)/100))</f>
        <v>208830</v>
      </c>
      <c r="AY202" s="54">
        <f>IF(AY200=$G$4,START!$C$4,INT(TRANSPORT!AX202*(100+TRANSPORT!AY201)/100))</f>
        <v>209247</v>
      </c>
      <c r="AZ202" s="54">
        <f>IF(AZ200=$G$4,START!$C$4,INT(TRANSPORT!AY202*(100+TRANSPORT!AZ201)/100))</f>
        <v>209665</v>
      </c>
      <c r="BA202" s="860">
        <f>IF(BA200=$G$4,START!$C$4,INT(TRANSPORT!AZ202*(100+TRANSPORT!BA201)/100))</f>
        <v>210084</v>
      </c>
    </row>
    <row r="203" spans="1:53" ht="20.100000000000001" customHeight="1">
      <c r="A203" s="28"/>
      <c r="B203" s="1109" t="s">
        <v>939</v>
      </c>
      <c r="C203" s="557"/>
      <c r="D203" s="557"/>
      <c r="E203" s="557"/>
      <c r="F203" s="653">
        <f>INDEX($Y$56:$BA$72,1,$G$220)</f>
        <v>5.6039534770990237E-5</v>
      </c>
      <c r="G203" s="272">
        <v>0</v>
      </c>
      <c r="H203" s="777">
        <v>0</v>
      </c>
      <c r="I203" s="1024"/>
      <c r="J203" s="1024"/>
      <c r="K203" s="1024"/>
      <c r="L203" s="1024"/>
      <c r="M203" s="1024"/>
      <c r="N203" s="1024"/>
      <c r="O203" s="460"/>
      <c r="P203" s="1024"/>
      <c r="Q203" s="1024"/>
      <c r="R203" s="29"/>
      <c r="S203" s="862" t="s">
        <v>237</v>
      </c>
      <c r="T203" s="791" t="s">
        <v>159</v>
      </c>
      <c r="U203" s="789"/>
      <c r="V203" s="789"/>
      <c r="W203" s="789"/>
      <c r="X203" s="54">
        <v>0</v>
      </c>
      <c r="Y203" s="54">
        <f t="shared" ref="Y203:BA203" si="457">IF(AND(Y200&gt;(2020+$F$129),Y200&lt;(2022+$G$129)),ROUND(X203+($G$127/($G$129-$F$129+1)),0),ROUND(X203*(100+Y201)/100,0))</f>
        <v>0</v>
      </c>
      <c r="Z203" s="54">
        <f t="shared" si="457"/>
        <v>0</v>
      </c>
      <c r="AA203" s="54">
        <f t="shared" si="457"/>
        <v>0</v>
      </c>
      <c r="AB203" s="54">
        <f t="shared" si="457"/>
        <v>0</v>
      </c>
      <c r="AC203" s="54">
        <f t="shared" si="457"/>
        <v>0</v>
      </c>
      <c r="AD203" s="54">
        <f t="shared" si="457"/>
        <v>0</v>
      </c>
      <c r="AE203" s="54">
        <f t="shared" si="457"/>
        <v>0</v>
      </c>
      <c r="AF203" s="54">
        <f t="shared" si="457"/>
        <v>0</v>
      </c>
      <c r="AG203" s="54">
        <f t="shared" si="457"/>
        <v>33333</v>
      </c>
      <c r="AH203" s="54">
        <f t="shared" si="457"/>
        <v>66666</v>
      </c>
      <c r="AI203" s="54">
        <f t="shared" si="457"/>
        <v>99999</v>
      </c>
      <c r="AJ203" s="54">
        <f t="shared" si="457"/>
        <v>133332</v>
      </c>
      <c r="AK203" s="54">
        <f t="shared" si="457"/>
        <v>166665</v>
      </c>
      <c r="AL203" s="54">
        <f t="shared" si="457"/>
        <v>199998</v>
      </c>
      <c r="AM203" s="54">
        <f t="shared" si="457"/>
        <v>200398</v>
      </c>
      <c r="AN203" s="54">
        <f t="shared" si="457"/>
        <v>200799</v>
      </c>
      <c r="AO203" s="54">
        <f t="shared" si="457"/>
        <v>201201</v>
      </c>
      <c r="AP203" s="54">
        <f t="shared" si="457"/>
        <v>201603</v>
      </c>
      <c r="AQ203" s="54">
        <f t="shared" si="457"/>
        <v>202006</v>
      </c>
      <c r="AR203" s="54">
        <f t="shared" si="457"/>
        <v>202410</v>
      </c>
      <c r="AS203" s="54">
        <f t="shared" si="457"/>
        <v>202815</v>
      </c>
      <c r="AT203" s="54">
        <f t="shared" si="457"/>
        <v>203221</v>
      </c>
      <c r="AU203" s="54">
        <f t="shared" si="457"/>
        <v>203627</v>
      </c>
      <c r="AV203" s="54">
        <f t="shared" si="457"/>
        <v>204034</v>
      </c>
      <c r="AW203" s="54">
        <f t="shared" si="457"/>
        <v>204442</v>
      </c>
      <c r="AX203" s="54">
        <f t="shared" si="457"/>
        <v>204851</v>
      </c>
      <c r="AY203" s="54">
        <f t="shared" si="457"/>
        <v>205261</v>
      </c>
      <c r="AZ203" s="54">
        <f t="shared" si="457"/>
        <v>205672</v>
      </c>
      <c r="BA203" s="860">
        <f t="shared" si="457"/>
        <v>206083</v>
      </c>
    </row>
    <row r="204" spans="1:53" ht="20.100000000000001" customHeight="1" thickBot="1">
      <c r="A204" s="28"/>
      <c r="B204" s="1109" t="s">
        <v>940</v>
      </c>
      <c r="C204" s="557"/>
      <c r="D204" s="557"/>
      <c r="E204" s="557"/>
      <c r="F204" s="653">
        <f>INDEX($Y$56:$BA$72,2,$G$220)</f>
        <v>8.8962761448946992E-2</v>
      </c>
      <c r="G204" s="272">
        <v>30</v>
      </c>
      <c r="H204" s="1024"/>
      <c r="I204" s="1024"/>
      <c r="J204" s="1024"/>
      <c r="K204" s="1024"/>
      <c r="L204" s="1024"/>
      <c r="M204" s="1024"/>
      <c r="N204" s="1024"/>
      <c r="O204" s="460"/>
      <c r="P204" s="1024"/>
      <c r="Q204" s="1024"/>
      <c r="R204" s="29"/>
      <c r="S204" s="863" t="s">
        <v>2978</v>
      </c>
      <c r="T204" s="837" t="s">
        <v>160</v>
      </c>
      <c r="U204" s="835"/>
      <c r="V204" s="835"/>
      <c r="W204" s="835"/>
      <c r="X204" s="800">
        <f>X202+X203</f>
        <v>0</v>
      </c>
      <c r="Y204" s="800">
        <f t="shared" ref="Y204:BA204" si="458">Y202+Y203</f>
        <v>0</v>
      </c>
      <c r="Z204" s="800">
        <f t="shared" si="458"/>
        <v>194942</v>
      </c>
      <c r="AA204" s="800">
        <f t="shared" si="458"/>
        <v>195916</v>
      </c>
      <c r="AB204" s="800">
        <f t="shared" si="458"/>
        <v>196895</v>
      </c>
      <c r="AC204" s="800">
        <f t="shared" si="458"/>
        <v>197879</v>
      </c>
      <c r="AD204" s="800">
        <f t="shared" si="458"/>
        <v>198868</v>
      </c>
      <c r="AE204" s="800">
        <f t="shared" si="458"/>
        <v>199862</v>
      </c>
      <c r="AF204" s="800">
        <f t="shared" si="458"/>
        <v>200861</v>
      </c>
      <c r="AG204" s="800">
        <f t="shared" si="458"/>
        <v>235198</v>
      </c>
      <c r="AH204" s="800">
        <f t="shared" si="458"/>
        <v>268934</v>
      </c>
      <c r="AI204" s="800">
        <f t="shared" si="458"/>
        <v>302671</v>
      </c>
      <c r="AJ204" s="800">
        <f t="shared" si="458"/>
        <v>336409</v>
      </c>
      <c r="AK204" s="800">
        <f t="shared" si="458"/>
        <v>370148</v>
      </c>
      <c r="AL204" s="800">
        <f t="shared" si="458"/>
        <v>403887</v>
      </c>
      <c r="AM204" s="800">
        <f t="shared" si="458"/>
        <v>404694</v>
      </c>
      <c r="AN204" s="800">
        <f t="shared" si="458"/>
        <v>405503</v>
      </c>
      <c r="AO204" s="800">
        <f t="shared" si="458"/>
        <v>406314</v>
      </c>
      <c r="AP204" s="800">
        <f t="shared" si="458"/>
        <v>407126</v>
      </c>
      <c r="AQ204" s="800">
        <f t="shared" si="458"/>
        <v>407940</v>
      </c>
      <c r="AR204" s="800">
        <f t="shared" si="458"/>
        <v>408755</v>
      </c>
      <c r="AS204" s="800">
        <f t="shared" si="458"/>
        <v>409572</v>
      </c>
      <c r="AT204" s="800">
        <f t="shared" si="458"/>
        <v>410391</v>
      </c>
      <c r="AU204" s="800">
        <f t="shared" si="458"/>
        <v>411211</v>
      </c>
      <c r="AV204" s="800">
        <f t="shared" si="458"/>
        <v>412033</v>
      </c>
      <c r="AW204" s="800">
        <f t="shared" si="458"/>
        <v>412856</v>
      </c>
      <c r="AX204" s="800">
        <f t="shared" si="458"/>
        <v>413681</v>
      </c>
      <c r="AY204" s="800">
        <f t="shared" si="458"/>
        <v>414508</v>
      </c>
      <c r="AZ204" s="800">
        <f t="shared" si="458"/>
        <v>415337</v>
      </c>
      <c r="BA204" s="864">
        <f t="shared" si="458"/>
        <v>416167</v>
      </c>
    </row>
    <row r="205" spans="1:53" ht="20.100000000000001" customHeight="1">
      <c r="A205" s="28"/>
      <c r="B205" s="1109" t="s">
        <v>994</v>
      </c>
      <c r="C205" s="557"/>
      <c r="D205" s="557"/>
      <c r="E205" s="557"/>
      <c r="F205" s="653">
        <f>INDEX($Y$56:$BA$72,3,$G$220)</f>
        <v>0.53534567566726976</v>
      </c>
      <c r="G205" s="272">
        <v>20</v>
      </c>
      <c r="H205" s="1024"/>
      <c r="I205" s="1024"/>
      <c r="J205" s="1024"/>
      <c r="K205" s="1024"/>
      <c r="L205" s="1024"/>
      <c r="M205" s="1024"/>
      <c r="N205" s="1024"/>
      <c r="O205" s="460"/>
      <c r="P205" s="1024"/>
      <c r="Q205" s="1024"/>
      <c r="R205" s="29"/>
    </row>
    <row r="206" spans="1:53" ht="20.100000000000001" customHeight="1">
      <c r="A206" s="28"/>
      <c r="B206" s="1109" t="s">
        <v>981</v>
      </c>
      <c r="C206" s="557"/>
      <c r="D206" s="557"/>
      <c r="E206" s="557"/>
      <c r="F206" s="653">
        <f>INDEX($Y$56:$BA$72,5,$G$220)</f>
        <v>1.5043813109272328</v>
      </c>
      <c r="G206" s="272">
        <v>0</v>
      </c>
      <c r="H206" s="1024"/>
      <c r="I206" s="1024"/>
      <c r="J206" s="1024"/>
      <c r="K206" s="1024"/>
      <c r="L206" s="1024"/>
      <c r="M206" s="1024"/>
      <c r="N206" s="1024"/>
      <c r="O206" s="460"/>
      <c r="P206" s="1024"/>
      <c r="Q206" s="1024"/>
      <c r="R206" s="29"/>
    </row>
    <row r="207" spans="1:53" ht="20.100000000000001" customHeight="1" thickBot="1">
      <c r="A207" s="28"/>
      <c r="B207" s="1109" t="s">
        <v>982</v>
      </c>
      <c r="C207" s="557"/>
      <c r="D207" s="557"/>
      <c r="E207" s="557"/>
      <c r="F207" s="653">
        <f>INDEX($Y$56:$BA$72,6,$G$220)</f>
        <v>0.32226935458427214</v>
      </c>
      <c r="G207" s="272">
        <v>0</v>
      </c>
      <c r="H207" s="1024"/>
      <c r="I207" s="1024"/>
      <c r="J207" s="1024"/>
      <c r="K207" s="1024"/>
      <c r="L207" s="1024"/>
      <c r="M207" s="1024"/>
      <c r="N207" s="1024"/>
      <c r="O207" s="460"/>
      <c r="P207" s="1024"/>
      <c r="Q207" s="1024"/>
      <c r="R207" s="29"/>
      <c r="S207" s="1275" t="s">
        <v>235</v>
      </c>
      <c r="T207" s="411"/>
      <c r="U207" s="412" t="s">
        <v>89</v>
      </c>
      <c r="V207" s="393" t="s">
        <v>91</v>
      </c>
      <c r="W207" s="27" t="s">
        <v>92</v>
      </c>
      <c r="X207" s="393" t="s">
        <v>98</v>
      </c>
      <c r="Y207" s="27" t="s">
        <v>93</v>
      </c>
      <c r="Z207" s="27" t="s">
        <v>94</v>
      </c>
      <c r="AA207" s="27" t="s">
        <v>226</v>
      </c>
      <c r="AB207" s="27" t="s">
        <v>227</v>
      </c>
      <c r="AC207" s="396" t="s">
        <v>228</v>
      </c>
    </row>
    <row r="208" spans="1:53" ht="20.100000000000001" customHeight="1">
      <c r="A208" s="28"/>
      <c r="B208" s="1109" t="s">
        <v>983</v>
      </c>
      <c r="C208" s="557"/>
      <c r="D208" s="557"/>
      <c r="E208" s="557"/>
      <c r="F208" s="653">
        <f>INDEX($Y$56:$BA$72,8,$G$220)</f>
        <v>5.5955475468833754E-2</v>
      </c>
      <c r="G208" s="272">
        <v>0</v>
      </c>
      <c r="H208" s="1024"/>
      <c r="I208" s="1024"/>
      <c r="J208" s="1024"/>
      <c r="K208" s="1024"/>
      <c r="L208" s="1024"/>
      <c r="M208" s="1024"/>
      <c r="N208" s="1024"/>
      <c r="O208" s="460"/>
      <c r="P208" s="1024"/>
      <c r="Q208" s="1024"/>
      <c r="R208" s="29"/>
      <c r="S208" s="804" t="s">
        <v>234</v>
      </c>
      <c r="T208" s="855" t="s">
        <v>84</v>
      </c>
      <c r="U208" s="856">
        <f>G8</f>
        <v>75</v>
      </c>
      <c r="V208" s="793">
        <f>INDEX('DEFAULT DATA'!$W$9:$AA$41,START!$C$3,1)</f>
        <v>2</v>
      </c>
      <c r="W208" s="793">
        <f>INDEX('DEFAULT DATA'!$CX$9:$DB$41,START!$C$3,1)</f>
        <v>0.3</v>
      </c>
      <c r="X208" s="793">
        <v>1</v>
      </c>
      <c r="Y208" s="793">
        <v>1</v>
      </c>
      <c r="Z208" s="793">
        <f>INDEX('DEFAULT DATA'!$JB$9:$JF$41,START!$C$3,1)</f>
        <v>2</v>
      </c>
      <c r="AA208" s="793">
        <f>INDEX('DEFAULT DATA'!$JN$9:$JR$41,START!$C$3,1)</f>
        <v>2</v>
      </c>
      <c r="AB208" s="793">
        <f>INDEX('DEFAULT DATA'!$JY$9:$KC$41,START!$C$3,1)</f>
        <v>2</v>
      </c>
      <c r="AC208" s="794">
        <f>INDEX('DEFAULT DATA'!$LP$9:$LT$41,START!$C$3,1)</f>
        <v>2</v>
      </c>
    </row>
    <row r="209" spans="1:30" ht="20.100000000000001" customHeight="1">
      <c r="A209" s="28"/>
      <c r="B209" s="1109" t="s">
        <v>984</v>
      </c>
      <c r="C209" s="557"/>
      <c r="D209" s="557"/>
      <c r="E209" s="557"/>
      <c r="F209" s="653">
        <f>INDEX($Y$56:$BA$72,9,$G$220)</f>
        <v>2.9420755754769875E-2</v>
      </c>
      <c r="G209" s="272">
        <v>0</v>
      </c>
      <c r="H209" s="1024"/>
      <c r="I209" s="1024"/>
      <c r="J209" s="1024"/>
      <c r="K209" s="1024"/>
      <c r="L209" s="1024"/>
      <c r="M209" s="1024"/>
      <c r="N209" s="1024"/>
      <c r="O209" s="460"/>
      <c r="P209" s="1024"/>
      <c r="Q209" s="1024"/>
      <c r="R209" s="29"/>
      <c r="S209" s="844"/>
      <c r="T209" s="790" t="s">
        <v>85</v>
      </c>
      <c r="U209" s="23">
        <f>G9</f>
        <v>25</v>
      </c>
      <c r="V209" s="76">
        <f>INDEX('DEFAULT DATA'!$W$9:$AA$41,START!$C$3,2)</f>
        <v>1.5</v>
      </c>
      <c r="W209" s="76">
        <f>INDEX('DEFAULT DATA'!$CX$9:$DB$41,START!$C$3,2)</f>
        <v>0.7</v>
      </c>
      <c r="X209" s="76">
        <v>1</v>
      </c>
      <c r="Y209" s="76">
        <v>1</v>
      </c>
      <c r="Z209" s="76">
        <f>INDEX('DEFAULT DATA'!$JB$9:$JF$41,START!$C$3,2)</f>
        <v>1.5</v>
      </c>
      <c r="AA209" s="76">
        <f>INDEX('DEFAULT DATA'!$JN$9:$JR$41,START!$C$3,2)</f>
        <v>2</v>
      </c>
      <c r="AB209" s="76">
        <f>INDEX('DEFAULT DATA'!$JY$9:$KC$41,START!$C$3,2)</f>
        <v>1.5</v>
      </c>
      <c r="AC209" s="795">
        <f>INDEX('DEFAULT DATA'!$LP$9:$LT$41,START!$C$3,2)</f>
        <v>1</v>
      </c>
    </row>
    <row r="210" spans="1:30" ht="20.100000000000001" customHeight="1">
      <c r="A210" s="28"/>
      <c r="B210" s="1109" t="s">
        <v>985</v>
      </c>
      <c r="C210" s="557"/>
      <c r="D210" s="557"/>
      <c r="E210" s="557"/>
      <c r="F210" s="653">
        <f>INDEX($Y$56:$BA$72,10,$G$220)</f>
        <v>2.8019767385495118E-5</v>
      </c>
      <c r="G210" s="272">
        <v>0</v>
      </c>
      <c r="H210" s="1024"/>
      <c r="I210" s="1024"/>
      <c r="J210" s="1024"/>
      <c r="K210" s="1024"/>
      <c r="L210" s="1024"/>
      <c r="M210" s="1024"/>
      <c r="N210" s="1024"/>
      <c r="O210" s="460"/>
      <c r="P210" s="1024"/>
      <c r="Q210" s="1024"/>
      <c r="R210" s="29"/>
      <c r="S210" s="844"/>
      <c r="T210" s="790" t="s">
        <v>86</v>
      </c>
      <c r="U210" s="23">
        <f>G10</f>
        <v>0</v>
      </c>
      <c r="V210" s="76">
        <f>INDEX('DEFAULT DATA'!$W$9:$AA$41,START!$C$3,3)</f>
        <v>1</v>
      </c>
      <c r="W210" s="76">
        <f>INDEX('DEFAULT DATA'!$CX$9:$DB$41,START!$C$3,3)</f>
        <v>1.2</v>
      </c>
      <c r="X210" s="76">
        <v>1</v>
      </c>
      <c r="Y210" s="76">
        <v>1</v>
      </c>
      <c r="Z210" s="76">
        <f>INDEX('DEFAULT DATA'!$JB$9:$JF$41,START!$C$3,3)</f>
        <v>0.7</v>
      </c>
      <c r="AA210" s="76">
        <f>INDEX('DEFAULT DATA'!$JN$9:$JR$41,START!$C$3,3)</f>
        <v>1</v>
      </c>
      <c r="AB210" s="76">
        <f>INDEX('DEFAULT DATA'!$JY$9:$KC$41,START!$C$3,3)</f>
        <v>0.5</v>
      </c>
      <c r="AC210" s="795">
        <f>INDEX('DEFAULT DATA'!$LP$9:$LT$41,START!$C$3,3)</f>
        <v>0.5</v>
      </c>
    </row>
    <row r="211" spans="1:30" ht="20.100000000000001" customHeight="1">
      <c r="A211" s="28"/>
      <c r="B211" s="1109" t="s">
        <v>986</v>
      </c>
      <c r="C211" s="557"/>
      <c r="D211" s="557"/>
      <c r="E211" s="557"/>
      <c r="F211" s="653">
        <f>INDEX($Y$56:$BA$72,11,$G$220)</f>
        <v>0.12541647881747614</v>
      </c>
      <c r="G211" s="272">
        <v>0</v>
      </c>
      <c r="H211" s="1024"/>
      <c r="I211" s="1024"/>
      <c r="J211" s="1024"/>
      <c r="K211" s="1024"/>
      <c r="L211" s="1024"/>
      <c r="M211" s="1024"/>
      <c r="N211" s="1024"/>
      <c r="O211" s="460"/>
      <c r="P211" s="1024"/>
      <c r="Q211" s="1024"/>
      <c r="R211" s="29"/>
      <c r="S211" s="844"/>
      <c r="T211" s="790" t="s">
        <v>87</v>
      </c>
      <c r="U211" s="23">
        <f>G11</f>
        <v>0</v>
      </c>
      <c r="V211" s="76">
        <f>INDEX('DEFAULT DATA'!$W$9:$AA$41,START!$C$3,4)</f>
        <v>0.8</v>
      </c>
      <c r="W211" s="76">
        <f>INDEX('DEFAULT DATA'!$CX$9:$DB$41,START!$C$3,4)</f>
        <v>1.2</v>
      </c>
      <c r="X211" s="76">
        <v>1</v>
      </c>
      <c r="Y211" s="76">
        <v>1</v>
      </c>
      <c r="Z211" s="76">
        <f>INDEX('DEFAULT DATA'!$JB$9:$JF$41,START!$C$3,4)</f>
        <v>0.7</v>
      </c>
      <c r="AA211" s="76">
        <f>INDEX('DEFAULT DATA'!$JN$9:$JR$41,START!$C$3,4)</f>
        <v>1</v>
      </c>
      <c r="AB211" s="76">
        <f>INDEX('DEFAULT DATA'!$JY$9:$KC$41,START!$C$3,4)</f>
        <v>1</v>
      </c>
      <c r="AC211" s="795">
        <f>INDEX('DEFAULT DATA'!$LP$9:$LT$41,START!$C$3,4)</f>
        <v>0.7</v>
      </c>
    </row>
    <row r="212" spans="1:30" ht="20.100000000000001" customHeight="1">
      <c r="A212" s="28"/>
      <c r="B212" s="1109" t="s">
        <v>987</v>
      </c>
      <c r="C212" s="557"/>
      <c r="D212" s="557"/>
      <c r="E212" s="557"/>
      <c r="F212" s="653">
        <f>INDEX($Y$56:$BA$72,12,$G$220)</f>
        <v>0</v>
      </c>
      <c r="G212" s="272">
        <v>0</v>
      </c>
      <c r="H212" s="1024"/>
      <c r="I212" s="1024"/>
      <c r="J212" s="1024"/>
      <c r="K212" s="1024"/>
      <c r="L212" s="1024"/>
      <c r="M212" s="1024"/>
      <c r="N212" s="1024"/>
      <c r="O212" s="460"/>
      <c r="P212" s="1024"/>
      <c r="Q212" s="1024"/>
      <c r="R212" s="29"/>
      <c r="S212" s="844"/>
      <c r="T212" s="790" t="s">
        <v>88</v>
      </c>
      <c r="U212" s="23">
        <f>G12</f>
        <v>0</v>
      </c>
      <c r="V212" s="76">
        <f>INDEX('DEFAULT DATA'!$W$9:$AA$41,START!$C$3,5)</f>
        <v>0.5</v>
      </c>
      <c r="W212" s="76">
        <f>INDEX('DEFAULT DATA'!$CX$9:$DB$41,START!$C$3,5)</f>
        <v>3</v>
      </c>
      <c r="X212" s="76">
        <v>1</v>
      </c>
      <c r="Y212" s="76">
        <v>1</v>
      </c>
      <c r="Z212" s="76">
        <f>INDEX('DEFAULT DATA'!$JB$9:$JF$41,START!$C$3,5)</f>
        <v>0.5</v>
      </c>
      <c r="AA212" s="76">
        <f>INDEX('DEFAULT DATA'!$JN$9:$JR$41,START!$C$3,5)</f>
        <v>0.5</v>
      </c>
      <c r="AB212" s="76">
        <f>INDEX('DEFAULT DATA'!$JY$9:$KC$41,START!$C$3,5)</f>
        <v>0.5</v>
      </c>
      <c r="AC212" s="795">
        <f>INDEX('DEFAULT DATA'!$LP$9:$LT$41,START!$C$3,5)</f>
        <v>0.2</v>
      </c>
    </row>
    <row r="213" spans="1:30" ht="20.100000000000001" customHeight="1" thickBot="1">
      <c r="A213" s="28"/>
      <c r="B213" s="1109" t="s">
        <v>2420</v>
      </c>
      <c r="C213" s="557"/>
      <c r="D213" s="557"/>
      <c r="E213" s="557"/>
      <c r="F213" s="653">
        <f>INDEX($Y$56:$BA$72,13,$G$220)</f>
        <v>0.18554689962674867</v>
      </c>
      <c r="G213" s="272">
        <v>0</v>
      </c>
      <c r="H213" s="1024"/>
      <c r="I213" s="1024"/>
      <c r="J213" s="1024"/>
      <c r="K213" s="1024"/>
      <c r="L213" s="1024"/>
      <c r="M213" s="1024"/>
      <c r="N213" s="1024"/>
      <c r="O213" s="460"/>
      <c r="P213" s="1024"/>
      <c r="Q213" s="1024"/>
      <c r="R213" s="29"/>
      <c r="S213" s="845"/>
      <c r="T213" s="857" t="s">
        <v>164</v>
      </c>
      <c r="U213" s="368"/>
      <c r="V213" s="1104">
        <f>($G$8/100*V208)+($G$9/100*V209)+($G$10/100*V210)+($G$11/100*V211)+($G$12/100*V212)</f>
        <v>1.875</v>
      </c>
      <c r="W213" s="1104">
        <f t="shared" ref="W213:AC213" si="459">($G$8/100*W208)+($G$9/100*W209)+($G$10/100*W210)+($G$11/100*W211)+($G$12/100*W212)</f>
        <v>0.39999999999999997</v>
      </c>
      <c r="X213" s="1104">
        <f t="shared" si="459"/>
        <v>1</v>
      </c>
      <c r="Y213" s="1104">
        <f t="shared" si="459"/>
        <v>1</v>
      </c>
      <c r="Z213" s="1104">
        <f t="shared" si="459"/>
        <v>1.875</v>
      </c>
      <c r="AA213" s="1104">
        <f t="shared" si="459"/>
        <v>2</v>
      </c>
      <c r="AB213" s="1104">
        <f t="shared" si="459"/>
        <v>1.875</v>
      </c>
      <c r="AC213" s="1105">
        <f t="shared" si="459"/>
        <v>1.75</v>
      </c>
    </row>
    <row r="214" spans="1:30" ht="20.100000000000001" customHeight="1" thickBot="1">
      <c r="A214" s="28"/>
      <c r="B214" s="1109" t="s">
        <v>784</v>
      </c>
      <c r="C214" s="557"/>
      <c r="D214" s="557"/>
      <c r="E214" s="557"/>
      <c r="F214" s="653">
        <f>INDEX($Y$56:$BA$72,14,$G$220)</f>
        <v>4.6232616186066946E-3</v>
      </c>
      <c r="G214" s="272">
        <v>0</v>
      </c>
      <c r="H214" s="1024"/>
      <c r="I214" s="1024"/>
      <c r="J214" s="1024"/>
      <c r="K214" s="1024"/>
      <c r="L214" s="1024"/>
      <c r="M214" s="1024"/>
      <c r="N214" s="1024"/>
      <c r="O214" s="460"/>
      <c r="P214" s="1024"/>
      <c r="Q214" s="1024"/>
      <c r="R214" s="29"/>
      <c r="S214" s="1078"/>
      <c r="AC214" s="396"/>
    </row>
    <row r="215" spans="1:30" ht="20.100000000000001" customHeight="1">
      <c r="A215" s="28"/>
      <c r="B215" s="1109" t="s">
        <v>3036</v>
      </c>
      <c r="C215" s="557"/>
      <c r="D215" s="557"/>
      <c r="E215" s="557"/>
      <c r="F215" s="653">
        <f>INDEX($Y$56:$BA$72,15,$G$220)</f>
        <v>0.13533547647194144</v>
      </c>
      <c r="G215" s="272">
        <v>0</v>
      </c>
      <c r="H215" s="1024"/>
      <c r="I215" s="1024"/>
      <c r="J215" s="1024"/>
      <c r="K215" s="1024"/>
      <c r="L215" s="1024"/>
      <c r="M215" s="1024"/>
      <c r="N215" s="1024"/>
      <c r="O215" s="460"/>
      <c r="P215" s="1024"/>
      <c r="Q215" s="1024"/>
      <c r="R215" s="29"/>
      <c r="S215" s="804" t="s">
        <v>233</v>
      </c>
      <c r="T215" s="855" t="s">
        <v>84</v>
      </c>
      <c r="U215" s="856">
        <f>G138</f>
        <v>0</v>
      </c>
      <c r="V215" s="793">
        <f>INDEX('DEFAULT DATA'!$W$9:$AA$41,START!$C$3,1)</f>
        <v>2</v>
      </c>
      <c r="W215" s="793">
        <f>INDEX('DEFAULT DATA'!$CX$9:$DB$41,START!$C$3,1)</f>
        <v>0.3</v>
      </c>
      <c r="X215" s="793">
        <v>1</v>
      </c>
      <c r="Y215" s="793">
        <v>1</v>
      </c>
      <c r="Z215" s="793">
        <f>INDEX('DEFAULT DATA'!$JB$9:$JF$41,START!$C$3,1)</f>
        <v>2</v>
      </c>
      <c r="AA215" s="793">
        <f>INDEX('DEFAULT DATA'!$JN$9:$JR$41,START!$C$3,1)</f>
        <v>2</v>
      </c>
      <c r="AB215" s="793">
        <f>INDEX('DEFAULT DATA'!$JY$9:$KC$41,START!$C$3,1)</f>
        <v>2</v>
      </c>
      <c r="AC215" s="794">
        <f>INDEX('DEFAULT DATA'!$LP$9:$LT$41,START!$C$3,1)</f>
        <v>2</v>
      </c>
    </row>
    <row r="216" spans="1:30" ht="20.100000000000001" customHeight="1">
      <c r="A216" s="28"/>
      <c r="B216" s="1109" t="s">
        <v>980</v>
      </c>
      <c r="C216" s="1078"/>
      <c r="D216" s="1078"/>
      <c r="E216" s="1078"/>
      <c r="F216" s="653">
        <f>INDEX($Y$56:$BA$72,4,$G$220)</f>
        <v>71.058734777197103</v>
      </c>
      <c r="G216" s="656">
        <f>INDEX($Y$497:$BA$497,1,$G$220)</f>
        <v>36.623434448141339</v>
      </c>
      <c r="H216" s="1024"/>
      <c r="I216" s="557"/>
      <c r="J216" s="557"/>
      <c r="K216" s="1024"/>
      <c r="L216" s="1024"/>
      <c r="M216" s="1024"/>
      <c r="N216" s="1024"/>
      <c r="O216" s="460"/>
      <c r="P216" s="1024"/>
      <c r="Q216" s="1024"/>
      <c r="R216" s="29"/>
      <c r="S216" s="844"/>
      <c r="T216" s="790" t="s">
        <v>85</v>
      </c>
      <c r="U216" s="23">
        <f>G139</f>
        <v>0</v>
      </c>
      <c r="V216" s="76">
        <f>INDEX('DEFAULT DATA'!$W$9:$AA$41,START!$C$3,2)</f>
        <v>1.5</v>
      </c>
      <c r="W216" s="76">
        <f>INDEX('DEFAULT DATA'!$CX$9:$DB$41,START!$C$3,2)</f>
        <v>0.7</v>
      </c>
      <c r="X216" s="76">
        <v>1</v>
      </c>
      <c r="Y216" s="76">
        <v>1</v>
      </c>
      <c r="Z216" s="76">
        <f>INDEX('DEFAULT DATA'!$JB$9:$JF$41,START!$C$3,2)</f>
        <v>1.5</v>
      </c>
      <c r="AA216" s="76">
        <f>INDEX('DEFAULT DATA'!$JN$9:$JR$41,START!$C$3,2)</f>
        <v>2</v>
      </c>
      <c r="AB216" s="76">
        <f>INDEX('DEFAULT DATA'!$JY$9:$KC$41,START!$C$3,2)</f>
        <v>1.5</v>
      </c>
      <c r="AC216" s="795">
        <f>INDEX('DEFAULT DATA'!$LP$9:$LT$41,START!$C$3,2)</f>
        <v>1</v>
      </c>
    </row>
    <row r="217" spans="1:30" ht="20.100000000000001" customHeight="1">
      <c r="A217" s="28"/>
      <c r="B217" s="1115" t="s">
        <v>932</v>
      </c>
      <c r="C217" s="30"/>
      <c r="D217" s="30"/>
      <c r="E217" s="30"/>
      <c r="F217" s="655">
        <f>INDEX($Y$56:$BA$72,7,$G$220)</f>
        <v>25.953923713114659</v>
      </c>
      <c r="G217" s="658">
        <f>INDEX($Y$505:$BA$505,1,$G$220)</f>
        <v>13.376565551858663</v>
      </c>
      <c r="H217" s="1078"/>
      <c r="I217" s="557"/>
      <c r="J217" s="557"/>
      <c r="K217" s="1024"/>
      <c r="L217" s="1024"/>
      <c r="M217" s="1024"/>
      <c r="N217" s="1024"/>
      <c r="O217" s="460"/>
      <c r="P217" s="1024"/>
      <c r="Q217" s="1024"/>
      <c r="R217" s="29"/>
      <c r="S217" s="844"/>
      <c r="T217" s="790" t="s">
        <v>86</v>
      </c>
      <c r="U217" s="23">
        <f>G140</f>
        <v>0</v>
      </c>
      <c r="V217" s="76">
        <f>INDEX('DEFAULT DATA'!$W$9:$AA$41,START!$C$3,3)</f>
        <v>1</v>
      </c>
      <c r="W217" s="76">
        <f>INDEX('DEFAULT DATA'!$CX$9:$DB$41,START!$C$3,3)</f>
        <v>1.2</v>
      </c>
      <c r="X217" s="76">
        <v>1</v>
      </c>
      <c r="Y217" s="76">
        <v>1</v>
      </c>
      <c r="Z217" s="76">
        <f>INDEX('DEFAULT DATA'!$JB$9:$JF$41,START!$C$3,3)</f>
        <v>0.7</v>
      </c>
      <c r="AA217" s="76">
        <f>INDEX('DEFAULT DATA'!$JN$9:$JR$41,START!$C$3,3)</f>
        <v>1</v>
      </c>
      <c r="AB217" s="76">
        <f>INDEX('DEFAULT DATA'!$JY$9:$KC$41,START!$C$3,3)</f>
        <v>0.5</v>
      </c>
      <c r="AC217" s="795">
        <f>INDEX('DEFAULT DATA'!$LP$9:$LT$41,START!$C$3,3)</f>
        <v>0.5</v>
      </c>
    </row>
    <row r="218" spans="1:30" ht="20.100000000000001" customHeight="1">
      <c r="A218" s="28"/>
      <c r="B218" s="259" t="s">
        <v>170</v>
      </c>
      <c r="C218" s="557"/>
      <c r="D218" s="557"/>
      <c r="E218" s="557"/>
      <c r="F218" s="653">
        <f>SUM(F203:F217)</f>
        <v>100.00000000000001</v>
      </c>
      <c r="G218" s="653">
        <f>SUM(G203:G217)</f>
        <v>100</v>
      </c>
      <c r="H218" s="1078"/>
      <c r="I218" s="1024"/>
      <c r="J218" s="1024"/>
      <c r="K218" s="1024"/>
      <c r="L218" s="1024"/>
      <c r="M218" s="1024"/>
      <c r="N218" s="1024"/>
      <c r="O218" s="460"/>
      <c r="P218" s="1024"/>
      <c r="Q218" s="1024"/>
      <c r="R218" s="29"/>
      <c r="S218" s="844"/>
      <c r="T218" s="790" t="s">
        <v>87</v>
      </c>
      <c r="U218" s="23">
        <f>G141</f>
        <v>75</v>
      </c>
      <c r="V218" s="76">
        <f>INDEX('DEFAULT DATA'!$W$9:$AA$41,START!$C$3,4)</f>
        <v>0.8</v>
      </c>
      <c r="W218" s="76">
        <f>INDEX('DEFAULT DATA'!$CX$9:$DB$41,START!$C$3,4)</f>
        <v>1.2</v>
      </c>
      <c r="X218" s="76">
        <v>1</v>
      </c>
      <c r="Y218" s="76">
        <v>1</v>
      </c>
      <c r="Z218" s="76">
        <f>INDEX('DEFAULT DATA'!$JB$9:$JF$41,START!$C$3,4)</f>
        <v>0.7</v>
      </c>
      <c r="AA218" s="76">
        <f>INDEX('DEFAULT DATA'!$JN$9:$JR$41,START!$C$3,4)</f>
        <v>1</v>
      </c>
      <c r="AB218" s="76">
        <f>INDEX('DEFAULT DATA'!$JY$9:$KC$41,START!$C$3,4)</f>
        <v>1</v>
      </c>
      <c r="AC218" s="795">
        <f>INDEX('DEFAULT DATA'!$LP$9:$LT$41,START!$C$3,4)</f>
        <v>0.7</v>
      </c>
    </row>
    <row r="219" spans="1:30" ht="20.100000000000001" customHeight="1">
      <c r="A219" s="28"/>
      <c r="B219" s="557" t="s">
        <v>165</v>
      </c>
      <c r="C219" s="557"/>
      <c r="D219" s="557"/>
      <c r="E219" s="557"/>
      <c r="F219" s="1296" t="s">
        <v>153</v>
      </c>
      <c r="G219" s="1296" t="s">
        <v>154</v>
      </c>
      <c r="H219" s="1024"/>
      <c r="I219" s="1024"/>
      <c r="J219" s="1024"/>
      <c r="K219" s="1024"/>
      <c r="L219" s="1024"/>
      <c r="M219" s="1024"/>
      <c r="N219" s="1024"/>
      <c r="O219" s="460"/>
      <c r="P219" s="1024"/>
      <c r="Q219" s="1024"/>
      <c r="R219" s="29"/>
      <c r="S219" s="844"/>
      <c r="T219" s="790" t="s">
        <v>88</v>
      </c>
      <c r="U219" s="23">
        <f>G142</f>
        <v>25</v>
      </c>
      <c r="V219" s="76">
        <f>INDEX('DEFAULT DATA'!$W$9:$AA$41,START!$C$3,5)</f>
        <v>0.5</v>
      </c>
      <c r="W219" s="76">
        <f>INDEX('DEFAULT DATA'!$CX$9:$DB$41,START!$C$3,5)</f>
        <v>3</v>
      </c>
      <c r="X219" s="76">
        <v>1</v>
      </c>
      <c r="Y219" s="76">
        <v>1</v>
      </c>
      <c r="Z219" s="76">
        <f>INDEX('DEFAULT DATA'!$JB$9:$JF$41,START!$C$3,5)</f>
        <v>0.5</v>
      </c>
      <c r="AA219" s="76">
        <f>INDEX('DEFAULT DATA'!$JN$9:$JR$41,START!$C$3,5)</f>
        <v>0.5</v>
      </c>
      <c r="AB219" s="76">
        <f>INDEX('DEFAULT DATA'!$JY$9:$KC$41,START!$C$3,5)</f>
        <v>0.5</v>
      </c>
      <c r="AC219" s="795">
        <f>INDEX('DEFAULT DATA'!$LP$9:$LT$41,START!$C$3,5)</f>
        <v>0.2</v>
      </c>
    </row>
    <row r="220" spans="1:30" ht="20.100000000000001" customHeight="1" thickBot="1">
      <c r="A220" s="28"/>
      <c r="B220" s="1024"/>
      <c r="C220" s="1024"/>
      <c r="D220" s="1024"/>
      <c r="E220" s="1024"/>
      <c r="F220" s="1024">
        <v>4</v>
      </c>
      <c r="G220" s="1024">
        <v>9</v>
      </c>
      <c r="H220" s="1024"/>
      <c r="I220" s="1024"/>
      <c r="J220" s="1024"/>
      <c r="K220" s="1024"/>
      <c r="L220" s="1024"/>
      <c r="M220" s="1024"/>
      <c r="N220" s="1024"/>
      <c r="O220" s="460"/>
      <c r="P220" s="1024"/>
      <c r="Q220" s="1024"/>
      <c r="R220" s="29"/>
      <c r="S220" s="845"/>
      <c r="T220" s="857" t="s">
        <v>164</v>
      </c>
      <c r="U220" s="368"/>
      <c r="V220" s="1104">
        <f t="shared" ref="V220:AC220" si="460">($G$138/100*V215)+($G$139/100*V216)+($G$140/100*V217)+($G$141/100*V218)+($G$142/100*V219)</f>
        <v>0.72500000000000009</v>
      </c>
      <c r="W220" s="1104">
        <f t="shared" si="460"/>
        <v>1.65</v>
      </c>
      <c r="X220" s="1104">
        <f t="shared" si="460"/>
        <v>1</v>
      </c>
      <c r="Y220" s="1104">
        <f t="shared" si="460"/>
        <v>1</v>
      </c>
      <c r="Z220" s="1104">
        <f t="shared" si="460"/>
        <v>0.64999999999999991</v>
      </c>
      <c r="AA220" s="1104">
        <f t="shared" si="460"/>
        <v>0.875</v>
      </c>
      <c r="AB220" s="1104">
        <f t="shared" si="460"/>
        <v>0.875</v>
      </c>
      <c r="AC220" s="1105">
        <f t="shared" si="460"/>
        <v>0.57499999999999996</v>
      </c>
    </row>
    <row r="221" spans="1:30" ht="20.100000000000001" customHeight="1">
      <c r="A221" s="28"/>
      <c r="B221" s="1078"/>
      <c r="C221" s="650"/>
      <c r="D221" s="650"/>
      <c r="E221" s="650"/>
      <c r="F221" s="650"/>
      <c r="G221" s="650"/>
      <c r="H221" s="654"/>
      <c r="I221" s="1024"/>
      <c r="J221" s="1024"/>
      <c r="K221" s="1024"/>
      <c r="L221" s="1024"/>
      <c r="M221" s="1024"/>
      <c r="N221" s="1024"/>
      <c r="O221" s="460"/>
      <c r="P221" s="1024"/>
      <c r="Q221" s="1024"/>
      <c r="R221" s="29"/>
      <c r="S221" s="1078"/>
      <c r="T221" s="1078"/>
      <c r="U221" s="1078"/>
      <c r="V221" s="1078"/>
      <c r="W221" s="1078"/>
      <c r="X221" s="1078"/>
      <c r="Y221" s="1078"/>
      <c r="Z221" s="1078"/>
      <c r="AA221" s="1078"/>
      <c r="AB221" s="1078"/>
      <c r="AC221" s="1078"/>
      <c r="AD221" s="1078"/>
    </row>
    <row r="222" spans="1:30" ht="20.100000000000001" customHeight="1">
      <c r="A222" s="28"/>
      <c r="B222" s="1078"/>
      <c r="C222" s="1078"/>
      <c r="D222" s="1078"/>
      <c r="E222" s="1078"/>
      <c r="F222" s="1078"/>
      <c r="G222" s="1078"/>
      <c r="H222" s="1078"/>
      <c r="I222" s="1024"/>
      <c r="J222" s="1024"/>
      <c r="K222" s="1024"/>
      <c r="L222" s="1024"/>
      <c r="M222" s="1024"/>
      <c r="N222" s="1024"/>
      <c r="O222" s="460"/>
      <c r="P222" s="1024"/>
      <c r="Q222" s="1024"/>
      <c r="R222" s="29"/>
    </row>
    <row r="223" spans="1:30" ht="20.100000000000001" customHeight="1">
      <c r="A223" s="28"/>
      <c r="B223" s="1078"/>
      <c r="C223" s="1078"/>
      <c r="D223" s="1078"/>
      <c r="E223" s="1078"/>
      <c r="F223" s="1078"/>
      <c r="G223" s="1078"/>
      <c r="H223" s="1078"/>
      <c r="I223" s="1024"/>
      <c r="J223" s="1024"/>
      <c r="K223" s="1024"/>
      <c r="L223" s="1024"/>
      <c r="M223" s="1024"/>
      <c r="N223" s="1024"/>
      <c r="O223" s="460"/>
      <c r="P223" s="1024"/>
      <c r="Q223" s="1024"/>
      <c r="R223" s="29"/>
    </row>
    <row r="224" spans="1:30" ht="20.100000000000001" customHeight="1">
      <c r="A224" s="28"/>
      <c r="B224" s="650" t="str">
        <f>IF(G220&lt;F220,"! end year has to be after start year!","")</f>
        <v/>
      </c>
      <c r="C224" s="1024"/>
      <c r="D224" s="1024"/>
      <c r="E224" s="1024"/>
      <c r="F224" s="1420" t="s">
        <v>2162</v>
      </c>
      <c r="G224" s="1024"/>
      <c r="H224" s="1024"/>
      <c r="I224" s="1024"/>
      <c r="J224" s="1024"/>
      <c r="K224" s="1024"/>
      <c r="L224" s="1024"/>
      <c r="M224" s="1024"/>
      <c r="N224" s="1024"/>
      <c r="O224" s="460"/>
      <c r="P224" s="1024"/>
      <c r="Q224" s="1024"/>
      <c r="R224" s="29"/>
    </row>
    <row r="225" spans="1:53" ht="20.100000000000001" customHeight="1" thickBot="1">
      <c r="A225" s="28"/>
      <c r="B225" s="650"/>
      <c r="C225" s="650"/>
      <c r="D225" s="650"/>
      <c r="E225" s="650"/>
      <c r="F225" s="1420"/>
      <c r="G225" s="1420" t="s">
        <v>931</v>
      </c>
      <c r="H225" s="654"/>
      <c r="I225" s="1024"/>
      <c r="J225" s="1024"/>
      <c r="K225" s="1024"/>
      <c r="L225" s="1024"/>
      <c r="M225" s="1024"/>
      <c r="N225" s="1024"/>
      <c r="O225" s="460"/>
      <c r="P225" s="1024"/>
      <c r="Q225" s="1024"/>
      <c r="R225" s="29"/>
      <c r="S225" s="1323" t="s">
        <v>236</v>
      </c>
    </row>
    <row r="226" spans="1:53" ht="20.100000000000001" customHeight="1" thickBot="1">
      <c r="A226" s="28"/>
      <c r="B226" s="1024"/>
      <c r="C226" s="1024"/>
      <c r="D226" s="1024"/>
      <c r="E226" s="1024"/>
      <c r="F226" s="1420"/>
      <c r="G226" s="1420"/>
      <c r="H226" s="1296" t="s">
        <v>928</v>
      </c>
      <c r="I226" s="1024"/>
      <c r="J226" s="1024"/>
      <c r="K226" s="1024"/>
      <c r="L226" s="1024"/>
      <c r="M226" s="1024"/>
      <c r="N226" s="1024"/>
      <c r="O226" s="460"/>
      <c r="P226" s="1024"/>
      <c r="Q226" s="1024"/>
      <c r="R226" s="29"/>
      <c r="S226" s="805" t="s">
        <v>172</v>
      </c>
      <c r="T226" s="806"/>
      <c r="U226" s="807"/>
      <c r="V226" s="807"/>
      <c r="W226" s="807"/>
      <c r="X226" s="808">
        <v>2021</v>
      </c>
      <c r="Y226" s="808">
        <f t="shared" ref="Y226:BA226" si="461">Y200</f>
        <v>2022</v>
      </c>
      <c r="Z226" s="808">
        <f t="shared" si="461"/>
        <v>2023</v>
      </c>
      <c r="AA226" s="808">
        <f t="shared" si="461"/>
        <v>2024</v>
      </c>
      <c r="AB226" s="808">
        <f t="shared" si="461"/>
        <v>2025</v>
      </c>
      <c r="AC226" s="808">
        <f t="shared" si="461"/>
        <v>2026</v>
      </c>
      <c r="AD226" s="808">
        <f t="shared" si="461"/>
        <v>2027</v>
      </c>
      <c r="AE226" s="808">
        <f t="shared" si="461"/>
        <v>2028</v>
      </c>
      <c r="AF226" s="808">
        <f t="shared" si="461"/>
        <v>2029</v>
      </c>
      <c r="AG226" s="808">
        <f t="shared" si="461"/>
        <v>2030</v>
      </c>
      <c r="AH226" s="808">
        <f t="shared" si="461"/>
        <v>2031</v>
      </c>
      <c r="AI226" s="808">
        <f t="shared" si="461"/>
        <v>2032</v>
      </c>
      <c r="AJ226" s="808">
        <f t="shared" si="461"/>
        <v>2033</v>
      </c>
      <c r="AK226" s="808">
        <f t="shared" si="461"/>
        <v>2034</v>
      </c>
      <c r="AL226" s="808">
        <f t="shared" si="461"/>
        <v>2035</v>
      </c>
      <c r="AM226" s="808">
        <f t="shared" si="461"/>
        <v>2036</v>
      </c>
      <c r="AN226" s="808">
        <f t="shared" si="461"/>
        <v>2037</v>
      </c>
      <c r="AO226" s="808">
        <f t="shared" si="461"/>
        <v>2038</v>
      </c>
      <c r="AP226" s="808">
        <f t="shared" si="461"/>
        <v>2039</v>
      </c>
      <c r="AQ226" s="808">
        <f t="shared" si="461"/>
        <v>2040</v>
      </c>
      <c r="AR226" s="808">
        <f t="shared" si="461"/>
        <v>2041</v>
      </c>
      <c r="AS226" s="808">
        <f t="shared" si="461"/>
        <v>2042</v>
      </c>
      <c r="AT226" s="808">
        <f t="shared" si="461"/>
        <v>2043</v>
      </c>
      <c r="AU226" s="808">
        <f t="shared" si="461"/>
        <v>2044</v>
      </c>
      <c r="AV226" s="808">
        <f t="shared" si="461"/>
        <v>2045</v>
      </c>
      <c r="AW226" s="808">
        <f t="shared" si="461"/>
        <v>2046</v>
      </c>
      <c r="AX226" s="808">
        <f t="shared" si="461"/>
        <v>2047</v>
      </c>
      <c r="AY226" s="808">
        <f t="shared" si="461"/>
        <v>2048</v>
      </c>
      <c r="AZ226" s="808">
        <f t="shared" si="461"/>
        <v>2049</v>
      </c>
      <c r="BA226" s="809">
        <f t="shared" si="461"/>
        <v>2050</v>
      </c>
    </row>
    <row r="227" spans="1:53" ht="20.100000000000001" customHeight="1">
      <c r="A227" s="1132"/>
      <c r="B227" s="641" t="s">
        <v>2160</v>
      </c>
      <c r="C227" s="274"/>
      <c r="D227" s="274"/>
      <c r="E227" s="274"/>
      <c r="F227" s="408">
        <f>2021+G230</f>
        <v>2050</v>
      </c>
      <c r="G227" s="1296" t="s">
        <v>89</v>
      </c>
      <c r="H227" s="1296" t="s">
        <v>927</v>
      </c>
      <c r="I227" s="429"/>
      <c r="J227" s="429"/>
      <c r="K227" s="429"/>
      <c r="L227" s="429"/>
      <c r="M227" s="429"/>
      <c r="N227" s="429"/>
      <c r="O227" s="639"/>
      <c r="P227" s="1024"/>
      <c r="Q227" s="1024"/>
      <c r="R227" s="29"/>
      <c r="S227" s="810" t="s">
        <v>230</v>
      </c>
      <c r="T227" s="792" t="s">
        <v>36</v>
      </c>
      <c r="U227" s="792"/>
      <c r="V227" s="792"/>
      <c r="W227" s="792"/>
      <c r="X227" s="367"/>
      <c r="Y227" s="793">
        <f>V213</f>
        <v>1.875</v>
      </c>
      <c r="Z227" s="793">
        <f>Y227</f>
        <v>1.875</v>
      </c>
      <c r="AA227" s="793">
        <f t="shared" ref="AA227:BA234" si="462">Z227</f>
        <v>1.875</v>
      </c>
      <c r="AB227" s="793">
        <f t="shared" si="462"/>
        <v>1.875</v>
      </c>
      <c r="AC227" s="793">
        <f t="shared" si="462"/>
        <v>1.875</v>
      </c>
      <c r="AD227" s="793">
        <f t="shared" si="462"/>
        <v>1.875</v>
      </c>
      <c r="AE227" s="793">
        <f t="shared" si="462"/>
        <v>1.875</v>
      </c>
      <c r="AF227" s="793">
        <f t="shared" si="462"/>
        <v>1.875</v>
      </c>
      <c r="AG227" s="793">
        <f t="shared" si="462"/>
        <v>1.875</v>
      </c>
      <c r="AH227" s="793">
        <f t="shared" si="462"/>
        <v>1.875</v>
      </c>
      <c r="AI227" s="793">
        <f t="shared" si="462"/>
        <v>1.875</v>
      </c>
      <c r="AJ227" s="793">
        <f t="shared" si="462"/>
        <v>1.875</v>
      </c>
      <c r="AK227" s="793">
        <f t="shared" si="462"/>
        <v>1.875</v>
      </c>
      <c r="AL227" s="793">
        <f t="shared" si="462"/>
        <v>1.875</v>
      </c>
      <c r="AM227" s="793">
        <f t="shared" si="462"/>
        <v>1.875</v>
      </c>
      <c r="AN227" s="793">
        <f t="shared" si="462"/>
        <v>1.875</v>
      </c>
      <c r="AO227" s="793">
        <f t="shared" si="462"/>
        <v>1.875</v>
      </c>
      <c r="AP227" s="793">
        <f t="shared" si="462"/>
        <v>1.875</v>
      </c>
      <c r="AQ227" s="793">
        <f t="shared" si="462"/>
        <v>1.875</v>
      </c>
      <c r="AR227" s="793">
        <f t="shared" si="462"/>
        <v>1.875</v>
      </c>
      <c r="AS227" s="793">
        <f t="shared" si="462"/>
        <v>1.875</v>
      </c>
      <c r="AT227" s="793">
        <f t="shared" si="462"/>
        <v>1.875</v>
      </c>
      <c r="AU227" s="793">
        <f t="shared" si="462"/>
        <v>1.875</v>
      </c>
      <c r="AV227" s="793">
        <f t="shared" si="462"/>
        <v>1.875</v>
      </c>
      <c r="AW227" s="793">
        <f t="shared" si="462"/>
        <v>1.875</v>
      </c>
      <c r="AX227" s="793">
        <f t="shared" si="462"/>
        <v>1.875</v>
      </c>
      <c r="AY227" s="793">
        <f t="shared" si="462"/>
        <v>1.875</v>
      </c>
      <c r="AZ227" s="793">
        <f t="shared" si="462"/>
        <v>1.875</v>
      </c>
      <c r="BA227" s="794">
        <f t="shared" si="462"/>
        <v>1.875</v>
      </c>
    </row>
    <row r="228" spans="1:53" ht="20.100000000000001" customHeight="1">
      <c r="A228" s="28"/>
      <c r="B228" s="222" t="s">
        <v>930</v>
      </c>
      <c r="C228" s="222"/>
      <c r="D228" s="222"/>
      <c r="E228" s="222"/>
      <c r="F228" s="661">
        <f>INDEX(Y5:BA5,1,G230)</f>
        <v>29.48462625380035</v>
      </c>
      <c r="G228" s="777">
        <v>100</v>
      </c>
      <c r="H228" s="777">
        <v>0</v>
      </c>
      <c r="I228" s="1024"/>
      <c r="J228" s="1024"/>
      <c r="K228" s="1024"/>
      <c r="L228" s="1024"/>
      <c r="M228" s="1024"/>
      <c r="N228" s="1024"/>
      <c r="O228" s="460"/>
      <c r="P228" s="1024"/>
      <c r="Q228" s="1024"/>
      <c r="R228" s="29"/>
      <c r="S228" s="811"/>
      <c r="T228" s="115" t="s">
        <v>37</v>
      </c>
      <c r="U228" s="115"/>
      <c r="V228" s="115"/>
      <c r="W228" s="115"/>
      <c r="X228" s="366"/>
      <c r="Y228" s="76">
        <f>W213</f>
        <v>0.39999999999999997</v>
      </c>
      <c r="Z228" s="76">
        <f t="shared" ref="Z228:AO234" si="463">Y228</f>
        <v>0.39999999999999997</v>
      </c>
      <c r="AA228" s="76">
        <f t="shared" si="463"/>
        <v>0.39999999999999997</v>
      </c>
      <c r="AB228" s="76">
        <f t="shared" si="463"/>
        <v>0.39999999999999997</v>
      </c>
      <c r="AC228" s="76">
        <f t="shared" si="463"/>
        <v>0.39999999999999997</v>
      </c>
      <c r="AD228" s="76">
        <f t="shared" si="463"/>
        <v>0.39999999999999997</v>
      </c>
      <c r="AE228" s="76">
        <f t="shared" si="463"/>
        <v>0.39999999999999997</v>
      </c>
      <c r="AF228" s="76">
        <f t="shared" si="463"/>
        <v>0.39999999999999997</v>
      </c>
      <c r="AG228" s="76">
        <f t="shared" si="463"/>
        <v>0.39999999999999997</v>
      </c>
      <c r="AH228" s="76">
        <f t="shared" si="463"/>
        <v>0.39999999999999997</v>
      </c>
      <c r="AI228" s="76">
        <f t="shared" si="463"/>
        <v>0.39999999999999997</v>
      </c>
      <c r="AJ228" s="76">
        <f t="shared" si="463"/>
        <v>0.39999999999999997</v>
      </c>
      <c r="AK228" s="76">
        <f t="shared" si="463"/>
        <v>0.39999999999999997</v>
      </c>
      <c r="AL228" s="76">
        <f t="shared" si="463"/>
        <v>0.39999999999999997</v>
      </c>
      <c r="AM228" s="76">
        <f t="shared" si="463"/>
        <v>0.39999999999999997</v>
      </c>
      <c r="AN228" s="76">
        <f t="shared" si="463"/>
        <v>0.39999999999999997</v>
      </c>
      <c r="AO228" s="76">
        <f t="shared" si="463"/>
        <v>0.39999999999999997</v>
      </c>
      <c r="AP228" s="76">
        <f t="shared" si="462"/>
        <v>0.39999999999999997</v>
      </c>
      <c r="AQ228" s="76">
        <f t="shared" si="462"/>
        <v>0.39999999999999997</v>
      </c>
      <c r="AR228" s="76">
        <f t="shared" si="462"/>
        <v>0.39999999999999997</v>
      </c>
      <c r="AS228" s="76">
        <f t="shared" si="462"/>
        <v>0.39999999999999997</v>
      </c>
      <c r="AT228" s="76">
        <f t="shared" si="462"/>
        <v>0.39999999999999997</v>
      </c>
      <c r="AU228" s="76">
        <f t="shared" si="462"/>
        <v>0.39999999999999997</v>
      </c>
      <c r="AV228" s="76">
        <f t="shared" si="462"/>
        <v>0.39999999999999997</v>
      </c>
      <c r="AW228" s="76">
        <f t="shared" si="462"/>
        <v>0.39999999999999997</v>
      </c>
      <c r="AX228" s="76">
        <f t="shared" si="462"/>
        <v>0.39999999999999997</v>
      </c>
      <c r="AY228" s="76">
        <f t="shared" si="462"/>
        <v>0.39999999999999997</v>
      </c>
      <c r="AZ228" s="76">
        <f t="shared" si="462"/>
        <v>0.39999999999999997</v>
      </c>
      <c r="BA228" s="795">
        <f t="shared" si="462"/>
        <v>0.39999999999999997</v>
      </c>
    </row>
    <row r="229" spans="1:53" ht="20.100000000000001" customHeight="1">
      <c r="A229" s="28"/>
      <c r="B229" s="557" t="s">
        <v>165</v>
      </c>
      <c r="C229" s="557"/>
      <c r="D229" s="557"/>
      <c r="E229" s="557"/>
      <c r="F229" s="1296" t="s">
        <v>153</v>
      </c>
      <c r="G229" s="1296" t="s">
        <v>154</v>
      </c>
      <c r="H229" s="1024"/>
      <c r="I229" s="1024"/>
      <c r="J229" s="1024"/>
      <c r="K229" s="1024"/>
      <c r="L229" s="1024"/>
      <c r="M229" s="1024"/>
      <c r="N229" s="1024"/>
      <c r="O229" s="460"/>
      <c r="P229" s="1024"/>
      <c r="Q229" s="1024"/>
      <c r="R229" s="29"/>
      <c r="S229" s="811"/>
      <c r="T229" s="115" t="s">
        <v>38</v>
      </c>
      <c r="U229" s="115"/>
      <c r="V229" s="115"/>
      <c r="W229" s="115"/>
      <c r="X229" s="366"/>
      <c r="Y229" s="76">
        <f>X213</f>
        <v>1</v>
      </c>
      <c r="Z229" s="76">
        <f t="shared" si="463"/>
        <v>1</v>
      </c>
      <c r="AA229" s="76">
        <f t="shared" si="462"/>
        <v>1</v>
      </c>
      <c r="AB229" s="76">
        <f t="shared" si="462"/>
        <v>1</v>
      </c>
      <c r="AC229" s="76">
        <f t="shared" si="462"/>
        <v>1</v>
      </c>
      <c r="AD229" s="76">
        <f t="shared" si="462"/>
        <v>1</v>
      </c>
      <c r="AE229" s="76">
        <f t="shared" si="462"/>
        <v>1</v>
      </c>
      <c r="AF229" s="76">
        <f t="shared" si="462"/>
        <v>1</v>
      </c>
      <c r="AG229" s="76">
        <f t="shared" si="462"/>
        <v>1</v>
      </c>
      <c r="AH229" s="76">
        <f t="shared" si="462"/>
        <v>1</v>
      </c>
      <c r="AI229" s="76">
        <f t="shared" si="462"/>
        <v>1</v>
      </c>
      <c r="AJ229" s="76">
        <f t="shared" si="462"/>
        <v>1</v>
      </c>
      <c r="AK229" s="76">
        <f t="shared" si="462"/>
        <v>1</v>
      </c>
      <c r="AL229" s="76">
        <f t="shared" si="462"/>
        <v>1</v>
      </c>
      <c r="AM229" s="76">
        <f t="shared" si="462"/>
        <v>1</v>
      </c>
      <c r="AN229" s="76">
        <f t="shared" si="462"/>
        <v>1</v>
      </c>
      <c r="AO229" s="76">
        <f t="shared" si="462"/>
        <v>1</v>
      </c>
      <c r="AP229" s="76">
        <f t="shared" si="462"/>
        <v>1</v>
      </c>
      <c r="AQ229" s="76">
        <f t="shared" si="462"/>
        <v>1</v>
      </c>
      <c r="AR229" s="76">
        <f t="shared" si="462"/>
        <v>1</v>
      </c>
      <c r="AS229" s="76">
        <f t="shared" si="462"/>
        <v>1</v>
      </c>
      <c r="AT229" s="76">
        <f t="shared" si="462"/>
        <v>1</v>
      </c>
      <c r="AU229" s="76">
        <f t="shared" si="462"/>
        <v>1</v>
      </c>
      <c r="AV229" s="76">
        <f t="shared" si="462"/>
        <v>1</v>
      </c>
      <c r="AW229" s="76">
        <f t="shared" si="462"/>
        <v>1</v>
      </c>
      <c r="AX229" s="76">
        <f t="shared" si="462"/>
        <v>1</v>
      </c>
      <c r="AY229" s="76">
        <f t="shared" si="462"/>
        <v>1</v>
      </c>
      <c r="AZ229" s="76">
        <f t="shared" si="462"/>
        <v>1</v>
      </c>
      <c r="BA229" s="795">
        <f t="shared" si="462"/>
        <v>1</v>
      </c>
    </row>
    <row r="230" spans="1:53" ht="20.100000000000001" customHeight="1">
      <c r="A230" s="28"/>
      <c r="B230" s="1024"/>
      <c r="C230" s="1024"/>
      <c r="D230" s="1024"/>
      <c r="E230" s="1024"/>
      <c r="F230" s="1024">
        <v>4</v>
      </c>
      <c r="G230" s="1024">
        <v>29</v>
      </c>
      <c r="H230" s="1024"/>
      <c r="I230" s="1024"/>
      <c r="J230" s="1024"/>
      <c r="K230" s="1024"/>
      <c r="L230" s="1024"/>
      <c r="M230" s="1024"/>
      <c r="N230" s="1024"/>
      <c r="O230" s="460"/>
      <c r="P230" s="1024"/>
      <c r="Q230" s="1024"/>
      <c r="R230" s="29"/>
      <c r="S230" s="811"/>
      <c r="T230" s="115" t="s">
        <v>39</v>
      </c>
      <c r="U230" s="115"/>
      <c r="V230" s="115"/>
      <c r="W230" s="115"/>
      <c r="X230" s="366"/>
      <c r="Y230" s="76">
        <f>Y213</f>
        <v>1</v>
      </c>
      <c r="Z230" s="76">
        <f t="shared" si="463"/>
        <v>1</v>
      </c>
      <c r="AA230" s="76">
        <f t="shared" si="462"/>
        <v>1</v>
      </c>
      <c r="AB230" s="76">
        <f t="shared" si="462"/>
        <v>1</v>
      </c>
      <c r="AC230" s="76">
        <f t="shared" si="462"/>
        <v>1</v>
      </c>
      <c r="AD230" s="76">
        <f t="shared" si="462"/>
        <v>1</v>
      </c>
      <c r="AE230" s="76">
        <f t="shared" si="462"/>
        <v>1</v>
      </c>
      <c r="AF230" s="76">
        <f t="shared" si="462"/>
        <v>1</v>
      </c>
      <c r="AG230" s="76">
        <f t="shared" si="462"/>
        <v>1</v>
      </c>
      <c r="AH230" s="76">
        <f t="shared" si="462"/>
        <v>1</v>
      </c>
      <c r="AI230" s="76">
        <f t="shared" si="462"/>
        <v>1</v>
      </c>
      <c r="AJ230" s="76">
        <f t="shared" si="462"/>
        <v>1</v>
      </c>
      <c r="AK230" s="76">
        <f t="shared" si="462"/>
        <v>1</v>
      </c>
      <c r="AL230" s="76">
        <f t="shared" si="462"/>
        <v>1</v>
      </c>
      <c r="AM230" s="76">
        <f t="shared" si="462"/>
        <v>1</v>
      </c>
      <c r="AN230" s="76">
        <f t="shared" si="462"/>
        <v>1</v>
      </c>
      <c r="AO230" s="76">
        <f t="shared" si="462"/>
        <v>1</v>
      </c>
      <c r="AP230" s="76">
        <f t="shared" si="462"/>
        <v>1</v>
      </c>
      <c r="AQ230" s="76">
        <f t="shared" si="462"/>
        <v>1</v>
      </c>
      <c r="AR230" s="76">
        <f t="shared" si="462"/>
        <v>1</v>
      </c>
      <c r="AS230" s="76">
        <f t="shared" si="462"/>
        <v>1</v>
      </c>
      <c r="AT230" s="76">
        <f t="shared" si="462"/>
        <v>1</v>
      </c>
      <c r="AU230" s="76">
        <f t="shared" si="462"/>
        <v>1</v>
      </c>
      <c r="AV230" s="76">
        <f t="shared" si="462"/>
        <v>1</v>
      </c>
      <c r="AW230" s="76">
        <f t="shared" si="462"/>
        <v>1</v>
      </c>
      <c r="AX230" s="76">
        <f t="shared" si="462"/>
        <v>1</v>
      </c>
      <c r="AY230" s="76">
        <f t="shared" si="462"/>
        <v>1</v>
      </c>
      <c r="AZ230" s="76">
        <f t="shared" si="462"/>
        <v>1</v>
      </c>
      <c r="BA230" s="795">
        <f t="shared" si="462"/>
        <v>1</v>
      </c>
    </row>
    <row r="231" spans="1:53" ht="20.100000000000001" customHeight="1">
      <c r="A231" s="28"/>
      <c r="B231" s="650" t="str">
        <f>IF(G230&lt;F230,"! end year has to be after start year!","")</f>
        <v/>
      </c>
      <c r="C231" s="650"/>
      <c r="D231" s="650"/>
      <c r="E231" s="650"/>
      <c r="F231" s="650"/>
      <c r="G231" s="650"/>
      <c r="H231" s="654"/>
      <c r="I231" s="1024"/>
      <c r="J231" s="1024"/>
      <c r="K231" s="1024"/>
      <c r="L231" s="1024"/>
      <c r="M231" s="1024"/>
      <c r="N231" s="1024"/>
      <c r="O231" s="460"/>
      <c r="P231" s="1024"/>
      <c r="Q231" s="1024"/>
      <c r="R231" s="29"/>
      <c r="S231" s="811"/>
      <c r="T231" s="115" t="s">
        <v>77</v>
      </c>
      <c r="U231" s="115"/>
      <c r="V231" s="115"/>
      <c r="W231" s="115"/>
      <c r="X231" s="366"/>
      <c r="Y231" s="76">
        <f>Z213</f>
        <v>1.875</v>
      </c>
      <c r="Z231" s="76">
        <f t="shared" si="463"/>
        <v>1.875</v>
      </c>
      <c r="AA231" s="76">
        <f t="shared" si="462"/>
        <v>1.875</v>
      </c>
      <c r="AB231" s="76">
        <f t="shared" si="462"/>
        <v>1.875</v>
      </c>
      <c r="AC231" s="76">
        <f t="shared" si="462"/>
        <v>1.875</v>
      </c>
      <c r="AD231" s="76">
        <f t="shared" si="462"/>
        <v>1.875</v>
      </c>
      <c r="AE231" s="76">
        <f t="shared" si="462"/>
        <v>1.875</v>
      </c>
      <c r="AF231" s="76">
        <f t="shared" si="462"/>
        <v>1.875</v>
      </c>
      <c r="AG231" s="76">
        <f t="shared" si="462"/>
        <v>1.875</v>
      </c>
      <c r="AH231" s="76">
        <f t="shared" si="462"/>
        <v>1.875</v>
      </c>
      <c r="AI231" s="76">
        <f t="shared" si="462"/>
        <v>1.875</v>
      </c>
      <c r="AJ231" s="76">
        <f t="shared" si="462"/>
        <v>1.875</v>
      </c>
      <c r="AK231" s="76">
        <f t="shared" si="462"/>
        <v>1.875</v>
      </c>
      <c r="AL231" s="76">
        <f t="shared" si="462"/>
        <v>1.875</v>
      </c>
      <c r="AM231" s="76">
        <f t="shared" si="462"/>
        <v>1.875</v>
      </c>
      <c r="AN231" s="76">
        <f t="shared" si="462"/>
        <v>1.875</v>
      </c>
      <c r="AO231" s="76">
        <f t="shared" si="462"/>
        <v>1.875</v>
      </c>
      <c r="AP231" s="76">
        <f t="shared" si="462"/>
        <v>1.875</v>
      </c>
      <c r="AQ231" s="76">
        <f t="shared" si="462"/>
        <v>1.875</v>
      </c>
      <c r="AR231" s="76">
        <f t="shared" si="462"/>
        <v>1.875</v>
      </c>
      <c r="AS231" s="76">
        <f t="shared" si="462"/>
        <v>1.875</v>
      </c>
      <c r="AT231" s="76">
        <f t="shared" si="462"/>
        <v>1.875</v>
      </c>
      <c r="AU231" s="76">
        <f t="shared" si="462"/>
        <v>1.875</v>
      </c>
      <c r="AV231" s="76">
        <f t="shared" si="462"/>
        <v>1.875</v>
      </c>
      <c r="AW231" s="76">
        <f t="shared" si="462"/>
        <v>1.875</v>
      </c>
      <c r="AX231" s="76">
        <f t="shared" si="462"/>
        <v>1.875</v>
      </c>
      <c r="AY231" s="76">
        <f t="shared" si="462"/>
        <v>1.875</v>
      </c>
      <c r="AZ231" s="76">
        <f t="shared" si="462"/>
        <v>1.875</v>
      </c>
      <c r="BA231" s="795">
        <f t="shared" si="462"/>
        <v>1.875</v>
      </c>
    </row>
    <row r="232" spans="1:53" ht="20.100000000000001" customHeight="1">
      <c r="A232" s="28"/>
      <c r="B232" s="1120" t="str">
        <f>IF(F230&lt;START!$C$2,"Policy period starts before the starting year for the study","")</f>
        <v/>
      </c>
      <c r="C232" s="1120"/>
      <c r="D232" s="1120"/>
      <c r="E232" s="1120"/>
      <c r="F232" s="1024"/>
      <c r="G232" s="1024"/>
      <c r="H232" s="1024"/>
      <c r="I232" s="1024"/>
      <c r="J232" s="1024"/>
      <c r="K232" s="1024"/>
      <c r="L232" s="1024"/>
      <c r="M232" s="1024"/>
      <c r="N232" s="1024"/>
      <c r="O232" s="460"/>
      <c r="P232" s="1024"/>
      <c r="Q232" s="1024"/>
      <c r="R232" s="29"/>
      <c r="S232" s="811"/>
      <c r="T232" s="115" t="s">
        <v>78</v>
      </c>
      <c r="U232" s="115"/>
      <c r="V232" s="115"/>
      <c r="W232" s="115"/>
      <c r="X232" s="366"/>
      <c r="Y232" s="76">
        <f>AA213</f>
        <v>2</v>
      </c>
      <c r="Z232" s="76">
        <f t="shared" si="463"/>
        <v>2</v>
      </c>
      <c r="AA232" s="76">
        <f t="shared" si="462"/>
        <v>2</v>
      </c>
      <c r="AB232" s="76">
        <f t="shared" si="462"/>
        <v>2</v>
      </c>
      <c r="AC232" s="76">
        <f t="shared" si="462"/>
        <v>2</v>
      </c>
      <c r="AD232" s="76">
        <f t="shared" si="462"/>
        <v>2</v>
      </c>
      <c r="AE232" s="76">
        <f t="shared" si="462"/>
        <v>2</v>
      </c>
      <c r="AF232" s="76">
        <f t="shared" si="462"/>
        <v>2</v>
      </c>
      <c r="AG232" s="76">
        <f t="shared" si="462"/>
        <v>2</v>
      </c>
      <c r="AH232" s="76">
        <f t="shared" si="462"/>
        <v>2</v>
      </c>
      <c r="AI232" s="76">
        <f t="shared" si="462"/>
        <v>2</v>
      </c>
      <c r="AJ232" s="76">
        <f t="shared" si="462"/>
        <v>2</v>
      </c>
      <c r="AK232" s="76">
        <f t="shared" si="462"/>
        <v>2</v>
      </c>
      <c r="AL232" s="76">
        <f t="shared" si="462"/>
        <v>2</v>
      </c>
      <c r="AM232" s="76">
        <f t="shared" si="462"/>
        <v>2</v>
      </c>
      <c r="AN232" s="76">
        <f t="shared" si="462"/>
        <v>2</v>
      </c>
      <c r="AO232" s="76">
        <f t="shared" si="462"/>
        <v>2</v>
      </c>
      <c r="AP232" s="76">
        <f t="shared" si="462"/>
        <v>2</v>
      </c>
      <c r="AQ232" s="76">
        <f t="shared" si="462"/>
        <v>2</v>
      </c>
      <c r="AR232" s="76">
        <f t="shared" si="462"/>
        <v>2</v>
      </c>
      <c r="AS232" s="76">
        <f t="shared" si="462"/>
        <v>2</v>
      </c>
      <c r="AT232" s="76">
        <f t="shared" si="462"/>
        <v>2</v>
      </c>
      <c r="AU232" s="76">
        <f t="shared" si="462"/>
        <v>2</v>
      </c>
      <c r="AV232" s="76">
        <f t="shared" si="462"/>
        <v>2</v>
      </c>
      <c r="AW232" s="76">
        <f t="shared" si="462"/>
        <v>2</v>
      </c>
      <c r="AX232" s="76">
        <f t="shared" si="462"/>
        <v>2</v>
      </c>
      <c r="AY232" s="76">
        <f t="shared" si="462"/>
        <v>2</v>
      </c>
      <c r="AZ232" s="76">
        <f t="shared" si="462"/>
        <v>2</v>
      </c>
      <c r="BA232" s="795">
        <f t="shared" si="462"/>
        <v>2</v>
      </c>
    </row>
    <row r="233" spans="1:53" ht="20.100000000000001" customHeight="1" thickBot="1">
      <c r="A233" s="31"/>
      <c r="B233" s="461"/>
      <c r="C233" s="461"/>
      <c r="D233" s="461"/>
      <c r="E233" s="461"/>
      <c r="F233" s="461"/>
      <c r="G233" s="461"/>
      <c r="H233" s="461"/>
      <c r="I233" s="461"/>
      <c r="J233" s="461"/>
      <c r="K233" s="461"/>
      <c r="L233" s="461"/>
      <c r="M233" s="461"/>
      <c r="N233" s="461"/>
      <c r="O233" s="462"/>
      <c r="P233" s="1024"/>
      <c r="Q233" s="1024"/>
      <c r="R233" s="29"/>
      <c r="S233" s="811"/>
      <c r="T233" s="115" t="s">
        <v>79</v>
      </c>
      <c r="U233" s="115"/>
      <c r="V233" s="115"/>
      <c r="W233" s="115"/>
      <c r="X233" s="366"/>
      <c r="Y233" s="76">
        <f>AB213</f>
        <v>1.875</v>
      </c>
      <c r="Z233" s="76">
        <f t="shared" si="463"/>
        <v>1.875</v>
      </c>
      <c r="AA233" s="76">
        <f t="shared" si="462"/>
        <v>1.875</v>
      </c>
      <c r="AB233" s="76">
        <f t="shared" si="462"/>
        <v>1.875</v>
      </c>
      <c r="AC233" s="76">
        <f t="shared" si="462"/>
        <v>1.875</v>
      </c>
      <c r="AD233" s="76">
        <f t="shared" si="462"/>
        <v>1.875</v>
      </c>
      <c r="AE233" s="76">
        <f t="shared" si="462"/>
        <v>1.875</v>
      </c>
      <c r="AF233" s="76">
        <f t="shared" si="462"/>
        <v>1.875</v>
      </c>
      <c r="AG233" s="76">
        <f t="shared" si="462"/>
        <v>1.875</v>
      </c>
      <c r="AH233" s="76">
        <f t="shared" si="462"/>
        <v>1.875</v>
      </c>
      <c r="AI233" s="76">
        <f t="shared" si="462"/>
        <v>1.875</v>
      </c>
      <c r="AJ233" s="76">
        <f t="shared" si="462"/>
        <v>1.875</v>
      </c>
      <c r="AK233" s="76">
        <f t="shared" si="462"/>
        <v>1.875</v>
      </c>
      <c r="AL233" s="76">
        <f t="shared" si="462"/>
        <v>1.875</v>
      </c>
      <c r="AM233" s="76">
        <f t="shared" si="462"/>
        <v>1.875</v>
      </c>
      <c r="AN233" s="76">
        <f t="shared" si="462"/>
        <v>1.875</v>
      </c>
      <c r="AO233" s="76">
        <f t="shared" si="462"/>
        <v>1.875</v>
      </c>
      <c r="AP233" s="76">
        <f t="shared" si="462"/>
        <v>1.875</v>
      </c>
      <c r="AQ233" s="76">
        <f t="shared" si="462"/>
        <v>1.875</v>
      </c>
      <c r="AR233" s="76">
        <f t="shared" si="462"/>
        <v>1.875</v>
      </c>
      <c r="AS233" s="76">
        <f t="shared" si="462"/>
        <v>1.875</v>
      </c>
      <c r="AT233" s="76">
        <f t="shared" si="462"/>
        <v>1.875</v>
      </c>
      <c r="AU233" s="76">
        <f t="shared" si="462"/>
        <v>1.875</v>
      </c>
      <c r="AV233" s="76">
        <f t="shared" si="462"/>
        <v>1.875</v>
      </c>
      <c r="AW233" s="76">
        <f t="shared" si="462"/>
        <v>1.875</v>
      </c>
      <c r="AX233" s="76">
        <f t="shared" si="462"/>
        <v>1.875</v>
      </c>
      <c r="AY233" s="76">
        <f t="shared" si="462"/>
        <v>1.875</v>
      </c>
      <c r="AZ233" s="76">
        <f t="shared" si="462"/>
        <v>1.875</v>
      </c>
      <c r="BA233" s="795">
        <f t="shared" si="462"/>
        <v>1.875</v>
      </c>
    </row>
    <row r="234" spans="1:53" ht="20.100000000000001" customHeight="1" thickBot="1">
      <c r="A234" s="159"/>
      <c r="B234" s="423"/>
      <c r="C234" s="423"/>
      <c r="D234" s="423"/>
      <c r="E234" s="423"/>
      <c r="F234" s="423"/>
      <c r="G234" s="423"/>
      <c r="H234" s="423"/>
      <c r="I234" s="423"/>
      <c r="J234" s="423"/>
      <c r="K234" s="423"/>
      <c r="L234" s="423"/>
      <c r="M234" s="423"/>
      <c r="N234" s="423"/>
      <c r="O234" s="424"/>
      <c r="P234" s="1024"/>
      <c r="Q234" s="1024"/>
      <c r="R234" s="29"/>
      <c r="S234" s="812"/>
      <c r="T234" s="796" t="s">
        <v>80</v>
      </c>
      <c r="U234" s="796"/>
      <c r="V234" s="796"/>
      <c r="W234" s="796"/>
      <c r="X234" s="368"/>
      <c r="Y234" s="779">
        <f>AC213</f>
        <v>1.75</v>
      </c>
      <c r="Z234" s="779">
        <f t="shared" si="463"/>
        <v>1.75</v>
      </c>
      <c r="AA234" s="779">
        <f t="shared" si="462"/>
        <v>1.75</v>
      </c>
      <c r="AB234" s="779">
        <f t="shared" si="462"/>
        <v>1.75</v>
      </c>
      <c r="AC234" s="779">
        <f t="shared" si="462"/>
        <v>1.75</v>
      </c>
      <c r="AD234" s="779">
        <f t="shared" si="462"/>
        <v>1.75</v>
      </c>
      <c r="AE234" s="779">
        <f t="shared" si="462"/>
        <v>1.75</v>
      </c>
      <c r="AF234" s="779">
        <f t="shared" si="462"/>
        <v>1.75</v>
      </c>
      <c r="AG234" s="779">
        <f t="shared" si="462"/>
        <v>1.75</v>
      </c>
      <c r="AH234" s="779">
        <f t="shared" si="462"/>
        <v>1.75</v>
      </c>
      <c r="AI234" s="779">
        <f t="shared" si="462"/>
        <v>1.75</v>
      </c>
      <c r="AJ234" s="779">
        <f t="shared" si="462"/>
        <v>1.75</v>
      </c>
      <c r="AK234" s="779">
        <f t="shared" si="462"/>
        <v>1.75</v>
      </c>
      <c r="AL234" s="779">
        <f t="shared" si="462"/>
        <v>1.75</v>
      </c>
      <c r="AM234" s="779">
        <f t="shared" si="462"/>
        <v>1.75</v>
      </c>
      <c r="AN234" s="779">
        <f t="shared" si="462"/>
        <v>1.75</v>
      </c>
      <c r="AO234" s="779">
        <f t="shared" si="462"/>
        <v>1.75</v>
      </c>
      <c r="AP234" s="779">
        <f t="shared" si="462"/>
        <v>1.75</v>
      </c>
      <c r="AQ234" s="779">
        <f t="shared" si="462"/>
        <v>1.75</v>
      </c>
      <c r="AR234" s="779">
        <f t="shared" si="462"/>
        <v>1.75</v>
      </c>
      <c r="AS234" s="779">
        <f t="shared" si="462"/>
        <v>1.75</v>
      </c>
      <c r="AT234" s="779">
        <f t="shared" si="462"/>
        <v>1.75</v>
      </c>
      <c r="AU234" s="779">
        <f t="shared" si="462"/>
        <v>1.75</v>
      </c>
      <c r="AV234" s="779">
        <f t="shared" si="462"/>
        <v>1.75</v>
      </c>
      <c r="AW234" s="779">
        <f t="shared" si="462"/>
        <v>1.75</v>
      </c>
      <c r="AX234" s="779">
        <f t="shared" si="462"/>
        <v>1.75</v>
      </c>
      <c r="AY234" s="779">
        <f t="shared" si="462"/>
        <v>1.75</v>
      </c>
      <c r="AZ234" s="779">
        <f t="shared" si="462"/>
        <v>1.75</v>
      </c>
      <c r="BA234" s="797">
        <f t="shared" si="462"/>
        <v>1.75</v>
      </c>
    </row>
    <row r="235" spans="1:53" ht="20.100000000000001" customHeight="1">
      <c r="A235" s="40"/>
      <c r="B235" s="425"/>
      <c r="C235" s="425"/>
      <c r="D235" s="425"/>
      <c r="E235" s="425"/>
      <c r="F235" s="425"/>
      <c r="G235" s="425"/>
      <c r="H235" s="425"/>
      <c r="I235" s="425"/>
      <c r="J235" s="425"/>
      <c r="K235" s="425"/>
      <c r="L235" s="425"/>
      <c r="M235" s="425"/>
      <c r="N235" s="425"/>
      <c r="O235" s="426"/>
      <c r="P235" s="1024"/>
      <c r="Q235" s="1024"/>
      <c r="R235" s="29"/>
      <c r="S235" s="810" t="s">
        <v>231</v>
      </c>
      <c r="T235" s="792" t="s">
        <v>36</v>
      </c>
      <c r="U235" s="792"/>
      <c r="V235" s="792"/>
      <c r="W235" s="792"/>
      <c r="X235" s="367"/>
      <c r="Y235" s="793">
        <f>V220</f>
        <v>0.72500000000000009</v>
      </c>
      <c r="Z235" s="793">
        <f>Y235</f>
        <v>0.72500000000000009</v>
      </c>
      <c r="AA235" s="793">
        <f t="shared" ref="AA235:BA242" si="464">Z235</f>
        <v>0.72500000000000009</v>
      </c>
      <c r="AB235" s="793">
        <f t="shared" si="464"/>
        <v>0.72500000000000009</v>
      </c>
      <c r="AC235" s="793">
        <f t="shared" si="464"/>
        <v>0.72500000000000009</v>
      </c>
      <c r="AD235" s="793">
        <f t="shared" si="464"/>
        <v>0.72500000000000009</v>
      </c>
      <c r="AE235" s="793">
        <f t="shared" si="464"/>
        <v>0.72500000000000009</v>
      </c>
      <c r="AF235" s="793">
        <f t="shared" si="464"/>
        <v>0.72500000000000009</v>
      </c>
      <c r="AG235" s="793">
        <f t="shared" si="464"/>
        <v>0.72500000000000009</v>
      </c>
      <c r="AH235" s="793">
        <f t="shared" si="464"/>
        <v>0.72500000000000009</v>
      </c>
      <c r="AI235" s="793">
        <f t="shared" si="464"/>
        <v>0.72500000000000009</v>
      </c>
      <c r="AJ235" s="793">
        <f t="shared" si="464"/>
        <v>0.72500000000000009</v>
      </c>
      <c r="AK235" s="793">
        <f t="shared" si="464"/>
        <v>0.72500000000000009</v>
      </c>
      <c r="AL235" s="793">
        <f t="shared" si="464"/>
        <v>0.72500000000000009</v>
      </c>
      <c r="AM235" s="793">
        <f t="shared" si="464"/>
        <v>0.72500000000000009</v>
      </c>
      <c r="AN235" s="793">
        <f t="shared" si="464"/>
        <v>0.72500000000000009</v>
      </c>
      <c r="AO235" s="793">
        <f t="shared" si="464"/>
        <v>0.72500000000000009</v>
      </c>
      <c r="AP235" s="793">
        <f t="shared" si="464"/>
        <v>0.72500000000000009</v>
      </c>
      <c r="AQ235" s="793">
        <f t="shared" si="464"/>
        <v>0.72500000000000009</v>
      </c>
      <c r="AR235" s="793">
        <f t="shared" si="464"/>
        <v>0.72500000000000009</v>
      </c>
      <c r="AS235" s="793">
        <f t="shared" si="464"/>
        <v>0.72500000000000009</v>
      </c>
      <c r="AT235" s="793">
        <f t="shared" si="464"/>
        <v>0.72500000000000009</v>
      </c>
      <c r="AU235" s="793">
        <f t="shared" si="464"/>
        <v>0.72500000000000009</v>
      </c>
      <c r="AV235" s="793">
        <f t="shared" si="464"/>
        <v>0.72500000000000009</v>
      </c>
      <c r="AW235" s="793">
        <f t="shared" si="464"/>
        <v>0.72500000000000009</v>
      </c>
      <c r="AX235" s="793">
        <f t="shared" si="464"/>
        <v>0.72500000000000009</v>
      </c>
      <c r="AY235" s="793">
        <f t="shared" si="464"/>
        <v>0.72500000000000009</v>
      </c>
      <c r="AZ235" s="793">
        <f t="shared" si="464"/>
        <v>0.72500000000000009</v>
      </c>
      <c r="BA235" s="794">
        <f t="shared" si="464"/>
        <v>0.72500000000000009</v>
      </c>
    </row>
    <row r="236" spans="1:53" ht="20.100000000000001" customHeight="1">
      <c r="A236" s="40"/>
      <c r="B236" s="34"/>
      <c r="C236" s="34"/>
      <c r="D236" s="34"/>
      <c r="E236" s="34"/>
      <c r="F236" s="34"/>
      <c r="G236" s="34"/>
      <c r="H236" s="34"/>
      <c r="I236" s="34"/>
      <c r="J236" s="34"/>
      <c r="K236" s="34"/>
      <c r="L236" s="34"/>
      <c r="M236" s="34"/>
      <c r="N236" s="34"/>
      <c r="O236" s="41"/>
      <c r="P236" s="1078"/>
      <c r="Q236" s="1078"/>
      <c r="R236" s="29"/>
      <c r="S236" s="811"/>
      <c r="T236" s="115" t="s">
        <v>37</v>
      </c>
      <c r="U236" s="115"/>
      <c r="V236" s="115"/>
      <c r="W236" s="115"/>
      <c r="X236" s="366"/>
      <c r="Y236" s="76">
        <f>W220</f>
        <v>1.65</v>
      </c>
      <c r="Z236" s="76">
        <f t="shared" ref="Z236:AO242" si="465">Y236</f>
        <v>1.65</v>
      </c>
      <c r="AA236" s="76">
        <f t="shared" si="465"/>
        <v>1.65</v>
      </c>
      <c r="AB236" s="76">
        <f t="shared" si="465"/>
        <v>1.65</v>
      </c>
      <c r="AC236" s="76">
        <f t="shared" si="465"/>
        <v>1.65</v>
      </c>
      <c r="AD236" s="76">
        <f t="shared" si="465"/>
        <v>1.65</v>
      </c>
      <c r="AE236" s="76">
        <f t="shared" si="465"/>
        <v>1.65</v>
      </c>
      <c r="AF236" s="76">
        <f t="shared" si="465"/>
        <v>1.65</v>
      </c>
      <c r="AG236" s="76">
        <f t="shared" si="465"/>
        <v>1.65</v>
      </c>
      <c r="AH236" s="76">
        <f t="shared" si="465"/>
        <v>1.65</v>
      </c>
      <c r="AI236" s="76">
        <f t="shared" si="465"/>
        <v>1.65</v>
      </c>
      <c r="AJ236" s="76">
        <f t="shared" si="465"/>
        <v>1.65</v>
      </c>
      <c r="AK236" s="76">
        <f t="shared" si="465"/>
        <v>1.65</v>
      </c>
      <c r="AL236" s="76">
        <f t="shared" si="465"/>
        <v>1.65</v>
      </c>
      <c r="AM236" s="76">
        <f t="shared" si="465"/>
        <v>1.65</v>
      </c>
      <c r="AN236" s="76">
        <f t="shared" si="465"/>
        <v>1.65</v>
      </c>
      <c r="AO236" s="76">
        <f t="shared" si="465"/>
        <v>1.65</v>
      </c>
      <c r="AP236" s="76">
        <f t="shared" si="464"/>
        <v>1.65</v>
      </c>
      <c r="AQ236" s="76">
        <f t="shared" si="464"/>
        <v>1.65</v>
      </c>
      <c r="AR236" s="76">
        <f t="shared" si="464"/>
        <v>1.65</v>
      </c>
      <c r="AS236" s="76">
        <f t="shared" si="464"/>
        <v>1.65</v>
      </c>
      <c r="AT236" s="76">
        <f t="shared" si="464"/>
        <v>1.65</v>
      </c>
      <c r="AU236" s="76">
        <f t="shared" si="464"/>
        <v>1.65</v>
      </c>
      <c r="AV236" s="76">
        <f t="shared" si="464"/>
        <v>1.65</v>
      </c>
      <c r="AW236" s="76">
        <f t="shared" si="464"/>
        <v>1.65</v>
      </c>
      <c r="AX236" s="76">
        <f t="shared" si="464"/>
        <v>1.65</v>
      </c>
      <c r="AY236" s="76">
        <f t="shared" si="464"/>
        <v>1.65</v>
      </c>
      <c r="AZ236" s="76">
        <f t="shared" si="464"/>
        <v>1.65</v>
      </c>
      <c r="BA236" s="795">
        <f t="shared" si="464"/>
        <v>1.65</v>
      </c>
    </row>
    <row r="237" spans="1:53" ht="20.100000000000001" customHeight="1">
      <c r="A237" s="40"/>
      <c r="B237" s="34"/>
      <c r="C237" s="34"/>
      <c r="D237" s="34"/>
      <c r="E237" s="34"/>
      <c r="F237" s="34"/>
      <c r="G237" s="34"/>
      <c r="H237" s="34"/>
      <c r="I237" s="34"/>
      <c r="J237" s="34"/>
      <c r="K237" s="34"/>
      <c r="L237" s="34"/>
      <c r="M237" s="34"/>
      <c r="N237" s="34"/>
      <c r="O237" s="41"/>
      <c r="P237" s="1078"/>
      <c r="Q237" s="1078"/>
      <c r="R237" s="29"/>
      <c r="S237" s="811"/>
      <c r="T237" s="115" t="s">
        <v>38</v>
      </c>
      <c r="U237" s="115"/>
      <c r="V237" s="115"/>
      <c r="W237" s="115"/>
      <c r="X237" s="366"/>
      <c r="Y237" s="76">
        <f>X220</f>
        <v>1</v>
      </c>
      <c r="Z237" s="76">
        <f t="shared" si="465"/>
        <v>1</v>
      </c>
      <c r="AA237" s="76">
        <f t="shared" si="464"/>
        <v>1</v>
      </c>
      <c r="AB237" s="76">
        <f t="shared" si="464"/>
        <v>1</v>
      </c>
      <c r="AC237" s="76">
        <f t="shared" si="464"/>
        <v>1</v>
      </c>
      <c r="AD237" s="76">
        <f t="shared" si="464"/>
        <v>1</v>
      </c>
      <c r="AE237" s="76">
        <f t="shared" si="464"/>
        <v>1</v>
      </c>
      <c r="AF237" s="76">
        <f t="shared" si="464"/>
        <v>1</v>
      </c>
      <c r="AG237" s="76">
        <f t="shared" si="464"/>
        <v>1</v>
      </c>
      <c r="AH237" s="76">
        <f t="shared" si="464"/>
        <v>1</v>
      </c>
      <c r="AI237" s="76">
        <f t="shared" si="464"/>
        <v>1</v>
      </c>
      <c r="AJ237" s="76">
        <f t="shared" si="464"/>
        <v>1</v>
      </c>
      <c r="AK237" s="76">
        <f t="shared" si="464"/>
        <v>1</v>
      </c>
      <c r="AL237" s="76">
        <f t="shared" si="464"/>
        <v>1</v>
      </c>
      <c r="AM237" s="76">
        <f t="shared" si="464"/>
        <v>1</v>
      </c>
      <c r="AN237" s="76">
        <f t="shared" si="464"/>
        <v>1</v>
      </c>
      <c r="AO237" s="76">
        <f t="shared" si="464"/>
        <v>1</v>
      </c>
      <c r="AP237" s="76">
        <f t="shared" si="464"/>
        <v>1</v>
      </c>
      <c r="AQ237" s="76">
        <f t="shared" si="464"/>
        <v>1</v>
      </c>
      <c r="AR237" s="76">
        <f t="shared" si="464"/>
        <v>1</v>
      </c>
      <c r="AS237" s="76">
        <f t="shared" si="464"/>
        <v>1</v>
      </c>
      <c r="AT237" s="76">
        <f t="shared" si="464"/>
        <v>1</v>
      </c>
      <c r="AU237" s="76">
        <f t="shared" si="464"/>
        <v>1</v>
      </c>
      <c r="AV237" s="76">
        <f t="shared" si="464"/>
        <v>1</v>
      </c>
      <c r="AW237" s="76">
        <f t="shared" si="464"/>
        <v>1</v>
      </c>
      <c r="AX237" s="76">
        <f t="shared" si="464"/>
        <v>1</v>
      </c>
      <c r="AY237" s="76">
        <f t="shared" si="464"/>
        <v>1</v>
      </c>
      <c r="AZ237" s="76">
        <f t="shared" si="464"/>
        <v>1</v>
      </c>
      <c r="BA237" s="795">
        <f t="shared" si="464"/>
        <v>1</v>
      </c>
    </row>
    <row r="238" spans="1:53" ht="20.100000000000001" customHeight="1">
      <c r="A238" s="40"/>
      <c r="B238" s="34"/>
      <c r="C238" s="34"/>
      <c r="D238" s="34"/>
      <c r="E238" s="34"/>
      <c r="F238" s="34"/>
      <c r="G238" s="34"/>
      <c r="H238" s="34"/>
      <c r="I238" s="34"/>
      <c r="J238" s="34"/>
      <c r="K238" s="34"/>
      <c r="L238" s="34"/>
      <c r="M238" s="34"/>
      <c r="N238" s="34"/>
      <c r="O238" s="41"/>
      <c r="P238" s="1078"/>
      <c r="Q238" s="1078"/>
      <c r="R238" s="29"/>
      <c r="S238" s="811"/>
      <c r="T238" s="115" t="s">
        <v>39</v>
      </c>
      <c r="U238" s="115"/>
      <c r="V238" s="115"/>
      <c r="W238" s="115"/>
      <c r="X238" s="366"/>
      <c r="Y238" s="76">
        <f>Y220</f>
        <v>1</v>
      </c>
      <c r="Z238" s="76">
        <f t="shared" si="465"/>
        <v>1</v>
      </c>
      <c r="AA238" s="76">
        <f t="shared" si="464"/>
        <v>1</v>
      </c>
      <c r="AB238" s="76">
        <f t="shared" si="464"/>
        <v>1</v>
      </c>
      <c r="AC238" s="76">
        <f t="shared" si="464"/>
        <v>1</v>
      </c>
      <c r="AD238" s="76">
        <f t="shared" si="464"/>
        <v>1</v>
      </c>
      <c r="AE238" s="76">
        <f t="shared" si="464"/>
        <v>1</v>
      </c>
      <c r="AF238" s="76">
        <f t="shared" si="464"/>
        <v>1</v>
      </c>
      <c r="AG238" s="76">
        <f t="shared" si="464"/>
        <v>1</v>
      </c>
      <c r="AH238" s="76">
        <f t="shared" si="464"/>
        <v>1</v>
      </c>
      <c r="AI238" s="76">
        <f t="shared" si="464"/>
        <v>1</v>
      </c>
      <c r="AJ238" s="76">
        <f t="shared" si="464"/>
        <v>1</v>
      </c>
      <c r="AK238" s="76">
        <f t="shared" si="464"/>
        <v>1</v>
      </c>
      <c r="AL238" s="76">
        <f t="shared" si="464"/>
        <v>1</v>
      </c>
      <c r="AM238" s="76">
        <f t="shared" si="464"/>
        <v>1</v>
      </c>
      <c r="AN238" s="76">
        <f t="shared" si="464"/>
        <v>1</v>
      </c>
      <c r="AO238" s="76">
        <f t="shared" si="464"/>
        <v>1</v>
      </c>
      <c r="AP238" s="76">
        <f t="shared" si="464"/>
        <v>1</v>
      </c>
      <c r="AQ238" s="76">
        <f t="shared" si="464"/>
        <v>1</v>
      </c>
      <c r="AR238" s="76">
        <f t="shared" si="464"/>
        <v>1</v>
      </c>
      <c r="AS238" s="76">
        <f t="shared" si="464"/>
        <v>1</v>
      </c>
      <c r="AT238" s="76">
        <f t="shared" si="464"/>
        <v>1</v>
      </c>
      <c r="AU238" s="76">
        <f t="shared" si="464"/>
        <v>1</v>
      </c>
      <c r="AV238" s="76">
        <f t="shared" si="464"/>
        <v>1</v>
      </c>
      <c r="AW238" s="76">
        <f t="shared" si="464"/>
        <v>1</v>
      </c>
      <c r="AX238" s="76">
        <f t="shared" si="464"/>
        <v>1</v>
      </c>
      <c r="AY238" s="76">
        <f t="shared" si="464"/>
        <v>1</v>
      </c>
      <c r="AZ238" s="76">
        <f t="shared" si="464"/>
        <v>1</v>
      </c>
      <c r="BA238" s="795">
        <f t="shared" si="464"/>
        <v>1</v>
      </c>
    </row>
    <row r="239" spans="1:53" ht="20.100000000000001" customHeight="1">
      <c r="A239" s="40"/>
      <c r="B239" s="34"/>
      <c r="C239" s="34"/>
      <c r="D239" s="34"/>
      <c r="E239" s="34"/>
      <c r="F239" s="34"/>
      <c r="G239" s="34"/>
      <c r="H239" s="34"/>
      <c r="I239" s="34"/>
      <c r="J239" s="34"/>
      <c r="K239" s="34"/>
      <c r="L239" s="34"/>
      <c r="M239" s="34"/>
      <c r="N239" s="34"/>
      <c r="O239" s="41"/>
      <c r="P239" s="1078"/>
      <c r="Q239" s="1078"/>
      <c r="R239" s="29"/>
      <c r="S239" s="811"/>
      <c r="T239" s="115" t="s">
        <v>77</v>
      </c>
      <c r="U239" s="115"/>
      <c r="V239" s="115"/>
      <c r="W239" s="115"/>
      <c r="X239" s="366"/>
      <c r="Y239" s="76">
        <f>Z220</f>
        <v>0.64999999999999991</v>
      </c>
      <c r="Z239" s="76">
        <f t="shared" si="465"/>
        <v>0.64999999999999991</v>
      </c>
      <c r="AA239" s="76">
        <f t="shared" si="464"/>
        <v>0.64999999999999991</v>
      </c>
      <c r="AB239" s="76">
        <f t="shared" si="464"/>
        <v>0.64999999999999991</v>
      </c>
      <c r="AC239" s="76">
        <f t="shared" si="464"/>
        <v>0.64999999999999991</v>
      </c>
      <c r="AD239" s="76">
        <f t="shared" si="464"/>
        <v>0.64999999999999991</v>
      </c>
      <c r="AE239" s="76">
        <f t="shared" si="464"/>
        <v>0.64999999999999991</v>
      </c>
      <c r="AF239" s="76">
        <f t="shared" si="464"/>
        <v>0.64999999999999991</v>
      </c>
      <c r="AG239" s="76">
        <f t="shared" si="464"/>
        <v>0.64999999999999991</v>
      </c>
      <c r="AH239" s="76">
        <f t="shared" si="464"/>
        <v>0.64999999999999991</v>
      </c>
      <c r="AI239" s="76">
        <f t="shared" si="464"/>
        <v>0.64999999999999991</v>
      </c>
      <c r="AJ239" s="76">
        <f t="shared" si="464"/>
        <v>0.64999999999999991</v>
      </c>
      <c r="AK239" s="76">
        <f t="shared" si="464"/>
        <v>0.64999999999999991</v>
      </c>
      <c r="AL239" s="76">
        <f t="shared" si="464"/>
        <v>0.64999999999999991</v>
      </c>
      <c r="AM239" s="76">
        <f t="shared" si="464"/>
        <v>0.64999999999999991</v>
      </c>
      <c r="AN239" s="76">
        <f t="shared" si="464"/>
        <v>0.64999999999999991</v>
      </c>
      <c r="AO239" s="76">
        <f t="shared" si="464"/>
        <v>0.64999999999999991</v>
      </c>
      <c r="AP239" s="76">
        <f t="shared" si="464"/>
        <v>0.64999999999999991</v>
      </c>
      <c r="AQ239" s="76">
        <f t="shared" si="464"/>
        <v>0.64999999999999991</v>
      </c>
      <c r="AR239" s="76">
        <f t="shared" si="464"/>
        <v>0.64999999999999991</v>
      </c>
      <c r="AS239" s="76">
        <f t="shared" si="464"/>
        <v>0.64999999999999991</v>
      </c>
      <c r="AT239" s="76">
        <f t="shared" si="464"/>
        <v>0.64999999999999991</v>
      </c>
      <c r="AU239" s="76">
        <f t="shared" si="464"/>
        <v>0.64999999999999991</v>
      </c>
      <c r="AV239" s="76">
        <f t="shared" si="464"/>
        <v>0.64999999999999991</v>
      </c>
      <c r="AW239" s="76">
        <f t="shared" si="464"/>
        <v>0.64999999999999991</v>
      </c>
      <c r="AX239" s="76">
        <f t="shared" si="464"/>
        <v>0.64999999999999991</v>
      </c>
      <c r="AY239" s="76">
        <f t="shared" si="464"/>
        <v>0.64999999999999991</v>
      </c>
      <c r="AZ239" s="76">
        <f t="shared" si="464"/>
        <v>0.64999999999999991</v>
      </c>
      <c r="BA239" s="795">
        <f t="shared" si="464"/>
        <v>0.64999999999999991</v>
      </c>
    </row>
    <row r="240" spans="1:53" ht="20.100000000000001" customHeight="1">
      <c r="A240" s="40"/>
      <c r="B240" s="34"/>
      <c r="C240" s="34"/>
      <c r="D240" s="34"/>
      <c r="E240" s="34"/>
      <c r="F240" s="34"/>
      <c r="G240" s="34"/>
      <c r="H240" s="34"/>
      <c r="I240" s="34"/>
      <c r="J240" s="34"/>
      <c r="K240" s="34"/>
      <c r="L240" s="34"/>
      <c r="M240" s="34"/>
      <c r="N240" s="34"/>
      <c r="O240" s="41"/>
      <c r="P240" s="1078"/>
      <c r="Q240" s="1078"/>
      <c r="R240" s="29"/>
      <c r="S240" s="811"/>
      <c r="T240" s="115" t="s">
        <v>78</v>
      </c>
      <c r="U240" s="115"/>
      <c r="V240" s="115"/>
      <c r="W240" s="115"/>
      <c r="X240" s="366"/>
      <c r="Y240" s="76">
        <f>AA220</f>
        <v>0.875</v>
      </c>
      <c r="Z240" s="76">
        <f t="shared" si="465"/>
        <v>0.875</v>
      </c>
      <c r="AA240" s="76">
        <f t="shared" si="464"/>
        <v>0.875</v>
      </c>
      <c r="AB240" s="76">
        <f t="shared" si="464"/>
        <v>0.875</v>
      </c>
      <c r="AC240" s="76">
        <f t="shared" si="464"/>
        <v>0.875</v>
      </c>
      <c r="AD240" s="76">
        <f t="shared" si="464"/>
        <v>0.875</v>
      </c>
      <c r="AE240" s="76">
        <f t="shared" si="464"/>
        <v>0.875</v>
      </c>
      <c r="AF240" s="76">
        <f t="shared" si="464"/>
        <v>0.875</v>
      </c>
      <c r="AG240" s="76">
        <f t="shared" si="464"/>
        <v>0.875</v>
      </c>
      <c r="AH240" s="76">
        <f t="shared" si="464"/>
        <v>0.875</v>
      </c>
      <c r="AI240" s="76">
        <f t="shared" si="464"/>
        <v>0.875</v>
      </c>
      <c r="AJ240" s="76">
        <f t="shared" si="464"/>
        <v>0.875</v>
      </c>
      <c r="AK240" s="76">
        <f t="shared" si="464"/>
        <v>0.875</v>
      </c>
      <c r="AL240" s="76">
        <f t="shared" si="464"/>
        <v>0.875</v>
      </c>
      <c r="AM240" s="76">
        <f t="shared" si="464"/>
        <v>0.875</v>
      </c>
      <c r="AN240" s="76">
        <f t="shared" si="464"/>
        <v>0.875</v>
      </c>
      <c r="AO240" s="76">
        <f t="shared" si="464"/>
        <v>0.875</v>
      </c>
      <c r="AP240" s="76">
        <f t="shared" si="464"/>
        <v>0.875</v>
      </c>
      <c r="AQ240" s="76">
        <f t="shared" si="464"/>
        <v>0.875</v>
      </c>
      <c r="AR240" s="76">
        <f t="shared" si="464"/>
        <v>0.875</v>
      </c>
      <c r="AS240" s="76">
        <f t="shared" si="464"/>
        <v>0.875</v>
      </c>
      <c r="AT240" s="76">
        <f t="shared" si="464"/>
        <v>0.875</v>
      </c>
      <c r="AU240" s="76">
        <f t="shared" si="464"/>
        <v>0.875</v>
      </c>
      <c r="AV240" s="76">
        <f t="shared" si="464"/>
        <v>0.875</v>
      </c>
      <c r="AW240" s="76">
        <f t="shared" si="464"/>
        <v>0.875</v>
      </c>
      <c r="AX240" s="76">
        <f t="shared" si="464"/>
        <v>0.875</v>
      </c>
      <c r="AY240" s="76">
        <f t="shared" si="464"/>
        <v>0.875</v>
      </c>
      <c r="AZ240" s="76">
        <f t="shared" si="464"/>
        <v>0.875</v>
      </c>
      <c r="BA240" s="795">
        <f t="shared" si="464"/>
        <v>0.875</v>
      </c>
    </row>
    <row r="241" spans="1:53" ht="20.100000000000001" customHeight="1">
      <c r="A241" s="40"/>
      <c r="B241" s="34"/>
      <c r="C241" s="34"/>
      <c r="D241" s="34"/>
      <c r="E241" s="34"/>
      <c r="F241" s="34"/>
      <c r="G241" s="34"/>
      <c r="H241" s="34"/>
      <c r="I241" s="34"/>
      <c r="J241" s="34"/>
      <c r="K241" s="34"/>
      <c r="L241" s="34"/>
      <c r="M241" s="34"/>
      <c r="N241" s="34"/>
      <c r="O241" s="41"/>
      <c r="P241" s="1078"/>
      <c r="Q241" s="1078"/>
      <c r="R241" s="29"/>
      <c r="S241" s="811"/>
      <c r="T241" s="115" t="s">
        <v>79</v>
      </c>
      <c r="U241" s="115"/>
      <c r="V241" s="115"/>
      <c r="W241" s="115"/>
      <c r="X241" s="366"/>
      <c r="Y241" s="76">
        <f>AB220</f>
        <v>0.875</v>
      </c>
      <c r="Z241" s="76">
        <f t="shared" si="465"/>
        <v>0.875</v>
      </c>
      <c r="AA241" s="76">
        <f t="shared" si="464"/>
        <v>0.875</v>
      </c>
      <c r="AB241" s="76">
        <f t="shared" si="464"/>
        <v>0.875</v>
      </c>
      <c r="AC241" s="76">
        <f t="shared" si="464"/>
        <v>0.875</v>
      </c>
      <c r="AD241" s="76">
        <f t="shared" si="464"/>
        <v>0.875</v>
      </c>
      <c r="AE241" s="76">
        <f t="shared" si="464"/>
        <v>0.875</v>
      </c>
      <c r="AF241" s="76">
        <f t="shared" si="464"/>
        <v>0.875</v>
      </c>
      <c r="AG241" s="76">
        <f t="shared" si="464"/>
        <v>0.875</v>
      </c>
      <c r="AH241" s="76">
        <f t="shared" si="464"/>
        <v>0.875</v>
      </c>
      <c r="AI241" s="76">
        <f t="shared" si="464"/>
        <v>0.875</v>
      </c>
      <c r="AJ241" s="76">
        <f t="shared" si="464"/>
        <v>0.875</v>
      </c>
      <c r="AK241" s="76">
        <f t="shared" si="464"/>
        <v>0.875</v>
      </c>
      <c r="AL241" s="76">
        <f t="shared" si="464"/>
        <v>0.875</v>
      </c>
      <c r="AM241" s="76">
        <f t="shared" si="464"/>
        <v>0.875</v>
      </c>
      <c r="AN241" s="76">
        <f t="shared" si="464"/>
        <v>0.875</v>
      </c>
      <c r="AO241" s="76">
        <f t="shared" si="464"/>
        <v>0.875</v>
      </c>
      <c r="AP241" s="76">
        <f t="shared" si="464"/>
        <v>0.875</v>
      </c>
      <c r="AQ241" s="76">
        <f t="shared" si="464"/>
        <v>0.875</v>
      </c>
      <c r="AR241" s="76">
        <f t="shared" si="464"/>
        <v>0.875</v>
      </c>
      <c r="AS241" s="76">
        <f t="shared" si="464"/>
        <v>0.875</v>
      </c>
      <c r="AT241" s="76">
        <f t="shared" si="464"/>
        <v>0.875</v>
      </c>
      <c r="AU241" s="76">
        <f t="shared" si="464"/>
        <v>0.875</v>
      </c>
      <c r="AV241" s="76">
        <f t="shared" si="464"/>
        <v>0.875</v>
      </c>
      <c r="AW241" s="76">
        <f t="shared" si="464"/>
        <v>0.875</v>
      </c>
      <c r="AX241" s="76">
        <f t="shared" si="464"/>
        <v>0.875</v>
      </c>
      <c r="AY241" s="76">
        <f t="shared" si="464"/>
        <v>0.875</v>
      </c>
      <c r="AZ241" s="76">
        <f t="shared" si="464"/>
        <v>0.875</v>
      </c>
      <c r="BA241" s="795">
        <f t="shared" si="464"/>
        <v>0.875</v>
      </c>
    </row>
    <row r="242" spans="1:53" ht="20.100000000000001" customHeight="1" thickBot="1">
      <c r="A242" s="40"/>
      <c r="B242" s="34"/>
      <c r="C242" s="34"/>
      <c r="D242" s="34"/>
      <c r="E242" s="34"/>
      <c r="F242" s="34"/>
      <c r="G242" s="34"/>
      <c r="H242" s="34"/>
      <c r="I242" s="34"/>
      <c r="J242" s="34"/>
      <c r="K242" s="34"/>
      <c r="L242" s="34"/>
      <c r="M242" s="34"/>
      <c r="N242" s="34"/>
      <c r="O242" s="41"/>
      <c r="P242" s="1078"/>
      <c r="Q242" s="1078"/>
      <c r="R242" s="29"/>
      <c r="S242" s="1206"/>
      <c r="T242" s="818" t="s">
        <v>80</v>
      </c>
      <c r="U242" s="818"/>
      <c r="V242" s="818"/>
      <c r="W242" s="818"/>
      <c r="X242" s="819"/>
      <c r="Y242" s="820">
        <f>AC220</f>
        <v>0.57499999999999996</v>
      </c>
      <c r="Z242" s="820">
        <f t="shared" si="465"/>
        <v>0.57499999999999996</v>
      </c>
      <c r="AA242" s="820">
        <f t="shared" si="464"/>
        <v>0.57499999999999996</v>
      </c>
      <c r="AB242" s="820">
        <f t="shared" si="464"/>
        <v>0.57499999999999996</v>
      </c>
      <c r="AC242" s="820">
        <f t="shared" si="464"/>
        <v>0.57499999999999996</v>
      </c>
      <c r="AD242" s="820">
        <f t="shared" si="464"/>
        <v>0.57499999999999996</v>
      </c>
      <c r="AE242" s="820">
        <f t="shared" si="464"/>
        <v>0.57499999999999996</v>
      </c>
      <c r="AF242" s="820">
        <f t="shared" si="464"/>
        <v>0.57499999999999996</v>
      </c>
      <c r="AG242" s="820">
        <f t="shared" si="464"/>
        <v>0.57499999999999996</v>
      </c>
      <c r="AH242" s="820">
        <f t="shared" si="464"/>
        <v>0.57499999999999996</v>
      </c>
      <c r="AI242" s="820">
        <f t="shared" si="464"/>
        <v>0.57499999999999996</v>
      </c>
      <c r="AJ242" s="820">
        <f t="shared" si="464"/>
        <v>0.57499999999999996</v>
      </c>
      <c r="AK242" s="820">
        <f t="shared" si="464"/>
        <v>0.57499999999999996</v>
      </c>
      <c r="AL242" s="820">
        <f t="shared" si="464"/>
        <v>0.57499999999999996</v>
      </c>
      <c r="AM242" s="820">
        <f t="shared" si="464"/>
        <v>0.57499999999999996</v>
      </c>
      <c r="AN242" s="820">
        <f t="shared" si="464"/>
        <v>0.57499999999999996</v>
      </c>
      <c r="AO242" s="820">
        <f t="shared" si="464"/>
        <v>0.57499999999999996</v>
      </c>
      <c r="AP242" s="820">
        <f t="shared" si="464"/>
        <v>0.57499999999999996</v>
      </c>
      <c r="AQ242" s="820">
        <f t="shared" si="464"/>
        <v>0.57499999999999996</v>
      </c>
      <c r="AR242" s="820">
        <f t="shared" si="464"/>
        <v>0.57499999999999996</v>
      </c>
      <c r="AS242" s="820">
        <f t="shared" si="464"/>
        <v>0.57499999999999996</v>
      </c>
      <c r="AT242" s="820">
        <f t="shared" si="464"/>
        <v>0.57499999999999996</v>
      </c>
      <c r="AU242" s="820">
        <f t="shared" si="464"/>
        <v>0.57499999999999996</v>
      </c>
      <c r="AV242" s="820">
        <f t="shared" si="464"/>
        <v>0.57499999999999996</v>
      </c>
      <c r="AW242" s="820">
        <f t="shared" si="464"/>
        <v>0.57499999999999996</v>
      </c>
      <c r="AX242" s="820">
        <f t="shared" si="464"/>
        <v>0.57499999999999996</v>
      </c>
      <c r="AY242" s="820">
        <f t="shared" si="464"/>
        <v>0.57499999999999996</v>
      </c>
      <c r="AZ242" s="820">
        <f t="shared" si="464"/>
        <v>0.57499999999999996</v>
      </c>
      <c r="BA242" s="821">
        <f t="shared" si="464"/>
        <v>0.57499999999999996</v>
      </c>
    </row>
    <row r="243" spans="1:53" ht="20.100000000000001" customHeight="1">
      <c r="A243" s="40"/>
      <c r="B243" s="34"/>
      <c r="C243" s="34"/>
      <c r="D243" s="34"/>
      <c r="E243" s="34"/>
      <c r="F243" s="34"/>
      <c r="G243" s="34"/>
      <c r="H243" s="34"/>
      <c r="I243" s="34"/>
      <c r="J243" s="34"/>
      <c r="K243" s="34"/>
      <c r="L243" s="34"/>
      <c r="M243" s="34"/>
      <c r="N243" s="34"/>
      <c r="O243" s="41"/>
      <c r="P243" s="1078"/>
      <c r="Q243" s="1078"/>
      <c r="R243" s="29"/>
      <c r="S243" s="813" t="s">
        <v>232</v>
      </c>
      <c r="T243" s="792" t="s">
        <v>36</v>
      </c>
      <c r="U243" s="792"/>
      <c r="V243" s="792"/>
      <c r="W243" s="792"/>
      <c r="X243" s="367"/>
      <c r="Y243" s="793">
        <f>IF(Y$204=0,0,(Y$202/Y$204*Y227)+(Y$203/Y$204*Y235))</f>
        <v>0</v>
      </c>
      <c r="Z243" s="793">
        <f t="shared" ref="Z243:BA250" si="466">IF(Z$204=0,0,(Z$202/Z$204*Z227)+(Z$203/Z$204*Z235))</f>
        <v>1.875</v>
      </c>
      <c r="AA243" s="793">
        <f t="shared" si="466"/>
        <v>1.875</v>
      </c>
      <c r="AB243" s="793">
        <f t="shared" si="466"/>
        <v>1.875</v>
      </c>
      <c r="AC243" s="793">
        <f t="shared" si="466"/>
        <v>1.875</v>
      </c>
      <c r="AD243" s="793">
        <f t="shared" si="466"/>
        <v>1.875</v>
      </c>
      <c r="AE243" s="793">
        <f t="shared" si="466"/>
        <v>1.875</v>
      </c>
      <c r="AF243" s="793">
        <f t="shared" si="466"/>
        <v>1.875</v>
      </c>
      <c r="AG243" s="793">
        <f t="shared" si="466"/>
        <v>1.7120183845100725</v>
      </c>
      <c r="AH243" s="793">
        <f t="shared" si="466"/>
        <v>1.5899267106427599</v>
      </c>
      <c r="AI243" s="793">
        <f t="shared" si="466"/>
        <v>1.495053292188548</v>
      </c>
      <c r="AJ243" s="793">
        <f t="shared" si="466"/>
        <v>1.4192101727361632</v>
      </c>
      <c r="AK243" s="793">
        <f t="shared" si="466"/>
        <v>1.3571942844483829</v>
      </c>
      <c r="AL243" s="793">
        <f t="shared" si="466"/>
        <v>1.3055394825780477</v>
      </c>
      <c r="AM243" s="793">
        <f t="shared" si="466"/>
        <v>1.3055383820862185</v>
      </c>
      <c r="AN243" s="793">
        <f t="shared" si="466"/>
        <v>1.3055372586639309</v>
      </c>
      <c r="AO243" s="793">
        <f t="shared" si="466"/>
        <v>1.305536112464744</v>
      </c>
      <c r="AP243" s="793">
        <f t="shared" si="466"/>
        <v>1.3055363695760034</v>
      </c>
      <c r="AQ243" s="793">
        <f t="shared" si="466"/>
        <v>1.3055365985193901</v>
      </c>
      <c r="AR243" s="793">
        <f t="shared" si="466"/>
        <v>1.3055354062947244</v>
      </c>
      <c r="AS243" s="793">
        <f t="shared" si="466"/>
        <v>1.3055341917904546</v>
      </c>
      <c r="AT243" s="793">
        <f t="shared" si="466"/>
        <v>1.3055329551573986</v>
      </c>
      <c r="AU243" s="793">
        <f t="shared" si="466"/>
        <v>1.3055331083069277</v>
      </c>
      <c r="AV243" s="793">
        <f t="shared" si="466"/>
        <v>1.3055332339885397</v>
      </c>
      <c r="AW243" s="793">
        <f t="shared" si="466"/>
        <v>1.3055319530296279</v>
      </c>
      <c r="AX243" s="793">
        <f t="shared" si="466"/>
        <v>1.3055306504287121</v>
      </c>
      <c r="AY243" s="793">
        <f t="shared" si="466"/>
        <v>1.3055293263338705</v>
      </c>
      <c r="AZ243" s="793">
        <f t="shared" si="466"/>
        <v>1.3055279808926246</v>
      </c>
      <c r="BA243" s="794">
        <f t="shared" si="466"/>
        <v>1.305528009188619</v>
      </c>
    </row>
    <row r="244" spans="1:53" ht="20.100000000000001" customHeight="1">
      <c r="A244" s="40"/>
      <c r="B244" s="34"/>
      <c r="C244" s="34"/>
      <c r="D244" s="34"/>
      <c r="E244" s="34"/>
      <c r="F244" s="34"/>
      <c r="G244" s="34"/>
      <c r="H244" s="34"/>
      <c r="I244" s="34"/>
      <c r="J244" s="34"/>
      <c r="K244" s="34"/>
      <c r="L244" s="34"/>
      <c r="M244" s="34"/>
      <c r="N244" s="34"/>
      <c r="O244" s="41"/>
      <c r="P244" s="1078"/>
      <c r="Q244" s="1078"/>
      <c r="R244" s="29"/>
      <c r="S244" s="814"/>
      <c r="T244" s="115" t="s">
        <v>37</v>
      </c>
      <c r="U244" s="115"/>
      <c r="V244" s="115"/>
      <c r="W244" s="115"/>
      <c r="X244" s="366"/>
      <c r="Y244" s="76">
        <f t="shared" ref="Y244:AN250" si="467">IF(Y$204=0,0,(Y$202/Y$204*Y228)+(Y$203/Y$204*Y236))</f>
        <v>0</v>
      </c>
      <c r="Z244" s="76">
        <f t="shared" si="467"/>
        <v>0.39999999999999997</v>
      </c>
      <c r="AA244" s="76">
        <f t="shared" si="467"/>
        <v>0.39999999999999997</v>
      </c>
      <c r="AB244" s="76">
        <f t="shared" si="467"/>
        <v>0.39999999999999997</v>
      </c>
      <c r="AC244" s="76">
        <f t="shared" si="467"/>
        <v>0.39999999999999997</v>
      </c>
      <c r="AD244" s="76">
        <f t="shared" si="467"/>
        <v>0.39999999999999997</v>
      </c>
      <c r="AE244" s="76">
        <f t="shared" si="467"/>
        <v>0.39999999999999997</v>
      </c>
      <c r="AF244" s="76">
        <f t="shared" si="467"/>
        <v>0.39999999999999997</v>
      </c>
      <c r="AG244" s="76">
        <f t="shared" si="467"/>
        <v>0.57715392988035608</v>
      </c>
      <c r="AH244" s="76">
        <f t="shared" si="467"/>
        <v>0.70986227104047828</v>
      </c>
      <c r="AI244" s="76">
        <f t="shared" si="467"/>
        <v>0.81298555196896949</v>
      </c>
      <c r="AJ244" s="76">
        <f t="shared" si="467"/>
        <v>0.89542372528677872</v>
      </c>
      <c r="AK244" s="76">
        <f t="shared" si="467"/>
        <v>0.96283229951262739</v>
      </c>
      <c r="AL244" s="76">
        <f t="shared" si="467"/>
        <v>1.0189788232847306</v>
      </c>
      <c r="AM244" s="76">
        <f t="shared" si="467"/>
        <v>1.018980019471502</v>
      </c>
      <c r="AN244" s="76">
        <f t="shared" si="467"/>
        <v>1.0189812405826837</v>
      </c>
      <c r="AO244" s="76">
        <f t="shared" si="466"/>
        <v>1.018982486451365</v>
      </c>
      <c r="AP244" s="76">
        <f t="shared" si="466"/>
        <v>1.0189822069826049</v>
      </c>
      <c r="AQ244" s="76">
        <f t="shared" si="466"/>
        <v>1.0189819581310977</v>
      </c>
      <c r="AR244" s="76">
        <f t="shared" si="466"/>
        <v>1.0189832540274735</v>
      </c>
      <c r="AS244" s="76">
        <f t="shared" si="466"/>
        <v>1.0189845741408103</v>
      </c>
      <c r="AT244" s="76">
        <f t="shared" si="466"/>
        <v>1.0189859183071752</v>
      </c>
      <c r="AU244" s="76">
        <f t="shared" si="466"/>
        <v>1.0189857518402961</v>
      </c>
      <c r="AV244" s="76">
        <f t="shared" si="466"/>
        <v>1.018985615229848</v>
      </c>
      <c r="AW244" s="76">
        <f t="shared" si="466"/>
        <v>1.0189870075764915</v>
      </c>
      <c r="AX244" s="76">
        <f t="shared" si="466"/>
        <v>1.0189884234470521</v>
      </c>
      <c r="AY244" s="76">
        <f t="shared" si="466"/>
        <v>1.0189898626805753</v>
      </c>
      <c r="AZ244" s="76">
        <f t="shared" si="466"/>
        <v>1.0189913251167124</v>
      </c>
      <c r="BA244" s="795">
        <f t="shared" si="466"/>
        <v>1.0189912943601966</v>
      </c>
    </row>
    <row r="245" spans="1:53" ht="20.100000000000001" customHeight="1">
      <c r="A245" s="40"/>
      <c r="B245" s="34"/>
      <c r="C245" s="34"/>
      <c r="D245" s="34"/>
      <c r="E245" s="34"/>
      <c r="F245" s="34"/>
      <c r="G245" s="34"/>
      <c r="H245" s="34"/>
      <c r="I245" s="34"/>
      <c r="J245" s="34"/>
      <c r="K245" s="34"/>
      <c r="L245" s="34"/>
      <c r="M245" s="34"/>
      <c r="N245" s="34"/>
      <c r="O245" s="41"/>
      <c r="P245" s="1078"/>
      <c r="Q245" s="1078"/>
      <c r="R245" s="29"/>
      <c r="S245" s="814"/>
      <c r="T245" s="115" t="s">
        <v>38</v>
      </c>
      <c r="U245" s="115"/>
      <c r="V245" s="115"/>
      <c r="W245" s="115"/>
      <c r="X245" s="366"/>
      <c r="Y245" s="76">
        <f t="shared" si="467"/>
        <v>0</v>
      </c>
      <c r="Z245" s="76">
        <f t="shared" si="466"/>
        <v>1</v>
      </c>
      <c r="AA245" s="76">
        <f t="shared" si="466"/>
        <v>1</v>
      </c>
      <c r="AB245" s="76">
        <f t="shared" si="466"/>
        <v>1</v>
      </c>
      <c r="AC245" s="76">
        <f t="shared" si="466"/>
        <v>1</v>
      </c>
      <c r="AD245" s="76">
        <f t="shared" si="466"/>
        <v>1</v>
      </c>
      <c r="AE245" s="76">
        <f t="shared" si="466"/>
        <v>1</v>
      </c>
      <c r="AF245" s="76">
        <f t="shared" si="466"/>
        <v>1</v>
      </c>
      <c r="AG245" s="76">
        <f t="shared" si="466"/>
        <v>1</v>
      </c>
      <c r="AH245" s="76">
        <f t="shared" si="466"/>
        <v>1</v>
      </c>
      <c r="AI245" s="76">
        <f t="shared" si="466"/>
        <v>1</v>
      </c>
      <c r="AJ245" s="76">
        <f t="shared" si="466"/>
        <v>1</v>
      </c>
      <c r="AK245" s="76">
        <f t="shared" si="466"/>
        <v>1</v>
      </c>
      <c r="AL245" s="76">
        <f t="shared" si="466"/>
        <v>1</v>
      </c>
      <c r="AM245" s="76">
        <f t="shared" si="466"/>
        <v>1</v>
      </c>
      <c r="AN245" s="76">
        <f t="shared" si="466"/>
        <v>1</v>
      </c>
      <c r="AO245" s="76">
        <f t="shared" si="466"/>
        <v>1</v>
      </c>
      <c r="AP245" s="76">
        <f t="shared" si="466"/>
        <v>1</v>
      </c>
      <c r="AQ245" s="76">
        <f t="shared" si="466"/>
        <v>1</v>
      </c>
      <c r="AR245" s="76">
        <f t="shared" si="466"/>
        <v>1</v>
      </c>
      <c r="AS245" s="76">
        <f t="shared" si="466"/>
        <v>1</v>
      </c>
      <c r="AT245" s="76">
        <f t="shared" si="466"/>
        <v>1</v>
      </c>
      <c r="AU245" s="76">
        <f t="shared" si="466"/>
        <v>1</v>
      </c>
      <c r="AV245" s="76">
        <f t="shared" si="466"/>
        <v>1</v>
      </c>
      <c r="AW245" s="76">
        <f t="shared" si="466"/>
        <v>1</v>
      </c>
      <c r="AX245" s="76">
        <f t="shared" si="466"/>
        <v>1</v>
      </c>
      <c r="AY245" s="76">
        <f t="shared" si="466"/>
        <v>1</v>
      </c>
      <c r="AZ245" s="76">
        <f t="shared" si="466"/>
        <v>1</v>
      </c>
      <c r="BA245" s="795">
        <f t="shared" si="466"/>
        <v>1</v>
      </c>
    </row>
    <row r="246" spans="1:53" ht="20.100000000000001" customHeight="1">
      <c r="A246" s="40"/>
      <c r="B246" s="34"/>
      <c r="C246" s="34"/>
      <c r="D246" s="34"/>
      <c r="E246" s="34"/>
      <c r="F246" s="34"/>
      <c r="G246" s="34"/>
      <c r="H246" s="34"/>
      <c r="I246" s="34"/>
      <c r="J246" s="34"/>
      <c r="K246" s="34"/>
      <c r="L246" s="34"/>
      <c r="M246" s="34"/>
      <c r="N246" s="34"/>
      <c r="O246" s="41"/>
      <c r="P246" s="1078"/>
      <c r="Q246" s="1078"/>
      <c r="R246" s="29"/>
      <c r="S246" s="814"/>
      <c r="T246" s="115" t="s">
        <v>39</v>
      </c>
      <c r="U246" s="115"/>
      <c r="V246" s="115"/>
      <c r="W246" s="115"/>
      <c r="X246" s="366"/>
      <c r="Y246" s="76">
        <f t="shared" si="467"/>
        <v>0</v>
      </c>
      <c r="Z246" s="76">
        <f t="shared" si="466"/>
        <v>1</v>
      </c>
      <c r="AA246" s="76">
        <f t="shared" si="466"/>
        <v>1</v>
      </c>
      <c r="AB246" s="76">
        <f t="shared" si="466"/>
        <v>1</v>
      </c>
      <c r="AC246" s="76">
        <f t="shared" si="466"/>
        <v>1</v>
      </c>
      <c r="AD246" s="76">
        <f t="shared" si="466"/>
        <v>1</v>
      </c>
      <c r="AE246" s="76">
        <f t="shared" si="466"/>
        <v>1</v>
      </c>
      <c r="AF246" s="76">
        <f t="shared" si="466"/>
        <v>1</v>
      </c>
      <c r="AG246" s="76">
        <f t="shared" si="466"/>
        <v>1</v>
      </c>
      <c r="AH246" s="76">
        <f t="shared" si="466"/>
        <v>1</v>
      </c>
      <c r="AI246" s="76">
        <f t="shared" si="466"/>
        <v>1</v>
      </c>
      <c r="AJ246" s="76">
        <f t="shared" si="466"/>
        <v>1</v>
      </c>
      <c r="AK246" s="76">
        <f t="shared" si="466"/>
        <v>1</v>
      </c>
      <c r="AL246" s="76">
        <f t="shared" si="466"/>
        <v>1</v>
      </c>
      <c r="AM246" s="76">
        <f t="shared" si="466"/>
        <v>1</v>
      </c>
      <c r="AN246" s="76">
        <f t="shared" si="466"/>
        <v>1</v>
      </c>
      <c r="AO246" s="76">
        <f t="shared" si="466"/>
        <v>1</v>
      </c>
      <c r="AP246" s="76">
        <f t="shared" si="466"/>
        <v>1</v>
      </c>
      <c r="AQ246" s="76">
        <f t="shared" si="466"/>
        <v>1</v>
      </c>
      <c r="AR246" s="76">
        <f t="shared" si="466"/>
        <v>1</v>
      </c>
      <c r="AS246" s="76">
        <f t="shared" si="466"/>
        <v>1</v>
      </c>
      <c r="AT246" s="76">
        <f t="shared" si="466"/>
        <v>1</v>
      </c>
      <c r="AU246" s="76">
        <f t="shared" si="466"/>
        <v>1</v>
      </c>
      <c r="AV246" s="76">
        <f t="shared" si="466"/>
        <v>1</v>
      </c>
      <c r="AW246" s="76">
        <f t="shared" si="466"/>
        <v>1</v>
      </c>
      <c r="AX246" s="76">
        <f t="shared" si="466"/>
        <v>1</v>
      </c>
      <c r="AY246" s="76">
        <f t="shared" si="466"/>
        <v>1</v>
      </c>
      <c r="AZ246" s="76">
        <f t="shared" si="466"/>
        <v>1</v>
      </c>
      <c r="BA246" s="795">
        <f t="shared" si="466"/>
        <v>1</v>
      </c>
    </row>
    <row r="247" spans="1:53" ht="20.100000000000001" customHeight="1">
      <c r="A247" s="40"/>
      <c r="B247" s="34"/>
      <c r="C247" s="34"/>
      <c r="D247" s="34"/>
      <c r="E247" s="34"/>
      <c r="F247" s="34"/>
      <c r="G247" s="34"/>
      <c r="H247" s="34"/>
      <c r="I247" s="34"/>
      <c r="J247" s="34"/>
      <c r="K247" s="34"/>
      <c r="L247" s="34"/>
      <c r="M247" s="34"/>
      <c r="N247" s="34"/>
      <c r="O247" s="41"/>
      <c r="P247" s="1078"/>
      <c r="Q247" s="1078"/>
      <c r="R247" s="29"/>
      <c r="S247" s="814"/>
      <c r="T247" s="115" t="s">
        <v>77</v>
      </c>
      <c r="U247" s="115"/>
      <c r="V247" s="115"/>
      <c r="W247" s="115"/>
      <c r="X247" s="366"/>
      <c r="Y247" s="76">
        <f t="shared" si="467"/>
        <v>0</v>
      </c>
      <c r="Z247" s="76">
        <f t="shared" si="466"/>
        <v>1.875</v>
      </c>
      <c r="AA247" s="76">
        <f t="shared" si="466"/>
        <v>1.875</v>
      </c>
      <c r="AB247" s="76">
        <f t="shared" si="466"/>
        <v>1.875</v>
      </c>
      <c r="AC247" s="76">
        <f t="shared" si="466"/>
        <v>1.875</v>
      </c>
      <c r="AD247" s="76">
        <f t="shared" si="466"/>
        <v>1.875</v>
      </c>
      <c r="AE247" s="76">
        <f t="shared" si="466"/>
        <v>1.875</v>
      </c>
      <c r="AF247" s="76">
        <f t="shared" si="466"/>
        <v>1.875</v>
      </c>
      <c r="AG247" s="76">
        <f t="shared" si="466"/>
        <v>1.701389148717251</v>
      </c>
      <c r="AH247" s="76">
        <f t="shared" si="466"/>
        <v>1.5713349743803311</v>
      </c>
      <c r="AI247" s="76">
        <f t="shared" si="466"/>
        <v>1.4702741590704098</v>
      </c>
      <c r="AJ247" s="76">
        <f t="shared" si="466"/>
        <v>1.3894847492189566</v>
      </c>
      <c r="AK247" s="76">
        <f t="shared" si="466"/>
        <v>1.3234243464776252</v>
      </c>
      <c r="AL247" s="76">
        <f t="shared" si="466"/>
        <v>1.2684007531809638</v>
      </c>
      <c r="AM247" s="76">
        <f t="shared" si="466"/>
        <v>1.2683995809179283</v>
      </c>
      <c r="AN247" s="76">
        <f t="shared" si="466"/>
        <v>1.2683983842289699</v>
      </c>
      <c r="AO247" s="76">
        <f t="shared" si="466"/>
        <v>1.2683971632776621</v>
      </c>
      <c r="AP247" s="76">
        <f t="shared" si="466"/>
        <v>1.268397437157047</v>
      </c>
      <c r="AQ247" s="76">
        <f t="shared" si="466"/>
        <v>1.2683976810315241</v>
      </c>
      <c r="AR247" s="76">
        <f t="shared" si="466"/>
        <v>1.2683964110530759</v>
      </c>
      <c r="AS247" s="76">
        <f t="shared" si="466"/>
        <v>1.2683951173420058</v>
      </c>
      <c r="AT247" s="76">
        <f t="shared" si="466"/>
        <v>1.2683938000589681</v>
      </c>
      <c r="AU247" s="76">
        <f t="shared" si="466"/>
        <v>1.2683939631965098</v>
      </c>
      <c r="AV247" s="76">
        <f t="shared" si="466"/>
        <v>1.2683940970747487</v>
      </c>
      <c r="AW247" s="76">
        <f t="shared" si="466"/>
        <v>1.2683927325750384</v>
      </c>
      <c r="AX247" s="76">
        <f t="shared" si="466"/>
        <v>1.2683913450218889</v>
      </c>
      <c r="AY247" s="76">
        <f t="shared" si="466"/>
        <v>1.2683899345730358</v>
      </c>
      <c r="AZ247" s="76">
        <f t="shared" si="466"/>
        <v>1.2683885013856218</v>
      </c>
      <c r="BA247" s="795">
        <f t="shared" si="466"/>
        <v>1.2683885315270071</v>
      </c>
    </row>
    <row r="248" spans="1:53" ht="20.100000000000001" customHeight="1">
      <c r="A248" s="40"/>
      <c r="B248" s="34"/>
      <c r="C248" s="34"/>
      <c r="D248" s="34"/>
      <c r="E248" s="34"/>
      <c r="F248" s="34"/>
      <c r="G248" s="34"/>
      <c r="H248" s="34"/>
      <c r="I248" s="34"/>
      <c r="J248" s="34"/>
      <c r="K248" s="34"/>
      <c r="L248" s="34"/>
      <c r="M248" s="34"/>
      <c r="N248" s="34"/>
      <c r="O248" s="41"/>
      <c r="P248" s="1078"/>
      <c r="Q248" s="1078"/>
      <c r="R248" s="29"/>
      <c r="S248" s="814"/>
      <c r="T248" s="115" t="s">
        <v>78</v>
      </c>
      <c r="U248" s="115"/>
      <c r="V248" s="115"/>
      <c r="W248" s="115"/>
      <c r="X248" s="366"/>
      <c r="Y248" s="76">
        <f t="shared" si="467"/>
        <v>0</v>
      </c>
      <c r="Z248" s="76">
        <f t="shared" si="466"/>
        <v>2</v>
      </c>
      <c r="AA248" s="76">
        <f t="shared" si="466"/>
        <v>2</v>
      </c>
      <c r="AB248" s="76">
        <f t="shared" si="466"/>
        <v>2</v>
      </c>
      <c r="AC248" s="76">
        <f t="shared" si="466"/>
        <v>2</v>
      </c>
      <c r="AD248" s="76">
        <f t="shared" si="466"/>
        <v>2</v>
      </c>
      <c r="AE248" s="76">
        <f t="shared" si="466"/>
        <v>2</v>
      </c>
      <c r="AF248" s="76">
        <f t="shared" si="466"/>
        <v>2</v>
      </c>
      <c r="AG248" s="76">
        <f t="shared" si="466"/>
        <v>1.8405614631076797</v>
      </c>
      <c r="AH248" s="76">
        <f t="shared" si="466"/>
        <v>1.7211239560635696</v>
      </c>
      <c r="AI248" s="76">
        <f t="shared" si="466"/>
        <v>1.6283130032279274</v>
      </c>
      <c r="AJ248" s="76">
        <f t="shared" si="466"/>
        <v>1.5541186472418989</v>
      </c>
      <c r="AK248" s="76">
        <f t="shared" si="466"/>
        <v>1.4934509304386354</v>
      </c>
      <c r="AL248" s="76">
        <f t="shared" si="466"/>
        <v>1.4429190590437424</v>
      </c>
      <c r="AM248" s="76">
        <f t="shared" si="466"/>
        <v>1.4429179824756484</v>
      </c>
      <c r="AN248" s="76">
        <f t="shared" si="466"/>
        <v>1.4429168834755846</v>
      </c>
      <c r="AO248" s="76">
        <f t="shared" si="466"/>
        <v>1.4429157621937714</v>
      </c>
      <c r="AP248" s="76">
        <f t="shared" si="466"/>
        <v>1.4429160137156556</v>
      </c>
      <c r="AQ248" s="76">
        <f t="shared" si="466"/>
        <v>1.4429162376820119</v>
      </c>
      <c r="AR248" s="76">
        <f t="shared" si="466"/>
        <v>1.4429150713752736</v>
      </c>
      <c r="AS248" s="76">
        <f t="shared" si="466"/>
        <v>1.4429138832732706</v>
      </c>
      <c r="AT248" s="76">
        <f t="shared" si="466"/>
        <v>1.442912673523542</v>
      </c>
      <c r="AU248" s="76">
        <f t="shared" si="466"/>
        <v>1.4429128233437334</v>
      </c>
      <c r="AV248" s="76">
        <f t="shared" si="466"/>
        <v>1.4429129462931367</v>
      </c>
      <c r="AW248" s="76">
        <f t="shared" si="466"/>
        <v>1.4429116931811576</v>
      </c>
      <c r="AX248" s="76">
        <f t="shared" si="466"/>
        <v>1.4429104188976529</v>
      </c>
      <c r="AY248" s="76">
        <f t="shared" si="466"/>
        <v>1.442909123587482</v>
      </c>
      <c r="AZ248" s="76">
        <f t="shared" si="466"/>
        <v>1.4429078073949588</v>
      </c>
      <c r="BA248" s="795">
        <f t="shared" si="466"/>
        <v>1.4429078350758229</v>
      </c>
    </row>
    <row r="249" spans="1:53" ht="20.100000000000001" customHeight="1">
      <c r="A249" s="40"/>
      <c r="B249" s="34"/>
      <c r="C249" s="34"/>
      <c r="D249" s="34"/>
      <c r="E249" s="34"/>
      <c r="F249" s="34"/>
      <c r="G249" s="34"/>
      <c r="H249" s="34"/>
      <c r="I249" s="34"/>
      <c r="J249" s="34"/>
      <c r="K249" s="34"/>
      <c r="L249" s="34"/>
      <c r="M249" s="34"/>
      <c r="N249" s="34"/>
      <c r="O249" s="41"/>
      <c r="P249" s="1078"/>
      <c r="Q249" s="1078"/>
      <c r="R249" s="29"/>
      <c r="S249" s="814"/>
      <c r="T249" s="115" t="s">
        <v>79</v>
      </c>
      <c r="U249" s="115"/>
      <c r="V249" s="115"/>
      <c r="W249" s="115"/>
      <c r="X249" s="366"/>
      <c r="Y249" s="76">
        <f t="shared" si="467"/>
        <v>0</v>
      </c>
      <c r="Z249" s="76">
        <f t="shared" si="466"/>
        <v>1.875</v>
      </c>
      <c r="AA249" s="76">
        <f t="shared" si="466"/>
        <v>1.875</v>
      </c>
      <c r="AB249" s="76">
        <f t="shared" si="466"/>
        <v>1.875</v>
      </c>
      <c r="AC249" s="76">
        <f t="shared" si="466"/>
        <v>1.875</v>
      </c>
      <c r="AD249" s="76">
        <f t="shared" si="466"/>
        <v>1.875</v>
      </c>
      <c r="AE249" s="76">
        <f t="shared" si="466"/>
        <v>1.875</v>
      </c>
      <c r="AF249" s="76">
        <f t="shared" si="466"/>
        <v>1.875</v>
      </c>
      <c r="AG249" s="76">
        <f t="shared" si="466"/>
        <v>1.7332768560957152</v>
      </c>
      <c r="AH249" s="76">
        <f t="shared" si="466"/>
        <v>1.6271101831676174</v>
      </c>
      <c r="AI249" s="76">
        <f t="shared" si="466"/>
        <v>1.5446115584248243</v>
      </c>
      <c r="AJ249" s="76">
        <f t="shared" si="466"/>
        <v>1.4786610197705767</v>
      </c>
      <c r="AK249" s="76">
        <f t="shared" si="466"/>
        <v>1.4247341603898982</v>
      </c>
      <c r="AL249" s="76">
        <f t="shared" si="466"/>
        <v>1.3798169413722154</v>
      </c>
      <c r="AM249" s="76">
        <f t="shared" si="466"/>
        <v>1.3798159844227986</v>
      </c>
      <c r="AN249" s="76">
        <f t="shared" si="466"/>
        <v>1.3798150075338529</v>
      </c>
      <c r="AO249" s="76">
        <f t="shared" si="466"/>
        <v>1.3798140108389079</v>
      </c>
      <c r="AP249" s="76">
        <f t="shared" si="466"/>
        <v>1.3798142344139159</v>
      </c>
      <c r="AQ249" s="76">
        <f t="shared" si="466"/>
        <v>1.3798144334951217</v>
      </c>
      <c r="AR249" s="76">
        <f t="shared" si="466"/>
        <v>1.3798133967780211</v>
      </c>
      <c r="AS249" s="76">
        <f t="shared" si="466"/>
        <v>1.3798123406873517</v>
      </c>
      <c r="AT249" s="76">
        <f t="shared" si="466"/>
        <v>1.3798112653542596</v>
      </c>
      <c r="AU249" s="76">
        <f t="shared" si="466"/>
        <v>1.3798113985277631</v>
      </c>
      <c r="AV249" s="76">
        <f t="shared" si="466"/>
        <v>1.3798115078161215</v>
      </c>
      <c r="AW249" s="76">
        <f t="shared" si="466"/>
        <v>1.3798103939388069</v>
      </c>
      <c r="AX249" s="76">
        <f t="shared" si="466"/>
        <v>1.3798092612423583</v>
      </c>
      <c r="AY249" s="76">
        <f t="shared" si="466"/>
        <v>1.3798081098555395</v>
      </c>
      <c r="AZ249" s="76">
        <f t="shared" si="466"/>
        <v>1.3798069399066302</v>
      </c>
      <c r="BA249" s="795">
        <f t="shared" si="466"/>
        <v>1.3798069645118427</v>
      </c>
    </row>
    <row r="250" spans="1:53" ht="20.100000000000001" customHeight="1" thickBot="1">
      <c r="A250" s="40"/>
      <c r="B250" s="34"/>
      <c r="C250" s="34"/>
      <c r="D250" s="34"/>
      <c r="E250" s="34"/>
      <c r="F250" s="34"/>
      <c r="G250" s="34"/>
      <c r="H250" s="34"/>
      <c r="I250" s="34"/>
      <c r="J250" s="34"/>
      <c r="K250" s="34"/>
      <c r="L250" s="34"/>
      <c r="M250" s="34"/>
      <c r="N250" s="34"/>
      <c r="O250" s="41"/>
      <c r="P250" s="1078"/>
      <c r="Q250" s="1078"/>
      <c r="R250" s="29"/>
      <c r="S250" s="815"/>
      <c r="T250" s="796" t="s">
        <v>80</v>
      </c>
      <c r="U250" s="796"/>
      <c r="V250" s="796"/>
      <c r="W250" s="796"/>
      <c r="X250" s="368"/>
      <c r="Y250" s="779">
        <f t="shared" si="467"/>
        <v>0</v>
      </c>
      <c r="Z250" s="779">
        <f t="shared" si="466"/>
        <v>1.75</v>
      </c>
      <c r="AA250" s="779">
        <f t="shared" si="466"/>
        <v>1.75</v>
      </c>
      <c r="AB250" s="779">
        <f t="shared" si="466"/>
        <v>1.75</v>
      </c>
      <c r="AC250" s="779">
        <f t="shared" si="466"/>
        <v>1.75</v>
      </c>
      <c r="AD250" s="779">
        <f t="shared" si="466"/>
        <v>1.75</v>
      </c>
      <c r="AE250" s="779">
        <f t="shared" si="466"/>
        <v>1.75</v>
      </c>
      <c r="AF250" s="779">
        <f t="shared" si="466"/>
        <v>1.75</v>
      </c>
      <c r="AG250" s="779">
        <f t="shared" si="466"/>
        <v>1.5834753059124653</v>
      </c>
      <c r="AH250" s="779">
        <f t="shared" si="466"/>
        <v>1.4587294652219505</v>
      </c>
      <c r="AI250" s="779">
        <f t="shared" si="466"/>
        <v>1.3617935811491686</v>
      </c>
      <c r="AJ250" s="779">
        <f t="shared" si="466"/>
        <v>1.2843016982304278</v>
      </c>
      <c r="AK250" s="779">
        <f t="shared" si="466"/>
        <v>1.2209376384581301</v>
      </c>
      <c r="AL250" s="779">
        <f t="shared" si="466"/>
        <v>1.1681599061123531</v>
      </c>
      <c r="AM250" s="779">
        <f t="shared" si="466"/>
        <v>1.1681587816967882</v>
      </c>
      <c r="AN250" s="779">
        <f t="shared" si="466"/>
        <v>1.1681576338522772</v>
      </c>
      <c r="AO250" s="779">
        <f t="shared" si="466"/>
        <v>1.1681564627357166</v>
      </c>
      <c r="AP250" s="779">
        <f t="shared" si="466"/>
        <v>1.1681567254363512</v>
      </c>
      <c r="AQ250" s="779">
        <f t="shared" si="466"/>
        <v>1.168156959356768</v>
      </c>
      <c r="AR250" s="779">
        <f t="shared" si="466"/>
        <v>1.1681557412141748</v>
      </c>
      <c r="AS250" s="779">
        <f t="shared" si="466"/>
        <v>1.1681545003076383</v>
      </c>
      <c r="AT250" s="779">
        <f t="shared" si="466"/>
        <v>1.168153236791255</v>
      </c>
      <c r="AU250" s="779">
        <f t="shared" si="466"/>
        <v>1.1681533932701218</v>
      </c>
      <c r="AV250" s="779">
        <f t="shared" si="466"/>
        <v>1.1681535216839427</v>
      </c>
      <c r="AW250" s="779">
        <f t="shared" si="466"/>
        <v>1.1681522128780979</v>
      </c>
      <c r="AX250" s="779">
        <f t="shared" si="466"/>
        <v>1.1681508819597708</v>
      </c>
      <c r="AY250" s="779">
        <f t="shared" si="466"/>
        <v>1.168149529080259</v>
      </c>
      <c r="AZ250" s="779">
        <f t="shared" si="466"/>
        <v>1.1681481543902903</v>
      </c>
      <c r="BA250" s="797">
        <f t="shared" si="466"/>
        <v>1.1681481833014149</v>
      </c>
    </row>
    <row r="251" spans="1:53" ht="20.100000000000001" customHeight="1" thickBot="1">
      <c r="A251" s="40"/>
      <c r="B251" s="34"/>
      <c r="C251" s="34"/>
      <c r="D251" s="34"/>
      <c r="E251" s="34"/>
      <c r="F251" s="34"/>
      <c r="G251" s="34"/>
      <c r="H251" s="34"/>
      <c r="I251" s="34"/>
      <c r="J251" s="34"/>
      <c r="K251" s="34"/>
      <c r="L251" s="34"/>
      <c r="M251" s="34"/>
      <c r="N251" s="34"/>
      <c r="O251" s="41"/>
      <c r="R251" s="29"/>
    </row>
    <row r="252" spans="1:53" ht="20.100000000000001" customHeight="1">
      <c r="A252" s="40"/>
      <c r="B252" s="34"/>
      <c r="C252" s="34"/>
      <c r="D252" s="34"/>
      <c r="E252" s="34"/>
      <c r="F252" s="34"/>
      <c r="G252" s="34"/>
      <c r="H252" s="34"/>
      <c r="I252" s="34"/>
      <c r="J252" s="34"/>
      <c r="K252" s="34"/>
      <c r="L252" s="34"/>
      <c r="M252" s="34"/>
      <c r="N252" s="34"/>
      <c r="O252" s="41"/>
      <c r="R252" s="29"/>
      <c r="S252" s="468" t="s">
        <v>2977</v>
      </c>
      <c r="T252" s="287"/>
      <c r="U252" s="287"/>
      <c r="V252" s="287"/>
      <c r="W252" s="287"/>
      <c r="X252" s="466">
        <v>2021</v>
      </c>
      <c r="Y252" s="466">
        <f t="shared" ref="Y252:BA252" si="468">Y226</f>
        <v>2022</v>
      </c>
      <c r="Z252" s="466">
        <f t="shared" si="468"/>
        <v>2023</v>
      </c>
      <c r="AA252" s="466">
        <f t="shared" si="468"/>
        <v>2024</v>
      </c>
      <c r="AB252" s="466">
        <f t="shared" si="468"/>
        <v>2025</v>
      </c>
      <c r="AC252" s="466">
        <f t="shared" si="468"/>
        <v>2026</v>
      </c>
      <c r="AD252" s="466">
        <f t="shared" si="468"/>
        <v>2027</v>
      </c>
      <c r="AE252" s="466">
        <f t="shared" si="468"/>
        <v>2028</v>
      </c>
      <c r="AF252" s="466">
        <f t="shared" si="468"/>
        <v>2029</v>
      </c>
      <c r="AG252" s="466">
        <f t="shared" si="468"/>
        <v>2030</v>
      </c>
      <c r="AH252" s="466">
        <f t="shared" si="468"/>
        <v>2031</v>
      </c>
      <c r="AI252" s="466">
        <f t="shared" si="468"/>
        <v>2032</v>
      </c>
      <c r="AJ252" s="466">
        <f t="shared" si="468"/>
        <v>2033</v>
      </c>
      <c r="AK252" s="466">
        <f t="shared" si="468"/>
        <v>2034</v>
      </c>
      <c r="AL252" s="466">
        <f t="shared" si="468"/>
        <v>2035</v>
      </c>
      <c r="AM252" s="466">
        <f t="shared" si="468"/>
        <v>2036</v>
      </c>
      <c r="AN252" s="466">
        <f t="shared" si="468"/>
        <v>2037</v>
      </c>
      <c r="AO252" s="466">
        <f t="shared" si="468"/>
        <v>2038</v>
      </c>
      <c r="AP252" s="466">
        <f t="shared" si="468"/>
        <v>2039</v>
      </c>
      <c r="AQ252" s="466">
        <f t="shared" si="468"/>
        <v>2040</v>
      </c>
      <c r="AR252" s="466">
        <f t="shared" si="468"/>
        <v>2041</v>
      </c>
      <c r="AS252" s="466">
        <f t="shared" si="468"/>
        <v>2042</v>
      </c>
      <c r="AT252" s="466">
        <f t="shared" si="468"/>
        <v>2043</v>
      </c>
      <c r="AU252" s="466">
        <f t="shared" si="468"/>
        <v>2044</v>
      </c>
      <c r="AV252" s="466">
        <f t="shared" si="468"/>
        <v>2045</v>
      </c>
      <c r="AW252" s="466">
        <f t="shared" si="468"/>
        <v>2046</v>
      </c>
      <c r="AX252" s="466">
        <f t="shared" si="468"/>
        <v>2047</v>
      </c>
      <c r="AY252" s="466">
        <f t="shared" si="468"/>
        <v>2048</v>
      </c>
      <c r="AZ252" s="466">
        <f t="shared" si="468"/>
        <v>2049</v>
      </c>
      <c r="BA252" s="467">
        <f t="shared" si="468"/>
        <v>2050</v>
      </c>
    </row>
    <row r="253" spans="1:53" ht="20.100000000000001" customHeight="1">
      <c r="A253" s="40"/>
      <c r="B253" s="34"/>
      <c r="C253" s="34"/>
      <c r="D253" s="34"/>
      <c r="E253" s="34"/>
      <c r="F253" s="34"/>
      <c r="G253" s="34"/>
      <c r="H253" s="34"/>
      <c r="I253" s="34"/>
      <c r="J253" s="34"/>
      <c r="K253" s="34"/>
      <c r="L253" s="34"/>
      <c r="M253" s="34"/>
      <c r="N253" s="34"/>
      <c r="O253" s="41"/>
      <c r="R253" s="29"/>
      <c r="S253" s="1106" t="s">
        <v>2976</v>
      </c>
      <c r="T253" s="536"/>
      <c r="U253" s="280"/>
      <c r="V253" s="280"/>
      <c r="W253" s="280"/>
      <c r="X253" s="280"/>
      <c r="Y253" s="280"/>
      <c r="Z253" s="280"/>
      <c r="AA253" s="280"/>
      <c r="AB253" s="280"/>
      <c r="AC253" s="280"/>
      <c r="AD253" s="280"/>
      <c r="AE253" s="280"/>
      <c r="AF253" s="280"/>
      <c r="AG253" s="280"/>
      <c r="AH253" s="280"/>
      <c r="AI253" s="280"/>
      <c r="AJ253" s="280"/>
      <c r="AK253" s="280"/>
      <c r="AL253" s="280"/>
      <c r="AM253" s="280"/>
      <c r="AN253" s="280"/>
      <c r="AO253" s="280"/>
      <c r="AP253" s="280"/>
      <c r="AQ253" s="280"/>
      <c r="AR253" s="280"/>
      <c r="AS253" s="280"/>
      <c r="AT253" s="280"/>
      <c r="AU253" s="280"/>
      <c r="AV253" s="280"/>
      <c r="AW253" s="280"/>
      <c r="AX253" s="280"/>
      <c r="AY253" s="280"/>
      <c r="AZ253" s="280"/>
      <c r="BA253" s="1103"/>
    </row>
    <row r="254" spans="1:53" ht="20.100000000000001" customHeight="1">
      <c r="A254" s="40"/>
      <c r="B254" s="34"/>
      <c r="C254" s="34"/>
      <c r="D254" s="34"/>
      <c r="E254" s="34"/>
      <c r="F254" s="34"/>
      <c r="G254" s="34"/>
      <c r="H254" s="34"/>
      <c r="I254" s="34"/>
      <c r="J254" s="34"/>
      <c r="K254" s="34"/>
      <c r="L254" s="34"/>
      <c r="M254" s="34"/>
      <c r="N254" s="34"/>
      <c r="O254" s="41"/>
      <c r="R254" s="29"/>
      <c r="S254" s="241"/>
      <c r="T254" s="280" t="s">
        <v>36</v>
      </c>
      <c r="U254" s="280"/>
      <c r="V254" s="280"/>
      <c r="W254" s="280"/>
      <c r="X254" s="280"/>
      <c r="Y254" s="360">
        <f>Y243/Y227</f>
        <v>0</v>
      </c>
      <c r="Z254" s="360">
        <f t="shared" ref="Z254:BA261" si="469">Z243/Z227</f>
        <v>1</v>
      </c>
      <c r="AA254" s="360">
        <f t="shared" si="469"/>
        <v>1</v>
      </c>
      <c r="AB254" s="360">
        <f t="shared" si="469"/>
        <v>1</v>
      </c>
      <c r="AC254" s="360">
        <f t="shared" si="469"/>
        <v>1</v>
      </c>
      <c r="AD254" s="360">
        <f t="shared" si="469"/>
        <v>1</v>
      </c>
      <c r="AE254" s="360">
        <f t="shared" si="469"/>
        <v>1</v>
      </c>
      <c r="AF254" s="360">
        <f t="shared" si="469"/>
        <v>1</v>
      </c>
      <c r="AG254" s="360">
        <f t="shared" si="469"/>
        <v>0.91307647173870532</v>
      </c>
      <c r="AH254" s="360">
        <f t="shared" si="469"/>
        <v>0.84796091234280524</v>
      </c>
      <c r="AI254" s="360">
        <f t="shared" si="469"/>
        <v>0.79736175583389224</v>
      </c>
      <c r="AJ254" s="360">
        <f t="shared" si="469"/>
        <v>0.75691209212595367</v>
      </c>
      <c r="AK254" s="360">
        <f t="shared" si="469"/>
        <v>0.7238369517058042</v>
      </c>
      <c r="AL254" s="360">
        <f t="shared" si="469"/>
        <v>0.69628772404162542</v>
      </c>
      <c r="AM254" s="360">
        <f t="shared" si="469"/>
        <v>0.69628713711264989</v>
      </c>
      <c r="AN254" s="360">
        <f t="shared" si="469"/>
        <v>0.69628653795409645</v>
      </c>
      <c r="AO254" s="360">
        <f t="shared" si="469"/>
        <v>0.69628592664786348</v>
      </c>
      <c r="AP254" s="360">
        <f t="shared" si="469"/>
        <v>0.69628606377386848</v>
      </c>
      <c r="AQ254" s="360">
        <f t="shared" si="469"/>
        <v>0.69628618587700808</v>
      </c>
      <c r="AR254" s="360">
        <f t="shared" si="469"/>
        <v>0.69628555002385306</v>
      </c>
      <c r="AS254" s="360">
        <f t="shared" si="469"/>
        <v>0.69628490228824247</v>
      </c>
      <c r="AT254" s="360">
        <f t="shared" si="469"/>
        <v>0.69628424275061263</v>
      </c>
      <c r="AU254" s="360">
        <f t="shared" si="469"/>
        <v>0.69628432443036148</v>
      </c>
      <c r="AV254" s="360">
        <f t="shared" si="469"/>
        <v>0.69628439146055454</v>
      </c>
      <c r="AW254" s="360">
        <f t="shared" si="469"/>
        <v>0.69628370828246822</v>
      </c>
      <c r="AX254" s="360">
        <f t="shared" si="469"/>
        <v>0.69628301356197975</v>
      </c>
      <c r="AY254" s="360">
        <f t="shared" si="469"/>
        <v>0.69628230737806429</v>
      </c>
      <c r="AZ254" s="360">
        <f t="shared" si="469"/>
        <v>0.6962815898093998</v>
      </c>
      <c r="BA254" s="1070">
        <f t="shared" si="469"/>
        <v>0.69628160490059676</v>
      </c>
    </row>
    <row r="255" spans="1:53" ht="20.100000000000001" customHeight="1" thickBot="1">
      <c r="A255" s="59"/>
      <c r="B255" s="60"/>
      <c r="C255" s="60"/>
      <c r="D255" s="60"/>
      <c r="E255" s="60"/>
      <c r="F255" s="60"/>
      <c r="G255" s="60"/>
      <c r="H255" s="60"/>
      <c r="I255" s="60"/>
      <c r="J255" s="60"/>
      <c r="K255" s="60"/>
      <c r="L255" s="60"/>
      <c r="M255" s="60"/>
      <c r="N255" s="60"/>
      <c r="O255" s="61"/>
      <c r="R255" s="29"/>
      <c r="S255" s="241"/>
      <c r="T255" s="280" t="s">
        <v>37</v>
      </c>
      <c r="U255" s="280"/>
      <c r="V255" s="280"/>
      <c r="W255" s="280"/>
      <c r="X255" s="280"/>
      <c r="Y255" s="360">
        <f t="shared" ref="Y255:AN261" si="470">Y244/Y228</f>
        <v>0</v>
      </c>
      <c r="Z255" s="360">
        <f t="shared" si="470"/>
        <v>1</v>
      </c>
      <c r="AA255" s="360">
        <f t="shared" si="470"/>
        <v>1</v>
      </c>
      <c r="AB255" s="360">
        <f t="shared" si="470"/>
        <v>1</v>
      </c>
      <c r="AC255" s="360">
        <f t="shared" si="470"/>
        <v>1</v>
      </c>
      <c r="AD255" s="360">
        <f t="shared" si="470"/>
        <v>1</v>
      </c>
      <c r="AE255" s="360">
        <f t="shared" si="470"/>
        <v>1</v>
      </c>
      <c r="AF255" s="360">
        <f t="shared" si="470"/>
        <v>1</v>
      </c>
      <c r="AG255" s="360">
        <f t="shared" si="470"/>
        <v>1.4428848247008903</v>
      </c>
      <c r="AH255" s="360">
        <f t="shared" si="470"/>
        <v>1.7746556776011959</v>
      </c>
      <c r="AI255" s="360">
        <f t="shared" si="470"/>
        <v>2.0324638799224237</v>
      </c>
      <c r="AJ255" s="360">
        <f t="shared" si="470"/>
        <v>2.238559313216947</v>
      </c>
      <c r="AK255" s="360">
        <f t="shared" si="470"/>
        <v>2.4070807487815689</v>
      </c>
      <c r="AL255" s="360">
        <f t="shared" si="470"/>
        <v>2.5474470582118265</v>
      </c>
      <c r="AM255" s="360">
        <f t="shared" si="470"/>
        <v>2.5474500486787552</v>
      </c>
      <c r="AN255" s="360">
        <f t="shared" si="470"/>
        <v>2.5474531014567092</v>
      </c>
      <c r="AO255" s="360">
        <f t="shared" si="469"/>
        <v>2.5474562161284129</v>
      </c>
      <c r="AP255" s="360">
        <f t="shared" si="469"/>
        <v>2.5474555174565126</v>
      </c>
      <c r="AQ255" s="360">
        <f t="shared" si="469"/>
        <v>2.5474548953277445</v>
      </c>
      <c r="AR255" s="360">
        <f t="shared" si="469"/>
        <v>2.547458135068684</v>
      </c>
      <c r="AS255" s="360">
        <f t="shared" si="469"/>
        <v>2.5474614353520262</v>
      </c>
      <c r="AT255" s="360">
        <f t="shared" si="469"/>
        <v>2.5474647957679384</v>
      </c>
      <c r="AU255" s="360">
        <f t="shared" si="469"/>
        <v>2.5474643796007403</v>
      </c>
      <c r="AV255" s="360">
        <f t="shared" si="469"/>
        <v>2.5474640380746201</v>
      </c>
      <c r="AW255" s="360">
        <f t="shared" si="469"/>
        <v>2.5474675189412288</v>
      </c>
      <c r="AX255" s="360">
        <f t="shared" si="469"/>
        <v>2.5474710586176306</v>
      </c>
      <c r="AY255" s="360">
        <f t="shared" si="469"/>
        <v>2.5474746567014384</v>
      </c>
      <c r="AZ255" s="360">
        <f t="shared" si="469"/>
        <v>2.5474783127917813</v>
      </c>
      <c r="BA255" s="1070">
        <f t="shared" si="469"/>
        <v>2.5474782359004919</v>
      </c>
    </row>
    <row r="256" spans="1:53" ht="20.100000000000001" customHeight="1">
      <c r="R256" s="29"/>
      <c r="S256" s="241"/>
      <c r="T256" s="280" t="s">
        <v>38</v>
      </c>
      <c r="U256" s="280"/>
      <c r="V256" s="280"/>
      <c r="W256" s="280"/>
      <c r="X256" s="280"/>
      <c r="Y256" s="360">
        <f t="shared" si="470"/>
        <v>0</v>
      </c>
      <c r="Z256" s="360">
        <f t="shared" si="469"/>
        <v>1</v>
      </c>
      <c r="AA256" s="360">
        <f t="shared" si="469"/>
        <v>1</v>
      </c>
      <c r="AB256" s="360">
        <f t="shared" si="469"/>
        <v>1</v>
      </c>
      <c r="AC256" s="360">
        <f t="shared" si="469"/>
        <v>1</v>
      </c>
      <c r="AD256" s="360">
        <f t="shared" si="469"/>
        <v>1</v>
      </c>
      <c r="AE256" s="360">
        <f t="shared" si="469"/>
        <v>1</v>
      </c>
      <c r="AF256" s="360">
        <f t="shared" si="469"/>
        <v>1</v>
      </c>
      <c r="AG256" s="360">
        <f t="shared" si="469"/>
        <v>1</v>
      </c>
      <c r="AH256" s="360">
        <f t="shared" si="469"/>
        <v>1</v>
      </c>
      <c r="AI256" s="360">
        <f t="shared" si="469"/>
        <v>1</v>
      </c>
      <c r="AJ256" s="360">
        <f t="shared" si="469"/>
        <v>1</v>
      </c>
      <c r="AK256" s="360">
        <f t="shared" si="469"/>
        <v>1</v>
      </c>
      <c r="AL256" s="360">
        <f t="shared" si="469"/>
        <v>1</v>
      </c>
      <c r="AM256" s="360">
        <f t="shared" si="469"/>
        <v>1</v>
      </c>
      <c r="AN256" s="360">
        <f t="shared" si="469"/>
        <v>1</v>
      </c>
      <c r="AO256" s="360">
        <f t="shared" si="469"/>
        <v>1</v>
      </c>
      <c r="AP256" s="360">
        <f t="shared" si="469"/>
        <v>1</v>
      </c>
      <c r="AQ256" s="360">
        <f t="shared" si="469"/>
        <v>1</v>
      </c>
      <c r="AR256" s="360">
        <f t="shared" si="469"/>
        <v>1</v>
      </c>
      <c r="AS256" s="360">
        <f t="shared" si="469"/>
        <v>1</v>
      </c>
      <c r="AT256" s="360">
        <f t="shared" si="469"/>
        <v>1</v>
      </c>
      <c r="AU256" s="360">
        <f t="shared" si="469"/>
        <v>1</v>
      </c>
      <c r="AV256" s="360">
        <f t="shared" si="469"/>
        <v>1</v>
      </c>
      <c r="AW256" s="360">
        <f t="shared" si="469"/>
        <v>1</v>
      </c>
      <c r="AX256" s="360">
        <f t="shared" si="469"/>
        <v>1</v>
      </c>
      <c r="AY256" s="360">
        <f t="shared" si="469"/>
        <v>1</v>
      </c>
      <c r="AZ256" s="360">
        <f t="shared" si="469"/>
        <v>1</v>
      </c>
      <c r="BA256" s="1070">
        <f t="shared" si="469"/>
        <v>1</v>
      </c>
    </row>
    <row r="257" spans="2:56" ht="20.100000000000001" customHeight="1">
      <c r="R257" s="29"/>
      <c r="S257" s="241"/>
      <c r="T257" s="280" t="s">
        <v>39</v>
      </c>
      <c r="U257" s="280"/>
      <c r="V257" s="280"/>
      <c r="W257" s="280"/>
      <c r="X257" s="280"/>
      <c r="Y257" s="360">
        <f t="shared" si="470"/>
        <v>0</v>
      </c>
      <c r="Z257" s="360">
        <f t="shared" si="469"/>
        <v>1</v>
      </c>
      <c r="AA257" s="360">
        <f t="shared" si="469"/>
        <v>1</v>
      </c>
      <c r="AB257" s="360">
        <f t="shared" si="469"/>
        <v>1</v>
      </c>
      <c r="AC257" s="360">
        <f t="shared" si="469"/>
        <v>1</v>
      </c>
      <c r="AD257" s="360">
        <f t="shared" si="469"/>
        <v>1</v>
      </c>
      <c r="AE257" s="360">
        <f t="shared" si="469"/>
        <v>1</v>
      </c>
      <c r="AF257" s="360">
        <f t="shared" si="469"/>
        <v>1</v>
      </c>
      <c r="AG257" s="360">
        <f t="shared" si="469"/>
        <v>1</v>
      </c>
      <c r="AH257" s="360">
        <f t="shared" si="469"/>
        <v>1</v>
      </c>
      <c r="AI257" s="360">
        <f t="shared" si="469"/>
        <v>1</v>
      </c>
      <c r="AJ257" s="360">
        <f t="shared" si="469"/>
        <v>1</v>
      </c>
      <c r="AK257" s="360">
        <f t="shared" si="469"/>
        <v>1</v>
      </c>
      <c r="AL257" s="360">
        <f t="shared" si="469"/>
        <v>1</v>
      </c>
      <c r="AM257" s="360">
        <f t="shared" si="469"/>
        <v>1</v>
      </c>
      <c r="AN257" s="360">
        <f t="shared" si="469"/>
        <v>1</v>
      </c>
      <c r="AO257" s="360">
        <f t="shared" si="469"/>
        <v>1</v>
      </c>
      <c r="AP257" s="360">
        <f t="shared" si="469"/>
        <v>1</v>
      </c>
      <c r="AQ257" s="360">
        <f t="shared" si="469"/>
        <v>1</v>
      </c>
      <c r="AR257" s="360">
        <f t="shared" si="469"/>
        <v>1</v>
      </c>
      <c r="AS257" s="360">
        <f t="shared" si="469"/>
        <v>1</v>
      </c>
      <c r="AT257" s="360">
        <f t="shared" si="469"/>
        <v>1</v>
      </c>
      <c r="AU257" s="360">
        <f t="shared" si="469"/>
        <v>1</v>
      </c>
      <c r="AV257" s="360">
        <f t="shared" si="469"/>
        <v>1</v>
      </c>
      <c r="AW257" s="360">
        <f t="shared" si="469"/>
        <v>1</v>
      </c>
      <c r="AX257" s="360">
        <f t="shared" si="469"/>
        <v>1</v>
      </c>
      <c r="AY257" s="360">
        <f t="shared" si="469"/>
        <v>1</v>
      </c>
      <c r="AZ257" s="360">
        <f t="shared" si="469"/>
        <v>1</v>
      </c>
      <c r="BA257" s="1070">
        <f t="shared" si="469"/>
        <v>1</v>
      </c>
    </row>
    <row r="258" spans="2:56" ht="20.100000000000001" customHeight="1">
      <c r="R258" s="29"/>
      <c r="S258" s="241"/>
      <c r="T258" s="280" t="s">
        <v>77</v>
      </c>
      <c r="U258" s="280"/>
      <c r="V258" s="280"/>
      <c r="W258" s="280"/>
      <c r="X258" s="280"/>
      <c r="Y258" s="360">
        <f t="shared" si="470"/>
        <v>0</v>
      </c>
      <c r="Z258" s="360">
        <f t="shared" si="469"/>
        <v>1</v>
      </c>
      <c r="AA258" s="360">
        <f t="shared" si="469"/>
        <v>1</v>
      </c>
      <c r="AB258" s="360">
        <f t="shared" si="469"/>
        <v>1</v>
      </c>
      <c r="AC258" s="360">
        <f t="shared" si="469"/>
        <v>1</v>
      </c>
      <c r="AD258" s="360">
        <f t="shared" si="469"/>
        <v>1</v>
      </c>
      <c r="AE258" s="360">
        <f t="shared" si="469"/>
        <v>1</v>
      </c>
      <c r="AF258" s="360">
        <f t="shared" si="469"/>
        <v>1</v>
      </c>
      <c r="AG258" s="360">
        <f t="shared" si="469"/>
        <v>0.90740754598253381</v>
      </c>
      <c r="AH258" s="360">
        <f t="shared" si="469"/>
        <v>0.8380453196695099</v>
      </c>
      <c r="AI258" s="360">
        <f t="shared" si="469"/>
        <v>0.78414621817088526</v>
      </c>
      <c r="AJ258" s="360">
        <f t="shared" si="469"/>
        <v>0.74105853291677681</v>
      </c>
      <c r="AK258" s="360">
        <f t="shared" si="469"/>
        <v>0.70582631812140006</v>
      </c>
      <c r="AL258" s="360">
        <f t="shared" si="469"/>
        <v>0.67648040169651402</v>
      </c>
      <c r="AM258" s="360">
        <f t="shared" si="469"/>
        <v>0.6764797764895617</v>
      </c>
      <c r="AN258" s="360">
        <f t="shared" si="469"/>
        <v>0.67647913825545058</v>
      </c>
      <c r="AO258" s="360">
        <f t="shared" si="469"/>
        <v>0.67647848708141978</v>
      </c>
      <c r="AP258" s="360">
        <f t="shared" si="469"/>
        <v>0.67647863315042511</v>
      </c>
      <c r="AQ258" s="360">
        <f t="shared" si="469"/>
        <v>0.67647876321681288</v>
      </c>
      <c r="AR258" s="360">
        <f t="shared" si="469"/>
        <v>0.67647808589497382</v>
      </c>
      <c r="AS258" s="360">
        <f t="shared" si="469"/>
        <v>0.67647739591573641</v>
      </c>
      <c r="AT258" s="360">
        <f t="shared" si="469"/>
        <v>0.676476693364783</v>
      </c>
      <c r="AU258" s="360">
        <f t="shared" si="469"/>
        <v>0.67647678037147185</v>
      </c>
      <c r="AV258" s="360">
        <f t="shared" si="469"/>
        <v>0.67647685177319927</v>
      </c>
      <c r="AW258" s="360">
        <f t="shared" si="469"/>
        <v>0.67647612404002044</v>
      </c>
      <c r="AX258" s="360">
        <f t="shared" si="469"/>
        <v>0.67647538401167406</v>
      </c>
      <c r="AY258" s="360">
        <f t="shared" si="469"/>
        <v>0.67647463177228573</v>
      </c>
      <c r="AZ258" s="360">
        <f t="shared" si="469"/>
        <v>0.67647386740566495</v>
      </c>
      <c r="BA258" s="1070">
        <f t="shared" si="469"/>
        <v>0.67647388348107051</v>
      </c>
    </row>
    <row r="259" spans="2:56" ht="20.100000000000001" customHeight="1">
      <c r="R259" s="29"/>
      <c r="S259" s="241"/>
      <c r="T259" s="280" t="s">
        <v>78</v>
      </c>
      <c r="U259" s="280"/>
      <c r="V259" s="280"/>
      <c r="W259" s="280"/>
      <c r="X259" s="280"/>
      <c r="Y259" s="360">
        <f t="shared" si="470"/>
        <v>0</v>
      </c>
      <c r="Z259" s="360">
        <f t="shared" si="469"/>
        <v>1</v>
      </c>
      <c r="AA259" s="360">
        <f t="shared" si="469"/>
        <v>1</v>
      </c>
      <c r="AB259" s="360">
        <f t="shared" si="469"/>
        <v>1</v>
      </c>
      <c r="AC259" s="360">
        <f t="shared" si="469"/>
        <v>1</v>
      </c>
      <c r="AD259" s="360">
        <f t="shared" si="469"/>
        <v>1</v>
      </c>
      <c r="AE259" s="360">
        <f t="shared" si="469"/>
        <v>1</v>
      </c>
      <c r="AF259" s="360">
        <f t="shared" si="469"/>
        <v>1</v>
      </c>
      <c r="AG259" s="360">
        <f t="shared" si="469"/>
        <v>0.92028073155383983</v>
      </c>
      <c r="AH259" s="360">
        <f t="shared" si="469"/>
        <v>0.8605619780317848</v>
      </c>
      <c r="AI259" s="360">
        <f t="shared" si="469"/>
        <v>0.81415650161396369</v>
      </c>
      <c r="AJ259" s="360">
        <f t="shared" si="469"/>
        <v>0.77705932362094943</v>
      </c>
      <c r="AK259" s="360">
        <f t="shared" si="469"/>
        <v>0.74672546521931771</v>
      </c>
      <c r="AL259" s="360">
        <f t="shared" si="469"/>
        <v>0.7214595295218712</v>
      </c>
      <c r="AM259" s="360">
        <f t="shared" si="469"/>
        <v>0.7214589912378242</v>
      </c>
      <c r="AN259" s="360">
        <f t="shared" si="469"/>
        <v>0.72145844173779228</v>
      </c>
      <c r="AO259" s="360">
        <f t="shared" si="469"/>
        <v>0.72145788109688569</v>
      </c>
      <c r="AP259" s="360">
        <f t="shared" si="469"/>
        <v>0.72145800685782779</v>
      </c>
      <c r="AQ259" s="360">
        <f t="shared" si="469"/>
        <v>0.72145811884100597</v>
      </c>
      <c r="AR259" s="360">
        <f t="shared" si="469"/>
        <v>0.72145753568763682</v>
      </c>
      <c r="AS259" s="360">
        <f t="shared" si="469"/>
        <v>0.72145694163663532</v>
      </c>
      <c r="AT259" s="360">
        <f t="shared" si="469"/>
        <v>0.72145633676177101</v>
      </c>
      <c r="AU259" s="360">
        <f t="shared" si="469"/>
        <v>0.72145641167186669</v>
      </c>
      <c r="AV259" s="360">
        <f t="shared" si="469"/>
        <v>0.72145647314656836</v>
      </c>
      <c r="AW259" s="360">
        <f t="shared" si="469"/>
        <v>0.72145584659057882</v>
      </c>
      <c r="AX259" s="360">
        <f t="shared" si="469"/>
        <v>0.72145520944882646</v>
      </c>
      <c r="AY259" s="360">
        <f t="shared" si="469"/>
        <v>0.72145456179374101</v>
      </c>
      <c r="AZ259" s="360">
        <f t="shared" si="469"/>
        <v>0.72145390369747942</v>
      </c>
      <c r="BA259" s="1070">
        <f t="shared" si="469"/>
        <v>0.72145391753791144</v>
      </c>
    </row>
    <row r="260" spans="2:56" ht="20.100000000000001" customHeight="1">
      <c r="R260" s="29"/>
      <c r="S260" s="241"/>
      <c r="T260" s="280" t="s">
        <v>79</v>
      </c>
      <c r="U260" s="280"/>
      <c r="V260" s="280"/>
      <c r="W260" s="280"/>
      <c r="X260" s="280"/>
      <c r="Y260" s="360">
        <f t="shared" si="470"/>
        <v>0</v>
      </c>
      <c r="Z260" s="360">
        <f t="shared" si="469"/>
        <v>1</v>
      </c>
      <c r="AA260" s="360">
        <f t="shared" si="469"/>
        <v>1</v>
      </c>
      <c r="AB260" s="360">
        <f t="shared" si="469"/>
        <v>1</v>
      </c>
      <c r="AC260" s="360">
        <f t="shared" si="469"/>
        <v>1</v>
      </c>
      <c r="AD260" s="360">
        <f t="shared" si="469"/>
        <v>1</v>
      </c>
      <c r="AE260" s="360">
        <f t="shared" si="469"/>
        <v>1</v>
      </c>
      <c r="AF260" s="360">
        <f t="shared" si="469"/>
        <v>1</v>
      </c>
      <c r="AG260" s="360">
        <f t="shared" si="469"/>
        <v>0.92441432325104811</v>
      </c>
      <c r="AH260" s="360">
        <f t="shared" si="469"/>
        <v>0.86779209768939591</v>
      </c>
      <c r="AI260" s="360">
        <f t="shared" si="469"/>
        <v>0.82379283115990631</v>
      </c>
      <c r="AJ260" s="360">
        <f t="shared" si="469"/>
        <v>0.78861921054430761</v>
      </c>
      <c r="AK260" s="360">
        <f t="shared" si="469"/>
        <v>0.75985821887461236</v>
      </c>
      <c r="AL260" s="360">
        <f t="shared" si="469"/>
        <v>0.73590236873184822</v>
      </c>
      <c r="AM260" s="360">
        <f t="shared" si="469"/>
        <v>0.73590185835882593</v>
      </c>
      <c r="AN260" s="360">
        <f t="shared" si="469"/>
        <v>0.73590133735138819</v>
      </c>
      <c r="AO260" s="360">
        <f t="shared" si="469"/>
        <v>0.7359008057807509</v>
      </c>
      <c r="AP260" s="360">
        <f t="shared" si="469"/>
        <v>0.73590092502075521</v>
      </c>
      <c r="AQ260" s="360">
        <f t="shared" si="469"/>
        <v>0.73590103119739825</v>
      </c>
      <c r="AR260" s="360">
        <f t="shared" si="469"/>
        <v>0.7359004782816112</v>
      </c>
      <c r="AS260" s="360">
        <f t="shared" si="469"/>
        <v>0.73589991503325425</v>
      </c>
      <c r="AT260" s="360">
        <f t="shared" si="469"/>
        <v>0.73589934152227177</v>
      </c>
      <c r="AU260" s="360">
        <f t="shared" si="469"/>
        <v>0.73589941254814029</v>
      </c>
      <c r="AV260" s="360">
        <f t="shared" si="469"/>
        <v>0.73589947083526475</v>
      </c>
      <c r="AW260" s="360">
        <f t="shared" si="469"/>
        <v>0.73589887676736365</v>
      </c>
      <c r="AX260" s="360">
        <f t="shared" si="469"/>
        <v>0.73589827266259111</v>
      </c>
      <c r="AY260" s="360">
        <f t="shared" si="469"/>
        <v>0.73589765858962108</v>
      </c>
      <c r="AZ260" s="360">
        <f t="shared" si="469"/>
        <v>0.73589703461686939</v>
      </c>
      <c r="BA260" s="1070">
        <f t="shared" si="469"/>
        <v>0.73589704773964948</v>
      </c>
    </row>
    <row r="261" spans="2:56" ht="20.100000000000001" customHeight="1" thickBot="1">
      <c r="R261" s="29"/>
      <c r="S261" s="470"/>
      <c r="T261" s="288" t="s">
        <v>80</v>
      </c>
      <c r="U261" s="288"/>
      <c r="V261" s="288"/>
      <c r="W261" s="288"/>
      <c r="X261" s="288"/>
      <c r="Y261" s="362">
        <f t="shared" si="470"/>
        <v>0</v>
      </c>
      <c r="Z261" s="362">
        <f t="shared" si="469"/>
        <v>1</v>
      </c>
      <c r="AA261" s="362">
        <f t="shared" si="469"/>
        <v>1</v>
      </c>
      <c r="AB261" s="362">
        <f t="shared" si="469"/>
        <v>1</v>
      </c>
      <c r="AC261" s="362">
        <f t="shared" si="469"/>
        <v>1</v>
      </c>
      <c r="AD261" s="362">
        <f t="shared" si="469"/>
        <v>1</v>
      </c>
      <c r="AE261" s="362">
        <f t="shared" si="469"/>
        <v>1</v>
      </c>
      <c r="AF261" s="362">
        <f t="shared" si="469"/>
        <v>1</v>
      </c>
      <c r="AG261" s="362">
        <f t="shared" si="469"/>
        <v>0.90484303194998017</v>
      </c>
      <c r="AH261" s="362">
        <f t="shared" si="469"/>
        <v>0.83355969441254307</v>
      </c>
      <c r="AI261" s="362">
        <f t="shared" si="469"/>
        <v>0.77816776065666782</v>
      </c>
      <c r="AJ261" s="362">
        <f t="shared" si="469"/>
        <v>0.73388668470310159</v>
      </c>
      <c r="AK261" s="362">
        <f t="shared" si="469"/>
        <v>0.69767865054750289</v>
      </c>
      <c r="AL261" s="362">
        <f t="shared" si="469"/>
        <v>0.66751994634991607</v>
      </c>
      <c r="AM261" s="362">
        <f t="shared" si="469"/>
        <v>0.66751930382673608</v>
      </c>
      <c r="AN261" s="362">
        <f t="shared" si="469"/>
        <v>0.66751864791558702</v>
      </c>
      <c r="AO261" s="362">
        <f t="shared" si="469"/>
        <v>0.66751797870612373</v>
      </c>
      <c r="AP261" s="362">
        <f t="shared" si="469"/>
        <v>0.66751812882077211</v>
      </c>
      <c r="AQ261" s="362">
        <f t="shared" si="469"/>
        <v>0.66751826248958168</v>
      </c>
      <c r="AR261" s="362">
        <f t="shared" si="469"/>
        <v>0.66751756640809989</v>
      </c>
      <c r="AS261" s="362">
        <f t="shared" si="469"/>
        <v>0.66751685731865051</v>
      </c>
      <c r="AT261" s="362">
        <f t="shared" si="469"/>
        <v>0.66751613530928855</v>
      </c>
      <c r="AU261" s="362">
        <f t="shared" si="469"/>
        <v>0.66751622472578387</v>
      </c>
      <c r="AV261" s="362">
        <f t="shared" si="469"/>
        <v>0.66751629810511015</v>
      </c>
      <c r="AW261" s="362">
        <f t="shared" si="469"/>
        <v>0.66751555021605591</v>
      </c>
      <c r="AX261" s="362">
        <f t="shared" si="469"/>
        <v>0.66751478969129763</v>
      </c>
      <c r="AY261" s="362">
        <f t="shared" si="469"/>
        <v>0.66751401661729093</v>
      </c>
      <c r="AZ261" s="362">
        <f t="shared" si="469"/>
        <v>0.66751323108016591</v>
      </c>
      <c r="BA261" s="905">
        <f t="shared" si="469"/>
        <v>0.66751324760080855</v>
      </c>
    </row>
    <row r="262" spans="2:56" ht="20.100000000000001" customHeight="1">
      <c r="R262" s="29"/>
    </row>
    <row r="263" spans="2:56" ht="20.100000000000001" customHeight="1" thickBot="1">
      <c r="B263" s="29"/>
      <c r="C263" s="1078"/>
      <c r="D263" s="1078"/>
      <c r="E263" s="1078"/>
      <c r="F263" s="29"/>
      <c r="G263" s="29"/>
      <c r="H263" s="29"/>
      <c r="I263" s="29"/>
      <c r="J263" s="1078"/>
      <c r="K263" s="1078"/>
      <c r="L263" s="29"/>
      <c r="M263" s="29"/>
      <c r="N263" s="1078"/>
      <c r="O263" s="1078"/>
      <c r="P263" s="1078"/>
      <c r="Q263" s="1078"/>
      <c r="R263" s="29"/>
      <c r="S263" s="1322" t="s">
        <v>3090</v>
      </c>
      <c r="BC263" s="29"/>
      <c r="BD263" s="29"/>
    </row>
    <row r="264" spans="2:56" ht="20.100000000000001" customHeight="1">
      <c r="B264" s="29"/>
      <c r="C264" s="1078"/>
      <c r="D264" s="1078"/>
      <c r="E264" s="1078"/>
      <c r="F264" s="29"/>
      <c r="G264" s="29"/>
      <c r="H264" s="29"/>
      <c r="I264" s="29"/>
      <c r="J264" s="1078"/>
      <c r="K264" s="1078"/>
      <c r="L264" s="29"/>
      <c r="M264" s="29"/>
      <c r="N264" s="1078"/>
      <c r="O264" s="1078"/>
      <c r="P264" s="1078"/>
      <c r="Q264" s="1078"/>
      <c r="R264" s="29"/>
      <c r="S264" s="801" t="s">
        <v>3134</v>
      </c>
      <c r="T264" s="1198"/>
      <c r="U264" s="1198"/>
      <c r="V264" s="1198"/>
      <c r="W264" s="1198"/>
      <c r="X264" s="798">
        <f t="shared" ref="X264:BA264" si="471">X226</f>
        <v>2021</v>
      </c>
      <c r="Y264" s="798">
        <f t="shared" si="471"/>
        <v>2022</v>
      </c>
      <c r="Z264" s="798">
        <f t="shared" si="471"/>
        <v>2023</v>
      </c>
      <c r="AA264" s="798">
        <f t="shared" si="471"/>
        <v>2024</v>
      </c>
      <c r="AB264" s="798">
        <f t="shared" si="471"/>
        <v>2025</v>
      </c>
      <c r="AC264" s="798">
        <f t="shared" si="471"/>
        <v>2026</v>
      </c>
      <c r="AD264" s="798">
        <f t="shared" si="471"/>
        <v>2027</v>
      </c>
      <c r="AE264" s="798">
        <f t="shared" si="471"/>
        <v>2028</v>
      </c>
      <c r="AF264" s="798">
        <f t="shared" si="471"/>
        <v>2029</v>
      </c>
      <c r="AG264" s="798">
        <f t="shared" si="471"/>
        <v>2030</v>
      </c>
      <c r="AH264" s="798">
        <f t="shared" si="471"/>
        <v>2031</v>
      </c>
      <c r="AI264" s="798">
        <f t="shared" si="471"/>
        <v>2032</v>
      </c>
      <c r="AJ264" s="798">
        <f t="shared" si="471"/>
        <v>2033</v>
      </c>
      <c r="AK264" s="798">
        <f t="shared" si="471"/>
        <v>2034</v>
      </c>
      <c r="AL264" s="798">
        <f t="shared" si="471"/>
        <v>2035</v>
      </c>
      <c r="AM264" s="798">
        <f t="shared" si="471"/>
        <v>2036</v>
      </c>
      <c r="AN264" s="798">
        <f t="shared" si="471"/>
        <v>2037</v>
      </c>
      <c r="AO264" s="798">
        <f t="shared" si="471"/>
        <v>2038</v>
      </c>
      <c r="AP264" s="798">
        <f t="shared" si="471"/>
        <v>2039</v>
      </c>
      <c r="AQ264" s="798">
        <f t="shared" si="471"/>
        <v>2040</v>
      </c>
      <c r="AR264" s="798">
        <f t="shared" si="471"/>
        <v>2041</v>
      </c>
      <c r="AS264" s="798">
        <f t="shared" si="471"/>
        <v>2042</v>
      </c>
      <c r="AT264" s="798">
        <f t="shared" si="471"/>
        <v>2043</v>
      </c>
      <c r="AU264" s="798">
        <f t="shared" si="471"/>
        <v>2044</v>
      </c>
      <c r="AV264" s="798">
        <f t="shared" si="471"/>
        <v>2045</v>
      </c>
      <c r="AW264" s="798">
        <f t="shared" si="471"/>
        <v>2046</v>
      </c>
      <c r="AX264" s="798">
        <f t="shared" si="471"/>
        <v>2047</v>
      </c>
      <c r="AY264" s="798">
        <f t="shared" si="471"/>
        <v>2048</v>
      </c>
      <c r="AZ264" s="798">
        <f t="shared" si="471"/>
        <v>2049</v>
      </c>
      <c r="BA264" s="799">
        <f t="shared" si="471"/>
        <v>2050</v>
      </c>
    </row>
    <row r="265" spans="2:56" ht="20.100000000000001" customHeight="1">
      <c r="B265" s="29"/>
      <c r="C265" s="1078"/>
      <c r="D265" s="1078"/>
      <c r="E265" s="1078"/>
      <c r="F265" s="29"/>
      <c r="G265" s="29"/>
      <c r="H265" s="29"/>
      <c r="I265" s="29"/>
      <c r="J265" s="1078"/>
      <c r="K265" s="1078"/>
      <c r="L265" s="29"/>
      <c r="M265" s="29"/>
      <c r="N265" s="1078"/>
      <c r="O265" s="1078"/>
      <c r="P265" s="1078"/>
      <c r="Q265" s="1078"/>
      <c r="R265" s="29"/>
      <c r="S265" s="802" t="s">
        <v>36</v>
      </c>
      <c r="T265" s="788" t="s">
        <v>3071</v>
      </c>
      <c r="U265" s="1406" t="s">
        <v>3137</v>
      </c>
      <c r="V265" s="1407"/>
      <c r="W265" s="1407"/>
      <c r="X265" s="1408"/>
      <c r="Y265" s="76">
        <f>Y25*INDEX('DEFAULT DATA'!$N$9:$N$41,START!$C$3,1)*TRANSPORT!Y254</f>
        <v>0</v>
      </c>
      <c r="Z265" s="76">
        <f>Z25*INDEX('DEFAULT DATA'!$N$9:$N$41,START!$C$3,1)*TRANSPORT!Z254</f>
        <v>2751.522157781947</v>
      </c>
      <c r="AA265" s="76">
        <f>AA25*INDEX('DEFAULT DATA'!$N$9:$N$41,START!$C$3,1)*TRANSPORT!AA254</f>
        <v>2759.7767242552927</v>
      </c>
      <c r="AB265" s="76">
        <f>AB25*INDEX('DEFAULT DATA'!$N$9:$N$41,START!$C$3,1)*TRANSPORT!AB254</f>
        <v>2768.0560544280579</v>
      </c>
      <c r="AC265" s="76">
        <f>AC25*INDEX('DEFAULT DATA'!$N$9:$N$41,START!$C$3,1)*TRANSPORT!AC254</f>
        <v>2776.3602225913423</v>
      </c>
      <c r="AD265" s="76">
        <f>AD25*INDEX('DEFAULT DATA'!$N$9:$N$41,START!$C$3,1)*TRANSPORT!AD254</f>
        <v>2784.6893032591165</v>
      </c>
      <c r="AE265" s="76">
        <f>AE25*INDEX('DEFAULT DATA'!$N$9:$N$41,START!$C$3,1)*TRANSPORT!AE254</f>
        <v>2793.0433711688934</v>
      </c>
      <c r="AF265" s="76">
        <f>AF25*INDEX('DEFAULT DATA'!$N$9:$N$41,START!$C$3,1)*TRANSPORT!AF254</f>
        <v>2801.4225012823999</v>
      </c>
      <c r="AG265" s="76">
        <f>AG25*INDEX('DEFAULT DATA'!$N$9:$N$41,START!$C$3,1)*TRANSPORT!AG254</f>
        <v>2565.5867122403133</v>
      </c>
      <c r="AH265" s="76">
        <f>AH25*INDEX('DEFAULT DATA'!$N$9:$N$41,START!$C$3,1)*TRANSPORT!AH254</f>
        <v>2389.7711401963779</v>
      </c>
      <c r="AI265" s="76">
        <f>AI25*INDEX('DEFAULT DATA'!$N$9:$N$41,START!$C$3,1)*TRANSPORT!AI254</f>
        <v>2253.9112604198181</v>
      </c>
      <c r="AJ265" s="76">
        <f>AJ25*INDEX('DEFAULT DATA'!$N$9:$N$41,START!$C$3,1)*TRANSPORT!AJ254</f>
        <v>2145.9904655997157</v>
      </c>
      <c r="AK265" s="76">
        <f>AK25*INDEX('DEFAULT DATA'!$N$9:$N$41,START!$C$3,1)*TRANSPORT!AK254</f>
        <v>2058.3727685264494</v>
      </c>
      <c r="AL265" s="76">
        <f>AL25*INDEX('DEFAULT DATA'!$N$9:$N$41,START!$C$3,1)*TRANSPORT!AL254</f>
        <v>1985.9712134197382</v>
      </c>
      <c r="AM265" s="76">
        <f>AM25*INDEX('DEFAULT DATA'!$N$9:$N$41,START!$C$3,1)*TRANSPORT!AM254</f>
        <v>1991.9274479826827</v>
      </c>
      <c r="AN265" s="76">
        <f>AN25*INDEX('DEFAULT DATA'!$N$9:$N$41,START!$C$3,1)*TRANSPORT!AN254</f>
        <v>1997.9015111209385</v>
      </c>
      <c r="AO265" s="76">
        <f>AO25*INDEX('DEFAULT DATA'!$N$9:$N$41,START!$C$3,1)*TRANSPORT!AO254</f>
        <v>2003.8934563302753</v>
      </c>
      <c r="AP265" s="76">
        <f>AP25*INDEX('DEFAULT DATA'!$N$9:$N$41,START!$C$3,1)*TRANSPORT!AP254</f>
        <v>2009.9055325284091</v>
      </c>
      <c r="AQ265" s="76">
        <f>AQ25*INDEX('DEFAULT DATA'!$N$9:$N$41,START!$C$3,1)*TRANSPORT!AQ254</f>
        <v>2015.9356026473927</v>
      </c>
      <c r="AR265" s="76">
        <f>AR25*INDEX('DEFAULT DATA'!$N$9:$N$41,START!$C$3,1)*TRANSPORT!AR254</f>
        <v>2021.9815629666982</v>
      </c>
      <c r="AS265" s="76">
        <f>AS25*INDEX('DEFAULT DATA'!$N$9:$N$41,START!$C$3,1)*TRANSPORT!AS254</f>
        <v>2028.0456210178668</v>
      </c>
      <c r="AT265" s="76">
        <f>AT25*INDEX('DEFAULT DATA'!$N$9:$N$41,START!$C$3,1)*TRANSPORT!AT254</f>
        <v>2034.127831104805</v>
      </c>
      <c r="AU265" s="76">
        <f>AU25*INDEX('DEFAULT DATA'!$N$9:$N$41,START!$C$3,1)*TRANSPORT!AU254</f>
        <v>2040.2304539335535</v>
      </c>
      <c r="AV265" s="76">
        <f>AV25*INDEX('DEFAULT DATA'!$N$9:$N$41,START!$C$3,1)*TRANSPORT!AV254</f>
        <v>2046.3513422943495</v>
      </c>
      <c r="AW265" s="76">
        <f>AW25*INDEX('DEFAULT DATA'!$N$9:$N$41,START!$C$3,1)*TRANSPORT!AW254</f>
        <v>2052.4883824652875</v>
      </c>
      <c r="AX265" s="76">
        <f>AX25*INDEX('DEFAULT DATA'!$N$9:$N$41,START!$C$3,1)*TRANSPORT!AX254</f>
        <v>2058.6437935886815</v>
      </c>
      <c r="AY265" s="76">
        <f>AY25*INDEX('DEFAULT DATA'!$N$9:$N$41,START!$C$3,1)*TRANSPORT!AY254</f>
        <v>2064.8176307887052</v>
      </c>
      <c r="AZ265" s="76">
        <f>AZ25*INDEX('DEFAULT DATA'!$N$9:$N$41,START!$C$3,1)*TRANSPORT!AZ254</f>
        <v>2071.0099493551534</v>
      </c>
      <c r="BA265" s="795">
        <f>BA25*INDEX('DEFAULT DATA'!$N$9:$N$41,START!$C$3,1)*TRANSPORT!BA254</f>
        <v>2077.2230242249193</v>
      </c>
    </row>
    <row r="266" spans="2:56" ht="20.100000000000001" customHeight="1">
      <c r="B266" s="29"/>
      <c r="C266" s="1078"/>
      <c r="D266" s="1078"/>
      <c r="E266" s="1078"/>
      <c r="F266" s="29"/>
      <c r="G266" s="29"/>
      <c r="H266" s="29"/>
      <c r="I266" s="29"/>
      <c r="J266" s="1078"/>
      <c r="K266" s="1078"/>
      <c r="L266" s="29"/>
      <c r="M266" s="29"/>
      <c r="N266" s="1078"/>
      <c r="O266" s="1078"/>
      <c r="P266" s="1078"/>
      <c r="Q266" s="1078"/>
      <c r="R266" s="29"/>
      <c r="S266" s="802" t="s">
        <v>38</v>
      </c>
      <c r="T266" s="788" t="s">
        <v>3072</v>
      </c>
      <c r="U266" s="1406" t="s">
        <v>3137</v>
      </c>
      <c r="V266" s="1407"/>
      <c r="W266" s="1407"/>
      <c r="X266" s="1408"/>
      <c r="Y266" s="76">
        <f>Y92*INDEX('DEFAULT DATA'!$DI$9:$DI$41,START!$C$3,1)*TRANSPORT!Y256</f>
        <v>0</v>
      </c>
      <c r="Z266" s="76">
        <f>Z92*INDEX('DEFAULT DATA'!$DI$9:$DI$41,START!$C$3,1)*TRANSPORT!Z256</f>
        <v>0</v>
      </c>
      <c r="AA266" s="76">
        <f>AA92*INDEX('DEFAULT DATA'!$DI$9:$DI$41,START!$C$3,1)*TRANSPORT!AA256</f>
        <v>0</v>
      </c>
      <c r="AB266" s="76">
        <f>AB92*INDEX('DEFAULT DATA'!$DI$9:$DI$41,START!$C$3,1)*TRANSPORT!AB256</f>
        <v>0</v>
      </c>
      <c r="AC266" s="76">
        <f>AC92*INDEX('DEFAULT DATA'!$DI$9:$DI$41,START!$C$3,1)*TRANSPORT!AC256</f>
        <v>0</v>
      </c>
      <c r="AD266" s="76">
        <f>AD92*INDEX('DEFAULT DATA'!$DI$9:$DI$41,START!$C$3,1)*TRANSPORT!AD256</f>
        <v>0</v>
      </c>
      <c r="AE266" s="76">
        <f>AE92*INDEX('DEFAULT DATA'!$DI$9:$DI$41,START!$C$3,1)*TRANSPORT!AE256</f>
        <v>0</v>
      </c>
      <c r="AF266" s="76">
        <f>AF92*INDEX('DEFAULT DATA'!$DI$9:$DI$41,START!$C$3,1)*TRANSPORT!AF256</f>
        <v>0</v>
      </c>
      <c r="AG266" s="76">
        <f>AG92*INDEX('DEFAULT DATA'!$DI$9:$DI$41,START!$C$3,1)*TRANSPORT!AG256</f>
        <v>0</v>
      </c>
      <c r="AH266" s="76">
        <f>AH92*INDEX('DEFAULT DATA'!$DI$9:$DI$41,START!$C$3,1)*TRANSPORT!AH256</f>
        <v>0</v>
      </c>
      <c r="AI266" s="76">
        <f>AI92*INDEX('DEFAULT DATA'!$DI$9:$DI$41,START!$C$3,1)*TRANSPORT!AI256</f>
        <v>0</v>
      </c>
      <c r="AJ266" s="76">
        <f>AJ92*INDEX('DEFAULT DATA'!$DI$9:$DI$41,START!$C$3,1)*TRANSPORT!AJ256</f>
        <v>0</v>
      </c>
      <c r="AK266" s="76">
        <f>AK92*INDEX('DEFAULT DATA'!$DI$9:$DI$41,START!$C$3,1)*TRANSPORT!AK256</f>
        <v>0</v>
      </c>
      <c r="AL266" s="76">
        <f>AL92*INDEX('DEFAULT DATA'!$DI$9:$DI$41,START!$C$3,1)*TRANSPORT!AL256</f>
        <v>0</v>
      </c>
      <c r="AM266" s="76">
        <f>AM92*INDEX('DEFAULT DATA'!$DI$9:$DI$41,START!$C$3,1)*TRANSPORT!AM256</f>
        <v>0</v>
      </c>
      <c r="AN266" s="76">
        <f>AN92*INDEX('DEFAULT DATA'!$DI$9:$DI$41,START!$C$3,1)*TRANSPORT!AN256</f>
        <v>0</v>
      </c>
      <c r="AO266" s="76">
        <f>AO92*INDEX('DEFAULT DATA'!$DI$9:$DI$41,START!$C$3,1)*TRANSPORT!AO256</f>
        <v>0</v>
      </c>
      <c r="AP266" s="76">
        <f>AP92*INDEX('DEFAULT DATA'!$DI$9:$DI$41,START!$C$3,1)*TRANSPORT!AP256</f>
        <v>0</v>
      </c>
      <c r="AQ266" s="76">
        <f>AQ92*INDEX('DEFAULT DATA'!$DI$9:$DI$41,START!$C$3,1)*TRANSPORT!AQ256</f>
        <v>0</v>
      </c>
      <c r="AR266" s="76">
        <f>AR92*INDEX('DEFAULT DATA'!$DI$9:$DI$41,START!$C$3,1)*TRANSPORT!AR256</f>
        <v>0</v>
      </c>
      <c r="AS266" s="76">
        <f>AS92*INDEX('DEFAULT DATA'!$DI$9:$DI$41,START!$C$3,1)*TRANSPORT!AS256</f>
        <v>0</v>
      </c>
      <c r="AT266" s="76">
        <f>AT92*INDEX('DEFAULT DATA'!$DI$9:$DI$41,START!$C$3,1)*TRANSPORT!AT256</f>
        <v>0</v>
      </c>
      <c r="AU266" s="76">
        <f>AU92*INDEX('DEFAULT DATA'!$DI$9:$DI$41,START!$C$3,1)*TRANSPORT!AU256</f>
        <v>0</v>
      </c>
      <c r="AV266" s="76">
        <f>AV92*INDEX('DEFAULT DATA'!$DI$9:$DI$41,START!$C$3,1)*TRANSPORT!AV256</f>
        <v>0</v>
      </c>
      <c r="AW266" s="76">
        <f>AW92*INDEX('DEFAULT DATA'!$DI$9:$DI$41,START!$C$3,1)*TRANSPORT!AW256</f>
        <v>0</v>
      </c>
      <c r="AX266" s="76">
        <f>AX92*INDEX('DEFAULT DATA'!$DI$9:$DI$41,START!$C$3,1)*TRANSPORT!AX256</f>
        <v>0</v>
      </c>
      <c r="AY266" s="76">
        <f>AY92*INDEX('DEFAULT DATA'!$DI$9:$DI$41,START!$C$3,1)*TRANSPORT!AY256</f>
        <v>0</v>
      </c>
      <c r="AZ266" s="76">
        <f>AZ92*INDEX('DEFAULT DATA'!$DI$9:$DI$41,START!$C$3,1)*TRANSPORT!AZ256</f>
        <v>0</v>
      </c>
      <c r="BA266" s="795">
        <f>BA92*INDEX('DEFAULT DATA'!$DI$9:$DI$41,START!$C$3,1)*TRANSPORT!BA256</f>
        <v>0</v>
      </c>
    </row>
    <row r="267" spans="2:56" ht="20.100000000000001" customHeight="1">
      <c r="B267" s="29"/>
      <c r="C267" s="1078"/>
      <c r="D267" s="1078"/>
      <c r="E267" s="1078"/>
      <c r="F267" s="29"/>
      <c r="G267" s="29"/>
      <c r="H267" s="29"/>
      <c r="I267" s="29"/>
      <c r="J267" s="1078"/>
      <c r="K267" s="1078"/>
      <c r="L267" s="29"/>
      <c r="M267" s="29"/>
      <c r="N267" s="1078"/>
      <c r="O267" s="1078"/>
      <c r="P267" s="1078"/>
      <c r="Q267" s="1078"/>
      <c r="R267" s="29"/>
      <c r="S267" s="802" t="s">
        <v>39</v>
      </c>
      <c r="T267" s="788" t="s">
        <v>3073</v>
      </c>
      <c r="U267" s="1406" t="s">
        <v>3137</v>
      </c>
      <c r="V267" s="1407"/>
      <c r="W267" s="1407"/>
      <c r="X267" s="1408"/>
      <c r="Y267" s="76">
        <f>Y102*INDEX('DEFAULT DATA'!$EC$9:$EC$41,START!$C$3,1)*TRANSPORT!Y257</f>
        <v>0</v>
      </c>
      <c r="Z267" s="76">
        <f>Z102*INDEX('DEFAULT DATA'!$EC$9:$EC$41,START!$C$3,1)*TRANSPORT!Z257</f>
        <v>334.60219383319458</v>
      </c>
      <c r="AA267" s="76">
        <f>AA102*INDEX('DEFAULT DATA'!$EC$9:$EC$41,START!$C$3,1)*TRANSPORT!AA257</f>
        <v>338.2828179653597</v>
      </c>
      <c r="AB267" s="76">
        <f>AB102*INDEX('DEFAULT DATA'!$EC$9:$EC$41,START!$C$3,1)*TRANSPORT!AB257</f>
        <v>342.00392896297859</v>
      </c>
      <c r="AC267" s="76">
        <f>AC102*INDEX('DEFAULT DATA'!$EC$9:$EC$41,START!$C$3,1)*TRANSPORT!AC257</f>
        <v>345.76597218157133</v>
      </c>
      <c r="AD267" s="76">
        <f>AD102*INDEX('DEFAULT DATA'!$EC$9:$EC$41,START!$C$3,1)*TRANSPORT!AD257</f>
        <v>349.56939787556854</v>
      </c>
      <c r="AE267" s="76">
        <f>AE102*INDEX('DEFAULT DATA'!$EC$9:$EC$41,START!$C$3,1)*TRANSPORT!AE257</f>
        <v>353.41466125219978</v>
      </c>
      <c r="AF267" s="76">
        <f>AF102*INDEX('DEFAULT DATA'!$EC$9:$EC$41,START!$C$3,1)*TRANSPORT!AF257</f>
        <v>357.302222525974</v>
      </c>
      <c r="AG267" s="76">
        <f>AG102*INDEX('DEFAULT DATA'!$EC$9:$EC$41,START!$C$3,1)*TRANSPORT!AG257</f>
        <v>361.23254697375967</v>
      </c>
      <c r="AH267" s="76">
        <f>AH102*INDEX('DEFAULT DATA'!$EC$9:$EC$41,START!$C$3,1)*TRANSPORT!AH257</f>
        <v>364.48363989652353</v>
      </c>
      <c r="AI267" s="76">
        <f>AI102*INDEX('DEFAULT DATA'!$EC$9:$EC$41,START!$C$3,1)*TRANSPORT!AI257</f>
        <v>367.76399265559223</v>
      </c>
      <c r="AJ267" s="76">
        <f>AJ102*INDEX('DEFAULT DATA'!$EC$9:$EC$41,START!$C$3,1)*TRANSPORT!AJ257</f>
        <v>371.07386858949258</v>
      </c>
      <c r="AK267" s="76">
        <f>AK102*INDEX('DEFAULT DATA'!$EC$9:$EC$41,START!$C$3,1)*TRANSPORT!AK257</f>
        <v>374.41353340679797</v>
      </c>
      <c r="AL267" s="76">
        <f>AL102*INDEX('DEFAULT DATA'!$EC$9:$EC$41,START!$C$3,1)*TRANSPORT!AL257</f>
        <v>377.78325520745915</v>
      </c>
      <c r="AM267" s="76">
        <f>AM102*INDEX('DEFAULT DATA'!$EC$9:$EC$41,START!$C$3,1)*TRANSPORT!AM257</f>
        <v>381.18330450432632</v>
      </c>
      <c r="AN267" s="76">
        <f>AN102*INDEX('DEFAULT DATA'!$EC$9:$EC$41,START!$C$3,1)*TRANSPORT!AN257</f>
        <v>384.61395424486528</v>
      </c>
      <c r="AO267" s="76">
        <f>AO102*INDEX('DEFAULT DATA'!$EC$9:$EC$41,START!$C$3,1)*TRANSPORT!AO257</f>
        <v>388.0754798330691</v>
      </c>
      <c r="AP267" s="76">
        <f>AP102*INDEX('DEFAULT DATA'!$EC$9:$EC$41,START!$C$3,1)*TRANSPORT!AP257</f>
        <v>391.56815915156682</v>
      </c>
      <c r="AQ267" s="76">
        <f>AQ102*INDEX('DEFAULT DATA'!$EC$9:$EC$41,START!$C$3,1)*TRANSPORT!AQ257</f>
        <v>395.09227258393099</v>
      </c>
      <c r="AR267" s="76">
        <f>AR102*INDEX('DEFAULT DATA'!$EC$9:$EC$41,START!$C$3,1)*TRANSPORT!AR257</f>
        <v>398.64810303718633</v>
      </c>
      <c r="AS267" s="76">
        <f>AS102*INDEX('DEFAULT DATA'!$EC$9:$EC$41,START!$C$3,1)*TRANSPORT!AS257</f>
        <v>402.23593596452105</v>
      </c>
      <c r="AT267" s="76">
        <f>AT102*INDEX('DEFAULT DATA'!$EC$9:$EC$41,START!$C$3,1)*TRANSPORT!AT257</f>
        <v>405.8560593882018</v>
      </c>
      <c r="AU267" s="76">
        <f>AU102*INDEX('DEFAULT DATA'!$EC$9:$EC$41,START!$C$3,1)*TRANSPORT!AU257</f>
        <v>409.50876392269566</v>
      </c>
      <c r="AV267" s="76">
        <f>AV102*INDEX('DEFAULT DATA'!$EC$9:$EC$41,START!$C$3,1)*TRANSPORT!AV257</f>
        <v>413.19434279799998</v>
      </c>
      <c r="AW267" s="76">
        <f>AW102*INDEX('DEFAULT DATA'!$EC$9:$EC$41,START!$C$3,1)*TRANSPORT!AW257</f>
        <v>416.91309188318201</v>
      </c>
      <c r="AX267" s="76">
        <f>AX102*INDEX('DEFAULT DATA'!$EC$9:$EC$41,START!$C$3,1)*TRANSPORT!AX257</f>
        <v>420.66530971013071</v>
      </c>
      <c r="AY267" s="76">
        <f>AY102*INDEX('DEFAULT DATA'!$EC$9:$EC$41,START!$C$3,1)*TRANSPORT!AY257</f>
        <v>424.45129749752192</v>
      </c>
      <c r="AZ267" s="76">
        <f>AZ102*INDEX('DEFAULT DATA'!$EC$9:$EC$41,START!$C$3,1)*TRANSPORT!AZ257</f>
        <v>428.27135917499965</v>
      </c>
      <c r="BA267" s="795">
        <f>BA102*INDEX('DEFAULT DATA'!$EC$9:$EC$41,START!$C$3,1)*TRANSPORT!BA257</f>
        <v>432.12580140757461</v>
      </c>
    </row>
    <row r="268" spans="2:56" ht="20.100000000000001" customHeight="1">
      <c r="B268" s="29"/>
      <c r="C268" s="1078"/>
      <c r="D268" s="1078"/>
      <c r="E268" s="1078"/>
      <c r="F268" s="29"/>
      <c r="G268" s="29"/>
      <c r="H268" s="29"/>
      <c r="I268" s="29"/>
      <c r="J268" s="1078"/>
      <c r="K268" s="1078"/>
      <c r="L268" s="29"/>
      <c r="M268" s="29"/>
      <c r="N268" s="1078"/>
      <c r="O268" s="1078"/>
      <c r="P268" s="1078"/>
      <c r="Q268" s="1078"/>
      <c r="R268" s="29"/>
      <c r="S268" s="802" t="s">
        <v>77</v>
      </c>
      <c r="T268" s="788" t="s">
        <v>3074</v>
      </c>
      <c r="U268" s="1406" t="s">
        <v>3137</v>
      </c>
      <c r="V268" s="1407"/>
      <c r="W268" s="1407"/>
      <c r="X268" s="1408"/>
      <c r="Y268" s="76">
        <f>Y112*INDEX('DEFAULT DATA'!$IU$9:$IU$41,START!$C$3,1)*TRANSPORT!Y258</f>
        <v>0</v>
      </c>
      <c r="Z268" s="76">
        <f>Z112*INDEX('DEFAULT DATA'!$IU$9:$IU$41,START!$C$3,1)*TRANSPORT!Z258</f>
        <v>1570.5724135552232</v>
      </c>
      <c r="AA268" s="76">
        <f>AA112*INDEX('DEFAULT DATA'!$IU$9:$IU$41,START!$C$3,1)*TRANSPORT!AA258</f>
        <v>1587.8487101043306</v>
      </c>
      <c r="AB268" s="76">
        <f>AB112*INDEX('DEFAULT DATA'!$IU$9:$IU$41,START!$C$3,1)*TRANSPORT!AB258</f>
        <v>1605.3150459154783</v>
      </c>
      <c r="AC268" s="76">
        <f>AC112*INDEX('DEFAULT DATA'!$IU$9:$IU$41,START!$C$3,1)*TRANSPORT!AC258</f>
        <v>1622.9735114205487</v>
      </c>
      <c r="AD268" s="76">
        <f>AD112*INDEX('DEFAULT DATA'!$IU$9:$IU$41,START!$C$3,1)*TRANSPORT!AD258</f>
        <v>1640.8262200461745</v>
      </c>
      <c r="AE268" s="76">
        <f>AE112*INDEX('DEFAULT DATA'!$IU$9:$IU$41,START!$C$3,1)*TRANSPORT!AE258</f>
        <v>1658.8753084666823</v>
      </c>
      <c r="AF268" s="76">
        <f>AF112*INDEX('DEFAULT DATA'!$IU$9:$IU$41,START!$C$3,1)*TRANSPORT!AF258</f>
        <v>1677.1229368598156</v>
      </c>
      <c r="AG268" s="76">
        <f>AG112*INDEX('DEFAULT DATA'!$IU$9:$IU$41,START!$C$3,1)*TRANSPORT!AG258</f>
        <v>1538.574182539902</v>
      </c>
      <c r="AH268" s="76">
        <f>AH112*INDEX('DEFAULT DATA'!$IU$9:$IU$41,START!$C$3,1)*TRANSPORT!AH258</f>
        <v>1433.7542732984134</v>
      </c>
      <c r="AI268" s="76">
        <f>AI112*INDEX('DEFAULT DATA'!$IU$9:$IU$41,START!$C$3,1)*TRANSPORT!AI258</f>
        <v>1353.6158743317044</v>
      </c>
      <c r="AJ268" s="76">
        <f>AJ112*INDEX('DEFAULT DATA'!$IU$9:$IU$41,START!$C$3,1)*TRANSPORT!AJ258</f>
        <v>1290.7497962200578</v>
      </c>
      <c r="AK268" s="76">
        <f>AK112*INDEX('DEFAULT DATA'!$IU$9:$IU$41,START!$C$3,1)*TRANSPORT!AK258</f>
        <v>1240.4480105645343</v>
      </c>
      <c r="AL268" s="76">
        <f>AL112*INDEX('DEFAULT DATA'!$IU$9:$IU$41,START!$C$3,1)*TRANSPORT!AL258</f>
        <v>1199.5741666874806</v>
      </c>
      <c r="AM268" s="76">
        <f>AM112*INDEX('DEFAULT DATA'!$IU$9:$IU$41,START!$C$3,1)*TRANSPORT!AM258</f>
        <v>1210.3692155566687</v>
      </c>
      <c r="AN268" s="76">
        <f>AN112*INDEX('DEFAULT DATA'!$IU$9:$IU$41,START!$C$3,1)*TRANSPORT!AN258</f>
        <v>1221.2613862798084</v>
      </c>
      <c r="AO268" s="76">
        <f>AO112*INDEX('DEFAULT DATA'!$IU$9:$IU$41,START!$C$3,1)*TRANSPORT!AO258</f>
        <v>1232.2515525985618</v>
      </c>
      <c r="AP268" s="76">
        <f>AP112*INDEX('DEFAULT DATA'!$IU$9:$IU$41,START!$C$3,1)*TRANSPORT!AP258</f>
        <v>1243.3420850412438</v>
      </c>
      <c r="AQ268" s="76">
        <f>AQ112*INDEX('DEFAULT DATA'!$IU$9:$IU$41,START!$C$3,1)*TRANSPORT!AQ258</f>
        <v>1254.5324050152192</v>
      </c>
      <c r="AR268" s="76">
        <f>AR112*INDEX('DEFAULT DATA'!$IU$9:$IU$41,START!$C$3,1)*TRANSPORT!AR258</f>
        <v>1265.8219292596011</v>
      </c>
      <c r="AS268" s="76">
        <f>AS112*INDEX('DEFAULT DATA'!$IU$9:$IU$41,START!$C$3,1)*TRANSPORT!AS258</f>
        <v>1277.2130239179639</v>
      </c>
      <c r="AT268" s="76">
        <f>AT112*INDEX('DEFAULT DATA'!$IU$9:$IU$41,START!$C$3,1)*TRANSPORT!AT258</f>
        <v>1288.706602754444</v>
      </c>
      <c r="AU268" s="76">
        <f>AU112*INDEX('DEFAULT DATA'!$IU$9:$IU$41,START!$C$3,1)*TRANSPORT!AU258</f>
        <v>1300.305129421107</v>
      </c>
      <c r="AV268" s="76">
        <f>AV112*INDEX('DEFAULT DATA'!$IU$9:$IU$41,START!$C$3,1)*TRANSPORT!AV258</f>
        <v>1312.0080140675591</v>
      </c>
      <c r="AW268" s="76">
        <f>AW112*INDEX('DEFAULT DATA'!$IU$9:$IU$41,START!$C$3,1)*TRANSPORT!AW258</f>
        <v>1323.8146620731702</v>
      </c>
      <c r="AX268" s="76">
        <f>AX112*INDEX('DEFAULT DATA'!$IU$9:$IU$41,START!$C$3,1)*TRANSPORT!AX258</f>
        <v>1335.7275328164458</v>
      </c>
      <c r="AY268" s="76">
        <f>AY112*INDEX('DEFAULT DATA'!$IU$9:$IU$41,START!$C$3,1)*TRANSPORT!AY258</f>
        <v>1347.7475819172839</v>
      </c>
      <c r="AZ268" s="76">
        <f>AZ112*INDEX('DEFAULT DATA'!$IU$9:$IU$41,START!$C$3,1)*TRANSPORT!AZ258</f>
        <v>1359.8757735931144</v>
      </c>
      <c r="BA268" s="795">
        <f>BA112*INDEX('DEFAULT DATA'!$IU$9:$IU$41,START!$C$3,1)*TRANSPORT!BA258</f>
        <v>1372.1146881617374</v>
      </c>
    </row>
    <row r="269" spans="2:56" ht="20.100000000000001" customHeight="1" thickBot="1">
      <c r="B269" s="29"/>
      <c r="C269" s="1078"/>
      <c r="D269" s="1078"/>
      <c r="E269" s="1078"/>
      <c r="F269" s="29"/>
      <c r="G269" s="29"/>
      <c r="H269" s="29"/>
      <c r="I269" s="29"/>
      <c r="J269" s="1078"/>
      <c r="K269" s="1078"/>
      <c r="L269" s="29"/>
      <c r="M269" s="29"/>
      <c r="N269" s="1078"/>
      <c r="O269" s="1078"/>
      <c r="P269" s="1078"/>
      <c r="Q269" s="1078"/>
      <c r="R269" s="29"/>
      <c r="S269" s="803" t="s">
        <v>37</v>
      </c>
      <c r="T269" s="832" t="s">
        <v>3075</v>
      </c>
      <c r="U269" s="1409" t="s">
        <v>3137</v>
      </c>
      <c r="V269" s="1410"/>
      <c r="W269" s="1410"/>
      <c r="X269" s="1411"/>
      <c r="Y269" s="779">
        <f>Y52*INDEX('DEFAULT DATA'!$AY$9:$AY$41,START!$C$3,1)*TRANSPORT!Y255</f>
        <v>0</v>
      </c>
      <c r="Z269" s="779">
        <f>Z52*INDEX('DEFAULT DATA'!$AY$9:$AY$41,START!$C$3,1)*TRANSPORT!Z255</f>
        <v>4955.3418901195537</v>
      </c>
      <c r="AA269" s="779">
        <f>AA52*INDEX('DEFAULT DATA'!$AY$9:$AY$41,START!$C$3,1)*TRANSPORT!AA255</f>
        <v>4975.1632576800321</v>
      </c>
      <c r="AB269" s="779">
        <f>AB52*INDEX('DEFAULT DATA'!$AY$9:$AY$41,START!$C$3,1)*TRANSPORT!AB255</f>
        <v>4995.0639107107527</v>
      </c>
      <c r="AC269" s="779">
        <f>AC52*INDEX('DEFAULT DATA'!$AY$9:$AY$41,START!$C$3,1)*TRANSPORT!AC255</f>
        <v>5015.0441663535958</v>
      </c>
      <c r="AD269" s="779">
        <f>AD52*INDEX('DEFAULT DATA'!$AY$9:$AY$41,START!$C$3,1)*TRANSPORT!AD255</f>
        <v>5035.1043430190102</v>
      </c>
      <c r="AE269" s="779">
        <f>AE52*INDEX('DEFAULT DATA'!$AY$9:$AY$41,START!$C$3,1)*TRANSPORT!AE255</f>
        <v>5055.2447603910859</v>
      </c>
      <c r="AF269" s="779">
        <f>AF52*INDEX('DEFAULT DATA'!$AY$9:$AY$41,START!$C$3,1)*TRANSPORT!AF255</f>
        <v>5075.4657394326505</v>
      </c>
      <c r="AG269" s="779">
        <f>AG52*INDEX('DEFAULT DATA'!$AY$9:$AY$41,START!$C$3,1)*TRANSPORT!AG255</f>
        <v>7352.6057436915216</v>
      </c>
      <c r="AH269" s="779">
        <f>AH52*INDEX('DEFAULT DATA'!$AY$9:$AY$41,START!$C$3,1)*TRANSPORT!AH255</f>
        <v>9061.3193731329611</v>
      </c>
      <c r="AI269" s="779">
        <f>AI52*INDEX('DEFAULT DATA'!$AY$9:$AY$41,START!$C$3,1)*TRANSPORT!AI255</f>
        <v>10398.43287456106</v>
      </c>
      <c r="AJ269" s="779">
        <f>AJ52*INDEX('DEFAULT DATA'!$AY$9:$AY$41,START!$C$3,1)*TRANSPORT!AJ255</f>
        <v>11475.758069859818</v>
      </c>
      <c r="AK269" s="779">
        <f>AK52*INDEX('DEFAULT DATA'!$AY$9:$AY$41,START!$C$3,1)*TRANSPORT!AK255</f>
        <v>12364.346263630659</v>
      </c>
      <c r="AL269" s="779">
        <f>AL52*INDEX('DEFAULT DATA'!$AY$9:$AY$41,START!$C$3,1)*TRANSPORT!AL255</f>
        <v>13111.530457383205</v>
      </c>
      <c r="AM269" s="779">
        <f>AM52*INDEX('DEFAULT DATA'!$AY$9:$AY$41,START!$C$3,1)*TRANSPORT!AM255</f>
        <v>13137.76894080392</v>
      </c>
      <c r="AN269" s="779">
        <f>AN52*INDEX('DEFAULT DATA'!$AY$9:$AY$41,START!$C$3,1)*TRANSPORT!AN255</f>
        <v>13164.060254031072</v>
      </c>
      <c r="AO269" s="779">
        <f>AO52*INDEX('DEFAULT DATA'!$AY$9:$AY$41,START!$C$3,1)*TRANSPORT!AO255</f>
        <v>13190.404501913339</v>
      </c>
      <c r="AP269" s="779">
        <f>AP52*INDEX('DEFAULT DATA'!$AY$9:$AY$41,START!$C$3,1)*TRANSPORT!AP255</f>
        <v>13216.7816860476</v>
      </c>
      <c r="AQ269" s="779">
        <f>AQ52*INDEX('DEFAULT DATA'!$AY$9:$AY$41,START!$C$3,1)*TRANSPORT!AQ255</f>
        <v>13243.212015217909</v>
      </c>
      <c r="AR269" s="779">
        <f>AR52*INDEX('DEFAULT DATA'!$AY$9:$AY$41,START!$C$3,1)*TRANSPORT!AR255</f>
        <v>13269.715315066389</v>
      </c>
      <c r="AS269" s="779">
        <f>AS52*INDEX('DEFAULT DATA'!$AY$9:$AY$41,START!$C$3,1)*TRANSPORT!AS255</f>
        <v>13296.271971262451</v>
      </c>
      <c r="AT269" s="779">
        <f>AT52*INDEX('DEFAULT DATA'!$AY$9:$AY$41,START!$C$3,1)*TRANSPORT!AT255</f>
        <v>13322.882089706905</v>
      </c>
      <c r="AU269" s="779">
        <f>AU52*INDEX('DEFAULT DATA'!$AY$9:$AY$41,START!$C$3,1)*TRANSPORT!AU255</f>
        <v>13349.525673037499</v>
      </c>
      <c r="AV269" s="779">
        <f>AV52*INDEX('DEFAULT DATA'!$AY$9:$AY$41,START!$C$3,1)*TRANSPORT!AV255</f>
        <v>13376.222931098388</v>
      </c>
      <c r="AW269" s="779">
        <f>AW52*INDEX('DEFAULT DATA'!$AY$9:$AY$41,START!$C$3,1)*TRANSPORT!AW255</f>
        <v>13402.993690847943</v>
      </c>
      <c r="AX269" s="779">
        <f>AX52*INDEX('DEFAULT DATA'!$AY$9:$AY$41,START!$C$3,1)*TRANSPORT!AX255</f>
        <v>13429.818338779636</v>
      </c>
      <c r="AY269" s="779">
        <f>AY52*INDEX('DEFAULT DATA'!$AY$9:$AY$41,START!$C$3,1)*TRANSPORT!AY255</f>
        <v>13456.696981857669</v>
      </c>
      <c r="AZ269" s="779">
        <f>AZ52*INDEX('DEFAULT DATA'!$AY$9:$AY$41,START!$C$3,1)*TRANSPORT!AZ255</f>
        <v>13483.629727259309</v>
      </c>
      <c r="BA269" s="797">
        <f>BA52*INDEX('DEFAULT DATA'!$AY$9:$AY$41,START!$C$3,1)*TRANSPORT!BA255</f>
        <v>13510.596578919494</v>
      </c>
    </row>
    <row r="270" spans="2:56" ht="20.100000000000001" customHeight="1" thickBot="1">
      <c r="B270" s="29"/>
      <c r="C270" s="1078"/>
      <c r="D270" s="1078"/>
      <c r="E270" s="1078"/>
      <c r="F270" s="29"/>
      <c r="G270" s="29"/>
      <c r="H270" s="29"/>
      <c r="I270" s="29"/>
      <c r="J270" s="1078"/>
      <c r="K270" s="1078"/>
      <c r="L270" s="29"/>
      <c r="M270" s="29"/>
      <c r="N270" s="1078"/>
      <c r="O270" s="1078"/>
      <c r="P270" s="1078"/>
      <c r="Q270" s="1078"/>
      <c r="R270" s="29"/>
      <c r="S270" s="1263" t="s">
        <v>176</v>
      </c>
      <c r="T270" s="1259" t="s">
        <v>178</v>
      </c>
      <c r="U270" s="1259"/>
      <c r="V270" s="1259"/>
      <c r="W270" s="1259"/>
      <c r="X270" s="1260"/>
      <c r="Y270" s="1261">
        <f t="shared" ref="Y270" si="472">SUM(Y265:Y269)</f>
        <v>0</v>
      </c>
      <c r="Z270" s="1261">
        <f t="shared" ref="Z270:BA270" si="473">SUM(Z265:Z269)</f>
        <v>9612.0386552899181</v>
      </c>
      <c r="AA270" s="1261">
        <f t="shared" si="473"/>
        <v>9661.0715100050147</v>
      </c>
      <c r="AB270" s="1261">
        <f t="shared" si="473"/>
        <v>9710.4389400172677</v>
      </c>
      <c r="AC270" s="1261">
        <f t="shared" si="473"/>
        <v>9760.143872547058</v>
      </c>
      <c r="AD270" s="1261">
        <f t="shared" si="473"/>
        <v>9810.1892641998711</v>
      </c>
      <c r="AE270" s="1261">
        <f t="shared" si="473"/>
        <v>9860.5781012788611</v>
      </c>
      <c r="AF270" s="1261">
        <f t="shared" si="473"/>
        <v>9911.3134001008402</v>
      </c>
      <c r="AG270" s="1261">
        <f t="shared" si="473"/>
        <v>11817.999185445497</v>
      </c>
      <c r="AH270" s="1261">
        <f t="shared" si="473"/>
        <v>13249.328426524276</v>
      </c>
      <c r="AI270" s="1261">
        <f t="shared" si="473"/>
        <v>14373.724001968174</v>
      </c>
      <c r="AJ270" s="1261">
        <f t="shared" si="473"/>
        <v>15283.572200269084</v>
      </c>
      <c r="AK270" s="1261">
        <f t="shared" si="473"/>
        <v>16037.580576128441</v>
      </c>
      <c r="AL270" s="1261">
        <f t="shared" si="473"/>
        <v>16674.859092697883</v>
      </c>
      <c r="AM270" s="1261">
        <f t="shared" si="473"/>
        <v>16721.2489088476</v>
      </c>
      <c r="AN270" s="1261">
        <f t="shared" si="473"/>
        <v>16767.837105676685</v>
      </c>
      <c r="AO270" s="1261">
        <f t="shared" si="473"/>
        <v>16814.624990675245</v>
      </c>
      <c r="AP270" s="1261">
        <f t="shared" si="473"/>
        <v>16861.597462768819</v>
      </c>
      <c r="AQ270" s="1261">
        <f t="shared" si="473"/>
        <v>16908.772295464452</v>
      </c>
      <c r="AR270" s="1261">
        <f t="shared" si="473"/>
        <v>16956.166910329874</v>
      </c>
      <c r="AS270" s="1261">
        <f t="shared" si="473"/>
        <v>17003.766552162804</v>
      </c>
      <c r="AT270" s="1261">
        <f t="shared" si="473"/>
        <v>17051.572582954355</v>
      </c>
      <c r="AU270" s="1261">
        <f t="shared" si="473"/>
        <v>17099.570020314855</v>
      </c>
      <c r="AV270" s="1261">
        <f t="shared" si="473"/>
        <v>17147.776630258297</v>
      </c>
      <c r="AW270" s="1261">
        <f t="shared" si="473"/>
        <v>17196.209827269584</v>
      </c>
      <c r="AX270" s="1261">
        <f t="shared" si="473"/>
        <v>17244.854974894894</v>
      </c>
      <c r="AY270" s="1261">
        <f t="shared" si="473"/>
        <v>17293.713492061179</v>
      </c>
      <c r="AZ270" s="1261">
        <f t="shared" si="473"/>
        <v>17342.786809382578</v>
      </c>
      <c r="BA270" s="1262">
        <f t="shared" si="473"/>
        <v>17392.060092713727</v>
      </c>
    </row>
    <row r="271" spans="2:56" ht="20.100000000000001" customHeight="1">
      <c r="B271" s="29"/>
      <c r="C271" s="1078"/>
      <c r="D271" s="1078"/>
      <c r="E271" s="1078"/>
      <c r="F271" s="29"/>
      <c r="G271" s="29"/>
      <c r="H271" s="29"/>
      <c r="I271" s="29"/>
      <c r="J271" s="1078"/>
      <c r="K271" s="1078"/>
      <c r="L271" s="29"/>
      <c r="M271" s="29"/>
      <c r="N271" s="1078"/>
      <c r="O271" s="1078"/>
      <c r="P271" s="1078"/>
      <c r="Q271" s="1078"/>
      <c r="R271" s="29"/>
      <c r="S271" s="804" t="s">
        <v>3135</v>
      </c>
      <c r="T271" s="367"/>
      <c r="U271" s="367"/>
      <c r="V271" s="367"/>
      <c r="W271" s="367"/>
      <c r="X271" s="798">
        <f t="shared" ref="X271:BA271" si="474">X264</f>
        <v>2021</v>
      </c>
      <c r="Y271" s="798">
        <f t="shared" si="474"/>
        <v>2022</v>
      </c>
      <c r="Z271" s="798">
        <f t="shared" si="474"/>
        <v>2023</v>
      </c>
      <c r="AA271" s="798">
        <f t="shared" si="474"/>
        <v>2024</v>
      </c>
      <c r="AB271" s="798">
        <f t="shared" si="474"/>
        <v>2025</v>
      </c>
      <c r="AC271" s="798">
        <f t="shared" si="474"/>
        <v>2026</v>
      </c>
      <c r="AD271" s="798">
        <f t="shared" si="474"/>
        <v>2027</v>
      </c>
      <c r="AE271" s="798">
        <f t="shared" si="474"/>
        <v>2028</v>
      </c>
      <c r="AF271" s="798">
        <f t="shared" si="474"/>
        <v>2029</v>
      </c>
      <c r="AG271" s="798">
        <f t="shared" si="474"/>
        <v>2030</v>
      </c>
      <c r="AH271" s="798">
        <f t="shared" si="474"/>
        <v>2031</v>
      </c>
      <c r="AI271" s="798">
        <f t="shared" si="474"/>
        <v>2032</v>
      </c>
      <c r="AJ271" s="798">
        <f t="shared" si="474"/>
        <v>2033</v>
      </c>
      <c r="AK271" s="798">
        <f t="shared" si="474"/>
        <v>2034</v>
      </c>
      <c r="AL271" s="798">
        <f t="shared" si="474"/>
        <v>2035</v>
      </c>
      <c r="AM271" s="798">
        <f t="shared" si="474"/>
        <v>2036</v>
      </c>
      <c r="AN271" s="798">
        <f t="shared" si="474"/>
        <v>2037</v>
      </c>
      <c r="AO271" s="798">
        <f t="shared" si="474"/>
        <v>2038</v>
      </c>
      <c r="AP271" s="798">
        <f t="shared" si="474"/>
        <v>2039</v>
      </c>
      <c r="AQ271" s="798">
        <f t="shared" si="474"/>
        <v>2040</v>
      </c>
      <c r="AR271" s="798">
        <f t="shared" si="474"/>
        <v>2041</v>
      </c>
      <c r="AS271" s="798">
        <f t="shared" si="474"/>
        <v>2042</v>
      </c>
      <c r="AT271" s="798">
        <f t="shared" si="474"/>
        <v>2043</v>
      </c>
      <c r="AU271" s="798">
        <f t="shared" si="474"/>
        <v>2044</v>
      </c>
      <c r="AV271" s="798">
        <f t="shared" si="474"/>
        <v>2045</v>
      </c>
      <c r="AW271" s="798">
        <f t="shared" si="474"/>
        <v>2046</v>
      </c>
      <c r="AX271" s="798">
        <f t="shared" si="474"/>
        <v>2047</v>
      </c>
      <c r="AY271" s="798">
        <f t="shared" si="474"/>
        <v>2048</v>
      </c>
      <c r="AZ271" s="798">
        <f t="shared" si="474"/>
        <v>2049</v>
      </c>
      <c r="BA271" s="799">
        <f t="shared" si="474"/>
        <v>2050</v>
      </c>
    </row>
    <row r="272" spans="2:56" ht="20.100000000000001" customHeight="1">
      <c r="B272" s="29"/>
      <c r="C272" s="1078"/>
      <c r="D272" s="1078"/>
      <c r="E272" s="1078"/>
      <c r="F272" s="29"/>
      <c r="G272" s="29"/>
      <c r="H272" s="29"/>
      <c r="I272" s="29"/>
      <c r="J272" s="1078"/>
      <c r="K272" s="1078"/>
      <c r="L272" s="29"/>
      <c r="M272" s="29"/>
      <c r="N272" s="1078"/>
      <c r="O272" s="1078"/>
      <c r="P272" s="1078"/>
      <c r="Q272" s="1078"/>
      <c r="R272" s="29"/>
      <c r="S272" s="802" t="s">
        <v>36</v>
      </c>
      <c r="T272" s="788" t="s">
        <v>3076</v>
      </c>
      <c r="U272" s="1406" t="s">
        <v>3136</v>
      </c>
      <c r="V272" s="1407"/>
      <c r="W272" s="1407"/>
      <c r="X272" s="1408"/>
      <c r="Y272" s="76">
        <f>IF(Y$270=0,0,Y265/Y$270*100)</f>
        <v>0</v>
      </c>
      <c r="Z272" s="76">
        <f t="shared" ref="Z272:BA275" si="475">IF(Z$270=0,0,Z265/Z$270*100)</f>
        <v>28.625791639608796</v>
      </c>
      <c r="AA272" s="76">
        <f t="shared" si="475"/>
        <v>28.565948625856514</v>
      </c>
      <c r="AB272" s="76">
        <f t="shared" si="475"/>
        <v>28.505982803936313</v>
      </c>
      <c r="AC272" s="76">
        <f t="shared" si="475"/>
        <v>28.445894434000891</v>
      </c>
      <c r="AD272" s="76">
        <f t="shared" si="475"/>
        <v>28.385683785135807</v>
      </c>
      <c r="AE272" s="76">
        <f t="shared" si="475"/>
        <v>28.325351135413161</v>
      </c>
      <c r="AF272" s="76">
        <f t="shared" si="475"/>
        <v>28.264896771944446</v>
      </c>
      <c r="AG272" s="76">
        <f t="shared" si="475"/>
        <v>21.709146125174655</v>
      </c>
      <c r="AH272" s="76">
        <f t="shared" si="475"/>
        <v>18.036922802911391</v>
      </c>
      <c r="AI272" s="76">
        <f t="shared" si="475"/>
        <v>15.680774586399412</v>
      </c>
      <c r="AJ272" s="76">
        <f t="shared" si="475"/>
        <v>14.041157639585942</v>
      </c>
      <c r="AK272" s="76">
        <f t="shared" si="475"/>
        <v>12.834683877381659</v>
      </c>
      <c r="AL272" s="76">
        <f t="shared" si="475"/>
        <v>11.909972986155056</v>
      </c>
      <c r="AM272" s="76">
        <f t="shared" si="475"/>
        <v>11.91255186045767</v>
      </c>
      <c r="AN272" s="76">
        <f t="shared" si="475"/>
        <v>11.915081823192073</v>
      </c>
      <c r="AO272" s="76">
        <f t="shared" si="475"/>
        <v>11.917562582820365</v>
      </c>
      <c r="AP272" s="76">
        <f t="shared" si="475"/>
        <v>11.920018473732236</v>
      </c>
      <c r="AQ272" s="76">
        <f t="shared" si="475"/>
        <v>11.922424451763064</v>
      </c>
      <c r="AR272" s="76">
        <f t="shared" si="475"/>
        <v>11.924756188469022</v>
      </c>
      <c r="AS272" s="76">
        <f t="shared" si="475"/>
        <v>11.927037546630563</v>
      </c>
      <c r="AT272" s="76">
        <f t="shared" si="475"/>
        <v>11.929268231472244</v>
      </c>
      <c r="AU272" s="76">
        <f t="shared" si="475"/>
        <v>11.931472262224677</v>
      </c>
      <c r="AV272" s="76">
        <f t="shared" si="475"/>
        <v>11.93362490320429</v>
      </c>
      <c r="AW272" s="76">
        <f t="shared" si="475"/>
        <v>11.935702129026545</v>
      </c>
      <c r="AX272" s="76">
        <f t="shared" si="475"/>
        <v>11.937727493711375</v>
      </c>
      <c r="AY272" s="76">
        <f t="shared" si="475"/>
        <v>11.939700699543662</v>
      </c>
      <c r="AZ272" s="76">
        <f t="shared" si="475"/>
        <v>11.941621448259523</v>
      </c>
      <c r="BA272" s="795">
        <f t="shared" si="475"/>
        <v>11.943513379965587</v>
      </c>
    </row>
    <row r="273" spans="2:62" ht="20.100000000000001" customHeight="1">
      <c r="B273" s="29"/>
      <c r="C273" s="1078"/>
      <c r="D273" s="1078"/>
      <c r="E273" s="1078"/>
      <c r="F273" s="29"/>
      <c r="G273" s="29"/>
      <c r="H273" s="29"/>
      <c r="I273" s="29"/>
      <c r="J273" s="1078"/>
      <c r="K273" s="1078"/>
      <c r="L273" s="29"/>
      <c r="M273" s="29"/>
      <c r="N273" s="1078"/>
      <c r="O273" s="1078"/>
      <c r="P273" s="1078"/>
      <c r="Q273" s="1078"/>
      <c r="R273" s="29"/>
      <c r="S273" s="802" t="s">
        <v>38</v>
      </c>
      <c r="T273" s="788" t="s">
        <v>3076</v>
      </c>
      <c r="U273" s="1406" t="s">
        <v>3136</v>
      </c>
      <c r="V273" s="1407"/>
      <c r="W273" s="1407"/>
      <c r="X273" s="1408"/>
      <c r="Y273" s="76">
        <f t="shared" ref="Y273:AN275" si="476">IF(Y$270=0,0,Y266/Y$270*100)</f>
        <v>0</v>
      </c>
      <c r="Z273" s="76">
        <f t="shared" si="476"/>
        <v>0</v>
      </c>
      <c r="AA273" s="76">
        <f t="shared" si="476"/>
        <v>0</v>
      </c>
      <c r="AB273" s="76">
        <f t="shared" si="476"/>
        <v>0</v>
      </c>
      <c r="AC273" s="76">
        <f t="shared" si="476"/>
        <v>0</v>
      </c>
      <c r="AD273" s="76">
        <f t="shared" si="476"/>
        <v>0</v>
      </c>
      <c r="AE273" s="76">
        <f t="shared" si="476"/>
        <v>0</v>
      </c>
      <c r="AF273" s="76">
        <f t="shared" si="476"/>
        <v>0</v>
      </c>
      <c r="AG273" s="76">
        <f t="shared" si="476"/>
        <v>0</v>
      </c>
      <c r="AH273" s="76">
        <f t="shared" si="476"/>
        <v>0</v>
      </c>
      <c r="AI273" s="76">
        <f t="shared" si="476"/>
        <v>0</v>
      </c>
      <c r="AJ273" s="76">
        <f t="shared" si="476"/>
        <v>0</v>
      </c>
      <c r="AK273" s="76">
        <f t="shared" si="476"/>
        <v>0</v>
      </c>
      <c r="AL273" s="76">
        <f t="shared" si="476"/>
        <v>0</v>
      </c>
      <c r="AM273" s="76">
        <f t="shared" si="476"/>
        <v>0</v>
      </c>
      <c r="AN273" s="76">
        <f t="shared" si="476"/>
        <v>0</v>
      </c>
      <c r="AO273" s="76">
        <f t="shared" si="475"/>
        <v>0</v>
      </c>
      <c r="AP273" s="76">
        <f t="shared" si="475"/>
        <v>0</v>
      </c>
      <c r="AQ273" s="76">
        <f t="shared" si="475"/>
        <v>0</v>
      </c>
      <c r="AR273" s="76">
        <f t="shared" si="475"/>
        <v>0</v>
      </c>
      <c r="AS273" s="76">
        <f t="shared" si="475"/>
        <v>0</v>
      </c>
      <c r="AT273" s="76">
        <f t="shared" si="475"/>
        <v>0</v>
      </c>
      <c r="AU273" s="76">
        <f t="shared" si="475"/>
        <v>0</v>
      </c>
      <c r="AV273" s="76">
        <f t="shared" si="475"/>
        <v>0</v>
      </c>
      <c r="AW273" s="76">
        <f t="shared" si="475"/>
        <v>0</v>
      </c>
      <c r="AX273" s="76">
        <f t="shared" si="475"/>
        <v>0</v>
      </c>
      <c r="AY273" s="76">
        <f t="shared" si="475"/>
        <v>0</v>
      </c>
      <c r="AZ273" s="76">
        <f t="shared" si="475"/>
        <v>0</v>
      </c>
      <c r="BA273" s="795">
        <f t="shared" si="475"/>
        <v>0</v>
      </c>
    </row>
    <row r="274" spans="2:62" ht="20.100000000000001" customHeight="1">
      <c r="B274" s="29"/>
      <c r="C274" s="1078"/>
      <c r="D274" s="1078"/>
      <c r="E274" s="1078"/>
      <c r="F274" s="29"/>
      <c r="G274" s="29"/>
      <c r="H274" s="29"/>
      <c r="I274" s="29"/>
      <c r="J274" s="1078"/>
      <c r="K274" s="1078"/>
      <c r="L274" s="29"/>
      <c r="M274" s="29"/>
      <c r="N274" s="1078"/>
      <c r="O274" s="1078"/>
      <c r="P274" s="1078"/>
      <c r="Q274" s="1078"/>
      <c r="R274" s="29"/>
      <c r="S274" s="802" t="s">
        <v>39</v>
      </c>
      <c r="T274" s="788" t="s">
        <v>3076</v>
      </c>
      <c r="U274" s="1406" t="s">
        <v>3136</v>
      </c>
      <c r="V274" s="1407"/>
      <c r="W274" s="1407"/>
      <c r="X274" s="1408"/>
      <c r="Y274" s="76">
        <f t="shared" si="476"/>
        <v>0</v>
      </c>
      <c r="Z274" s="76">
        <f t="shared" si="475"/>
        <v>3.4810741595285681</v>
      </c>
      <c r="AA274" s="76">
        <f t="shared" si="475"/>
        <v>3.5015041304169388</v>
      </c>
      <c r="AB274" s="76">
        <f t="shared" si="475"/>
        <v>3.5220233717093992</v>
      </c>
      <c r="AC274" s="76">
        <f t="shared" si="475"/>
        <v>3.5426319191270124</v>
      </c>
      <c r="AD274" s="76">
        <f t="shared" si="475"/>
        <v>3.5633298039543968</v>
      </c>
      <c r="AE274" s="76">
        <f t="shared" si="475"/>
        <v>3.584117052998788</v>
      </c>
      <c r="AF274" s="76">
        <f t="shared" si="475"/>
        <v>3.6049936885492766</v>
      </c>
      <c r="AG274" s="76">
        <f t="shared" si="475"/>
        <v>3.0566303255346052</v>
      </c>
      <c r="AH274" s="76">
        <f t="shared" si="475"/>
        <v>2.7509593555462888</v>
      </c>
      <c r="AI274" s="76">
        <f t="shared" si="475"/>
        <v>2.5585853228101141</v>
      </c>
      <c r="AJ274" s="76">
        <f t="shared" si="475"/>
        <v>2.4279262971189381</v>
      </c>
      <c r="AK274" s="76">
        <f t="shared" si="475"/>
        <v>2.3346011053818407</v>
      </c>
      <c r="AL274" s="76">
        <f t="shared" si="475"/>
        <v>2.265585892554228</v>
      </c>
      <c r="AM274" s="76">
        <f t="shared" si="475"/>
        <v>2.2796341743506576</v>
      </c>
      <c r="AN274" s="76">
        <f t="shared" si="475"/>
        <v>2.2937600825967932</v>
      </c>
      <c r="AO274" s="76">
        <f t="shared" si="475"/>
        <v>2.3079639304967019</v>
      </c>
      <c r="AP274" s="76">
        <f t="shared" si="475"/>
        <v>2.3222482924062637</v>
      </c>
      <c r="AQ274" s="76">
        <f t="shared" si="475"/>
        <v>2.3366112316144272</v>
      </c>
      <c r="AR274" s="76">
        <f t="shared" si="475"/>
        <v>2.3510508309181941</v>
      </c>
      <c r="AS274" s="76">
        <f t="shared" si="475"/>
        <v>2.3655696208870758</v>
      </c>
      <c r="AT274" s="76">
        <f t="shared" si="475"/>
        <v>2.3801679136264347</v>
      </c>
      <c r="AU274" s="76">
        <f t="shared" si="475"/>
        <v>2.3948483116019039</v>
      </c>
      <c r="AV274" s="76">
        <f t="shared" si="475"/>
        <v>2.4096088473003161</v>
      </c>
      <c r="AW274" s="76">
        <f t="shared" si="475"/>
        <v>2.4244475734533388</v>
      </c>
      <c r="AX274" s="76">
        <f t="shared" si="475"/>
        <v>2.4393670478675316</v>
      </c>
      <c r="AY274" s="76">
        <f t="shared" si="475"/>
        <v>2.4543675809846723</v>
      </c>
      <c r="AZ274" s="76">
        <f t="shared" si="475"/>
        <v>2.469449482843793</v>
      </c>
      <c r="BA274" s="795">
        <f t="shared" si="475"/>
        <v>2.4846153883093498</v>
      </c>
    </row>
    <row r="275" spans="2:62" ht="20.100000000000001" customHeight="1">
      <c r="B275" s="29"/>
      <c r="C275" s="1078"/>
      <c r="D275" s="1078"/>
      <c r="E275" s="1078"/>
      <c r="F275" s="29"/>
      <c r="G275" s="29"/>
      <c r="H275" s="29"/>
      <c r="I275" s="29"/>
      <c r="J275" s="1078"/>
      <c r="K275" s="1078"/>
      <c r="L275" s="29"/>
      <c r="M275" s="29"/>
      <c r="N275" s="1078"/>
      <c r="O275" s="1078"/>
      <c r="P275" s="1078"/>
      <c r="Q275" s="1078"/>
      <c r="R275" s="29"/>
      <c r="S275" s="802" t="s">
        <v>77</v>
      </c>
      <c r="T275" s="788" t="s">
        <v>3076</v>
      </c>
      <c r="U275" s="1406" t="s">
        <v>3136</v>
      </c>
      <c r="V275" s="1407"/>
      <c r="W275" s="1407"/>
      <c r="X275" s="1408"/>
      <c r="Y275" s="76">
        <f t="shared" si="476"/>
        <v>0</v>
      </c>
      <c r="Z275" s="76">
        <f t="shared" si="475"/>
        <v>16.339638966088319</v>
      </c>
      <c r="AA275" s="76">
        <f t="shared" si="475"/>
        <v>16.435534179205206</v>
      </c>
      <c r="AB275" s="76">
        <f t="shared" si="475"/>
        <v>16.531848414183258</v>
      </c>
      <c r="AC275" s="76">
        <f t="shared" si="475"/>
        <v>16.62858183869178</v>
      </c>
      <c r="AD275" s="76">
        <f t="shared" si="475"/>
        <v>16.725734599576068</v>
      </c>
      <c r="AE275" s="76">
        <f t="shared" si="475"/>
        <v>16.823306822665252</v>
      </c>
      <c r="AF275" s="76">
        <f t="shared" si="475"/>
        <v>16.921298612580973</v>
      </c>
      <c r="AG275" s="76">
        <f t="shared" si="475"/>
        <v>13.018905809663103</v>
      </c>
      <c r="AH275" s="76">
        <f t="shared" si="475"/>
        <v>10.821335445411199</v>
      </c>
      <c r="AI275" s="76">
        <f t="shared" si="475"/>
        <v>9.4172941830965708</v>
      </c>
      <c r="AJ275" s="76">
        <f t="shared" si="475"/>
        <v>8.4453410453174858</v>
      </c>
      <c r="AK275" s="76">
        <f t="shared" si="475"/>
        <v>7.7346330681007576</v>
      </c>
      <c r="AL275" s="76">
        <f t="shared" si="475"/>
        <v>7.1939088661492097</v>
      </c>
      <c r="AM275" s="76">
        <f t="shared" si="475"/>
        <v>7.2385096481413793</v>
      </c>
      <c r="AN275" s="76">
        <f t="shared" si="475"/>
        <v>7.2833566940267769</v>
      </c>
      <c r="AO275" s="76">
        <f t="shared" si="475"/>
        <v>7.328450995974765</v>
      </c>
      <c r="AP275" s="76">
        <f t="shared" si="475"/>
        <v>7.3738095562214685</v>
      </c>
      <c r="AQ275" s="76">
        <f t="shared" si="475"/>
        <v>7.4194174662327823</v>
      </c>
      <c r="AR275" s="76">
        <f t="shared" si="475"/>
        <v>7.4652599019206942</v>
      </c>
      <c r="AS275" s="76">
        <f t="shared" si="475"/>
        <v>7.5113535580474551</v>
      </c>
      <c r="AT275" s="76">
        <f t="shared" si="475"/>
        <v>7.5576994232350314</v>
      </c>
      <c r="AU275" s="76">
        <f t="shared" si="475"/>
        <v>7.60431477444346</v>
      </c>
      <c r="AV275" s="76">
        <f t="shared" si="475"/>
        <v>7.6511844209146096</v>
      </c>
      <c r="AW275" s="76">
        <f t="shared" si="475"/>
        <v>7.6982932597965723</v>
      </c>
      <c r="AX275" s="76">
        <f t="shared" si="475"/>
        <v>7.7456582543663108</v>
      </c>
      <c r="AY275" s="76">
        <f t="shared" si="475"/>
        <v>7.7932803879049954</v>
      </c>
      <c r="AZ275" s="76">
        <f t="shared" si="475"/>
        <v>7.8411606424027047</v>
      </c>
      <c r="BA275" s="795">
        <f t="shared" si="475"/>
        <v>7.889316624064417</v>
      </c>
    </row>
    <row r="276" spans="2:62" ht="20.100000000000001" customHeight="1" thickBot="1">
      <c r="B276" s="29"/>
      <c r="C276" s="1078"/>
      <c r="D276" s="1078"/>
      <c r="E276" s="1078"/>
      <c r="F276" s="29"/>
      <c r="G276" s="29"/>
      <c r="H276" s="29"/>
      <c r="I276" s="29"/>
      <c r="J276" s="1078"/>
      <c r="K276" s="1078"/>
      <c r="L276" s="29"/>
      <c r="M276" s="29"/>
      <c r="N276" s="1078"/>
      <c r="O276" s="1078"/>
      <c r="P276" s="1078"/>
      <c r="Q276" s="1078"/>
      <c r="R276" s="29"/>
      <c r="S276" s="802" t="s">
        <v>37</v>
      </c>
      <c r="T276" s="832" t="s">
        <v>3076</v>
      </c>
      <c r="U276" s="1409" t="s">
        <v>3136</v>
      </c>
      <c r="V276" s="1410"/>
      <c r="W276" s="1410"/>
      <c r="X276" s="1411"/>
      <c r="Y276" s="779">
        <f>IF(Y$270=0,0,Y269/Y$270*100)</f>
        <v>0</v>
      </c>
      <c r="Z276" s="779">
        <f t="shared" ref="Z276:BA276" si="477">IF(Z$270=0,0,Z269/Z$270*100)</f>
        <v>51.553495234774317</v>
      </c>
      <c r="AA276" s="779">
        <f t="shared" si="477"/>
        <v>51.497013064521347</v>
      </c>
      <c r="AB276" s="779">
        <f t="shared" si="477"/>
        <v>51.44014541017102</v>
      </c>
      <c r="AC276" s="779">
        <f t="shared" si="477"/>
        <v>51.382891808180318</v>
      </c>
      <c r="AD276" s="779">
        <f t="shared" si="477"/>
        <v>51.325251811333715</v>
      </c>
      <c r="AE276" s="779">
        <f t="shared" si="477"/>
        <v>51.267224988922798</v>
      </c>
      <c r="AF276" s="779">
        <f t="shared" si="477"/>
        <v>51.208810926925295</v>
      </c>
      <c r="AG276" s="779">
        <f t="shared" si="477"/>
        <v>62.215317739627643</v>
      </c>
      <c r="AH276" s="779">
        <f t="shared" si="477"/>
        <v>68.390782396131129</v>
      </c>
      <c r="AI276" s="779">
        <f t="shared" si="477"/>
        <v>72.343345907693916</v>
      </c>
      <c r="AJ276" s="779">
        <f t="shared" si="477"/>
        <v>75.085575017977632</v>
      </c>
      <c r="AK276" s="779">
        <f t="shared" si="477"/>
        <v>77.096081949135737</v>
      </c>
      <c r="AL276" s="779">
        <f t="shared" si="477"/>
        <v>78.630532255141503</v>
      </c>
      <c r="AM276" s="779">
        <f t="shared" si="477"/>
        <v>78.569304317050282</v>
      </c>
      <c r="AN276" s="779">
        <f t="shared" si="477"/>
        <v>78.507801400184348</v>
      </c>
      <c r="AO276" s="779">
        <f t="shared" si="477"/>
        <v>78.446022490708174</v>
      </c>
      <c r="AP276" s="779">
        <f t="shared" si="477"/>
        <v>78.383923677640027</v>
      </c>
      <c r="AQ276" s="779">
        <f t="shared" si="477"/>
        <v>78.321546850389723</v>
      </c>
      <c r="AR276" s="779">
        <f t="shared" si="477"/>
        <v>78.258933078692095</v>
      </c>
      <c r="AS276" s="779">
        <f t="shared" si="477"/>
        <v>78.196039274434909</v>
      </c>
      <c r="AT276" s="779">
        <f t="shared" si="477"/>
        <v>78.132864431666292</v>
      </c>
      <c r="AU276" s="779">
        <f t="shared" si="477"/>
        <v>78.069364651729956</v>
      </c>
      <c r="AV276" s="779">
        <f t="shared" si="477"/>
        <v>78.005581828580787</v>
      </c>
      <c r="AW276" s="779">
        <f t="shared" si="477"/>
        <v>77.941557037723541</v>
      </c>
      <c r="AX276" s="779">
        <f t="shared" si="477"/>
        <v>77.877247204054783</v>
      </c>
      <c r="AY276" s="779">
        <f t="shared" si="477"/>
        <v>77.81265133156667</v>
      </c>
      <c r="AZ276" s="779">
        <f t="shared" si="477"/>
        <v>77.747768426493963</v>
      </c>
      <c r="BA276" s="797">
        <f t="shared" si="477"/>
        <v>77.682554607660634</v>
      </c>
    </row>
    <row r="277" spans="2:62" ht="20.100000000000001" customHeight="1" thickBot="1">
      <c r="B277" s="29"/>
      <c r="C277" s="1078"/>
      <c r="D277" s="1078"/>
      <c r="E277" s="1078"/>
      <c r="F277" s="29"/>
      <c r="G277" s="29"/>
      <c r="H277" s="29"/>
      <c r="I277" s="29"/>
      <c r="J277" s="1078"/>
      <c r="K277" s="1078"/>
      <c r="L277" s="29"/>
      <c r="M277" s="29"/>
      <c r="N277" s="1078"/>
      <c r="O277" s="1078"/>
      <c r="P277" s="1078"/>
      <c r="Q277" s="1078"/>
      <c r="R277" s="29"/>
      <c r="S277" s="803" t="s">
        <v>176</v>
      </c>
      <c r="T277" s="1366" t="s">
        <v>178</v>
      </c>
      <c r="U277" s="1399"/>
      <c r="V277" s="1400"/>
      <c r="W277" s="1400"/>
      <c r="X277" s="1401"/>
      <c r="Y277" s="1261">
        <f t="shared" ref="Y277:BA277" si="478">SUM(Y272:Y276)</f>
        <v>0</v>
      </c>
      <c r="Z277" s="1261">
        <f t="shared" si="478"/>
        <v>100</v>
      </c>
      <c r="AA277" s="1261">
        <f t="shared" si="478"/>
        <v>100</v>
      </c>
      <c r="AB277" s="1261">
        <f t="shared" si="478"/>
        <v>100</v>
      </c>
      <c r="AC277" s="1261">
        <f t="shared" si="478"/>
        <v>100</v>
      </c>
      <c r="AD277" s="1261">
        <f t="shared" si="478"/>
        <v>99.999999999999986</v>
      </c>
      <c r="AE277" s="1261">
        <f t="shared" si="478"/>
        <v>100</v>
      </c>
      <c r="AF277" s="1261">
        <f t="shared" si="478"/>
        <v>99.999999999999986</v>
      </c>
      <c r="AG277" s="1261">
        <f t="shared" si="478"/>
        <v>100</v>
      </c>
      <c r="AH277" s="1261">
        <f t="shared" si="478"/>
        <v>100</v>
      </c>
      <c r="AI277" s="1261">
        <f t="shared" si="478"/>
        <v>100.00000000000001</v>
      </c>
      <c r="AJ277" s="1261">
        <f t="shared" si="478"/>
        <v>100</v>
      </c>
      <c r="AK277" s="1261">
        <f t="shared" si="478"/>
        <v>100</v>
      </c>
      <c r="AL277" s="1261">
        <f t="shared" si="478"/>
        <v>100</v>
      </c>
      <c r="AM277" s="1261">
        <f t="shared" si="478"/>
        <v>99.999999999999986</v>
      </c>
      <c r="AN277" s="1261">
        <f t="shared" si="478"/>
        <v>100</v>
      </c>
      <c r="AO277" s="1261">
        <f t="shared" si="478"/>
        <v>100</v>
      </c>
      <c r="AP277" s="1261">
        <f t="shared" si="478"/>
        <v>100</v>
      </c>
      <c r="AQ277" s="1261">
        <f t="shared" si="478"/>
        <v>100</v>
      </c>
      <c r="AR277" s="1261">
        <f t="shared" si="478"/>
        <v>100</v>
      </c>
      <c r="AS277" s="1261">
        <f t="shared" si="478"/>
        <v>100</v>
      </c>
      <c r="AT277" s="1261">
        <f t="shared" si="478"/>
        <v>100</v>
      </c>
      <c r="AU277" s="1261">
        <f t="shared" si="478"/>
        <v>100</v>
      </c>
      <c r="AV277" s="1261">
        <f t="shared" si="478"/>
        <v>100</v>
      </c>
      <c r="AW277" s="1261">
        <f t="shared" si="478"/>
        <v>100</v>
      </c>
      <c r="AX277" s="1261">
        <f t="shared" si="478"/>
        <v>100</v>
      </c>
      <c r="AY277" s="1261">
        <f t="shared" si="478"/>
        <v>100</v>
      </c>
      <c r="AZ277" s="1261">
        <f t="shared" si="478"/>
        <v>99.999999999999986</v>
      </c>
      <c r="BA277" s="1262">
        <f t="shared" si="478"/>
        <v>99.999999999999986</v>
      </c>
    </row>
    <row r="278" spans="2:62" ht="20.100000000000001" customHeight="1">
      <c r="B278" s="29"/>
      <c r="C278" s="1078"/>
      <c r="D278" s="1078"/>
      <c r="E278" s="1078"/>
      <c r="F278" s="29"/>
      <c r="G278" s="29"/>
      <c r="H278" s="29"/>
      <c r="I278" s="29"/>
      <c r="J278" s="1078"/>
      <c r="K278" s="1078"/>
      <c r="L278" s="29"/>
      <c r="M278" s="29"/>
      <c r="N278" s="1078"/>
      <c r="O278" s="1078"/>
      <c r="P278" s="1078"/>
      <c r="Q278" s="1078"/>
      <c r="R278" s="29"/>
    </row>
    <row r="279" spans="2:62" ht="20.100000000000001" customHeight="1" thickBot="1">
      <c r="B279" s="29"/>
      <c r="C279" s="1078"/>
      <c r="D279" s="1078"/>
      <c r="E279" s="1078"/>
      <c r="F279" s="29"/>
      <c r="G279" s="29"/>
      <c r="H279" s="29"/>
      <c r="I279" s="29"/>
      <c r="J279" s="1078"/>
      <c r="K279" s="1078"/>
      <c r="L279" s="29"/>
      <c r="M279" s="29"/>
      <c r="N279" s="1078"/>
      <c r="O279" s="1078"/>
      <c r="P279" s="1078"/>
      <c r="Q279" s="1078"/>
      <c r="R279" s="1078"/>
      <c r="S279" s="1322" t="s">
        <v>3089</v>
      </c>
    </row>
    <row r="280" spans="2:62" ht="20.100000000000001" customHeight="1">
      <c r="B280" s="29"/>
      <c r="C280" s="1078"/>
      <c r="D280" s="1078"/>
      <c r="E280" s="1078"/>
      <c r="F280" s="29"/>
      <c r="G280" s="29"/>
      <c r="H280" s="29"/>
      <c r="I280" s="29"/>
      <c r="J280" s="1078"/>
      <c r="K280" s="1078"/>
      <c r="L280" s="29"/>
      <c r="M280" s="29"/>
      <c r="N280" s="1078"/>
      <c r="O280" s="1078"/>
      <c r="P280" s="1078"/>
      <c r="Q280" s="1078"/>
      <c r="R280" s="29"/>
      <c r="S280" s="801" t="s">
        <v>3105</v>
      </c>
      <c r="T280" s="1198"/>
      <c r="U280" s="1198"/>
      <c r="V280" s="1198"/>
      <c r="W280" s="1198"/>
      <c r="X280" s="798">
        <v>2021</v>
      </c>
      <c r="Y280" s="798">
        <v>2022</v>
      </c>
      <c r="Z280" s="798">
        <v>2023</v>
      </c>
      <c r="AA280" s="798">
        <v>2024</v>
      </c>
      <c r="AB280" s="798">
        <v>2025</v>
      </c>
      <c r="AC280" s="798">
        <v>2026</v>
      </c>
      <c r="AD280" s="798">
        <v>2027</v>
      </c>
      <c r="AE280" s="798">
        <v>2028</v>
      </c>
      <c r="AF280" s="798">
        <v>2029</v>
      </c>
      <c r="AG280" s="798">
        <v>2030</v>
      </c>
      <c r="AH280" s="798">
        <v>2031</v>
      </c>
      <c r="AI280" s="798">
        <v>2032</v>
      </c>
      <c r="AJ280" s="798">
        <v>2033</v>
      </c>
      <c r="AK280" s="798">
        <v>2034</v>
      </c>
      <c r="AL280" s="798">
        <v>2035</v>
      </c>
      <c r="AM280" s="798">
        <v>2036</v>
      </c>
      <c r="AN280" s="798">
        <v>2037</v>
      </c>
      <c r="AO280" s="798">
        <v>2038</v>
      </c>
      <c r="AP280" s="798">
        <v>2039</v>
      </c>
      <c r="AQ280" s="798">
        <v>2040</v>
      </c>
      <c r="AR280" s="798">
        <v>2041</v>
      </c>
      <c r="AS280" s="798">
        <v>2042</v>
      </c>
      <c r="AT280" s="798">
        <v>2043</v>
      </c>
      <c r="AU280" s="798">
        <v>2044</v>
      </c>
      <c r="AV280" s="798">
        <v>2045</v>
      </c>
      <c r="AW280" s="798">
        <v>2046</v>
      </c>
      <c r="AX280" s="798">
        <v>2047</v>
      </c>
      <c r="AY280" s="798">
        <v>2048</v>
      </c>
      <c r="AZ280" s="798">
        <v>2049</v>
      </c>
      <c r="BA280" s="799">
        <v>2050</v>
      </c>
    </row>
    <row r="281" spans="2:62" ht="20.100000000000001" customHeight="1">
      <c r="B281" s="29"/>
      <c r="C281" s="1078"/>
      <c r="D281" s="1078"/>
      <c r="E281" s="1078"/>
      <c r="F281" s="29"/>
      <c r="G281" s="29"/>
      <c r="H281" s="29"/>
      <c r="I281" s="29"/>
      <c r="J281" s="1078"/>
      <c r="K281" s="1078"/>
      <c r="L281" s="29"/>
      <c r="M281" s="29"/>
      <c r="N281" s="1078"/>
      <c r="O281" s="1078"/>
      <c r="P281" s="1078"/>
      <c r="Q281" s="1078"/>
      <c r="R281" s="29"/>
      <c r="S281" s="844" t="s">
        <v>2952</v>
      </c>
      <c r="T281" s="788" t="s">
        <v>3097</v>
      </c>
      <c r="U281" s="788"/>
      <c r="V281" s="1406" t="s">
        <v>3138</v>
      </c>
      <c r="W281" s="1407"/>
      <c r="X281" s="1408"/>
      <c r="Y281" s="76">
        <f>Y124*INDEX('DEFAULT DATA'!$JS$9:$JS$41,START!$C$3,1)*Y259</f>
        <v>0</v>
      </c>
      <c r="Z281" s="76">
        <f>Z124*INDEX('DEFAULT DATA'!$JS$9:$JS$41,START!$C$3,1)*Z259</f>
        <v>413164.65382860624</v>
      </c>
      <c r="AA281" s="76">
        <f>AA124*INDEX('DEFAULT DATA'!$JS$9:$JS$41,START!$C$3,1)*AA259</f>
        <v>419362.12363603531</v>
      </c>
      <c r="AB281" s="76">
        <f>AB124*INDEX('DEFAULT DATA'!$JS$9:$JS$41,START!$C$3,1)*AB259</f>
        <v>425652.55549057585</v>
      </c>
      <c r="AC281" s="76">
        <f>AC124*INDEX('DEFAULT DATA'!$JS$9:$JS$41,START!$C$3,1)*AC259</f>
        <v>432037.34382293449</v>
      </c>
      <c r="AD281" s="76">
        <f>AD124*INDEX('DEFAULT DATA'!$JS$9:$JS$41,START!$C$3,1)*AD259</f>
        <v>438517.90398027853</v>
      </c>
      <c r="AE281" s="76">
        <f>AE124*INDEX('DEFAULT DATA'!$JS$9:$JS$41,START!$C$3,1)*AE259</f>
        <v>445095.67253998265</v>
      </c>
      <c r="AF281" s="76">
        <f>AF124*INDEX('DEFAULT DATA'!$JS$9:$JS$41,START!$C$3,1)*AF259</f>
        <v>451772.10762808239</v>
      </c>
      <c r="AG281" s="76">
        <f>AG124*INDEX('DEFAULT DATA'!$JS$9:$JS$41,START!$C$3,1)*AG259</f>
        <v>421993.52318914561</v>
      </c>
      <c r="AH281" s="76">
        <f>AH124*INDEX('DEFAULT DATA'!$JS$9:$JS$41,START!$C$3,1)*AH259</f>
        <v>400134.10097694886</v>
      </c>
      <c r="AI281" s="76">
        <f>AI124*INDEX('DEFAULT DATA'!$JS$9:$JS$41,START!$C$3,1)*AI259</f>
        <v>383856.82051738311</v>
      </c>
      <c r="AJ281" s="76">
        <f>AJ124*INDEX('DEFAULT DATA'!$JS$9:$JS$41,START!$C$3,1)*AJ259</f>
        <v>371495.44837805151</v>
      </c>
      <c r="AK281" s="76">
        <f>AK124*INDEX('DEFAULT DATA'!$JS$9:$JS$41,START!$C$3,1)*AK259</f>
        <v>361991.38795149449</v>
      </c>
      <c r="AL281" s="76">
        <f>AL124*INDEX('DEFAULT DATA'!$JS$9:$JS$41,START!$C$3,1)*AL259</f>
        <v>354639.58132842032</v>
      </c>
      <c r="AM281" s="76">
        <f>AM124*INDEX('DEFAULT DATA'!$JS$9:$JS$41,START!$C$3,1)*AM259</f>
        <v>359604.26716453314</v>
      </c>
      <c r="AN281" s="76">
        <f>AN124*INDEX('DEFAULT DATA'!$JS$9:$JS$41,START!$C$3,1)*AN259</f>
        <v>364638.44917735033</v>
      </c>
      <c r="AO281" s="76">
        <f>AO124*INDEX('DEFAULT DATA'!$JS$9:$JS$41,START!$C$3,1)*AO259</f>
        <v>369743.10014052666</v>
      </c>
      <c r="AP281" s="76">
        <f>AP124*INDEX('DEFAULT DATA'!$JS$9:$JS$41,START!$C$3,1)*AP259</f>
        <v>374919.56889659323</v>
      </c>
      <c r="AQ281" s="76">
        <f>AQ124*INDEX('DEFAULT DATA'!$JS$9:$JS$41,START!$C$3,1)*AQ259</f>
        <v>380168.5018700831</v>
      </c>
      <c r="AR281" s="76">
        <f>AR124*INDEX('DEFAULT DATA'!$JS$9:$JS$41,START!$C$3,1)*AR259</f>
        <v>385490.54930465773</v>
      </c>
      <c r="AS281" s="76">
        <f>AS124*INDEX('DEFAULT DATA'!$JS$9:$JS$41,START!$C$3,1)*AS259</f>
        <v>390887.09513667074</v>
      </c>
      <c r="AT281" s="76">
        <f>AT124*INDEX('DEFAULT DATA'!$JS$9:$JS$41,START!$C$3,1)*AT259</f>
        <v>396359.18215782003</v>
      </c>
      <c r="AU281" s="76">
        <f>AU124*INDEX('DEFAULT DATA'!$JS$9:$JS$41,START!$C$3,1)*AU259</f>
        <v>401908.25243887457</v>
      </c>
      <c r="AV281" s="76">
        <f>AV124*INDEX('DEFAULT DATA'!$JS$9:$JS$41,START!$C$3,1)*AV259</f>
        <v>407535.00269873498</v>
      </c>
      <c r="AW281" s="76">
        <f>AW124*INDEX('DEFAULT DATA'!$JS$9:$JS$41,START!$C$3,1)*AW259</f>
        <v>413240.13385373564</v>
      </c>
      <c r="AX281" s="76">
        <f>AX124*INDEX('DEFAULT DATA'!$JS$9:$JS$41,START!$C$3,1)*AX259</f>
        <v>419025.12567227875</v>
      </c>
      <c r="AY281" s="76">
        <f>AY124*INDEX('DEFAULT DATA'!$JS$9:$JS$41,START!$C$3,1)*AY259</f>
        <v>424891.09600381751</v>
      </c>
      <c r="AZ281" s="76">
        <f>AZ124*INDEX('DEFAULT DATA'!$JS$9:$JS$41,START!$C$3,1)*AZ259</f>
        <v>430839.17834472668</v>
      </c>
      <c r="BA281" s="795">
        <f>BA124*INDEX('DEFAULT DATA'!$JS$9:$JS$41,START!$C$3,1)*BA259</f>
        <v>436870.93522252119</v>
      </c>
    </row>
    <row r="282" spans="2:62" ht="20.100000000000001" customHeight="1">
      <c r="B282" s="29"/>
      <c r="C282" s="1078"/>
      <c r="D282" s="1078"/>
      <c r="E282" s="1078"/>
      <c r="F282" s="29"/>
      <c r="G282" s="29"/>
      <c r="H282" s="29"/>
      <c r="I282" s="29"/>
      <c r="J282" s="1078"/>
      <c r="K282" s="1078"/>
      <c r="L282" s="29"/>
      <c r="M282" s="29"/>
      <c r="N282" s="1078"/>
      <c r="O282" s="1078"/>
      <c r="P282" s="1078"/>
      <c r="Q282" s="1078"/>
      <c r="R282" s="29"/>
      <c r="S282" s="844" t="s">
        <v>2953</v>
      </c>
      <c r="T282" s="788" t="s">
        <v>3098</v>
      </c>
      <c r="U282" s="788"/>
      <c r="V282" s="1406" t="s">
        <v>3138</v>
      </c>
      <c r="W282" s="1407"/>
      <c r="X282" s="1408"/>
      <c r="Y282" s="76">
        <f>Y136*INDEX('DEFAULT DATA'!$LJ$9:$LJ$41,START!$C$3,1)*Y260</f>
        <v>0</v>
      </c>
      <c r="Z282" s="76">
        <f>Z136*INDEX('DEFAULT DATA'!$LJ$9:$LJ$41,START!$C$3,1)*Z260</f>
        <v>517960.12511668302</v>
      </c>
      <c r="AA282" s="76">
        <f>AA136*INDEX('DEFAULT DATA'!$LJ$9:$LJ$41,START!$C$3,1)*AA260</f>
        <v>524693.60674319987</v>
      </c>
      <c r="AB282" s="76">
        <f>AB136*INDEX('DEFAULT DATA'!$LJ$9:$LJ$41,START!$C$3,1)*AB260</f>
        <v>531514.62363086152</v>
      </c>
      <c r="AC282" s="76">
        <f>AC136*INDEX('DEFAULT DATA'!$LJ$9:$LJ$41,START!$C$3,1)*AC260</f>
        <v>538424.31373806263</v>
      </c>
      <c r="AD282" s="76">
        <f>AD136*INDEX('DEFAULT DATA'!$LJ$9:$LJ$41,START!$C$3,1)*AD260</f>
        <v>545423.82981665747</v>
      </c>
      <c r="AE282" s="76">
        <f>AE136*INDEX('DEFAULT DATA'!$LJ$9:$LJ$41,START!$C$3,1)*AE260</f>
        <v>552514.3396042739</v>
      </c>
      <c r="AF282" s="76">
        <f>AF136*INDEX('DEFAULT DATA'!$LJ$9:$LJ$41,START!$C$3,1)*AF260</f>
        <v>559697.02601912944</v>
      </c>
      <c r="AG282" s="76">
        <f>AG136*INDEX('DEFAULT DATA'!$LJ$9:$LJ$41,START!$C$3,1)*AG260</f>
        <v>524118.04285102803</v>
      </c>
      <c r="AH282" s="76">
        <f>AH136*INDEX('DEFAULT DATA'!$LJ$9:$LJ$41,START!$C$3,1)*AH260</f>
        <v>495458.8681649713</v>
      </c>
      <c r="AI282" s="76">
        <f>AI136*INDEX('DEFAULT DATA'!$LJ$9:$LJ$41,START!$C$3,1)*AI260</f>
        <v>473630.20828304224</v>
      </c>
      <c r="AJ282" s="76">
        <f>AJ136*INDEX('DEFAULT DATA'!$LJ$9:$LJ$41,START!$C$3,1)*AJ260</f>
        <v>456581.39265807875</v>
      </c>
      <c r="AK282" s="76">
        <f>AK136*INDEX('DEFAULT DATA'!$LJ$9:$LJ$41,START!$C$3,1)*AK260</f>
        <v>443009.34974929097</v>
      </c>
      <c r="AL282" s="76">
        <f>AL136*INDEX('DEFAULT DATA'!$LJ$9:$LJ$41,START!$C$3,1)*AL260</f>
        <v>432046.00951218809</v>
      </c>
      <c r="AM282" s="76">
        <f>AM136*INDEX('DEFAULT DATA'!$LJ$9:$LJ$41,START!$C$3,1)*AM260</f>
        <v>435070.02984287823</v>
      </c>
      <c r="AN282" s="76">
        <f>AN136*INDEX('DEFAULT DATA'!$LJ$9:$LJ$41,START!$C$3,1)*AN260</f>
        <v>438115.20987258537</v>
      </c>
      <c r="AO282" s="76">
        <f>AO136*INDEX('DEFAULT DATA'!$LJ$9:$LJ$41,START!$C$3,1)*AO260</f>
        <v>441181.69765847636</v>
      </c>
      <c r="AP282" s="76">
        <f>AP136*INDEX('DEFAULT DATA'!$LJ$9:$LJ$41,START!$C$3,1)*AP260</f>
        <v>444270.0415283544</v>
      </c>
      <c r="AQ282" s="76">
        <f>AQ136*INDEX('DEFAULT DATA'!$LJ$9:$LJ$41,START!$C$3,1)*AQ260</f>
        <v>447379.9963675508</v>
      </c>
      <c r="AR282" s="76">
        <f>AR136*INDEX('DEFAULT DATA'!$LJ$9:$LJ$41,START!$C$3,1)*AR260</f>
        <v>450511.31785230449</v>
      </c>
      <c r="AS282" s="76">
        <f>AS136*INDEX('DEFAULT DATA'!$LJ$9:$LJ$41,START!$C$3,1)*AS260</f>
        <v>453664.54984824243</v>
      </c>
      <c r="AT282" s="76">
        <f>AT136*INDEX('DEFAULT DATA'!$LJ$9:$LJ$41,START!$C$3,1)*AT260</f>
        <v>456839.84566660109</v>
      </c>
      <c r="AU282" s="76">
        <f>AU136*INDEX('DEFAULT DATA'!$LJ$9:$LJ$41,START!$C$3,1)*AU260</f>
        <v>460037.76898714801</v>
      </c>
      <c r="AV282" s="76">
        <f>AV136*INDEX('DEFAULT DATA'!$LJ$9:$LJ$41,START!$C$3,1)*AV260</f>
        <v>463258.07006254373</v>
      </c>
      <c r="AW282" s="76">
        <f>AW136*INDEX('DEFAULT DATA'!$LJ$9:$LJ$41,START!$C$3,1)*AW260</f>
        <v>466500.49996187433</v>
      </c>
      <c r="AX282" s="76">
        <f>AX136*INDEX('DEFAULT DATA'!$LJ$9:$LJ$41,START!$C$3,1)*AX260</f>
        <v>469765.61782725796</v>
      </c>
      <c r="AY282" s="76">
        <f>AY136*INDEX('DEFAULT DATA'!$LJ$9:$LJ$41,START!$C$3,1)*AY260</f>
        <v>473053.58241044986</v>
      </c>
      <c r="AZ282" s="76">
        <f>AZ136*INDEX('DEFAULT DATA'!$LJ$9:$LJ$41,START!$C$3,1)*AZ260</f>
        <v>476364.55357415677</v>
      </c>
      <c r="BA282" s="795">
        <f>BA136*INDEX('DEFAULT DATA'!$LJ$9:$LJ$41,START!$C$3,1)*BA260</f>
        <v>479699.11400334252</v>
      </c>
    </row>
    <row r="283" spans="2:62" ht="20.100000000000001" customHeight="1" thickBot="1">
      <c r="B283" s="29"/>
      <c r="C283" s="1078"/>
      <c r="D283" s="1078"/>
      <c r="E283" s="1078"/>
      <c r="F283" s="29"/>
      <c r="G283" s="29"/>
      <c r="H283" s="29"/>
      <c r="I283" s="29"/>
      <c r="J283" s="1078"/>
      <c r="K283" s="1078"/>
      <c r="L283" s="29"/>
      <c r="M283" s="29"/>
      <c r="N283" s="1078"/>
      <c r="O283" s="1078"/>
      <c r="P283" s="1078"/>
      <c r="Q283" s="1078"/>
      <c r="R283" s="29"/>
      <c r="S283" s="845" t="s">
        <v>2957</v>
      </c>
      <c r="T283" s="832" t="s">
        <v>3099</v>
      </c>
      <c r="U283" s="832"/>
      <c r="V283" s="1409" t="s">
        <v>3138</v>
      </c>
      <c r="W283" s="1410"/>
      <c r="X283" s="1411"/>
      <c r="Y283" s="779">
        <f>Y167*INDEX('DEFAULT DATA'!$LU$9:$LU$41,START!$C$3,1)*Y261</f>
        <v>0</v>
      </c>
      <c r="Z283" s="779">
        <f>Z167*INDEX('DEFAULT DATA'!$LU$9:$LU$41,START!$C$3,1)*Z261</f>
        <v>61332.751943377727</v>
      </c>
      <c r="AA283" s="779">
        <f>AA167*INDEX('DEFAULT DATA'!$LU$9:$LU$41,START!$C$3,1)*AA261</f>
        <v>61884.746710868138</v>
      </c>
      <c r="AB283" s="779">
        <f>AB167*INDEX('DEFAULT DATA'!$LU$9:$LU$41,START!$C$3,1)*AB261</f>
        <v>62441.709431265954</v>
      </c>
      <c r="AC283" s="779">
        <f>AC167*INDEX('DEFAULT DATA'!$LU$9:$LU$41,START!$C$3,1)*AC261</f>
        <v>63003.684816147354</v>
      </c>
      <c r="AD283" s="779">
        <f>AD167*INDEX('DEFAULT DATA'!$LU$9:$LU$41,START!$C$3,1)*AD261</f>
        <v>63570.717979492685</v>
      </c>
      <c r="AE283" s="779">
        <f>AE167*INDEX('DEFAULT DATA'!$LU$9:$LU$41,START!$C$3,1)*AE261</f>
        <v>64142.854441308125</v>
      </c>
      <c r="AF283" s="779">
        <f>AF167*INDEX('DEFAULT DATA'!$LU$9:$LU$41,START!$C$3,1)*AF261</f>
        <v>64720.140131279906</v>
      </c>
      <c r="AG283" s="779">
        <f>AG167*INDEX('DEFAULT DATA'!$LU$9:$LU$41,START!$C$3,1)*AG261</f>
        <v>59088.621935036441</v>
      </c>
      <c r="AH283" s="779">
        <f>AH167*INDEX('DEFAULT DATA'!$LU$9:$LU$41,START!$C$3,1)*AH261</f>
        <v>55032.403096692768</v>
      </c>
      <c r="AI283" s="779">
        <f>AI167*INDEX('DEFAULT DATA'!$LU$9:$LU$41,START!$C$3,1)*AI261</f>
        <v>51940.504120122649</v>
      </c>
      <c r="AJ283" s="779">
        <f>AJ167*INDEX('DEFAULT DATA'!$LU$9:$LU$41,START!$C$3,1)*AJ261</f>
        <v>49523.700681302638</v>
      </c>
      <c r="AK283" s="779">
        <f>AK167*INDEX('DEFAULT DATA'!$LU$9:$LU$41,START!$C$3,1)*AK261</f>
        <v>47598.215507694425</v>
      </c>
      <c r="AL283" s="779">
        <f>AL167*INDEX('DEFAULT DATA'!$LU$9:$LU$41,START!$C$3,1)*AL261</f>
        <v>46041.624718948362</v>
      </c>
      <c r="AM283" s="779">
        <f>AM167*INDEX('DEFAULT DATA'!$LU$9:$LU$41,START!$C$3,1)*AM261</f>
        <v>46548.037785870496</v>
      </c>
      <c r="AN283" s="779">
        <f>AN167*INDEX('DEFAULT DATA'!$LU$9:$LU$41,START!$C$3,1)*AN261</f>
        <v>47060.019959823003</v>
      </c>
      <c r="AO283" s="779">
        <f>AO167*INDEX('DEFAULT DATA'!$LU$9:$LU$41,START!$C$3,1)*AO261</f>
        <v>47577.632481187276</v>
      </c>
      <c r="AP283" s="779">
        <f>AP167*INDEX('DEFAULT DATA'!$LU$9:$LU$41,START!$C$3,1)*AP261</f>
        <v>48100.997255661125</v>
      </c>
      <c r="AQ283" s="779">
        <f>AQ167*INDEX('DEFAULT DATA'!$LU$9:$LU$41,START!$C$3,1)*AQ261</f>
        <v>48630.117963529032</v>
      </c>
      <c r="AR283" s="779">
        <f>AR167*INDEX('DEFAULT DATA'!$LU$9:$LU$41,START!$C$3,1)*AR261</f>
        <v>49164.997992297824</v>
      </c>
      <c r="AS283" s="779">
        <f>AS167*INDEX('DEFAULT DATA'!$LU$9:$LU$41,START!$C$3,1)*AS261</f>
        <v>49705.760168804823</v>
      </c>
      <c r="AT283" s="779">
        <f>AT167*INDEX('DEFAULT DATA'!$LU$9:$LU$41,START!$C$3,1)*AT261</f>
        <v>50252.469175791004</v>
      </c>
      <c r="AU283" s="779">
        <f>AU167*INDEX('DEFAULT DATA'!$LU$9:$LU$41,START!$C$3,1)*AU261</f>
        <v>50805.253142293623</v>
      </c>
      <c r="AV283" s="779">
        <f>AV167*INDEX('DEFAULT DATA'!$LU$9:$LU$41,START!$C$3,1)*AV261</f>
        <v>51364.11657325922</v>
      </c>
      <c r="AW283" s="779">
        <f>AW167*INDEX('DEFAULT DATA'!$LU$9:$LU$41,START!$C$3,1)*AW261</f>
        <v>51929.063673881799</v>
      </c>
      <c r="AX283" s="779">
        <f>AX167*INDEX('DEFAULT DATA'!$LU$9:$LU$41,START!$C$3,1)*AX261</f>
        <v>52500.223558811078</v>
      </c>
      <c r="AY283" s="779">
        <f>AY167*INDEX('DEFAULT DATA'!$LU$9:$LU$41,START!$C$3,1)*AY261</f>
        <v>53077.664546645363</v>
      </c>
      <c r="AZ283" s="779">
        <f>AZ167*INDEX('DEFAULT DATA'!$LU$9:$LU$41,START!$C$3,1)*AZ261</f>
        <v>53661.455707250054</v>
      </c>
      <c r="BA283" s="797">
        <f>BA167*INDEX('DEFAULT DATA'!$LU$9:$LU$41,START!$C$3,1)*BA261</f>
        <v>54251.733062734987</v>
      </c>
    </row>
    <row r="284" spans="2:62" ht="20.100000000000001" customHeight="1" thickBot="1">
      <c r="B284" s="29"/>
      <c r="C284" s="1078"/>
      <c r="D284" s="1078"/>
      <c r="E284" s="1078"/>
      <c r="F284" s="29"/>
      <c r="G284" s="29"/>
      <c r="H284" s="29"/>
      <c r="I284" s="29"/>
      <c r="J284" s="1078"/>
      <c r="K284" s="1078"/>
      <c r="L284" s="29"/>
      <c r="M284" s="29"/>
      <c r="N284" s="1078"/>
      <c r="O284" s="1078"/>
      <c r="P284" s="1078"/>
      <c r="Q284" s="1078"/>
      <c r="R284" s="29"/>
      <c r="S284" s="803" t="s">
        <v>176</v>
      </c>
      <c r="T284" s="1368" t="s">
        <v>178</v>
      </c>
      <c r="U284" s="1368"/>
      <c r="V284" s="1368"/>
      <c r="W284" s="1368"/>
      <c r="X284" s="1369"/>
      <c r="Y284" s="1261">
        <f>SUM(Y281:Y283)</f>
        <v>0</v>
      </c>
      <c r="Z284" s="1261">
        <f t="shared" ref="Z284:BA284" si="479">SUM(Z281:Z283)</f>
        <v>992457.5308886671</v>
      </c>
      <c r="AA284" s="1261">
        <f t="shared" si="479"/>
        <v>1005940.4770901033</v>
      </c>
      <c r="AB284" s="1261">
        <f t="shared" si="479"/>
        <v>1019608.8885527033</v>
      </c>
      <c r="AC284" s="1261">
        <f t="shared" si="479"/>
        <v>1033465.3423771445</v>
      </c>
      <c r="AD284" s="1261">
        <f t="shared" si="479"/>
        <v>1047512.4517764287</v>
      </c>
      <c r="AE284" s="1261">
        <f t="shared" si="479"/>
        <v>1061752.8665855648</v>
      </c>
      <c r="AF284" s="1261">
        <f t="shared" si="479"/>
        <v>1076189.2737784917</v>
      </c>
      <c r="AG284" s="1261">
        <f t="shared" si="479"/>
        <v>1005200.1879752101</v>
      </c>
      <c r="AH284" s="1261">
        <f t="shared" si="479"/>
        <v>950625.37223861285</v>
      </c>
      <c r="AI284" s="1261">
        <f t="shared" si="479"/>
        <v>909427.53292054799</v>
      </c>
      <c r="AJ284" s="1261">
        <f t="shared" si="479"/>
        <v>877600.5417174329</v>
      </c>
      <c r="AK284" s="1261">
        <f t="shared" si="479"/>
        <v>852598.95320847991</v>
      </c>
      <c r="AL284" s="1261">
        <f t="shared" si="479"/>
        <v>832727.21555955673</v>
      </c>
      <c r="AM284" s="1261">
        <f t="shared" si="479"/>
        <v>841222.33479328186</v>
      </c>
      <c r="AN284" s="1261">
        <f t="shared" si="479"/>
        <v>849813.67900975863</v>
      </c>
      <c r="AO284" s="1261">
        <f t="shared" si="479"/>
        <v>858502.43028019031</v>
      </c>
      <c r="AP284" s="1261">
        <f t="shared" si="479"/>
        <v>867290.60768060887</v>
      </c>
      <c r="AQ284" s="1261">
        <f t="shared" si="479"/>
        <v>876178.61620116292</v>
      </c>
      <c r="AR284" s="1261">
        <f t="shared" si="479"/>
        <v>885166.86514926003</v>
      </c>
      <c r="AS284" s="1261">
        <f t="shared" si="479"/>
        <v>894257.40515371796</v>
      </c>
      <c r="AT284" s="1261">
        <f t="shared" si="479"/>
        <v>903451.4970002122</v>
      </c>
      <c r="AU284" s="1261">
        <f t="shared" si="479"/>
        <v>912751.27456831618</v>
      </c>
      <c r="AV284" s="1261">
        <f t="shared" si="479"/>
        <v>922157.18933453795</v>
      </c>
      <c r="AW284" s="1261">
        <f t="shared" si="479"/>
        <v>931669.69748949178</v>
      </c>
      <c r="AX284" s="1261">
        <f t="shared" si="479"/>
        <v>941290.96705834789</v>
      </c>
      <c r="AY284" s="1261">
        <f t="shared" si="479"/>
        <v>951022.34296091273</v>
      </c>
      <c r="AZ284" s="1261">
        <f t="shared" si="479"/>
        <v>960865.18762613356</v>
      </c>
      <c r="BA284" s="1262">
        <f t="shared" si="479"/>
        <v>970821.78228859871</v>
      </c>
      <c r="BB284" s="1078"/>
      <c r="BC284" s="1078"/>
      <c r="BD284" s="1078"/>
      <c r="BE284" s="1078"/>
      <c r="BF284" s="1078"/>
      <c r="BG284" s="1078"/>
      <c r="BH284" s="1078"/>
      <c r="BI284" s="1078"/>
      <c r="BJ284" s="1078"/>
    </row>
    <row r="285" spans="2:62" ht="20.100000000000001" customHeight="1">
      <c r="B285" s="29"/>
      <c r="C285" s="1078"/>
      <c r="D285" s="1078"/>
      <c r="E285" s="1078"/>
      <c r="F285" s="29"/>
      <c r="G285" s="29"/>
      <c r="H285" s="29"/>
      <c r="I285" s="29"/>
      <c r="J285" s="1078"/>
      <c r="K285" s="1078"/>
      <c r="L285" s="29"/>
      <c r="M285" s="29"/>
      <c r="N285" s="1078"/>
      <c r="O285" s="1078"/>
      <c r="P285" s="1078"/>
      <c r="Q285" s="1078"/>
      <c r="R285" s="29"/>
      <c r="S285" s="804" t="s">
        <v>3106</v>
      </c>
      <c r="T285" s="367"/>
      <c r="U285" s="367"/>
      <c r="V285" s="367"/>
      <c r="W285" s="367"/>
      <c r="X285" s="798">
        <v>2021</v>
      </c>
      <c r="Y285" s="798">
        <v>2022</v>
      </c>
      <c r="Z285" s="798">
        <v>2023</v>
      </c>
      <c r="AA285" s="798">
        <v>2024</v>
      </c>
      <c r="AB285" s="798">
        <v>2025</v>
      </c>
      <c r="AC285" s="798">
        <v>2026</v>
      </c>
      <c r="AD285" s="798">
        <v>2027</v>
      </c>
      <c r="AE285" s="798">
        <v>2028</v>
      </c>
      <c r="AF285" s="798">
        <v>2029</v>
      </c>
      <c r="AG285" s="798">
        <v>2030</v>
      </c>
      <c r="AH285" s="798">
        <v>2031</v>
      </c>
      <c r="AI285" s="798">
        <v>2032</v>
      </c>
      <c r="AJ285" s="798">
        <v>2033</v>
      </c>
      <c r="AK285" s="798">
        <v>2034</v>
      </c>
      <c r="AL285" s="798">
        <v>2035</v>
      </c>
      <c r="AM285" s="798">
        <v>2036</v>
      </c>
      <c r="AN285" s="798">
        <v>2037</v>
      </c>
      <c r="AO285" s="798">
        <v>2038</v>
      </c>
      <c r="AP285" s="798">
        <v>2039</v>
      </c>
      <c r="AQ285" s="798">
        <v>2040</v>
      </c>
      <c r="AR285" s="798">
        <v>2041</v>
      </c>
      <c r="AS285" s="798">
        <v>2042</v>
      </c>
      <c r="AT285" s="798">
        <v>2043</v>
      </c>
      <c r="AU285" s="798">
        <v>2044</v>
      </c>
      <c r="AV285" s="798">
        <v>2045</v>
      </c>
      <c r="AW285" s="798">
        <v>2046</v>
      </c>
      <c r="AX285" s="798">
        <v>2047</v>
      </c>
      <c r="AY285" s="798">
        <v>2048</v>
      </c>
      <c r="AZ285" s="798">
        <v>2049</v>
      </c>
      <c r="BA285" s="799">
        <v>2050</v>
      </c>
      <c r="BB285" s="1078"/>
      <c r="BC285" s="1078"/>
      <c r="BD285" s="1078"/>
      <c r="BE285" s="1078"/>
      <c r="BF285" s="1078"/>
      <c r="BG285" s="1078"/>
      <c r="BH285" s="1078"/>
      <c r="BI285" s="1078"/>
      <c r="BJ285" s="1078"/>
    </row>
    <row r="286" spans="2:62" ht="20.100000000000001" customHeight="1">
      <c r="S286" s="844" t="s">
        <v>2952</v>
      </c>
      <c r="T286" s="788" t="s">
        <v>3076</v>
      </c>
      <c r="U286" s="1406" t="s">
        <v>3136</v>
      </c>
      <c r="V286" s="1407"/>
      <c r="W286" s="1407"/>
      <c r="X286" s="1408"/>
      <c r="Y286" s="76">
        <f>IF(Y$284=0,0,Y281/Y$284*100)</f>
        <v>0</v>
      </c>
      <c r="Z286" s="76">
        <f t="shared" ref="Z286:AB286" si="480">IF(Z$284=0,0,Z281/Z$284*100)</f>
        <v>41.630461855496229</v>
      </c>
      <c r="AA286" s="76">
        <f t="shared" si="480"/>
        <v>41.688562413665807</v>
      </c>
      <c r="AB286" s="76">
        <f t="shared" si="480"/>
        <v>41.746650139032596</v>
      </c>
      <c r="AC286" s="76">
        <f t="shared" ref="AC286:BA286" si="481">IF(AC$284=0,0,AC281/AC$284*100)</f>
        <v>41.804724948896279</v>
      </c>
      <c r="AD286" s="76">
        <f t="shared" si="481"/>
        <v>41.862786760827134</v>
      </c>
      <c r="AE286" s="76">
        <f t="shared" si="481"/>
        <v>41.920835492664352</v>
      </c>
      <c r="AF286" s="76">
        <f t="shared" si="481"/>
        <v>41.978871062514337</v>
      </c>
      <c r="AG286" s="76">
        <f t="shared" si="481"/>
        <v>41.981043003898904</v>
      </c>
      <c r="AH286" s="76">
        <f t="shared" si="481"/>
        <v>42.091670668822914</v>
      </c>
      <c r="AI286" s="76">
        <f t="shared" si="481"/>
        <v>42.20862098650786</v>
      </c>
      <c r="AJ286" s="76">
        <f t="shared" si="481"/>
        <v>42.330813475917893</v>
      </c>
      <c r="AK286" s="76">
        <f t="shared" si="481"/>
        <v>42.457404690594238</v>
      </c>
      <c r="AL286" s="76">
        <f t="shared" si="481"/>
        <v>42.587725572307356</v>
      </c>
      <c r="AM286" s="76">
        <f t="shared" si="481"/>
        <v>42.7478268575573</v>
      </c>
      <c r="AN286" s="76">
        <f t="shared" si="481"/>
        <v>42.908046573484619</v>
      </c>
      <c r="AO286" s="76">
        <f t="shared" si="481"/>
        <v>43.068381299730653</v>
      </c>
      <c r="AP286" s="76">
        <f t="shared" si="481"/>
        <v>43.22882844301045</v>
      </c>
      <c r="AQ286" s="76">
        <f t="shared" si="481"/>
        <v>43.389383721594932</v>
      </c>
      <c r="AR286" s="76">
        <f t="shared" si="481"/>
        <v>43.550042876904897</v>
      </c>
      <c r="AS286" s="76">
        <f t="shared" si="481"/>
        <v>43.710803274755037</v>
      </c>
      <c r="AT286" s="76">
        <f t="shared" si="481"/>
        <v>43.871661453202165</v>
      </c>
      <c r="AU286" s="76">
        <f t="shared" si="481"/>
        <v>44.032614759037855</v>
      </c>
      <c r="AV286" s="76">
        <f t="shared" si="481"/>
        <v>44.193658891585173</v>
      </c>
      <c r="AW286" s="76">
        <f t="shared" si="481"/>
        <v>44.35478957481029</v>
      </c>
      <c r="AX286" s="76">
        <f t="shared" si="481"/>
        <v>44.516004119510967</v>
      </c>
      <c r="AY286" s="76">
        <f t="shared" si="481"/>
        <v>44.677299029690687</v>
      </c>
      <c r="AZ286" s="76">
        <f t="shared" si="481"/>
        <v>44.838670803459621</v>
      </c>
      <c r="BA286" s="795">
        <f t="shared" si="481"/>
        <v>45.000116725095424</v>
      </c>
      <c r="BB286" s="29"/>
    </row>
    <row r="287" spans="2:62" ht="20.100000000000001" customHeight="1">
      <c r="M287" s="29"/>
      <c r="N287" s="1078"/>
      <c r="O287" s="1078"/>
      <c r="P287" s="1078"/>
      <c r="Q287" s="1078"/>
      <c r="R287" s="29"/>
      <c r="S287" s="844" t="s">
        <v>2953</v>
      </c>
      <c r="T287" s="788" t="s">
        <v>3076</v>
      </c>
      <c r="U287" s="1406" t="s">
        <v>3136</v>
      </c>
      <c r="V287" s="1407"/>
      <c r="W287" s="1407"/>
      <c r="X287" s="1408"/>
      <c r="Y287" s="76">
        <f t="shared" ref="Y287:AA288" si="482">IF(Y$284=0,0,Y282/Y$284*100)</f>
        <v>0</v>
      </c>
      <c r="Z287" s="76">
        <f t="shared" si="482"/>
        <v>52.189651344868203</v>
      </c>
      <c r="AA287" s="76">
        <f t="shared" si="482"/>
        <v>52.159508310172356</v>
      </c>
      <c r="AB287" s="76">
        <f t="shared" ref="AB287:BA287" si="483">IF(AB$284=0,0,AB282/AB$284*100)</f>
        <v>52.129265407378576</v>
      </c>
      <c r="AC287" s="76">
        <f t="shared" si="483"/>
        <v>52.098923075600766</v>
      </c>
      <c r="AD287" s="76">
        <f t="shared" si="483"/>
        <v>52.068481753290662</v>
      </c>
      <c r="AE287" s="76">
        <f t="shared" si="483"/>
        <v>52.037941878233461</v>
      </c>
      <c r="AF287" s="76">
        <f t="shared" si="483"/>
        <v>52.007303887543664</v>
      </c>
      <c r="AG287" s="76">
        <f t="shared" si="483"/>
        <v>52.140663036162671</v>
      </c>
      <c r="AH287" s="76">
        <f t="shared" si="483"/>
        <v>52.119255664113297</v>
      </c>
      <c r="AI287" s="76">
        <f t="shared" si="483"/>
        <v>52.080038390966642</v>
      </c>
      <c r="AJ287" s="76">
        <f t="shared" si="483"/>
        <v>52.026106520463777</v>
      </c>
      <c r="AK287" s="76">
        <f t="shared" si="483"/>
        <v>51.959874930900249</v>
      </c>
      <c r="AL287" s="76">
        <f t="shared" si="483"/>
        <v>51.883257979249763</v>
      </c>
      <c r="AM287" s="76">
        <f t="shared" si="483"/>
        <v>51.718792030146268</v>
      </c>
      <c r="AN287" s="76">
        <f t="shared" si="483"/>
        <v>51.554266622666866</v>
      </c>
      <c r="AO287" s="76">
        <f t="shared" si="483"/>
        <v>51.38968535179189</v>
      </c>
      <c r="AP287" s="76">
        <f t="shared" si="483"/>
        <v>51.225049319565862</v>
      </c>
      <c r="AQ287" s="76">
        <f t="shared" si="483"/>
        <v>51.060364644283474</v>
      </c>
      <c r="AR287" s="76">
        <f t="shared" si="483"/>
        <v>50.895637375257785</v>
      </c>
      <c r="AS287" s="76">
        <f t="shared" si="483"/>
        <v>50.730868677599595</v>
      </c>
      <c r="AT287" s="76">
        <f t="shared" si="483"/>
        <v>50.56606217195673</v>
      </c>
      <c r="AU287" s="76">
        <f t="shared" si="483"/>
        <v>50.401219018261237</v>
      </c>
      <c r="AV287" s="76">
        <f t="shared" si="483"/>
        <v>50.236345323821375</v>
      </c>
      <c r="AW287" s="76">
        <f t="shared" si="483"/>
        <v>50.0714471254053</v>
      </c>
      <c r="AX287" s="76">
        <f t="shared" si="483"/>
        <v>49.906525640560886</v>
      </c>
      <c r="AY287" s="76">
        <f t="shared" si="483"/>
        <v>49.741584507641001</v>
      </c>
      <c r="AZ287" s="76">
        <f t="shared" si="483"/>
        <v>49.576627367574808</v>
      </c>
      <c r="BA287" s="795">
        <f t="shared" si="483"/>
        <v>49.411655440250627</v>
      </c>
    </row>
    <row r="288" spans="2:62" ht="20.100000000000001" customHeight="1" thickBot="1">
      <c r="M288" s="29"/>
      <c r="N288" s="1078"/>
      <c r="O288" s="1078"/>
      <c r="P288" s="1078"/>
      <c r="Q288" s="1078"/>
      <c r="R288" s="29"/>
      <c r="S288" s="845" t="s">
        <v>2957</v>
      </c>
      <c r="T288" s="832" t="s">
        <v>3076</v>
      </c>
      <c r="U288" s="1409" t="s">
        <v>3136</v>
      </c>
      <c r="V288" s="1410"/>
      <c r="W288" s="1410"/>
      <c r="X288" s="1411"/>
      <c r="Y288" s="779">
        <f t="shared" si="482"/>
        <v>0</v>
      </c>
      <c r="Z288" s="779">
        <f t="shared" si="482"/>
        <v>6.1798867996355584</v>
      </c>
      <c r="AA288" s="779">
        <f t="shared" si="482"/>
        <v>6.1519292761618383</v>
      </c>
      <c r="AB288" s="779">
        <f t="shared" ref="AB288:BA288" si="484">IF(AB$284=0,0,AB283/AB$284*100)</f>
        <v>6.1240844535888286</v>
      </c>
      <c r="AC288" s="779">
        <f t="shared" si="484"/>
        <v>6.0963519755029481</v>
      </c>
      <c r="AD288" s="779">
        <f t="shared" si="484"/>
        <v>6.0687314858821955</v>
      </c>
      <c r="AE288" s="779">
        <f t="shared" si="484"/>
        <v>6.0412226291021716</v>
      </c>
      <c r="AF288" s="779">
        <f t="shared" si="484"/>
        <v>6.0138250499420076</v>
      </c>
      <c r="AG288" s="779">
        <f t="shared" si="484"/>
        <v>5.8782939599384223</v>
      </c>
      <c r="AH288" s="779">
        <f t="shared" si="484"/>
        <v>5.7890736670637999</v>
      </c>
      <c r="AI288" s="779">
        <f t="shared" si="484"/>
        <v>5.7113406225254915</v>
      </c>
      <c r="AJ288" s="779">
        <f t="shared" si="484"/>
        <v>5.6430800036183344</v>
      </c>
      <c r="AK288" s="779">
        <f t="shared" si="484"/>
        <v>5.5827203785055053</v>
      </c>
      <c r="AL288" s="779">
        <f t="shared" si="484"/>
        <v>5.5290164484428885</v>
      </c>
      <c r="AM288" s="779">
        <f t="shared" si="484"/>
        <v>5.5333811122964294</v>
      </c>
      <c r="AN288" s="779">
        <f t="shared" si="484"/>
        <v>5.5376868038485174</v>
      </c>
      <c r="AO288" s="779">
        <f t="shared" si="484"/>
        <v>5.5419333484774551</v>
      </c>
      <c r="AP288" s="779">
        <f t="shared" si="484"/>
        <v>5.5461222374236696</v>
      </c>
      <c r="AQ288" s="779">
        <f t="shared" si="484"/>
        <v>5.5502516341215964</v>
      </c>
      <c r="AR288" s="779">
        <f t="shared" si="484"/>
        <v>5.5543197478373125</v>
      </c>
      <c r="AS288" s="779">
        <f t="shared" si="484"/>
        <v>5.5583280476453734</v>
      </c>
      <c r="AT288" s="779">
        <f t="shared" si="484"/>
        <v>5.5622763748410948</v>
      </c>
      <c r="AU288" s="779">
        <f t="shared" si="484"/>
        <v>5.5661662227009066</v>
      </c>
      <c r="AV288" s="779">
        <f t="shared" si="484"/>
        <v>5.569995784593452</v>
      </c>
      <c r="AW288" s="779">
        <f t="shared" si="484"/>
        <v>5.5737632997844173</v>
      </c>
      <c r="AX288" s="779">
        <f t="shared" si="484"/>
        <v>5.5774702399281324</v>
      </c>
      <c r="AY288" s="779">
        <f t="shared" si="484"/>
        <v>5.5811164626683087</v>
      </c>
      <c r="AZ288" s="779">
        <f t="shared" si="484"/>
        <v>5.5847018289655619</v>
      </c>
      <c r="BA288" s="797">
        <f t="shared" si="484"/>
        <v>5.588227834653944</v>
      </c>
    </row>
    <row r="289" spans="13:61" ht="20.100000000000001" customHeight="1" thickBot="1">
      <c r="M289" s="406"/>
      <c r="N289" s="406"/>
      <c r="O289" s="406"/>
      <c r="P289" s="406"/>
      <c r="Q289" s="406"/>
      <c r="R289" s="406"/>
      <c r="S289" s="803" t="s">
        <v>176</v>
      </c>
      <c r="T289" s="1366" t="s">
        <v>178</v>
      </c>
      <c r="U289" s="1366"/>
      <c r="V289" s="1366"/>
      <c r="W289" s="1366"/>
      <c r="X289" s="1367"/>
      <c r="Y289" s="1261">
        <f>SUM(Y286:Y288)</f>
        <v>0</v>
      </c>
      <c r="Z289" s="1261">
        <f t="shared" ref="Z289:BA289" si="485">SUM(Z286:Z288)</f>
        <v>99.999999999999986</v>
      </c>
      <c r="AA289" s="1261">
        <f t="shared" si="485"/>
        <v>100</v>
      </c>
      <c r="AB289" s="1261">
        <f t="shared" si="485"/>
        <v>100</v>
      </c>
      <c r="AC289" s="1261">
        <f t="shared" si="485"/>
        <v>100</v>
      </c>
      <c r="AD289" s="1261">
        <f t="shared" si="485"/>
        <v>99.999999999999986</v>
      </c>
      <c r="AE289" s="1261">
        <f t="shared" si="485"/>
        <v>99.999999999999986</v>
      </c>
      <c r="AF289" s="1261">
        <f t="shared" si="485"/>
        <v>100.00000000000001</v>
      </c>
      <c r="AG289" s="1261">
        <f t="shared" si="485"/>
        <v>100</v>
      </c>
      <c r="AH289" s="1261">
        <f t="shared" si="485"/>
        <v>100.00000000000001</v>
      </c>
      <c r="AI289" s="1261">
        <f t="shared" si="485"/>
        <v>100</v>
      </c>
      <c r="AJ289" s="1261">
        <f t="shared" si="485"/>
        <v>100</v>
      </c>
      <c r="AK289" s="1261">
        <f t="shared" si="485"/>
        <v>99.999999999999986</v>
      </c>
      <c r="AL289" s="1261">
        <f t="shared" si="485"/>
        <v>100</v>
      </c>
      <c r="AM289" s="1261">
        <f t="shared" si="485"/>
        <v>99.999999999999986</v>
      </c>
      <c r="AN289" s="1261">
        <f t="shared" si="485"/>
        <v>100</v>
      </c>
      <c r="AO289" s="1261">
        <f t="shared" si="485"/>
        <v>100</v>
      </c>
      <c r="AP289" s="1261">
        <f t="shared" si="485"/>
        <v>99.999999999999986</v>
      </c>
      <c r="AQ289" s="1261">
        <f t="shared" si="485"/>
        <v>100</v>
      </c>
      <c r="AR289" s="1261">
        <f t="shared" si="485"/>
        <v>99.999999999999986</v>
      </c>
      <c r="AS289" s="1261">
        <f t="shared" si="485"/>
        <v>100</v>
      </c>
      <c r="AT289" s="1261">
        <f t="shared" si="485"/>
        <v>99.999999999999986</v>
      </c>
      <c r="AU289" s="1261">
        <f t="shared" si="485"/>
        <v>100</v>
      </c>
      <c r="AV289" s="1261">
        <f t="shared" si="485"/>
        <v>100</v>
      </c>
      <c r="AW289" s="1261">
        <f t="shared" si="485"/>
        <v>100</v>
      </c>
      <c r="AX289" s="1261">
        <f t="shared" si="485"/>
        <v>99.999999999999986</v>
      </c>
      <c r="AY289" s="1261">
        <f t="shared" si="485"/>
        <v>99.999999999999986</v>
      </c>
      <c r="AZ289" s="1261">
        <f t="shared" si="485"/>
        <v>100</v>
      </c>
      <c r="BA289" s="1262">
        <f t="shared" si="485"/>
        <v>100</v>
      </c>
      <c r="BB289" s="406"/>
      <c r="BC289" s="406"/>
      <c r="BD289" s="406"/>
      <c r="BE289" s="406"/>
      <c r="BF289" s="406"/>
      <c r="BG289" s="406"/>
      <c r="BH289" s="406"/>
      <c r="BI289" s="406"/>
    </row>
    <row r="290" spans="13:61" ht="20.100000000000001" customHeight="1">
      <c r="M290" s="406"/>
      <c r="N290" s="406"/>
      <c r="O290" s="406"/>
      <c r="P290" s="406"/>
      <c r="Q290" s="406"/>
      <c r="R290" s="406"/>
      <c r="S290" s="406"/>
      <c r="T290" s="406"/>
      <c r="U290" s="406"/>
      <c r="V290" s="406"/>
      <c r="W290" s="406"/>
      <c r="X290" s="406"/>
      <c r="Y290" s="406"/>
      <c r="Z290" s="406"/>
      <c r="AA290" s="406"/>
      <c r="AB290" s="406"/>
      <c r="AC290" s="406"/>
      <c r="AD290" s="406"/>
      <c r="AE290" s="406"/>
      <c r="AF290" s="406"/>
      <c r="AG290" s="406"/>
      <c r="AH290" s="406"/>
      <c r="AI290" s="406"/>
      <c r="AJ290" s="406"/>
      <c r="AK290" s="406"/>
      <c r="AL290" s="406"/>
      <c r="AM290" s="406"/>
      <c r="AN290" s="406"/>
      <c r="AO290" s="406"/>
      <c r="AP290" s="406"/>
      <c r="AQ290" s="406"/>
      <c r="AR290" s="406"/>
      <c r="AS290" s="406"/>
      <c r="AT290" s="406"/>
      <c r="AU290" s="406"/>
      <c r="AV290" s="406"/>
      <c r="AW290" s="406"/>
      <c r="AX290" s="406"/>
      <c r="AY290" s="406"/>
      <c r="AZ290" s="406"/>
      <c r="BA290" s="406"/>
      <c r="BB290" s="406"/>
      <c r="BC290" s="406"/>
      <c r="BD290" s="406"/>
      <c r="BE290" s="406"/>
      <c r="BF290" s="406"/>
      <c r="BG290" s="406"/>
      <c r="BH290" s="406"/>
      <c r="BI290" s="406"/>
    </row>
    <row r="291" spans="13:61" ht="20.100000000000001" customHeight="1">
      <c r="M291" s="406"/>
      <c r="N291" s="406"/>
      <c r="O291" s="406"/>
      <c r="P291" s="406"/>
      <c r="Q291" s="406"/>
      <c r="R291" s="406"/>
      <c r="S291" s="406"/>
      <c r="T291" s="406"/>
      <c r="U291" s="406"/>
      <c r="V291" s="406"/>
      <c r="W291" s="406"/>
      <c r="X291" s="406"/>
      <c r="Y291" s="406"/>
      <c r="Z291" s="406"/>
      <c r="AA291" s="406"/>
      <c r="AB291" s="406"/>
      <c r="AC291" s="406"/>
      <c r="AD291" s="406"/>
      <c r="AE291" s="406"/>
      <c r="AF291" s="406"/>
      <c r="AG291" s="406"/>
      <c r="AH291" s="406"/>
      <c r="AI291" s="406"/>
      <c r="AJ291" s="406"/>
      <c r="AK291" s="406"/>
      <c r="AL291" s="406"/>
      <c r="AM291" s="406"/>
      <c r="AN291" s="406"/>
      <c r="AO291" s="406"/>
      <c r="AP291" s="406"/>
      <c r="AQ291" s="406"/>
      <c r="AR291" s="406"/>
      <c r="AS291" s="406"/>
      <c r="AT291" s="406"/>
      <c r="AU291" s="406"/>
      <c r="AV291" s="406"/>
      <c r="AW291" s="406"/>
      <c r="AX291" s="406"/>
      <c r="AY291" s="406"/>
      <c r="AZ291" s="406"/>
      <c r="BA291" s="406"/>
      <c r="BB291" s="406"/>
      <c r="BC291" s="406"/>
      <c r="BD291" s="406"/>
      <c r="BE291" s="406"/>
      <c r="BF291" s="406"/>
      <c r="BG291" s="406"/>
      <c r="BH291" s="406"/>
      <c r="BI291" s="406"/>
    </row>
    <row r="292" spans="13:61" ht="20.100000000000001" customHeight="1" thickBot="1">
      <c r="M292" s="406"/>
      <c r="N292" s="406"/>
      <c r="O292" s="406"/>
      <c r="P292" s="406"/>
      <c r="Q292" s="406"/>
      <c r="R292" s="406"/>
      <c r="S292" s="406"/>
      <c r="T292" s="406"/>
      <c r="U292" s="406"/>
      <c r="V292" s="406"/>
      <c r="W292" s="406"/>
      <c r="X292" s="406"/>
      <c r="Y292" s="406"/>
      <c r="Z292" s="406"/>
      <c r="AA292" s="406"/>
      <c r="AB292" s="406"/>
      <c r="AC292" s="406"/>
      <c r="AD292" s="406"/>
      <c r="AE292" s="406"/>
      <c r="AF292" s="406"/>
      <c r="AG292" s="406"/>
      <c r="AH292" s="406"/>
      <c r="AI292" s="406"/>
      <c r="AJ292" s="406"/>
      <c r="AK292" s="406"/>
      <c r="AL292" s="406"/>
      <c r="AM292" s="406"/>
      <c r="AN292" s="406"/>
      <c r="AO292" s="406"/>
      <c r="AP292" s="406"/>
      <c r="AQ292" s="406"/>
      <c r="AR292" s="406"/>
      <c r="AS292" s="406"/>
      <c r="AT292" s="406"/>
      <c r="AU292" s="406"/>
      <c r="AV292" s="406"/>
      <c r="AW292" s="406"/>
      <c r="AX292" s="406"/>
      <c r="AY292" s="406"/>
      <c r="AZ292" s="406"/>
      <c r="BA292" s="406"/>
      <c r="BB292" s="406"/>
      <c r="BC292" s="406"/>
      <c r="BD292" s="406"/>
      <c r="BE292" s="406"/>
      <c r="BF292" s="406"/>
      <c r="BG292" s="406"/>
      <c r="BH292" s="406"/>
      <c r="BI292" s="406"/>
    </row>
    <row r="293" spans="13:61" ht="20.100000000000001" customHeight="1">
      <c r="M293" s="406"/>
      <c r="N293" s="406"/>
      <c r="O293" s="406"/>
      <c r="P293" s="406"/>
      <c r="Q293" s="406"/>
      <c r="R293" s="406"/>
      <c r="S293" s="468" t="s">
        <v>3209</v>
      </c>
      <c r="T293" s="1370" t="s">
        <v>3035</v>
      </c>
      <c r="U293" s="1371"/>
      <c r="V293" s="1371"/>
      <c r="W293" s="1371"/>
      <c r="X293" s="1223" t="s">
        <v>3146</v>
      </c>
      <c r="Y293" s="287"/>
      <c r="Z293" s="287"/>
      <c r="AA293" s="287"/>
      <c r="AB293" s="287"/>
      <c r="AC293" s="287"/>
      <c r="AD293" s="287"/>
      <c r="AE293" s="287"/>
      <c r="AF293" s="287"/>
      <c r="AG293" s="287"/>
      <c r="AH293" s="287"/>
      <c r="AI293" s="287"/>
      <c r="AJ293" s="287"/>
      <c r="AK293" s="287"/>
      <c r="AL293" s="287"/>
      <c r="AM293" s="287"/>
      <c r="AN293" s="287"/>
      <c r="AO293" s="287"/>
      <c r="AP293" s="287"/>
      <c r="AQ293" s="287"/>
      <c r="AR293" s="287"/>
      <c r="AS293" s="287"/>
      <c r="AT293" s="287"/>
      <c r="AU293" s="287"/>
      <c r="AV293" s="287"/>
      <c r="AW293" s="287"/>
      <c r="AX293" s="287"/>
      <c r="AY293" s="287"/>
      <c r="AZ293" s="287"/>
      <c r="BA293" s="895"/>
    </row>
    <row r="294" spans="13:61" ht="20.100000000000001" customHeight="1">
      <c r="M294" s="406"/>
      <c r="N294" s="406"/>
      <c r="O294" s="406"/>
      <c r="P294" s="406"/>
      <c r="Q294" s="406"/>
      <c r="R294" s="406"/>
      <c r="S294" s="241" t="s">
        <v>941</v>
      </c>
      <c r="T294" s="787"/>
      <c r="U294" s="777" t="s">
        <v>936</v>
      </c>
      <c r="V294" s="777" t="s">
        <v>937</v>
      </c>
      <c r="W294" s="366"/>
      <c r="X294" s="262">
        <v>2021</v>
      </c>
      <c r="Y294" s="262">
        <v>2022</v>
      </c>
      <c r="Z294" s="262">
        <v>2023</v>
      </c>
      <c r="AA294" s="262">
        <v>2024</v>
      </c>
      <c r="AB294" s="262">
        <v>2025</v>
      </c>
      <c r="AC294" s="262">
        <v>2026</v>
      </c>
      <c r="AD294" s="262">
        <v>2027</v>
      </c>
      <c r="AE294" s="262">
        <v>2028</v>
      </c>
      <c r="AF294" s="262">
        <v>2029</v>
      </c>
      <c r="AG294" s="262">
        <v>2030</v>
      </c>
      <c r="AH294" s="262">
        <v>2031</v>
      </c>
      <c r="AI294" s="262">
        <v>2032</v>
      </c>
      <c r="AJ294" s="262">
        <v>2033</v>
      </c>
      <c r="AK294" s="262">
        <v>2034</v>
      </c>
      <c r="AL294" s="262">
        <v>2035</v>
      </c>
      <c r="AM294" s="262">
        <v>2036</v>
      </c>
      <c r="AN294" s="262">
        <v>2037</v>
      </c>
      <c r="AO294" s="262">
        <v>2038</v>
      </c>
      <c r="AP294" s="262">
        <v>2039</v>
      </c>
      <c r="AQ294" s="262">
        <v>2040</v>
      </c>
      <c r="AR294" s="262">
        <v>2041</v>
      </c>
      <c r="AS294" s="262">
        <v>2042</v>
      </c>
      <c r="AT294" s="262">
        <v>2043</v>
      </c>
      <c r="AU294" s="262">
        <v>2044</v>
      </c>
      <c r="AV294" s="262">
        <v>2045</v>
      </c>
      <c r="AW294" s="262">
        <v>2046</v>
      </c>
      <c r="AX294" s="262">
        <v>2047</v>
      </c>
      <c r="AY294" s="262">
        <v>2048</v>
      </c>
      <c r="AZ294" s="262">
        <v>2049</v>
      </c>
      <c r="BA294" s="492">
        <v>2050</v>
      </c>
    </row>
    <row r="295" spans="13:61" ht="20.100000000000001" customHeight="1">
      <c r="M295" s="406"/>
      <c r="N295" s="406"/>
      <c r="O295" s="406"/>
      <c r="P295" s="406"/>
      <c r="Q295" s="406"/>
      <c r="R295" s="406"/>
      <c r="S295" s="862" t="s">
        <v>84</v>
      </c>
      <c r="T295" s="552" t="s">
        <v>3145</v>
      </c>
      <c r="U295" s="558">
        <f>INDEX('DEFAULT DATA'!$AS$9:$AW$41,START!$C$3,1)</f>
        <v>0</v>
      </c>
      <c r="V295" s="558">
        <f>100-U295</f>
        <v>100</v>
      </c>
      <c r="W295" s="366"/>
      <c r="X295" s="366"/>
      <c r="Y295" s="1372">
        <f>IF(Y$294&gt;(START!$C$2+2020),($G$8*(Y$202/(Y$202+Y$203)))+($G$138*(Y$203/(Y$202+Y$203))),0)</f>
        <v>0</v>
      </c>
      <c r="Z295" s="1372">
        <f>IF(Z$294&gt;(START!$C$2+2020),($G$8*(Z$202/(Z$202+Z$203)))+($G$138*(Z$203/(Z$202+Z$203))),0)</f>
        <v>75</v>
      </c>
      <c r="AA295" s="1372">
        <f>IF(AA$294&gt;(START!$C$2+2020),($G$8*(AA$202/(AA$202+AA$203)))+($G$138*(AA$203/(AA$202+AA$203))),0)</f>
        <v>75</v>
      </c>
      <c r="AB295" s="1372">
        <f>IF(AB$294&gt;(START!$C$2+2020),($G$8*(AB$202/(AB$202+AB$203)))+($G$138*(AB$203/(AB$202+AB$203))),0)</f>
        <v>75</v>
      </c>
      <c r="AC295" s="1372">
        <f>IF(AC$294&gt;(START!$C$2+2020),($G$8*(AC$202/(AC$202+AC$203)))+($G$138*(AC$203/(AC$202+AC$203))),0)</f>
        <v>75</v>
      </c>
      <c r="AD295" s="1372">
        <f>IF(AD$294&gt;(START!$C$2+2020),($G$8*(AD$202/(AD$202+AD$203)))+($G$138*(AD$203/(AD$202+AD$203))),0)</f>
        <v>75</v>
      </c>
      <c r="AE295" s="1372">
        <f>IF(AE$294&gt;(START!$C$2+2020),($G$8*(AE$202/(AE$202+AE$203)))+($G$138*(AE$203/(AE$202+AE$203))),0)</f>
        <v>75</v>
      </c>
      <c r="AF295" s="1372">
        <f>IF(AF$294&gt;(START!$C$2+2020),($G$8*(AF$202/(AF$202+AF$203)))+($G$138*(AF$203/(AF$202+AF$203))),0)</f>
        <v>75</v>
      </c>
      <c r="AG295" s="1372">
        <f>IF(AG$294&gt;(START!$C$2+2020),($G$8*(AG$202/(AG$202+AG$203)))+($G$138*(AG$203/(AG$202+AG$203))),0)</f>
        <v>64.370764207178638</v>
      </c>
      <c r="AH295" s="1372">
        <f>IF(AH$294&gt;(START!$C$2+2020),($G$8*(AH$202/(AH$202+AH$203)))+($G$138*(AH$203/(AH$202+AH$203))),0)</f>
        <v>56.408263737571303</v>
      </c>
      <c r="AI295" s="1372">
        <f>IF(AI$294&gt;(START!$C$2+2020),($G$8*(AI$202/(AI$202+AI$203)))+($G$138*(AI$203/(AI$202+AI$203))),0)</f>
        <v>50.220866881861824</v>
      </c>
      <c r="AJ295" s="1372">
        <f>IF(AJ$294&gt;(START!$C$2+2020),($G$8*(AJ$202/(AJ$202+AJ$203)))+($G$138*(AJ$203/(AJ$202+AJ$203))),0)</f>
        <v>45.274576482793265</v>
      </c>
      <c r="AK295" s="1372">
        <f>IF(AK$294&gt;(START!$C$2+2020),($G$8*(AK$202/(AK$202+AK$203)))+($G$138*(AK$203/(AK$202+AK$203))),0)</f>
        <v>41.230062029242355</v>
      </c>
      <c r="AL295" s="1372">
        <f>IF(AL$294&gt;(START!$C$2+2020),($G$8*(AL$202/(AL$202+AL$203)))+($G$138*(AL$203/(AL$202+AL$203))),0)</f>
        <v>37.861270602916157</v>
      </c>
      <c r="AM295" s="1372">
        <f>IF(AM$294&gt;(START!$C$2+2020),($G$8*(AM$202/(AM$202+AM$203)))+($G$138*(AM$203/(AM$202+AM$203))),0)</f>
        <v>37.861198831709892</v>
      </c>
      <c r="AN295" s="1372">
        <f>IF(AN$294&gt;(START!$C$2+2020),($G$8*(AN$202/(AN$202+AN$203)))+($G$138*(AN$203/(AN$202+AN$203))),0)</f>
        <v>37.861125565038975</v>
      </c>
      <c r="AO295" s="1372">
        <f>IF(AO$294&gt;(START!$C$2+2020),($G$8*(AO$202/(AO$202+AO$203)))+($G$138*(AO$203/(AO$202+AO$203))),0)</f>
        <v>37.861050812918087</v>
      </c>
      <c r="AP295" s="1372">
        <f>IF(AP$294&gt;(START!$C$2+2020),($G$8*(AP$202/(AP$202+AP$203)))+($G$138*(AP$203/(AP$202+AP$203))),0)</f>
        <v>37.861067581043706</v>
      </c>
      <c r="AQ295" s="1372">
        <f>IF(AQ$294&gt;(START!$C$2+2020),($G$8*(AQ$202/(AQ$202+AQ$203)))+($G$138*(AQ$203/(AQ$202+AQ$203))),0)</f>
        <v>37.861082512134132</v>
      </c>
      <c r="AR295" s="1372">
        <f>IF(AR$294&gt;(START!$C$2+2020),($G$8*(AR$202/(AR$202+AR$203)))+($G$138*(AR$203/(AR$202+AR$203))),0)</f>
        <v>37.861004758351577</v>
      </c>
      <c r="AS295" s="1372">
        <f>IF(AS$294&gt;(START!$C$2+2020),($G$8*(AS$202/(AS$202+AS$203)))+($G$138*(AS$203/(AS$202+AS$203))),0)</f>
        <v>37.860925551551375</v>
      </c>
      <c r="AT295" s="1372">
        <f>IF(AT$294&gt;(START!$C$2+2020),($G$8*(AT$202/(AT$202+AT$203)))+($G$138*(AT$203/(AT$202+AT$203))),0)</f>
        <v>37.860844901569479</v>
      </c>
      <c r="AU295" s="1372">
        <f>IF(AU$294&gt;(START!$C$2+2020),($G$8*(AU$202/(AU$202+AU$203)))+($G$138*(AU$203/(AU$202+AU$203))),0)</f>
        <v>37.860854889582235</v>
      </c>
      <c r="AV295" s="1372">
        <f>IF(AV$294&gt;(START!$C$2+2020),($G$8*(AV$202/(AV$202+AV$203)))+($G$138*(AV$203/(AV$202+AV$203))),0)</f>
        <v>37.860863086209115</v>
      </c>
      <c r="AW295" s="1372">
        <f>IF(AW$294&gt;(START!$C$2+2020),($G$8*(AW$202/(AW$202+AW$203)))+($G$138*(AW$203/(AW$202+AW$203))),0)</f>
        <v>37.860779545410509</v>
      </c>
      <c r="AX295" s="1372">
        <f>IF(AX$294&gt;(START!$C$2+2020),($G$8*(AX$202/(AX$202+AX$203)))+($G$138*(AX$203/(AX$202+AX$203))),0)</f>
        <v>37.860694593176866</v>
      </c>
      <c r="AY295" s="1372">
        <f>IF(AY$294&gt;(START!$C$2+2020),($G$8*(AY$202/(AY$202+AY$203)))+($G$138*(AY$203/(AY$202+AY$203))),0)</f>
        <v>37.860608239165472</v>
      </c>
      <c r="AZ295" s="1372">
        <f>IF(AZ$294&gt;(START!$C$2+2020),($G$8*(AZ$202/(AZ$202+AZ$203)))+($G$138*(AZ$203/(AZ$202+AZ$203))),0)</f>
        <v>37.860520492997253</v>
      </c>
      <c r="BA295" s="1373">
        <f>IF(BA$294&gt;(START!$C$2+2020),($G$8*(BA$202/(BA$202+BA$203)))+($G$138*(BA$203/(BA$202+BA$203))),0)</f>
        <v>37.860522338388193</v>
      </c>
    </row>
    <row r="296" spans="13:61" ht="20.100000000000001" customHeight="1">
      <c r="M296" s="406"/>
      <c r="N296" s="406"/>
      <c r="O296" s="406"/>
      <c r="P296" s="406"/>
      <c r="Q296" s="406"/>
      <c r="R296" s="406"/>
      <c r="S296" s="862" t="s">
        <v>85</v>
      </c>
      <c r="T296" s="552" t="s">
        <v>3145</v>
      </c>
      <c r="U296" s="558">
        <f>INDEX('DEFAULT DATA'!$AS$9:$AW$41,START!$C$3,2)</f>
        <v>10</v>
      </c>
      <c r="V296" s="558">
        <f t="shared" ref="V296:V299" si="486">100-U296</f>
        <v>90</v>
      </c>
      <c r="W296" s="366"/>
      <c r="X296" s="366"/>
      <c r="Y296" s="1372">
        <f>IF(Y$294&gt;(START!$C$2+2020),($G$9*(Y$202/(Y$202+Y$203)))+($G$139*(Y$203/(Y$202+Y$203))),0)</f>
        <v>0</v>
      </c>
      <c r="Z296" s="1372">
        <f>IF(Z$294&gt;(START!$C$2+2020),($G$9*(Z$202/(Z$202+Z$203)))+($G$139*(Z$203/(Z$202+Z$203))),0)</f>
        <v>25</v>
      </c>
      <c r="AA296" s="1372">
        <f>IF(AA$294&gt;(START!$C$2+2020),($G$9*(AA$202/(AA$202+AA$203)))+($G$139*(AA$203/(AA$202+AA$203))),0)</f>
        <v>25</v>
      </c>
      <c r="AB296" s="1372">
        <f>IF(AB$294&gt;(START!$C$2+2020),($G$9*(AB$202/(AB$202+AB$203)))+($G$139*(AB$203/(AB$202+AB$203))),0)</f>
        <v>25</v>
      </c>
      <c r="AC296" s="1372">
        <f>IF(AC$294&gt;(START!$C$2+2020),($G$9*(AC$202/(AC$202+AC$203)))+($G$139*(AC$203/(AC$202+AC$203))),0)</f>
        <v>25</v>
      </c>
      <c r="AD296" s="1372">
        <f>IF(AD$294&gt;(START!$C$2+2020),($G$9*(AD$202/(AD$202+AD$203)))+($G$139*(AD$203/(AD$202+AD$203))),0)</f>
        <v>25</v>
      </c>
      <c r="AE296" s="1372">
        <f>IF(AE$294&gt;(START!$C$2+2020),($G$9*(AE$202/(AE$202+AE$203)))+($G$139*(AE$203/(AE$202+AE$203))),0)</f>
        <v>25</v>
      </c>
      <c r="AF296" s="1372">
        <f>IF(AF$294&gt;(START!$C$2+2020),($G$9*(AF$202/(AF$202+AF$203)))+($G$139*(AF$203/(AF$202+AF$203))),0)</f>
        <v>25</v>
      </c>
      <c r="AG296" s="1372">
        <f>IF(AG$294&gt;(START!$C$2+2020),($G$9*(AG$202/(AG$202+AG$203)))+($G$139*(AG$203/(AG$202+AG$203))),0)</f>
        <v>21.456921402392879</v>
      </c>
      <c r="AH296" s="1372">
        <f>IF(AH$294&gt;(START!$C$2+2020),($G$9*(AH$202/(AH$202+AH$203)))+($G$139*(AH$203/(AH$202+AH$203))),0)</f>
        <v>18.802754579190434</v>
      </c>
      <c r="AI296" s="1372">
        <f>IF(AI$294&gt;(START!$C$2+2020),($G$9*(AI$202/(AI$202+AI$203)))+($G$139*(AI$203/(AI$202+AI$203))),0)</f>
        <v>16.74028896062061</v>
      </c>
      <c r="AJ296" s="1372">
        <f>IF(AJ$294&gt;(START!$C$2+2020),($G$9*(AJ$202/(AJ$202+AJ$203)))+($G$139*(AJ$203/(AJ$202+AJ$203))),0)</f>
        <v>15.09152549426442</v>
      </c>
      <c r="AK296" s="1372">
        <f>IF(AK$294&gt;(START!$C$2+2020),($G$9*(AK$202/(AK$202+AK$203)))+($G$139*(AK$203/(AK$202+AK$203))),0)</f>
        <v>13.743354009747453</v>
      </c>
      <c r="AL296" s="1372">
        <f>IF(AL$294&gt;(START!$C$2+2020),($G$9*(AL$202/(AL$202+AL$203)))+($G$139*(AL$203/(AL$202+AL$203))),0)</f>
        <v>12.620423534305386</v>
      </c>
      <c r="AM296" s="1372">
        <f>IF(AM$294&gt;(START!$C$2+2020),($G$9*(AM$202/(AM$202+AM$203)))+($G$139*(AM$203/(AM$202+AM$203))),0)</f>
        <v>12.620399610569963</v>
      </c>
      <c r="AN296" s="1372">
        <f>IF(AN$294&gt;(START!$C$2+2020),($G$9*(AN$202/(AN$202+AN$203)))+($G$139*(AN$203/(AN$202+AN$203))),0)</f>
        <v>12.620375188346324</v>
      </c>
      <c r="AO296" s="1372">
        <f>IF(AO$294&gt;(START!$C$2+2020),($G$9*(AO$202/(AO$202+AO$203)))+($G$139*(AO$203/(AO$202+AO$203))),0)</f>
        <v>12.620350270972697</v>
      </c>
      <c r="AP296" s="1372">
        <f>IF(AP$294&gt;(START!$C$2+2020),($G$9*(AP$202/(AP$202+AP$203)))+($G$139*(AP$203/(AP$202+AP$203))),0)</f>
        <v>12.620355860347901</v>
      </c>
      <c r="AQ296" s="1372">
        <f>IF(AQ$294&gt;(START!$C$2+2020),($G$9*(AQ$202/(AQ$202+AQ$203)))+($G$139*(AQ$203/(AQ$202+AQ$203))),0)</f>
        <v>12.620360837378044</v>
      </c>
      <c r="AR296" s="1372">
        <f>IF(AR$294&gt;(START!$C$2+2020),($G$9*(AR$202/(AR$202+AR$203)))+($G$139*(AR$203/(AR$202+AR$203))),0)</f>
        <v>12.620334919450526</v>
      </c>
      <c r="AS296" s="1372">
        <f>IF(AS$294&gt;(START!$C$2+2020),($G$9*(AS$202/(AS$202+AS$203)))+($G$139*(AS$203/(AS$202+AS$203))),0)</f>
        <v>12.620308517183792</v>
      </c>
      <c r="AT296" s="1372">
        <f>IF(AT$294&gt;(START!$C$2+2020),($G$9*(AT$202/(AT$202+AT$203)))+($G$139*(AT$203/(AT$202+AT$203))),0)</f>
        <v>12.620281633856493</v>
      </c>
      <c r="AU296" s="1372">
        <f>IF(AU$294&gt;(START!$C$2+2020),($G$9*(AU$202/(AU$202+AU$203)))+($G$139*(AU$203/(AU$202+AU$203))),0)</f>
        <v>12.620284963194079</v>
      </c>
      <c r="AV296" s="1372">
        <f>IF(AV$294&gt;(START!$C$2+2020),($G$9*(AV$202/(AV$202+AV$203)))+($G$139*(AV$203/(AV$202+AV$203))),0)</f>
        <v>12.620287695403038</v>
      </c>
      <c r="AW296" s="1372">
        <f>IF(AW$294&gt;(START!$C$2+2020),($G$9*(AW$202/(AW$202+AW$203)))+($G$139*(AW$203/(AW$202+AW$203))),0)</f>
        <v>12.62025984847017</v>
      </c>
      <c r="AX296" s="1372">
        <f>IF(AX$294&gt;(START!$C$2+2020),($G$9*(AX$202/(AX$202+AX$203)))+($G$139*(AX$203/(AX$202+AX$203))),0)</f>
        <v>12.620231531058955</v>
      </c>
      <c r="AY296" s="1372">
        <f>IF(AY$294&gt;(START!$C$2+2020),($G$9*(AY$202/(AY$202+AY$203)))+($G$139*(AY$203/(AY$202+AY$203))),0)</f>
        <v>12.62020274638849</v>
      </c>
      <c r="AZ296" s="1372">
        <f>IF(AZ$294&gt;(START!$C$2+2020),($G$9*(AZ$202/(AZ$202+AZ$203)))+($G$139*(AZ$203/(AZ$202+AZ$203))),0)</f>
        <v>12.620173497665752</v>
      </c>
      <c r="BA296" s="1373">
        <f>IF(BA$294&gt;(START!$C$2+2020),($G$9*(BA$202/(BA$202+BA$203)))+($G$139*(BA$203/(BA$202+BA$203))),0)</f>
        <v>12.620174112796064</v>
      </c>
    </row>
    <row r="297" spans="13:61" ht="20.100000000000001" customHeight="1">
      <c r="M297" s="407"/>
      <c r="N297" s="407"/>
      <c r="O297" s="407"/>
      <c r="P297" s="407"/>
      <c r="Q297" s="407"/>
      <c r="R297" s="407"/>
      <c r="S297" s="862" t="s">
        <v>86</v>
      </c>
      <c r="T297" s="552" t="s">
        <v>3145</v>
      </c>
      <c r="U297" s="558">
        <f>INDEX('DEFAULT DATA'!$AS$9:$AW$41,START!$C$3,3)</f>
        <v>20</v>
      </c>
      <c r="V297" s="558">
        <f t="shared" si="486"/>
        <v>80</v>
      </c>
      <c r="W297" s="366"/>
      <c r="X297" s="366"/>
      <c r="Y297" s="1372">
        <f>IF(Y$294&gt;(START!$C$2+2020),($G$10*(Y$202/(Y$202+Y$203)))+($G$140*(Y$203/(Y$202+Y$203))),0)</f>
        <v>0</v>
      </c>
      <c r="Z297" s="1372">
        <f>IF(Z$294&gt;(START!$C$2+2020),($G$10*(Z$202/(Z$202+Z$203)))+($G$140*(Z$203/(Z$202+Z$203))),0)</f>
        <v>0</v>
      </c>
      <c r="AA297" s="1372">
        <f>IF(AA$294&gt;(START!$C$2+2020),($G$10*(AA$202/(AA$202+AA$203)))+($G$140*(AA$203/(AA$202+AA$203))),0)</f>
        <v>0</v>
      </c>
      <c r="AB297" s="1372">
        <f>IF(AB$294&gt;(START!$C$2+2020),($G$10*(AB$202/(AB$202+AB$203)))+($G$140*(AB$203/(AB$202+AB$203))),0)</f>
        <v>0</v>
      </c>
      <c r="AC297" s="1372">
        <f>IF(AC$294&gt;(START!$C$2+2020),($G$10*(AC$202/(AC$202+AC$203)))+($G$140*(AC$203/(AC$202+AC$203))),0)</f>
        <v>0</v>
      </c>
      <c r="AD297" s="1372">
        <f>IF(AD$294&gt;(START!$C$2+2020),($G$10*(AD$202/(AD$202+AD$203)))+($G$140*(AD$203/(AD$202+AD$203))),0)</f>
        <v>0</v>
      </c>
      <c r="AE297" s="1372">
        <f>IF(AE$294&gt;(START!$C$2+2020),($G$10*(AE$202/(AE$202+AE$203)))+($G$140*(AE$203/(AE$202+AE$203))),0)</f>
        <v>0</v>
      </c>
      <c r="AF297" s="1372">
        <f>IF(AF$294&gt;(START!$C$2+2020),($G$10*(AF$202/(AF$202+AF$203)))+($G$140*(AF$203/(AF$202+AF$203))),0)</f>
        <v>0</v>
      </c>
      <c r="AG297" s="1372">
        <f>IF(AG$294&gt;(START!$C$2+2020),($G$10*(AG$202/(AG$202+AG$203)))+($G$140*(AG$203/(AG$202+AG$203))),0)</f>
        <v>0</v>
      </c>
      <c r="AH297" s="1372">
        <f>IF(AH$294&gt;(START!$C$2+2020),($G$10*(AH$202/(AH$202+AH$203)))+($G$140*(AH$203/(AH$202+AH$203))),0)</f>
        <v>0</v>
      </c>
      <c r="AI297" s="1372">
        <f>IF(AI$294&gt;(START!$C$2+2020),($G$10*(AI$202/(AI$202+AI$203)))+($G$140*(AI$203/(AI$202+AI$203))),0)</f>
        <v>0</v>
      </c>
      <c r="AJ297" s="1372">
        <f>IF(AJ$294&gt;(START!$C$2+2020),($G$10*(AJ$202/(AJ$202+AJ$203)))+($G$140*(AJ$203/(AJ$202+AJ$203))),0)</f>
        <v>0</v>
      </c>
      <c r="AK297" s="1372">
        <f>IF(AK$294&gt;(START!$C$2+2020),($G$10*(AK$202/(AK$202+AK$203)))+($G$140*(AK$203/(AK$202+AK$203))),0)</f>
        <v>0</v>
      </c>
      <c r="AL297" s="1372">
        <f>IF(AL$294&gt;(START!$C$2+2020),($G$10*(AL$202/(AL$202+AL$203)))+($G$140*(AL$203/(AL$202+AL$203))),0)</f>
        <v>0</v>
      </c>
      <c r="AM297" s="1372">
        <f>IF(AM$294&gt;(START!$C$2+2020),($G$10*(AM$202/(AM$202+AM$203)))+($G$140*(AM$203/(AM$202+AM$203))),0)</f>
        <v>0</v>
      </c>
      <c r="AN297" s="1372">
        <f>IF(AN$294&gt;(START!$C$2+2020),($G$10*(AN$202/(AN$202+AN$203)))+($G$140*(AN$203/(AN$202+AN$203))),0)</f>
        <v>0</v>
      </c>
      <c r="AO297" s="1372">
        <f>IF(AO$294&gt;(START!$C$2+2020),($G$10*(AO$202/(AO$202+AO$203)))+($G$140*(AO$203/(AO$202+AO$203))),0)</f>
        <v>0</v>
      </c>
      <c r="AP297" s="1372">
        <f>IF(AP$294&gt;(START!$C$2+2020),($G$10*(AP$202/(AP$202+AP$203)))+($G$140*(AP$203/(AP$202+AP$203))),0)</f>
        <v>0</v>
      </c>
      <c r="AQ297" s="1372">
        <f>IF(AQ$294&gt;(START!$C$2+2020),($G$10*(AQ$202/(AQ$202+AQ$203)))+($G$140*(AQ$203/(AQ$202+AQ$203))),0)</f>
        <v>0</v>
      </c>
      <c r="AR297" s="1372">
        <f>IF(AR$294&gt;(START!$C$2+2020),($G$10*(AR$202/(AR$202+AR$203)))+($G$140*(AR$203/(AR$202+AR$203))),0)</f>
        <v>0</v>
      </c>
      <c r="AS297" s="1372">
        <f>IF(AS$294&gt;(START!$C$2+2020),($G$10*(AS$202/(AS$202+AS$203)))+($G$140*(AS$203/(AS$202+AS$203))),0)</f>
        <v>0</v>
      </c>
      <c r="AT297" s="1372">
        <f>IF(AT$294&gt;(START!$C$2+2020),($G$10*(AT$202/(AT$202+AT$203)))+($G$140*(AT$203/(AT$202+AT$203))),0)</f>
        <v>0</v>
      </c>
      <c r="AU297" s="1372">
        <f>IF(AU$294&gt;(START!$C$2+2020),($G$10*(AU$202/(AU$202+AU$203)))+($G$140*(AU$203/(AU$202+AU$203))),0)</f>
        <v>0</v>
      </c>
      <c r="AV297" s="1372">
        <f>IF(AV$294&gt;(START!$C$2+2020),($G$10*(AV$202/(AV$202+AV$203)))+($G$140*(AV$203/(AV$202+AV$203))),0)</f>
        <v>0</v>
      </c>
      <c r="AW297" s="1372">
        <f>IF(AW$294&gt;(START!$C$2+2020),($G$10*(AW$202/(AW$202+AW$203)))+($G$140*(AW$203/(AW$202+AW$203))),0)</f>
        <v>0</v>
      </c>
      <c r="AX297" s="1372">
        <f>IF(AX$294&gt;(START!$C$2+2020),($G$10*(AX$202/(AX$202+AX$203)))+($G$140*(AX$203/(AX$202+AX$203))),0)</f>
        <v>0</v>
      </c>
      <c r="AY297" s="1372">
        <f>IF(AY$294&gt;(START!$C$2+2020),($G$10*(AY$202/(AY$202+AY$203)))+($G$140*(AY$203/(AY$202+AY$203))),0)</f>
        <v>0</v>
      </c>
      <c r="AZ297" s="1372">
        <f>IF(AZ$294&gt;(START!$C$2+2020),($G$10*(AZ$202/(AZ$202+AZ$203)))+($G$140*(AZ$203/(AZ$202+AZ$203))),0)</f>
        <v>0</v>
      </c>
      <c r="BA297" s="1373">
        <f>IF(BA$294&gt;(START!$C$2+2020),($G$10*(BA$202/(BA$202+BA$203)))+($G$140*(BA$203/(BA$202+BA$203))),0)</f>
        <v>0</v>
      </c>
    </row>
    <row r="298" spans="13:61" ht="20.100000000000001" customHeight="1">
      <c r="M298" s="406"/>
      <c r="N298" s="406"/>
      <c r="O298" s="406"/>
      <c r="P298" s="406"/>
      <c r="Q298" s="406"/>
      <c r="R298" s="406"/>
      <c r="S298" s="862" t="s">
        <v>87</v>
      </c>
      <c r="T298" s="552" t="s">
        <v>3145</v>
      </c>
      <c r="U298" s="558">
        <f>INDEX('DEFAULT DATA'!$AS$9:$AW$41,START!$C$3,4)</f>
        <v>70</v>
      </c>
      <c r="V298" s="558">
        <f t="shared" si="486"/>
        <v>30</v>
      </c>
      <c r="W298" s="366"/>
      <c r="X298" s="366"/>
      <c r="Y298" s="1372">
        <f>IF(Y$294&gt;(START!$C$2+2020),($G$11*(Y$202/(Y$202+Y$203)))+($G$141*(Y$203/(Y$202+Y$203))),0)</f>
        <v>0</v>
      </c>
      <c r="Z298" s="1372">
        <f>IF(Z$294&gt;(START!$C$2+2020),($G$11*(Z$202/(Z$202+Z$203)))+($G$141*(Z$203/(Z$202+Z$203))),0)</f>
        <v>0</v>
      </c>
      <c r="AA298" s="1372">
        <f>IF(AA$294&gt;(START!$C$2+2020),($G$11*(AA$202/(AA$202+AA$203)))+($G$141*(AA$203/(AA$202+AA$203))),0)</f>
        <v>0</v>
      </c>
      <c r="AB298" s="1372">
        <f>IF(AB$294&gt;(START!$C$2+2020),($G$11*(AB$202/(AB$202+AB$203)))+($G$141*(AB$203/(AB$202+AB$203))),0)</f>
        <v>0</v>
      </c>
      <c r="AC298" s="1372">
        <f>IF(AC$294&gt;(START!$C$2+2020),($G$11*(AC$202/(AC$202+AC$203)))+($G$141*(AC$203/(AC$202+AC$203))),0)</f>
        <v>0</v>
      </c>
      <c r="AD298" s="1372">
        <f>IF(AD$294&gt;(START!$C$2+2020),($G$11*(AD$202/(AD$202+AD$203)))+($G$141*(AD$203/(AD$202+AD$203))),0)</f>
        <v>0</v>
      </c>
      <c r="AE298" s="1372">
        <f>IF(AE$294&gt;(START!$C$2+2020),($G$11*(AE$202/(AE$202+AE$203)))+($G$141*(AE$203/(AE$202+AE$203))),0)</f>
        <v>0</v>
      </c>
      <c r="AF298" s="1372">
        <f>IF(AF$294&gt;(START!$C$2+2020),($G$11*(AF$202/(AF$202+AF$203)))+($G$141*(AF$203/(AF$202+AF$203))),0)</f>
        <v>0</v>
      </c>
      <c r="AG298" s="1372">
        <f>IF(AG$294&gt;(START!$C$2+2020),($G$11*(AG$202/(AG$202+AG$203)))+($G$141*(AG$203/(AG$202+AG$203))),0)</f>
        <v>10.629235792821367</v>
      </c>
      <c r="AH298" s="1372">
        <f>IF(AH$294&gt;(START!$C$2+2020),($G$11*(AH$202/(AH$202+AH$203)))+($G$141*(AH$203/(AH$202+AH$203))),0)</f>
        <v>18.5917362624287</v>
      </c>
      <c r="AI298" s="1372">
        <f>IF(AI$294&gt;(START!$C$2+2020),($G$11*(AI$202/(AI$202+AI$203)))+($G$141*(AI$203/(AI$202+AI$203))),0)</f>
        <v>24.779133118138176</v>
      </c>
      <c r="AJ298" s="1372">
        <f>IF(AJ$294&gt;(START!$C$2+2020),($G$11*(AJ$202/(AJ$202+AJ$203)))+($G$141*(AJ$203/(AJ$202+AJ$203))),0)</f>
        <v>29.725423517206732</v>
      </c>
      <c r="AK298" s="1372">
        <f>IF(AK$294&gt;(START!$C$2+2020),($G$11*(AK$202/(AK$202+AK$203)))+($G$141*(AK$203/(AK$202+AK$203))),0)</f>
        <v>33.769937970757645</v>
      </c>
      <c r="AL298" s="1372">
        <f>IF(AL$294&gt;(START!$C$2+2020),($G$11*(AL$202/(AL$202+AL$203)))+($G$141*(AL$203/(AL$202+AL$203))),0)</f>
        <v>37.138729397083836</v>
      </c>
      <c r="AM298" s="1372">
        <f>IF(AM$294&gt;(START!$C$2+2020),($G$11*(AM$202/(AM$202+AM$203)))+($G$141*(AM$203/(AM$202+AM$203))),0)</f>
        <v>37.138801168290115</v>
      </c>
      <c r="AN298" s="1372">
        <f>IF(AN$294&gt;(START!$C$2+2020),($G$11*(AN$202/(AN$202+AN$203)))+($G$141*(AN$203/(AN$202+AN$203))),0)</f>
        <v>37.138874434961025</v>
      </c>
      <c r="AO298" s="1372">
        <f>IF(AO$294&gt;(START!$C$2+2020),($G$11*(AO$202/(AO$202+AO$203)))+($G$141*(AO$203/(AO$202+AO$203))),0)</f>
        <v>37.138949187081913</v>
      </c>
      <c r="AP298" s="1372">
        <f>IF(AP$294&gt;(START!$C$2+2020),($G$11*(AP$202/(AP$202+AP$203)))+($G$141*(AP$203/(AP$202+AP$203))),0)</f>
        <v>37.138932418956294</v>
      </c>
      <c r="AQ298" s="1372">
        <f>IF(AQ$294&gt;(START!$C$2+2020),($G$11*(AQ$202/(AQ$202+AQ$203)))+($G$141*(AQ$203/(AQ$202+AQ$203))),0)</f>
        <v>37.138917487865861</v>
      </c>
      <c r="AR298" s="1372">
        <f>IF(AR$294&gt;(START!$C$2+2020),($G$11*(AR$202/(AR$202+AR$203)))+($G$141*(AR$203/(AR$202+AR$203))),0)</f>
        <v>37.138995241648423</v>
      </c>
      <c r="AS298" s="1372">
        <f>IF(AS$294&gt;(START!$C$2+2020),($G$11*(AS$202/(AS$202+AS$203)))+($G$141*(AS$203/(AS$202+AS$203))),0)</f>
        <v>37.139074448448625</v>
      </c>
      <c r="AT298" s="1372">
        <f>IF(AT$294&gt;(START!$C$2+2020),($G$11*(AT$202/(AT$202+AT$203)))+($G$141*(AT$203/(AT$202+AT$203))),0)</f>
        <v>37.139155098430521</v>
      </c>
      <c r="AU298" s="1372">
        <f>IF(AU$294&gt;(START!$C$2+2020),($G$11*(AU$202/(AU$202+AU$203)))+($G$141*(AU$203/(AU$202+AU$203))),0)</f>
        <v>37.139145110417765</v>
      </c>
      <c r="AV298" s="1372">
        <f>IF(AV$294&gt;(START!$C$2+2020),($G$11*(AV$202/(AV$202+AV$203)))+($G$141*(AV$203/(AV$202+AV$203))),0)</f>
        <v>37.139136913790885</v>
      </c>
      <c r="AW298" s="1372">
        <f>IF(AW$294&gt;(START!$C$2+2020),($G$11*(AW$202/(AW$202+AW$203)))+($G$141*(AW$203/(AW$202+AW$203))),0)</f>
        <v>37.139220454589491</v>
      </c>
      <c r="AX298" s="1372">
        <f>IF(AX$294&gt;(START!$C$2+2020),($G$11*(AX$202/(AX$202+AX$203)))+($G$141*(AX$203/(AX$202+AX$203))),0)</f>
        <v>37.139305406823134</v>
      </c>
      <c r="AY298" s="1372">
        <f>IF(AY$294&gt;(START!$C$2+2020),($G$11*(AY$202/(AY$202+AY$203)))+($G$141*(AY$203/(AY$202+AY$203))),0)</f>
        <v>37.139391760834528</v>
      </c>
      <c r="AZ298" s="1372">
        <f>IF(AZ$294&gt;(START!$C$2+2020),($G$11*(AZ$202/(AZ$202+AZ$203)))+($G$141*(AZ$203/(AZ$202+AZ$203))),0)</f>
        <v>37.139479507002747</v>
      </c>
      <c r="BA298" s="1373">
        <f>IF(BA$294&gt;(START!$C$2+2020),($G$11*(BA$202/(BA$202+BA$203)))+($G$141*(BA$203/(BA$202+BA$203))),0)</f>
        <v>37.139477661611807</v>
      </c>
    </row>
    <row r="299" spans="13:61" ht="20.100000000000001" customHeight="1" thickBot="1">
      <c r="M299" s="407"/>
      <c r="N299" s="407"/>
      <c r="O299" s="407"/>
      <c r="P299" s="407"/>
      <c r="Q299" s="407"/>
      <c r="R299" s="407"/>
      <c r="S299" s="1379" t="s">
        <v>88</v>
      </c>
      <c r="T299" s="1378" t="s">
        <v>3145</v>
      </c>
      <c r="U299" s="1380">
        <f>INDEX('DEFAULT DATA'!$AS$9:$AW$41,START!$C$3,5)</f>
        <v>100</v>
      </c>
      <c r="V299" s="1380">
        <f t="shared" si="486"/>
        <v>0</v>
      </c>
      <c r="W299" s="819"/>
      <c r="X299" s="819"/>
      <c r="Y299" s="1381">
        <f>IF(Y$294&gt;(START!$C$2+2020),($G$12*(Y$202/(Y$202+Y$203)))+($G$142*(Y$203/(Y$202+Y$203))),0)</f>
        <v>0</v>
      </c>
      <c r="Z299" s="1381">
        <f>IF(Z$294&gt;(START!$C$2+2020),($G$12*(Z$202/(Z$202+Z$203)))+($G$142*(Z$203/(Z$202+Z$203))),0)</f>
        <v>0</v>
      </c>
      <c r="AA299" s="1381">
        <f>IF(AA$294&gt;(START!$C$2+2020),($G$12*(AA$202/(AA$202+AA$203)))+($G$142*(AA$203/(AA$202+AA$203))),0)</f>
        <v>0</v>
      </c>
      <c r="AB299" s="1381">
        <f>IF(AB$294&gt;(START!$C$2+2020),($G$12*(AB$202/(AB$202+AB$203)))+($G$142*(AB$203/(AB$202+AB$203))),0)</f>
        <v>0</v>
      </c>
      <c r="AC299" s="1381">
        <f>IF(AC$294&gt;(START!$C$2+2020),($G$12*(AC$202/(AC$202+AC$203)))+($G$142*(AC$203/(AC$202+AC$203))),0)</f>
        <v>0</v>
      </c>
      <c r="AD299" s="1381">
        <f>IF(AD$294&gt;(START!$C$2+2020),($G$12*(AD$202/(AD$202+AD$203)))+($G$142*(AD$203/(AD$202+AD$203))),0)</f>
        <v>0</v>
      </c>
      <c r="AE299" s="1381">
        <f>IF(AE$294&gt;(START!$C$2+2020),($G$12*(AE$202/(AE$202+AE$203)))+($G$142*(AE$203/(AE$202+AE$203))),0)</f>
        <v>0</v>
      </c>
      <c r="AF299" s="1381">
        <f>IF(AF$294&gt;(START!$C$2+2020),($G$12*(AF$202/(AF$202+AF$203)))+($G$142*(AF$203/(AF$202+AF$203))),0)</f>
        <v>0</v>
      </c>
      <c r="AG299" s="1381">
        <f>IF(AG$294&gt;(START!$C$2+2020),($G$12*(AG$202/(AG$202+AG$203)))+($G$142*(AG$203/(AG$202+AG$203))),0)</f>
        <v>3.5430785976071224</v>
      </c>
      <c r="AH299" s="1381">
        <f>IF(AH$294&gt;(START!$C$2+2020),($G$12*(AH$202/(AH$202+AH$203)))+($G$142*(AH$203/(AH$202+AH$203))),0)</f>
        <v>6.1972454208095673</v>
      </c>
      <c r="AI299" s="1381">
        <f>IF(AI$294&gt;(START!$C$2+2020),($G$12*(AI$202/(AI$202+AI$203)))+($G$142*(AI$203/(AI$202+AI$203))),0)</f>
        <v>8.2597110393793916</v>
      </c>
      <c r="AJ299" s="1381">
        <f>IF(AJ$294&gt;(START!$C$2+2020),($G$12*(AJ$202/(AJ$202+AJ$203)))+($G$142*(AJ$203/(AJ$202+AJ$203))),0)</f>
        <v>9.9084745057355779</v>
      </c>
      <c r="AK299" s="1381">
        <f>IF(AK$294&gt;(START!$C$2+2020),($G$12*(AK$202/(AK$202+AK$203)))+($G$142*(AK$203/(AK$202+AK$203))),0)</f>
        <v>11.256645990252547</v>
      </c>
      <c r="AL299" s="1381">
        <f>IF(AL$294&gt;(START!$C$2+2020),($G$12*(AL$202/(AL$202+AL$203)))+($G$142*(AL$203/(AL$202+AL$203))),0)</f>
        <v>12.379576465694612</v>
      </c>
      <c r="AM299" s="1381">
        <f>IF(AM$294&gt;(START!$C$2+2020),($G$12*(AM$202/(AM$202+AM$203)))+($G$142*(AM$203/(AM$202+AM$203))),0)</f>
        <v>12.379600389430038</v>
      </c>
      <c r="AN299" s="1381">
        <f>IF(AN$294&gt;(START!$C$2+2020),($G$12*(AN$202/(AN$202+AN$203)))+($G$142*(AN$203/(AN$202+AN$203))),0)</f>
        <v>12.379624811653676</v>
      </c>
      <c r="AO299" s="1381">
        <f>IF(AO$294&gt;(START!$C$2+2020),($G$12*(AO$202/(AO$202+AO$203)))+($G$142*(AO$203/(AO$202+AO$203))),0)</f>
        <v>12.379649729027303</v>
      </c>
      <c r="AP299" s="1381">
        <f>IF(AP$294&gt;(START!$C$2+2020),($G$12*(AP$202/(AP$202+AP$203)))+($G$142*(AP$203/(AP$202+AP$203))),0)</f>
        <v>12.379644139652097</v>
      </c>
      <c r="AQ299" s="1381">
        <f>IF(AQ$294&gt;(START!$C$2+2020),($G$12*(AQ$202/(AQ$202+AQ$203)))+($G$142*(AQ$203/(AQ$202+AQ$203))),0)</f>
        <v>12.379639162621954</v>
      </c>
      <c r="AR299" s="1381">
        <f>IF(AR$294&gt;(START!$C$2+2020),($G$12*(AR$202/(AR$202+AR$203)))+($G$142*(AR$203/(AR$202+AR$203))),0)</f>
        <v>12.379665080549474</v>
      </c>
      <c r="AS299" s="1381">
        <f>IF(AS$294&gt;(START!$C$2+2020),($G$12*(AS$202/(AS$202+AS$203)))+($G$142*(AS$203/(AS$202+AS$203))),0)</f>
        <v>12.379691482816208</v>
      </c>
      <c r="AT299" s="1381">
        <f>IF(AT$294&gt;(START!$C$2+2020),($G$12*(AT$202/(AT$202+AT$203)))+($G$142*(AT$203/(AT$202+AT$203))),0)</f>
        <v>12.379718366143507</v>
      </c>
      <c r="AU299" s="1381">
        <f>IF(AU$294&gt;(START!$C$2+2020),($G$12*(AU$202/(AU$202+AU$203)))+($G$142*(AU$203/(AU$202+AU$203))),0)</f>
        <v>12.379715036805921</v>
      </c>
      <c r="AV299" s="1381">
        <f>IF(AV$294&gt;(START!$C$2+2020),($G$12*(AV$202/(AV$202+AV$203)))+($G$142*(AV$203/(AV$202+AV$203))),0)</f>
        <v>12.379712304596961</v>
      </c>
      <c r="AW299" s="1381">
        <f>IF(AW$294&gt;(START!$C$2+2020),($G$12*(AW$202/(AW$202+AW$203)))+($G$142*(AW$203/(AW$202+AW$203))),0)</f>
        <v>12.37974015152983</v>
      </c>
      <c r="AX299" s="1381">
        <f>IF(AX$294&gt;(START!$C$2+2020),($G$12*(AX$202/(AX$202+AX$203)))+($G$142*(AX$203/(AX$202+AX$203))),0)</f>
        <v>12.379768468941045</v>
      </c>
      <c r="AY299" s="1381">
        <f>IF(AY$294&gt;(START!$C$2+2020),($G$12*(AY$202/(AY$202+AY$203)))+($G$142*(AY$203/(AY$202+AY$203))),0)</f>
        <v>12.37979725361151</v>
      </c>
      <c r="AZ299" s="1381">
        <f>IF(AZ$294&gt;(START!$C$2+2020),($G$12*(AZ$202/(AZ$202+AZ$203)))+($G$142*(AZ$203/(AZ$202+AZ$203))),0)</f>
        <v>12.379826502334248</v>
      </c>
      <c r="BA299" s="1382">
        <f>IF(BA$294&gt;(START!$C$2+2020),($G$12*(BA$202/(BA$202+BA$203)))+($G$142*(BA$203/(BA$202+BA$203))),0)</f>
        <v>12.379825887203936</v>
      </c>
    </row>
    <row r="300" spans="13:61" ht="20.100000000000001" customHeight="1">
      <c r="M300" s="406"/>
      <c r="N300" s="406"/>
      <c r="O300" s="406"/>
      <c r="P300" s="406"/>
      <c r="Q300" s="406"/>
      <c r="R300" s="406"/>
      <c r="S300" s="1374" t="s">
        <v>84</v>
      </c>
      <c r="T300" s="1330" t="s">
        <v>3212</v>
      </c>
      <c r="U300" s="1375">
        <f>INDEX('DEFAULT DATA'!$AS$9:$AW$41,START!$C$3,1)</f>
        <v>0</v>
      </c>
      <c r="V300" s="1375">
        <f>100-U300</f>
        <v>100</v>
      </c>
      <c r="W300" s="367"/>
      <c r="X300" s="367"/>
      <c r="Y300" s="1376">
        <f>($U300/100*Y$35)+($V300/100*Y$36)</f>
        <v>433.32374457867138</v>
      </c>
      <c r="Z300" s="1376">
        <f t="shared" ref="Z300:BA304" si="487">($U300/100*Z$35)+($V300/100*Z$36)</f>
        <v>433.10948652413276</v>
      </c>
      <c r="AA300" s="1376">
        <f t="shared" si="487"/>
        <v>432.89428710543984</v>
      </c>
      <c r="AB300" s="1376">
        <f t="shared" si="487"/>
        <v>432.67816057334755</v>
      </c>
      <c r="AC300" s="1376">
        <f t="shared" si="487"/>
        <v>432.03494324122067</v>
      </c>
      <c r="AD300" s="1376">
        <f t="shared" si="487"/>
        <v>431.38894934844728</v>
      </c>
      <c r="AE300" s="1376">
        <f t="shared" si="487"/>
        <v>430.74022074097297</v>
      </c>
      <c r="AF300" s="1376">
        <f t="shared" si="487"/>
        <v>430.08879870547986</v>
      </c>
      <c r="AG300" s="1376">
        <f t="shared" si="487"/>
        <v>429.43472397638857</v>
      </c>
      <c r="AH300" s="1376">
        <f t="shared" si="487"/>
        <v>429.15944686243427</v>
      </c>
      <c r="AI300" s="1376">
        <f t="shared" si="487"/>
        <v>428.88266541038701</v>
      </c>
      <c r="AJ300" s="1376">
        <f t="shared" si="487"/>
        <v>428.60459124011516</v>
      </c>
      <c r="AK300" s="1376">
        <f t="shared" si="487"/>
        <v>428.32541724392411</v>
      </c>
      <c r="AL300" s="1376">
        <f t="shared" si="487"/>
        <v>428.04531900643849</v>
      </c>
      <c r="AM300" s="1376">
        <f t="shared" si="487"/>
        <v>427.7644561249474</v>
      </c>
      <c r="AN300" s="1376">
        <f t="shared" si="487"/>
        <v>427.48297343686818</v>
      </c>
      <c r="AO300" s="1376">
        <f t="shared" si="487"/>
        <v>427.2010021605505</v>
      </c>
      <c r="AP300" s="1376">
        <f t="shared" si="487"/>
        <v>426.91866095524011</v>
      </c>
      <c r="AQ300" s="1376">
        <f t="shared" si="487"/>
        <v>426.6360569056456</v>
      </c>
      <c r="AR300" s="1376">
        <f t="shared" si="487"/>
        <v>426.43189482488441</v>
      </c>
      <c r="AS300" s="1376">
        <f t="shared" si="487"/>
        <v>426.22854020334125</v>
      </c>
      <c r="AT300" s="1376">
        <f t="shared" si="487"/>
        <v>426.02599743040213</v>
      </c>
      <c r="AU300" s="1376">
        <f t="shared" si="487"/>
        <v>425.82426797005621</v>
      </c>
      <c r="AV300" s="1376">
        <f t="shared" si="487"/>
        <v>425.62335066941199</v>
      </c>
      <c r="AW300" s="1376">
        <f t="shared" si="487"/>
        <v>425.34264643114921</v>
      </c>
      <c r="AX300" s="1376">
        <f t="shared" si="487"/>
        <v>425.06207663483212</v>
      </c>
      <c r="AY300" s="1376">
        <f t="shared" si="487"/>
        <v>424.78168905157582</v>
      </c>
      <c r="AZ300" s="1376">
        <f t="shared" si="487"/>
        <v>424.50152579098574</v>
      </c>
      <c r="BA300" s="1377">
        <f t="shared" si="487"/>
        <v>424.22162377941635</v>
      </c>
    </row>
    <row r="301" spans="13:61" ht="20.100000000000001" customHeight="1">
      <c r="M301" s="407"/>
      <c r="N301" s="407"/>
      <c r="O301" s="407"/>
      <c r="P301" s="407"/>
      <c r="Q301" s="407"/>
      <c r="R301" s="407"/>
      <c r="S301" s="862" t="s">
        <v>85</v>
      </c>
      <c r="T301" s="552" t="s">
        <v>3212</v>
      </c>
      <c r="U301" s="558">
        <f>INDEX('DEFAULT DATA'!$AS$9:$AW$41,START!$C$3,2)</f>
        <v>10</v>
      </c>
      <c r="V301" s="558">
        <f t="shared" ref="V301:V304" si="488">100-U301</f>
        <v>90</v>
      </c>
      <c r="W301" s="366"/>
      <c r="X301" s="366"/>
      <c r="Y301" s="1372">
        <f t="shared" ref="Y301:AN304" si="489">($U301/100*Y$35)+($V301/100*Y$36)</f>
        <v>416.21628541906972</v>
      </c>
      <c r="Z301" s="1372">
        <f t="shared" si="489"/>
        <v>416.01310954927538</v>
      </c>
      <c r="AA301" s="1372">
        <f t="shared" si="489"/>
        <v>415.80897570301823</v>
      </c>
      <c r="AB301" s="1372">
        <f t="shared" si="489"/>
        <v>415.60389838253695</v>
      </c>
      <c r="AC301" s="1372">
        <f t="shared" si="489"/>
        <v>414.9939197840223</v>
      </c>
      <c r="AD301" s="1372">
        <f t="shared" si="489"/>
        <v>414.38111562673214</v>
      </c>
      <c r="AE301" s="1372">
        <f t="shared" si="489"/>
        <v>413.76552849506982</v>
      </c>
      <c r="AF301" s="1372">
        <f t="shared" si="489"/>
        <v>413.14720040430598</v>
      </c>
      <c r="AG301" s="1372">
        <f t="shared" si="489"/>
        <v>412.52617280770403</v>
      </c>
      <c r="AH301" s="1372">
        <f t="shared" si="489"/>
        <v>412.26090107156324</v>
      </c>
      <c r="AI301" s="1372">
        <f t="shared" si="489"/>
        <v>411.99409845018658</v>
      </c>
      <c r="AJ301" s="1372">
        <f t="shared" si="489"/>
        <v>411.72598029791084</v>
      </c>
      <c r="AK301" s="1372">
        <f t="shared" si="489"/>
        <v>411.45674291102318</v>
      </c>
      <c r="AL301" s="1372">
        <f t="shared" si="489"/>
        <v>411.18656497270052</v>
      </c>
      <c r="AM301" s="1372">
        <f t="shared" si="489"/>
        <v>410.91560889665459</v>
      </c>
      <c r="AN301" s="1372">
        <f t="shared" si="489"/>
        <v>410.64402207625722</v>
      </c>
      <c r="AO301" s="1372">
        <f t="shared" si="487"/>
        <v>410.37193804547604</v>
      </c>
      <c r="AP301" s="1372">
        <f t="shared" si="487"/>
        <v>410.09947755754342</v>
      </c>
      <c r="AQ301" s="1372">
        <f t="shared" si="487"/>
        <v>409.82674958689813</v>
      </c>
      <c r="AR301" s="1372">
        <f t="shared" si="487"/>
        <v>409.6288934520457</v>
      </c>
      <c r="AS301" s="1372">
        <f t="shared" si="487"/>
        <v>409.43185902569161</v>
      </c>
      <c r="AT301" s="1372">
        <f t="shared" si="487"/>
        <v>409.23565077468157</v>
      </c>
      <c r="AU301" s="1372">
        <f t="shared" si="487"/>
        <v>409.04027018884</v>
      </c>
      <c r="AV301" s="1372">
        <f t="shared" si="487"/>
        <v>408.84571609493008</v>
      </c>
      <c r="AW301" s="1372">
        <f t="shared" si="487"/>
        <v>408.57492146169886</v>
      </c>
      <c r="AX301" s="1372">
        <f t="shared" si="487"/>
        <v>408.30426364291827</v>
      </c>
      <c r="AY301" s="1372">
        <f t="shared" si="487"/>
        <v>408.03379125272306</v>
      </c>
      <c r="AZ301" s="1372">
        <f t="shared" si="487"/>
        <v>407.76354714382933</v>
      </c>
      <c r="BA301" s="1373">
        <f t="shared" si="487"/>
        <v>407.49356889423314</v>
      </c>
    </row>
    <row r="302" spans="13:61" ht="20.100000000000001" customHeight="1">
      <c r="M302" s="407"/>
      <c r="N302" s="407"/>
      <c r="O302" s="407"/>
      <c r="P302" s="407"/>
      <c r="Q302" s="407"/>
      <c r="R302" s="407"/>
      <c r="S302" s="862" t="s">
        <v>86</v>
      </c>
      <c r="T302" s="552" t="s">
        <v>3212</v>
      </c>
      <c r="U302" s="558">
        <f>INDEX('DEFAULT DATA'!$AS$9:$AW$41,START!$C$3,3)</f>
        <v>20</v>
      </c>
      <c r="V302" s="558">
        <f t="shared" si="488"/>
        <v>80</v>
      </c>
      <c r="W302" s="366"/>
      <c r="X302" s="366"/>
      <c r="Y302" s="1372">
        <f t="shared" si="489"/>
        <v>399.108826259468</v>
      </c>
      <c r="Z302" s="1372">
        <f t="shared" si="487"/>
        <v>398.91673257441806</v>
      </c>
      <c r="AA302" s="1372">
        <f t="shared" si="487"/>
        <v>398.72366430059662</v>
      </c>
      <c r="AB302" s="1372">
        <f t="shared" si="487"/>
        <v>398.52963619172635</v>
      </c>
      <c r="AC302" s="1372">
        <f t="shared" si="487"/>
        <v>397.95289632682397</v>
      </c>
      <c r="AD302" s="1372">
        <f t="shared" si="487"/>
        <v>397.37328190501694</v>
      </c>
      <c r="AE302" s="1372">
        <f t="shared" si="487"/>
        <v>396.7908362491666</v>
      </c>
      <c r="AF302" s="1372">
        <f t="shared" si="487"/>
        <v>396.20560210313209</v>
      </c>
      <c r="AG302" s="1372">
        <f t="shared" si="487"/>
        <v>395.61762163901943</v>
      </c>
      <c r="AH302" s="1372">
        <f t="shared" si="487"/>
        <v>395.3623552806921</v>
      </c>
      <c r="AI302" s="1372">
        <f t="shared" si="487"/>
        <v>395.10553148998616</v>
      </c>
      <c r="AJ302" s="1372">
        <f t="shared" si="487"/>
        <v>394.84736935570652</v>
      </c>
      <c r="AK302" s="1372">
        <f t="shared" si="487"/>
        <v>394.58806857812232</v>
      </c>
      <c r="AL302" s="1372">
        <f t="shared" si="487"/>
        <v>394.32781093896256</v>
      </c>
      <c r="AM302" s="1372">
        <f t="shared" si="487"/>
        <v>394.06676166836178</v>
      </c>
      <c r="AN302" s="1372">
        <f t="shared" si="487"/>
        <v>393.80507071564631</v>
      </c>
      <c r="AO302" s="1372">
        <f t="shared" si="487"/>
        <v>393.54287393040158</v>
      </c>
      <c r="AP302" s="1372">
        <f t="shared" si="487"/>
        <v>393.28029415984673</v>
      </c>
      <c r="AQ302" s="1372">
        <f t="shared" si="487"/>
        <v>393.01744226815072</v>
      </c>
      <c r="AR302" s="1372">
        <f t="shared" si="487"/>
        <v>392.82589207920699</v>
      </c>
      <c r="AS302" s="1372">
        <f t="shared" si="487"/>
        <v>392.63517784804196</v>
      </c>
      <c r="AT302" s="1372">
        <f t="shared" si="487"/>
        <v>392.44530411896108</v>
      </c>
      <c r="AU302" s="1372">
        <f t="shared" si="487"/>
        <v>392.25627240762378</v>
      </c>
      <c r="AV302" s="1372">
        <f t="shared" si="487"/>
        <v>392.06808152044817</v>
      </c>
      <c r="AW302" s="1372">
        <f t="shared" si="487"/>
        <v>391.80719649224852</v>
      </c>
      <c r="AX302" s="1372">
        <f t="shared" si="487"/>
        <v>391.54645065100442</v>
      </c>
      <c r="AY302" s="1372">
        <f t="shared" si="487"/>
        <v>391.2858934538703</v>
      </c>
      <c r="AZ302" s="1372">
        <f t="shared" si="487"/>
        <v>391.02556849667297</v>
      </c>
      <c r="BA302" s="1373">
        <f t="shared" si="487"/>
        <v>390.76551400904998</v>
      </c>
    </row>
    <row r="303" spans="13:61" ht="20.100000000000001" customHeight="1">
      <c r="M303" s="407"/>
      <c r="N303" s="407"/>
      <c r="O303" s="407"/>
      <c r="P303" s="407"/>
      <c r="Q303" s="407"/>
      <c r="R303" s="407"/>
      <c r="S303" s="862" t="s">
        <v>87</v>
      </c>
      <c r="T303" s="552" t="s">
        <v>3212</v>
      </c>
      <c r="U303" s="558">
        <f>INDEX('DEFAULT DATA'!$AS$9:$AW$41,START!$C$3,4)</f>
        <v>70</v>
      </c>
      <c r="V303" s="558">
        <f t="shared" si="488"/>
        <v>30</v>
      </c>
      <c r="W303" s="366"/>
      <c r="X303" s="366"/>
      <c r="Y303" s="1372">
        <f t="shared" si="489"/>
        <v>313.57153046145942</v>
      </c>
      <c r="Z303" s="1372">
        <f t="shared" si="487"/>
        <v>313.43484770013123</v>
      </c>
      <c r="AA303" s="1372">
        <f t="shared" si="487"/>
        <v>313.29710728848841</v>
      </c>
      <c r="AB303" s="1372">
        <f t="shared" si="487"/>
        <v>313.15832523767335</v>
      </c>
      <c r="AC303" s="1372">
        <f t="shared" si="487"/>
        <v>312.74777904083214</v>
      </c>
      <c r="AD303" s="1372">
        <f t="shared" si="487"/>
        <v>312.33411329644105</v>
      </c>
      <c r="AE303" s="1372">
        <f t="shared" si="487"/>
        <v>311.91737501965059</v>
      </c>
      <c r="AF303" s="1372">
        <f t="shared" si="487"/>
        <v>311.49761059726262</v>
      </c>
      <c r="AG303" s="1372">
        <f t="shared" si="487"/>
        <v>311.07486579559662</v>
      </c>
      <c r="AH303" s="1372">
        <f t="shared" si="487"/>
        <v>310.86962632633663</v>
      </c>
      <c r="AI303" s="1372">
        <f t="shared" si="487"/>
        <v>310.66269668898394</v>
      </c>
      <c r="AJ303" s="1372">
        <f t="shared" si="487"/>
        <v>310.45431464468487</v>
      </c>
      <c r="AK303" s="1372">
        <f t="shared" si="487"/>
        <v>310.24469691361776</v>
      </c>
      <c r="AL303" s="1372">
        <f t="shared" si="487"/>
        <v>310.03404077027255</v>
      </c>
      <c r="AM303" s="1372">
        <f t="shared" si="487"/>
        <v>309.82252552689772</v>
      </c>
      <c r="AN303" s="1372">
        <f t="shared" si="487"/>
        <v>309.61031391259155</v>
      </c>
      <c r="AO303" s="1372">
        <f t="shared" si="487"/>
        <v>309.39755335502912</v>
      </c>
      <c r="AP303" s="1372">
        <f t="shared" si="487"/>
        <v>309.18437717136317</v>
      </c>
      <c r="AQ303" s="1372">
        <f t="shared" si="487"/>
        <v>308.9709056744133</v>
      </c>
      <c r="AR303" s="1372">
        <f t="shared" si="487"/>
        <v>308.81088521501329</v>
      </c>
      <c r="AS303" s="1372">
        <f t="shared" si="487"/>
        <v>308.65177195979356</v>
      </c>
      <c r="AT303" s="1372">
        <f t="shared" si="487"/>
        <v>308.49357084035836</v>
      </c>
      <c r="AU303" s="1372">
        <f t="shared" si="487"/>
        <v>308.33628350154248</v>
      </c>
      <c r="AV303" s="1372">
        <f t="shared" si="487"/>
        <v>308.17990864803858</v>
      </c>
      <c r="AW303" s="1372">
        <f t="shared" si="487"/>
        <v>307.96857164499676</v>
      </c>
      <c r="AX303" s="1372">
        <f t="shared" si="487"/>
        <v>307.75738569143505</v>
      </c>
      <c r="AY303" s="1372">
        <f t="shared" si="487"/>
        <v>307.54640445960638</v>
      </c>
      <c r="AZ303" s="1372">
        <f t="shared" si="487"/>
        <v>307.33567526089087</v>
      </c>
      <c r="BA303" s="1373">
        <f t="shared" si="487"/>
        <v>307.12523958313392</v>
      </c>
    </row>
    <row r="304" spans="13:61" ht="20.100000000000001" customHeight="1">
      <c r="M304" s="407"/>
      <c r="N304" s="407"/>
      <c r="O304" s="407"/>
      <c r="P304" s="407"/>
      <c r="Q304" s="407"/>
      <c r="R304" s="407"/>
      <c r="S304" s="1379" t="s">
        <v>88</v>
      </c>
      <c r="T304" s="1378" t="s">
        <v>3212</v>
      </c>
      <c r="U304" s="1380">
        <f>INDEX('DEFAULT DATA'!$AS$9:$AW$41,START!$C$3,5)</f>
        <v>100</v>
      </c>
      <c r="V304" s="1380">
        <f t="shared" si="488"/>
        <v>0</v>
      </c>
      <c r="W304" s="819"/>
      <c r="X304" s="819"/>
      <c r="Y304" s="1372">
        <f t="shared" si="489"/>
        <v>262.24915298265432</v>
      </c>
      <c r="Z304" s="1372">
        <f t="shared" si="487"/>
        <v>262.14571677555915</v>
      </c>
      <c r="AA304" s="1372">
        <f t="shared" si="487"/>
        <v>262.04117308122352</v>
      </c>
      <c r="AB304" s="1372">
        <f t="shared" si="487"/>
        <v>261.93553866524161</v>
      </c>
      <c r="AC304" s="1372">
        <f t="shared" si="487"/>
        <v>261.62470866923707</v>
      </c>
      <c r="AD304" s="1372">
        <f t="shared" si="487"/>
        <v>261.31061213129556</v>
      </c>
      <c r="AE304" s="1372">
        <f t="shared" si="487"/>
        <v>260.99329828194101</v>
      </c>
      <c r="AF304" s="1372">
        <f t="shared" si="487"/>
        <v>260.67281569374097</v>
      </c>
      <c r="AG304" s="1372">
        <f t="shared" si="487"/>
        <v>260.34921228954295</v>
      </c>
      <c r="AH304" s="1372">
        <f t="shared" si="487"/>
        <v>260.17398895372338</v>
      </c>
      <c r="AI304" s="1372">
        <f t="shared" si="487"/>
        <v>259.99699580838268</v>
      </c>
      <c r="AJ304" s="1372">
        <f t="shared" si="487"/>
        <v>259.81848181807192</v>
      </c>
      <c r="AK304" s="1372">
        <f t="shared" si="487"/>
        <v>259.63867391491505</v>
      </c>
      <c r="AL304" s="1372">
        <f t="shared" si="487"/>
        <v>259.4577786690586</v>
      </c>
      <c r="AM304" s="1372">
        <f t="shared" si="487"/>
        <v>259.27598384201934</v>
      </c>
      <c r="AN304" s="1372">
        <f t="shared" si="487"/>
        <v>259.09345983075872</v>
      </c>
      <c r="AO304" s="1372">
        <f t="shared" si="487"/>
        <v>258.91036100980568</v>
      </c>
      <c r="AP304" s="1372">
        <f t="shared" si="487"/>
        <v>258.7268269782731</v>
      </c>
      <c r="AQ304" s="1372">
        <f t="shared" si="487"/>
        <v>258.54298371817094</v>
      </c>
      <c r="AR304" s="1372">
        <f t="shared" si="487"/>
        <v>258.40188109649711</v>
      </c>
      <c r="AS304" s="1372">
        <f t="shared" si="487"/>
        <v>258.26172842684457</v>
      </c>
      <c r="AT304" s="1372">
        <f t="shared" si="487"/>
        <v>258.12253087319675</v>
      </c>
      <c r="AU304" s="1372">
        <f t="shared" si="487"/>
        <v>257.98429015789378</v>
      </c>
      <c r="AV304" s="1372">
        <f t="shared" si="487"/>
        <v>257.84700492459285</v>
      </c>
      <c r="AW304" s="1372">
        <f t="shared" si="487"/>
        <v>257.66539673664573</v>
      </c>
      <c r="AX304" s="1372">
        <f t="shared" si="487"/>
        <v>257.48394671569343</v>
      </c>
      <c r="AY304" s="1372">
        <f t="shared" si="487"/>
        <v>257.30271106304804</v>
      </c>
      <c r="AZ304" s="1372">
        <f t="shared" si="487"/>
        <v>257.12173931942164</v>
      </c>
      <c r="BA304" s="1373">
        <f t="shared" si="487"/>
        <v>256.94107492758434</v>
      </c>
    </row>
    <row r="305" spans="13:53" ht="20.100000000000001" customHeight="1" thickBot="1">
      <c r="M305" s="407"/>
      <c r="N305" s="407"/>
      <c r="O305" s="407"/>
      <c r="P305" s="407"/>
      <c r="Q305" s="407"/>
      <c r="R305" s="407"/>
      <c r="S305" s="470" t="s">
        <v>2417</v>
      </c>
      <c r="T305" s="782" t="s">
        <v>164</v>
      </c>
      <c r="U305" s="288"/>
      <c r="V305" s="288"/>
      <c r="W305" s="320" t="s">
        <v>1202</v>
      </c>
      <c r="X305" s="368"/>
      <c r="Y305" s="1383">
        <f>(Y295/100*Y300)+(Y296/100*Y301)+(Y297/100*Y302)+(Y298/100*Y303)+(Y299/100*Y304)</f>
        <v>0</v>
      </c>
      <c r="Z305" s="1383">
        <f t="shared" ref="Z305:BA305" si="490">(Z295/100*Z300)+(Z296/100*Z301)+(Z297/100*Z302)+(Z298/100*Z303)+(Z299/100*Z304)</f>
        <v>428.83539228041843</v>
      </c>
      <c r="AA305" s="1383">
        <f t="shared" si="490"/>
        <v>428.62295925483443</v>
      </c>
      <c r="AB305" s="1383">
        <f t="shared" si="490"/>
        <v>428.40959502564488</v>
      </c>
      <c r="AC305" s="1383">
        <f t="shared" si="490"/>
        <v>427.77468737692107</v>
      </c>
      <c r="AD305" s="1383">
        <f t="shared" si="490"/>
        <v>427.13699091801845</v>
      </c>
      <c r="AE305" s="1383">
        <f t="shared" si="490"/>
        <v>426.49654767949721</v>
      </c>
      <c r="AF305" s="1383">
        <f t="shared" si="490"/>
        <v>425.8533991301864</v>
      </c>
      <c r="AG305" s="1383">
        <f t="shared" si="490"/>
        <v>407.23508845552414</v>
      </c>
      <c r="AH305" s="1383">
        <f t="shared" si="490"/>
        <v>393.51747975847161</v>
      </c>
      <c r="AI305" s="1383">
        <f t="shared" si="490"/>
        <v>382.81211878219722</v>
      </c>
      <c r="AJ305" s="1383">
        <f t="shared" si="490"/>
        <v>374.2125526406457</v>
      </c>
      <c r="AK305" s="1383">
        <f t="shared" si="490"/>
        <v>367.14284007360135</v>
      </c>
      <c r="AL305" s="1383">
        <f t="shared" si="490"/>
        <v>361.21936009490491</v>
      </c>
      <c r="AM305" s="1383">
        <f t="shared" si="490"/>
        <v>360.97764560522796</v>
      </c>
      <c r="AN305" s="1383">
        <f t="shared" si="490"/>
        <v>360.73526557690082</v>
      </c>
      <c r="AO305" s="1383">
        <f t="shared" si="490"/>
        <v>360.49236042819234</v>
      </c>
      <c r="AP305" s="1383">
        <f t="shared" si="490"/>
        <v>360.24921355090692</v>
      </c>
      <c r="AQ305" s="1383">
        <f t="shared" si="490"/>
        <v>360.00578232204447</v>
      </c>
      <c r="AR305" s="1383">
        <f t="shared" si="490"/>
        <v>359.82648567854778</v>
      </c>
      <c r="AS305" s="1383">
        <f t="shared" si="490"/>
        <v>359.64805063457021</v>
      </c>
      <c r="AT305" s="1383">
        <f t="shared" si="490"/>
        <v>359.47048190615004</v>
      </c>
      <c r="AU305" s="1383">
        <f t="shared" si="490"/>
        <v>359.29393561180012</v>
      </c>
      <c r="AV305" s="1383">
        <f t="shared" si="490"/>
        <v>359.11825527066793</v>
      </c>
      <c r="AW305" s="1383">
        <f t="shared" si="490"/>
        <v>358.87669177255248</v>
      </c>
      <c r="AX305" s="1383">
        <f t="shared" si="490"/>
        <v>358.63526992114191</v>
      </c>
      <c r="AY305" s="1383">
        <f t="shared" si="490"/>
        <v>358.39404084966145</v>
      </c>
      <c r="AZ305" s="1383">
        <f t="shared" si="490"/>
        <v>358.15304963372512</v>
      </c>
      <c r="BA305" s="1384">
        <f t="shared" si="490"/>
        <v>357.9124879850728</v>
      </c>
    </row>
    <row r="306" spans="13:53" ht="20.100000000000001" customHeight="1" thickBot="1">
      <c r="M306" s="407"/>
      <c r="N306" s="407"/>
      <c r="O306" s="407"/>
      <c r="P306" s="407"/>
      <c r="Q306" s="407"/>
      <c r="R306" s="407"/>
    </row>
    <row r="307" spans="13:53" ht="20.100000000000001" customHeight="1" thickBot="1">
      <c r="M307" s="407"/>
      <c r="N307" s="407"/>
      <c r="O307" s="407"/>
      <c r="P307" s="407"/>
      <c r="Q307" s="407"/>
      <c r="R307" s="407"/>
      <c r="S307" s="1385" t="s">
        <v>3210</v>
      </c>
      <c r="T307" s="1386" t="s">
        <v>3211</v>
      </c>
      <c r="U307" s="1386"/>
      <c r="V307" s="1386"/>
      <c r="W307" s="1386"/>
      <c r="X307" s="1386"/>
      <c r="Y307" s="1387">
        <f>Y25*Y254</f>
        <v>0</v>
      </c>
      <c r="Z307" s="1387">
        <f t="shared" ref="Z307:BA307" si="491">Z25*Z254</f>
        <v>229.29351314849558</v>
      </c>
      <c r="AA307" s="1387">
        <f t="shared" si="491"/>
        <v>229.98139368794105</v>
      </c>
      <c r="AB307" s="1387">
        <f t="shared" si="491"/>
        <v>230.67133786900484</v>
      </c>
      <c r="AC307" s="1387">
        <f t="shared" si="491"/>
        <v>231.36335188261185</v>
      </c>
      <c r="AD307" s="1387">
        <f t="shared" si="491"/>
        <v>232.0574419382597</v>
      </c>
      <c r="AE307" s="1387">
        <f t="shared" si="491"/>
        <v>232.75361426407446</v>
      </c>
      <c r="AF307" s="1387">
        <f t="shared" si="491"/>
        <v>233.45187510686668</v>
      </c>
      <c r="AG307" s="1387">
        <f t="shared" si="491"/>
        <v>213.7988926866928</v>
      </c>
      <c r="AH307" s="1387">
        <f t="shared" si="491"/>
        <v>199.14759501636485</v>
      </c>
      <c r="AI307" s="1387">
        <f t="shared" si="491"/>
        <v>187.82593836831816</v>
      </c>
      <c r="AJ307" s="1387">
        <f t="shared" si="491"/>
        <v>178.83253879997633</v>
      </c>
      <c r="AK307" s="1387">
        <f t="shared" si="491"/>
        <v>171.53106404387077</v>
      </c>
      <c r="AL307" s="1387">
        <f t="shared" si="491"/>
        <v>165.49760111831151</v>
      </c>
      <c r="AM307" s="1387">
        <f t="shared" si="491"/>
        <v>165.99395399855689</v>
      </c>
      <c r="AN307" s="1387">
        <f t="shared" si="491"/>
        <v>166.49179259341156</v>
      </c>
      <c r="AO307" s="1387">
        <f t="shared" si="491"/>
        <v>166.99112136085625</v>
      </c>
      <c r="AP307" s="1387">
        <f t="shared" si="491"/>
        <v>167.49212771070074</v>
      </c>
      <c r="AQ307" s="1387">
        <f t="shared" si="491"/>
        <v>167.9946335539494</v>
      </c>
      <c r="AR307" s="1387">
        <f t="shared" si="491"/>
        <v>168.49846358055819</v>
      </c>
      <c r="AS307" s="1387">
        <f t="shared" si="491"/>
        <v>169.00380175148888</v>
      </c>
      <c r="AT307" s="1387">
        <f t="shared" si="491"/>
        <v>169.51065259206709</v>
      </c>
      <c r="AU307" s="1387">
        <f t="shared" si="491"/>
        <v>170.0192044944628</v>
      </c>
      <c r="AV307" s="1387">
        <f t="shared" si="491"/>
        <v>170.52927852452913</v>
      </c>
      <c r="AW307" s="1387">
        <f t="shared" si="491"/>
        <v>171.04069853877397</v>
      </c>
      <c r="AX307" s="1387">
        <f t="shared" si="491"/>
        <v>171.55364946572345</v>
      </c>
      <c r="AY307" s="1387">
        <f t="shared" si="491"/>
        <v>172.06813589905877</v>
      </c>
      <c r="AZ307" s="1387">
        <f t="shared" si="491"/>
        <v>172.58416244626278</v>
      </c>
      <c r="BA307" s="1388">
        <f t="shared" si="491"/>
        <v>173.10191868540994</v>
      </c>
    </row>
    <row r="308" spans="13:53" ht="20.100000000000001" customHeight="1">
      <c r="M308" s="407"/>
      <c r="N308" s="407"/>
      <c r="O308" s="407"/>
      <c r="P308" s="407"/>
      <c r="Q308" s="407"/>
      <c r="R308" s="407"/>
    </row>
    <row r="309" spans="13:53" ht="20.100000000000001" customHeight="1">
      <c r="M309" s="407"/>
      <c r="N309" s="407"/>
      <c r="O309" s="407"/>
      <c r="P309" s="407"/>
      <c r="Q309" s="407"/>
      <c r="R309" s="407"/>
    </row>
    <row r="310" spans="13:53" ht="20.100000000000001" customHeight="1">
      <c r="M310" s="407"/>
      <c r="N310" s="407"/>
      <c r="O310" s="407"/>
      <c r="P310" s="407"/>
      <c r="Q310" s="407"/>
      <c r="R310" s="407"/>
    </row>
    <row r="311" spans="13:53" ht="20.100000000000001" customHeight="1">
      <c r="M311" s="407"/>
      <c r="N311" s="407"/>
      <c r="O311" s="407"/>
      <c r="P311" s="407"/>
      <c r="Q311" s="407"/>
      <c r="R311" s="407"/>
    </row>
    <row r="312" spans="13:53" ht="20.100000000000001" customHeight="1" thickBot="1">
      <c r="M312" s="407"/>
      <c r="N312" s="407"/>
      <c r="O312" s="407"/>
      <c r="P312" s="407"/>
      <c r="Q312" s="407"/>
      <c r="R312" s="407"/>
    </row>
    <row r="313" spans="13:53" ht="20.100000000000001" customHeight="1">
      <c r="M313" s="407"/>
      <c r="N313" s="407"/>
      <c r="O313" s="407"/>
      <c r="P313" s="407"/>
      <c r="Q313" s="407"/>
      <c r="R313" s="407"/>
      <c r="S313" s="1389" t="s">
        <v>3214</v>
      </c>
      <c r="T313" s="1390"/>
      <c r="U313" s="1390"/>
      <c r="V313" s="1284">
        <v>2019</v>
      </c>
      <c r="W313" s="1284">
        <v>2020</v>
      </c>
      <c r="X313" s="1284">
        <v>2021</v>
      </c>
      <c r="Y313" s="1284">
        <f>X313+1</f>
        <v>2022</v>
      </c>
      <c r="Z313" s="1284">
        <f t="shared" ref="Z313" si="492">Y313+1</f>
        <v>2023</v>
      </c>
      <c r="AA313" s="1284">
        <f t="shared" ref="AA313" si="493">Z313+1</f>
        <v>2024</v>
      </c>
      <c r="AB313" s="1284">
        <f t="shared" ref="AB313" si="494">AA313+1</f>
        <v>2025</v>
      </c>
      <c r="AC313" s="1284">
        <f t="shared" ref="AC313" si="495">AB313+1</f>
        <v>2026</v>
      </c>
      <c r="AD313" s="1284">
        <f t="shared" ref="AD313" si="496">AC313+1</f>
        <v>2027</v>
      </c>
      <c r="AE313" s="1284">
        <f t="shared" ref="AE313" si="497">AD313+1</f>
        <v>2028</v>
      </c>
      <c r="AF313" s="1284">
        <f t="shared" ref="AF313" si="498">AE313+1</f>
        <v>2029</v>
      </c>
      <c r="AG313" s="1284">
        <f t="shared" ref="AG313" si="499">AF313+1</f>
        <v>2030</v>
      </c>
      <c r="AH313" s="1284">
        <f t="shared" ref="AH313" si="500">AG313+1</f>
        <v>2031</v>
      </c>
      <c r="AI313" s="1284">
        <f t="shared" ref="AI313" si="501">AH313+1</f>
        <v>2032</v>
      </c>
      <c r="AJ313" s="1284">
        <f t="shared" ref="AJ313" si="502">AI313+1</f>
        <v>2033</v>
      </c>
      <c r="AK313" s="1284">
        <f t="shared" ref="AK313" si="503">AJ313+1</f>
        <v>2034</v>
      </c>
      <c r="AL313" s="1284">
        <f t="shared" ref="AL313" si="504">AK313+1</f>
        <v>2035</v>
      </c>
      <c r="AM313" s="1284">
        <f t="shared" ref="AM313" si="505">AL313+1</f>
        <v>2036</v>
      </c>
      <c r="AN313" s="1284">
        <f t="shared" ref="AN313" si="506">AM313+1</f>
        <v>2037</v>
      </c>
      <c r="AO313" s="1284">
        <f t="shared" ref="AO313" si="507">AN313+1</f>
        <v>2038</v>
      </c>
      <c r="AP313" s="1284">
        <f t="shared" ref="AP313" si="508">AO313+1</f>
        <v>2039</v>
      </c>
      <c r="AQ313" s="1284">
        <f t="shared" ref="AQ313" si="509">AP313+1</f>
        <v>2040</v>
      </c>
      <c r="AR313" s="1284">
        <f t="shared" ref="AR313" si="510">AQ313+1</f>
        <v>2041</v>
      </c>
      <c r="AS313" s="1284">
        <f t="shared" ref="AS313" si="511">AR313+1</f>
        <v>2042</v>
      </c>
      <c r="AT313" s="1284">
        <f t="shared" ref="AT313" si="512">AS313+1</f>
        <v>2043</v>
      </c>
      <c r="AU313" s="1284">
        <f t="shared" ref="AU313" si="513">AT313+1</f>
        <v>2044</v>
      </c>
      <c r="AV313" s="1284">
        <f t="shared" ref="AV313" si="514">AU313+1</f>
        <v>2045</v>
      </c>
      <c r="AW313" s="1284">
        <f t="shared" ref="AW313" si="515">AV313+1</f>
        <v>2046</v>
      </c>
      <c r="AX313" s="1284">
        <f t="shared" ref="AX313" si="516">AW313+1</f>
        <v>2047</v>
      </c>
      <c r="AY313" s="1284">
        <f t="shared" ref="AY313" si="517">AX313+1</f>
        <v>2048</v>
      </c>
      <c r="AZ313" s="1284">
        <f t="shared" ref="AZ313" si="518">AY313+1</f>
        <v>2049</v>
      </c>
      <c r="BA313" s="1279">
        <f t="shared" ref="BA313" si="519">AZ313+1</f>
        <v>2050</v>
      </c>
    </row>
    <row r="314" spans="13:53" ht="20.100000000000001" customHeight="1">
      <c r="M314" s="407"/>
      <c r="N314" s="407"/>
      <c r="O314" s="407"/>
      <c r="P314" s="407"/>
      <c r="Q314" s="407"/>
      <c r="R314" s="407"/>
      <c r="S314" s="1391" t="s">
        <v>2949</v>
      </c>
      <c r="T314" s="1273" t="s">
        <v>2963</v>
      </c>
      <c r="U314" s="1273"/>
      <c r="V314" s="1273"/>
      <c r="W314" s="1273"/>
      <c r="X314" s="1273"/>
      <c r="Y314" s="1392">
        <f>Y305*Y307</f>
        <v>0</v>
      </c>
      <c r="Z314" s="1392">
        <f t="shared" ref="Z314:BA314" si="520">Z305*Z307</f>
        <v>98329.173658390384</v>
      </c>
      <c r="AA314" s="1392">
        <f t="shared" si="520"/>
        <v>98575.305536076397</v>
      </c>
      <c r="AB314" s="1392">
        <f t="shared" si="520"/>
        <v>98821.814440484071</v>
      </c>
      <c r="AC314" s="1392">
        <f t="shared" si="520"/>
        <v>98971.385522060868</v>
      </c>
      <c r="AD314" s="1392">
        <f t="shared" si="520"/>
        <v>99120.317469641028</v>
      </c>
      <c r="AE314" s="1392">
        <f t="shared" si="520"/>
        <v>99268.612943553133</v>
      </c>
      <c r="AF314" s="1392">
        <f t="shared" si="520"/>
        <v>99416.274547574925</v>
      </c>
      <c r="AG314" s="1392">
        <f t="shared" si="520"/>
        <v>87066.410974958446</v>
      </c>
      <c r="AH314" s="1392">
        <f t="shared" si="520"/>
        <v>78368.059690800656</v>
      </c>
      <c r="AI314" s="1392">
        <f t="shared" si="520"/>
        <v>71902.045429030273</v>
      </c>
      <c r="AJ314" s="1392">
        <f t="shared" si="520"/>
        <v>66921.380839546458</v>
      </c>
      <c r="AK314" s="1392">
        <f t="shared" si="520"/>
        <v>62976.402013913517</v>
      </c>
      <c r="AL314" s="1392">
        <f t="shared" si="520"/>
        <v>59780.937573198302</v>
      </c>
      <c r="AM314" s="1392">
        <f t="shared" si="520"/>
        <v>59920.106699101583</v>
      </c>
      <c r="AN314" s="1392">
        <f t="shared" si="520"/>
        <v>60059.461017558606</v>
      </c>
      <c r="AO314" s="1392">
        <f t="shared" si="520"/>
        <v>60199.023509925799</v>
      </c>
      <c r="AP314" s="1392">
        <f t="shared" si="520"/>
        <v>60338.907283748005</v>
      </c>
      <c r="AQ314" s="1392">
        <f t="shared" si="520"/>
        <v>60479.039478494735</v>
      </c>
      <c r="AR314" s="1392">
        <f t="shared" si="520"/>
        <v>60630.20999242703</v>
      </c>
      <c r="AS314" s="1392">
        <f t="shared" si="520"/>
        <v>60781.887849754341</v>
      </c>
      <c r="AT314" s="1392">
        <f t="shared" si="520"/>
        <v>60934.075975496336</v>
      </c>
      <c r="AU314" s="1392">
        <f t="shared" si="520"/>
        <v>61086.869112402994</v>
      </c>
      <c r="AV314" s="1392">
        <f t="shared" si="520"/>
        <v>61240.176976294686</v>
      </c>
      <c r="AW314" s="1392">
        <f t="shared" si="520"/>
        <v>61382.520050061648</v>
      </c>
      <c r="AX314" s="1392">
        <f t="shared" si="520"/>
        <v>61525.189382096694</v>
      </c>
      <c r="AY314" s="1392">
        <f t="shared" si="520"/>
        <v>61668.194526332365</v>
      </c>
      <c r="AZ314" s="1392">
        <f t="shared" si="520"/>
        <v>61811.54409861123</v>
      </c>
      <c r="BA314" s="1392">
        <f t="shared" si="520"/>
        <v>61955.338391684832</v>
      </c>
    </row>
    <row r="315" spans="13:53" ht="20.100000000000001" customHeight="1">
      <c r="M315" s="407"/>
      <c r="N315" s="407"/>
      <c r="O315" s="407"/>
      <c r="P315" s="407"/>
      <c r="Q315" s="407"/>
      <c r="R315" s="407"/>
      <c r="S315" s="1391" t="s">
        <v>2950</v>
      </c>
      <c r="T315" s="1273" t="s">
        <v>2963</v>
      </c>
      <c r="U315" s="1273"/>
      <c r="V315" s="1273"/>
      <c r="W315" s="1273"/>
      <c r="X315" s="1273"/>
      <c r="Y315" s="1392">
        <f>IF(Y313&lt;START!$C$2+2021,0,Y224)</f>
        <v>0</v>
      </c>
      <c r="Z315" s="1392">
        <f>IF(Z313&lt;START!$C$2+2021,0,Z224)</f>
        <v>0</v>
      </c>
      <c r="AA315" s="1392">
        <f>IF(AA313&lt;START!$C$2+2021,0,AA224)</f>
        <v>0</v>
      </c>
      <c r="AB315" s="1392">
        <f>IF(AB313&lt;START!$C$2+2021,0,AB224)</f>
        <v>0</v>
      </c>
      <c r="AC315" s="1392">
        <f>IF(AC313&lt;START!$C$2+2021,0,AC224)</f>
        <v>0</v>
      </c>
      <c r="AD315" s="1392">
        <f>IF(AD313&lt;START!$C$2+2021,0,AD224)</f>
        <v>0</v>
      </c>
      <c r="AE315" s="1392">
        <f>IF(AE313&lt;START!$C$2+2021,0,AE224)</f>
        <v>0</v>
      </c>
      <c r="AF315" s="1392">
        <f>IF(AF313&lt;START!$C$2+2021,0,AF224)</f>
        <v>0</v>
      </c>
      <c r="AG315" s="1392">
        <f>IF(AG313&lt;START!$C$2+2021,0,AG224)</f>
        <v>0</v>
      </c>
      <c r="AH315" s="1392">
        <f>IF(AH313&lt;START!$C$2+2021,0,AH224)</f>
        <v>0</v>
      </c>
      <c r="AI315" s="1392">
        <f>IF(AI313&lt;START!$C$2+2021,0,AI224)</f>
        <v>0</v>
      </c>
      <c r="AJ315" s="1392">
        <f>IF(AJ313&lt;START!$C$2+2021,0,AJ224)</f>
        <v>0</v>
      </c>
      <c r="AK315" s="1392">
        <f>IF(AK313&lt;START!$C$2+2021,0,AK224)</f>
        <v>0</v>
      </c>
      <c r="AL315" s="1392">
        <f>IF(AL313&lt;START!$C$2+2021,0,AL224)</f>
        <v>0</v>
      </c>
      <c r="AM315" s="1392">
        <f>IF(AM313&lt;START!$C$2+2021,0,AM224)</f>
        <v>0</v>
      </c>
      <c r="AN315" s="1392">
        <f>IF(AN313&lt;START!$C$2+2021,0,AN224)</f>
        <v>0</v>
      </c>
      <c r="AO315" s="1392">
        <f>IF(AO313&lt;START!$C$2+2021,0,AO224)</f>
        <v>0</v>
      </c>
      <c r="AP315" s="1392">
        <f>IF(AP313&lt;START!$C$2+2021,0,AP224)</f>
        <v>0</v>
      </c>
      <c r="AQ315" s="1392">
        <f>IF(AQ313&lt;START!$C$2+2021,0,AQ224)</f>
        <v>0</v>
      </c>
      <c r="AR315" s="1392">
        <f>IF(AR313&lt;START!$C$2+2021,0,AR224)</f>
        <v>0</v>
      </c>
      <c r="AS315" s="1392">
        <f>IF(AS313&lt;START!$C$2+2021,0,AS224)</f>
        <v>0</v>
      </c>
      <c r="AT315" s="1392">
        <f>IF(AT313&lt;START!$C$2+2021,0,AT224)</f>
        <v>0</v>
      </c>
      <c r="AU315" s="1392">
        <f>IF(AU313&lt;START!$C$2+2021,0,AU224)</f>
        <v>0</v>
      </c>
      <c r="AV315" s="1392">
        <f>IF(AV313&lt;START!$C$2+2021,0,AV224)</f>
        <v>0</v>
      </c>
      <c r="AW315" s="1392">
        <f>IF(AW313&lt;START!$C$2+2021,0,AW224)</f>
        <v>0</v>
      </c>
      <c r="AX315" s="1392">
        <f>IF(AX313&lt;START!$C$2+2021,0,AX224)</f>
        <v>0</v>
      </c>
      <c r="AY315" s="1392">
        <f>IF(AY313&lt;START!$C$2+2021,0,AY224)</f>
        <v>0</v>
      </c>
      <c r="AZ315" s="1392">
        <f>IF(AZ313&lt;START!$C$2+2021,0,AZ224)</f>
        <v>0</v>
      </c>
      <c r="BA315" s="1393">
        <f>IF(BA313&lt;START!$C$2+2021,0,BA224)</f>
        <v>0</v>
      </c>
    </row>
    <row r="316" spans="13:53" ht="20.100000000000001" customHeight="1">
      <c r="M316" s="407"/>
      <c r="N316" s="407"/>
      <c r="O316" s="407"/>
      <c r="P316" s="407"/>
      <c r="Q316" s="407"/>
      <c r="R316" s="407"/>
      <c r="S316" s="844" t="s">
        <v>2733</v>
      </c>
      <c r="T316" s="366" t="s">
        <v>3215</v>
      </c>
      <c r="U316" s="366"/>
      <c r="V316" s="366"/>
      <c r="W316" s="366"/>
      <c r="X316" s="366"/>
      <c r="Y316" s="360">
        <f>Y179*Y256</f>
        <v>0</v>
      </c>
      <c r="Z316" s="360">
        <f t="shared" ref="Z316:BA316" si="521">Z179*Z256</f>
        <v>0</v>
      </c>
      <c r="AA316" s="360">
        <f t="shared" si="521"/>
        <v>0</v>
      </c>
      <c r="AB316" s="360">
        <f t="shared" si="521"/>
        <v>0</v>
      </c>
      <c r="AC316" s="360">
        <f t="shared" si="521"/>
        <v>0</v>
      </c>
      <c r="AD316" s="360">
        <f t="shared" si="521"/>
        <v>0</v>
      </c>
      <c r="AE316" s="360">
        <f t="shared" si="521"/>
        <v>0</v>
      </c>
      <c r="AF316" s="360">
        <f t="shared" si="521"/>
        <v>0</v>
      </c>
      <c r="AG316" s="360">
        <f t="shared" si="521"/>
        <v>0</v>
      </c>
      <c r="AH316" s="360">
        <f t="shared" si="521"/>
        <v>0</v>
      </c>
      <c r="AI316" s="360">
        <f t="shared" si="521"/>
        <v>0</v>
      </c>
      <c r="AJ316" s="360">
        <f t="shared" si="521"/>
        <v>0</v>
      </c>
      <c r="AK316" s="360">
        <f t="shared" si="521"/>
        <v>0</v>
      </c>
      <c r="AL316" s="360">
        <f t="shared" si="521"/>
        <v>0</v>
      </c>
      <c r="AM316" s="360">
        <f t="shared" si="521"/>
        <v>0</v>
      </c>
      <c r="AN316" s="360">
        <f t="shared" si="521"/>
        <v>0</v>
      </c>
      <c r="AO316" s="360">
        <f t="shared" si="521"/>
        <v>0</v>
      </c>
      <c r="AP316" s="360">
        <f t="shared" si="521"/>
        <v>0</v>
      </c>
      <c r="AQ316" s="360">
        <f t="shared" si="521"/>
        <v>0</v>
      </c>
      <c r="AR316" s="360">
        <f t="shared" si="521"/>
        <v>0</v>
      </c>
      <c r="AS316" s="360">
        <f t="shared" si="521"/>
        <v>0</v>
      </c>
      <c r="AT316" s="360">
        <f t="shared" si="521"/>
        <v>0</v>
      </c>
      <c r="AU316" s="360">
        <f t="shared" si="521"/>
        <v>0</v>
      </c>
      <c r="AV316" s="360">
        <f t="shared" si="521"/>
        <v>0</v>
      </c>
      <c r="AW316" s="360">
        <f t="shared" si="521"/>
        <v>0</v>
      </c>
      <c r="AX316" s="360">
        <f t="shared" si="521"/>
        <v>0</v>
      </c>
      <c r="AY316" s="360">
        <f t="shared" si="521"/>
        <v>0</v>
      </c>
      <c r="AZ316" s="360">
        <f t="shared" si="521"/>
        <v>0</v>
      </c>
      <c r="BA316" s="360">
        <f t="shared" si="521"/>
        <v>0</v>
      </c>
    </row>
    <row r="317" spans="13:53" ht="20.100000000000001" customHeight="1">
      <c r="M317" s="407"/>
      <c r="N317" s="407"/>
      <c r="O317" s="407"/>
      <c r="P317" s="407"/>
      <c r="Q317" s="407"/>
      <c r="R317" s="407"/>
      <c r="S317" s="844" t="s">
        <v>2869</v>
      </c>
      <c r="T317" s="366" t="s">
        <v>3215</v>
      </c>
      <c r="U317" s="366"/>
      <c r="V317" s="366"/>
      <c r="W317" s="366"/>
      <c r="X317" s="366"/>
      <c r="Y317" s="360">
        <f>Y180*Y257</f>
        <v>0</v>
      </c>
      <c r="Z317" s="360">
        <f t="shared" ref="Z317:BA317" si="522">Z180*Z257</f>
        <v>4.6755635107838228E-2</v>
      </c>
      <c r="AA317" s="360">
        <f t="shared" si="522"/>
        <v>4.6564356570074468E-2</v>
      </c>
      <c r="AB317" s="360">
        <f t="shared" si="522"/>
        <v>4.6373831459038693E-2</v>
      </c>
      <c r="AC317" s="360">
        <f t="shared" si="522"/>
        <v>4.6184063055613574E-2</v>
      </c>
      <c r="AD317" s="360">
        <f t="shared" si="522"/>
        <v>4.5995054461725533E-2</v>
      </c>
      <c r="AE317" s="360">
        <f t="shared" si="522"/>
        <v>4.5806808603978615E-2</v>
      </c>
      <c r="AF317" s="360">
        <f t="shared" si="522"/>
        <v>4.5619328237246369E-2</v>
      </c>
      <c r="AG317" s="360">
        <f t="shared" si="522"/>
        <v>4.5432615948221865E-2</v>
      </c>
      <c r="AH317" s="360">
        <f t="shared" si="522"/>
        <v>4.3233704235268407E-2</v>
      </c>
      <c r="AI317" s="360">
        <f t="shared" si="522"/>
        <v>4.114117967818845E-2</v>
      </c>
      <c r="AJ317" s="360">
        <f t="shared" si="522"/>
        <v>3.9149897497863469E-2</v>
      </c>
      <c r="AK317" s="360">
        <f t="shared" si="522"/>
        <v>3.7254961566352593E-2</v>
      </c>
      <c r="AL317" s="360">
        <f t="shared" si="522"/>
        <v>3.5451886265204055E-2</v>
      </c>
      <c r="AM317" s="360">
        <f t="shared" si="522"/>
        <v>3.3736045961672644E-2</v>
      </c>
      <c r="AN317" s="360">
        <f t="shared" si="522"/>
        <v>3.2103222036672992E-2</v>
      </c>
      <c r="AO317" s="360">
        <f t="shared" si="522"/>
        <v>3.0549399764667171E-2</v>
      </c>
      <c r="AP317" s="360">
        <f t="shared" si="522"/>
        <v>2.9070758465930713E-2</v>
      </c>
      <c r="AQ317" s="360">
        <f t="shared" si="522"/>
        <v>2.7663662134054991E-2</v>
      </c>
      <c r="AR317" s="360">
        <f t="shared" si="522"/>
        <v>2.6324778080553297E-2</v>
      </c>
      <c r="AS317" s="360">
        <f t="shared" si="522"/>
        <v>2.5050672916648375E-2</v>
      </c>
      <c r="AT317" s="360">
        <f t="shared" si="522"/>
        <v>2.3838213804008399E-2</v>
      </c>
      <c r="AU317" s="360">
        <f t="shared" si="522"/>
        <v>2.2684419333159844E-2</v>
      </c>
      <c r="AV317" s="360">
        <f t="shared" si="522"/>
        <v>2.1586452208848188E-2</v>
      </c>
      <c r="AW317" s="360">
        <f t="shared" si="522"/>
        <v>2.0541612288446077E-2</v>
      </c>
      <c r="AX317" s="360">
        <f t="shared" si="522"/>
        <v>1.9547423549212153E-2</v>
      </c>
      <c r="AY317" s="360">
        <f t="shared" si="522"/>
        <v>1.8601337587728434E-2</v>
      </c>
      <c r="AZ317" s="360">
        <f t="shared" si="522"/>
        <v>1.7701027939830569E-2</v>
      </c>
      <c r="BA317" s="360">
        <f t="shared" si="522"/>
        <v>1.6844280602099897E-2</v>
      </c>
    </row>
    <row r="318" spans="13:53" ht="20.100000000000001" customHeight="1">
      <c r="M318" s="407"/>
      <c r="N318" s="407"/>
      <c r="O318" s="407"/>
      <c r="P318" s="407"/>
      <c r="Q318" s="407"/>
      <c r="R318" s="407"/>
      <c r="S318" s="1391" t="s">
        <v>2951</v>
      </c>
      <c r="T318" s="1273" t="s">
        <v>2963</v>
      </c>
      <c r="U318" s="1273"/>
      <c r="V318" s="1273"/>
      <c r="W318" s="1273"/>
      <c r="X318" s="1273"/>
      <c r="Y318" s="1392">
        <f>IF(Y313&lt;(START!$C$2+2021),0,Y257)</f>
        <v>0</v>
      </c>
      <c r="Z318" s="1392">
        <f>IF(Z313&lt;(START!$C$2+2021),0,Z257)</f>
        <v>1</v>
      </c>
      <c r="AA318" s="1392">
        <f>IF(AA313&lt;(START!$C$2+2021),0,AA257)</f>
        <v>1</v>
      </c>
      <c r="AB318" s="1392">
        <f>IF(AB313&lt;(START!$C$2+2021),0,AB257)</f>
        <v>1</v>
      </c>
      <c r="AC318" s="1392">
        <f>IF(AC313&lt;(START!$C$2+2021),0,AC257)</f>
        <v>1</v>
      </c>
      <c r="AD318" s="1392">
        <f>IF(AD313&lt;(START!$C$2+2021),0,AD257)</f>
        <v>1</v>
      </c>
      <c r="AE318" s="1392">
        <f>IF(AE313&lt;(START!$C$2+2021),0,AE257)</f>
        <v>1</v>
      </c>
      <c r="AF318" s="1392">
        <f>IF(AF313&lt;(START!$C$2+2021),0,AF257)</f>
        <v>1</v>
      </c>
      <c r="AG318" s="1392">
        <f>IF(AG313&lt;(START!$C$2+2021),0,AG257)</f>
        <v>1</v>
      </c>
      <c r="AH318" s="1392">
        <f>IF(AH313&lt;(START!$C$2+2021),0,AH257)</f>
        <v>1</v>
      </c>
      <c r="AI318" s="1392">
        <f>IF(AI313&lt;(START!$C$2+2021),0,AI257)</f>
        <v>1</v>
      </c>
      <c r="AJ318" s="1392">
        <f>IF(AJ313&lt;(START!$C$2+2021),0,AJ257)</f>
        <v>1</v>
      </c>
      <c r="AK318" s="1392">
        <f>IF(AK313&lt;(START!$C$2+2021),0,AK257)</f>
        <v>1</v>
      </c>
      <c r="AL318" s="1392">
        <f>IF(AL313&lt;(START!$C$2+2021),0,AL257)</f>
        <v>1</v>
      </c>
      <c r="AM318" s="1392">
        <f>IF(AM313&lt;(START!$C$2+2021),0,AM257)</f>
        <v>1</v>
      </c>
      <c r="AN318" s="1392">
        <f>IF(AN313&lt;(START!$C$2+2021),0,AN257)</f>
        <v>1</v>
      </c>
      <c r="AO318" s="1392">
        <f>IF(AO313&lt;(START!$C$2+2021),0,AO257)</f>
        <v>1</v>
      </c>
      <c r="AP318" s="1392">
        <f>IF(AP313&lt;(START!$C$2+2021),0,AP257)</f>
        <v>1</v>
      </c>
      <c r="AQ318" s="1392">
        <f>IF(AQ313&lt;(START!$C$2+2021),0,AQ257)</f>
        <v>1</v>
      </c>
      <c r="AR318" s="1392">
        <f>IF(AR313&lt;(START!$C$2+2021),0,AR257)</f>
        <v>1</v>
      </c>
      <c r="AS318" s="1392">
        <f>IF(AS313&lt;(START!$C$2+2021),0,AS257)</f>
        <v>1</v>
      </c>
      <c r="AT318" s="1392">
        <f>IF(AT313&lt;(START!$C$2+2021),0,AT257)</f>
        <v>1</v>
      </c>
      <c r="AU318" s="1392">
        <f>IF(AU313&lt;(START!$C$2+2021),0,AU257)</f>
        <v>1</v>
      </c>
      <c r="AV318" s="1392">
        <f>IF(AV313&lt;(START!$C$2+2021),0,AV257)</f>
        <v>1</v>
      </c>
      <c r="AW318" s="1392">
        <f>IF(AW313&lt;(START!$C$2+2021),0,AW257)</f>
        <v>1</v>
      </c>
      <c r="AX318" s="1392">
        <f>IF(AX313&lt;(START!$C$2+2021),0,AX257)</f>
        <v>1</v>
      </c>
      <c r="AY318" s="1392">
        <f>IF(AY313&lt;(START!$C$2+2021),0,AY257)</f>
        <v>1</v>
      </c>
      <c r="AZ318" s="1392">
        <f>IF(AZ313&lt;(START!$C$2+2021),0,AZ257)</f>
        <v>1</v>
      </c>
      <c r="BA318" s="1393">
        <f>IF(BA313&lt;(START!$C$2+2021),0,BA257)</f>
        <v>1</v>
      </c>
    </row>
    <row r="319" spans="13:53" ht="20.100000000000001" customHeight="1">
      <c r="M319" s="407"/>
      <c r="N319" s="407"/>
      <c r="O319" s="407"/>
      <c r="P319" s="407"/>
      <c r="Q319" s="407"/>
      <c r="R319" s="407"/>
      <c r="S319" s="1391" t="s">
        <v>2952</v>
      </c>
      <c r="T319" s="1273" t="s">
        <v>2963</v>
      </c>
      <c r="U319" s="1273"/>
      <c r="V319" s="1273"/>
      <c r="W319" s="1273"/>
      <c r="X319" s="1273"/>
      <c r="Y319" s="1392">
        <f>IF(Y313&lt;START!$C$2+2021,0,Y269)</f>
        <v>0</v>
      </c>
      <c r="Z319" s="1392">
        <f>IF(Z313&lt;START!$C$2+2021,0,Z269)</f>
        <v>4955.3418901195537</v>
      </c>
      <c r="AA319" s="1392">
        <f>IF(AA313&lt;START!$C$2+2021,0,AA269)</f>
        <v>4975.1632576800321</v>
      </c>
      <c r="AB319" s="1392">
        <f>IF(AB313&lt;START!$C$2+2021,0,AB269)</f>
        <v>4995.0639107107527</v>
      </c>
      <c r="AC319" s="1392">
        <f>IF(AC313&lt;START!$C$2+2021,0,AC269)</f>
        <v>5015.0441663535958</v>
      </c>
      <c r="AD319" s="1392">
        <f>IF(AD313&lt;START!$C$2+2021,0,AD269)</f>
        <v>5035.1043430190102</v>
      </c>
      <c r="AE319" s="1392">
        <f>IF(AE313&lt;START!$C$2+2021,0,AE269)</f>
        <v>5055.2447603910859</v>
      </c>
      <c r="AF319" s="1392">
        <f>IF(AF313&lt;START!$C$2+2021,0,AF269)</f>
        <v>5075.4657394326505</v>
      </c>
      <c r="AG319" s="1392">
        <f>IF(AG313&lt;START!$C$2+2021,0,AG269)</f>
        <v>7352.6057436915216</v>
      </c>
      <c r="AH319" s="1392">
        <f>IF(AH313&lt;START!$C$2+2021,0,AH269)</f>
        <v>9061.3193731329611</v>
      </c>
      <c r="AI319" s="1392">
        <f>IF(AI313&lt;START!$C$2+2021,0,AI269)</f>
        <v>10398.43287456106</v>
      </c>
      <c r="AJ319" s="1392">
        <f>IF(AJ313&lt;START!$C$2+2021,0,AJ269)</f>
        <v>11475.758069859818</v>
      </c>
      <c r="AK319" s="1392">
        <f>IF(AK313&lt;START!$C$2+2021,0,AK269)</f>
        <v>12364.346263630659</v>
      </c>
      <c r="AL319" s="1392">
        <f>IF(AL313&lt;START!$C$2+2021,0,AL269)</f>
        <v>13111.530457383205</v>
      </c>
      <c r="AM319" s="1392">
        <f>IF(AM313&lt;START!$C$2+2021,0,AM269)</f>
        <v>13137.76894080392</v>
      </c>
      <c r="AN319" s="1392">
        <f>IF(AN313&lt;START!$C$2+2021,0,AN269)</f>
        <v>13164.060254031072</v>
      </c>
      <c r="AO319" s="1392">
        <f>IF(AO313&lt;START!$C$2+2021,0,AO269)</f>
        <v>13190.404501913339</v>
      </c>
      <c r="AP319" s="1392">
        <f>IF(AP313&lt;START!$C$2+2021,0,AP269)</f>
        <v>13216.7816860476</v>
      </c>
      <c r="AQ319" s="1392">
        <f>IF(AQ313&lt;START!$C$2+2021,0,AQ269)</f>
        <v>13243.212015217909</v>
      </c>
      <c r="AR319" s="1392">
        <f>IF(AR313&lt;START!$C$2+2021,0,AR269)</f>
        <v>13269.715315066389</v>
      </c>
      <c r="AS319" s="1392">
        <f>IF(AS313&lt;START!$C$2+2021,0,AS269)</f>
        <v>13296.271971262451</v>
      </c>
      <c r="AT319" s="1392">
        <f>IF(AT313&lt;START!$C$2+2021,0,AT269)</f>
        <v>13322.882089706905</v>
      </c>
      <c r="AU319" s="1392">
        <f>IF(AU313&lt;START!$C$2+2021,0,AU269)</f>
        <v>13349.525673037499</v>
      </c>
      <c r="AV319" s="1392">
        <f>IF(AV313&lt;START!$C$2+2021,0,AV269)</f>
        <v>13376.222931098388</v>
      </c>
      <c r="AW319" s="1392">
        <f>IF(AW313&lt;START!$C$2+2021,0,AW269)</f>
        <v>13402.993690847943</v>
      </c>
      <c r="AX319" s="1392">
        <f>IF(AX313&lt;START!$C$2+2021,0,AX269)</f>
        <v>13429.818338779636</v>
      </c>
      <c r="AY319" s="1392">
        <f>IF(AY313&lt;START!$C$2+2021,0,AY269)</f>
        <v>13456.696981857669</v>
      </c>
      <c r="AZ319" s="1392">
        <f>IF(AZ313&lt;START!$C$2+2021,0,AZ269)</f>
        <v>13483.629727259309</v>
      </c>
      <c r="BA319" s="1393">
        <f>IF(BA313&lt;START!$C$2+2021,0,BA269)</f>
        <v>13510.596578919494</v>
      </c>
    </row>
    <row r="320" spans="13:53" ht="20.100000000000001" customHeight="1">
      <c r="M320" s="407"/>
      <c r="N320" s="407"/>
      <c r="O320" s="407"/>
      <c r="P320" s="407"/>
      <c r="Q320" s="407"/>
      <c r="R320" s="407"/>
      <c r="S320" s="1391" t="s">
        <v>2953</v>
      </c>
      <c r="T320" s="1273" t="s">
        <v>2963</v>
      </c>
      <c r="U320" s="1273"/>
      <c r="V320" s="1273"/>
      <c r="W320" s="1273"/>
      <c r="X320" s="1273"/>
      <c r="Y320" s="1392">
        <f>IF(Y313&lt;START!$C$2+2021,0,Y300)</f>
        <v>0</v>
      </c>
      <c r="Z320" s="1392">
        <f>IF(Z313&lt;START!$C$2+2021,0,Z300)</f>
        <v>433.10948652413276</v>
      </c>
      <c r="AA320" s="1392">
        <f>IF(AA313&lt;START!$C$2+2021,0,AA300)</f>
        <v>432.89428710543984</v>
      </c>
      <c r="AB320" s="1392">
        <f>IF(AB313&lt;START!$C$2+2021,0,AB300)</f>
        <v>432.67816057334755</v>
      </c>
      <c r="AC320" s="1392">
        <f>IF(AC313&lt;START!$C$2+2021,0,AC300)</f>
        <v>432.03494324122067</v>
      </c>
      <c r="AD320" s="1392">
        <f>IF(AD313&lt;START!$C$2+2021,0,AD300)</f>
        <v>431.38894934844728</v>
      </c>
      <c r="AE320" s="1392">
        <f>IF(AE313&lt;START!$C$2+2021,0,AE300)</f>
        <v>430.74022074097297</v>
      </c>
      <c r="AF320" s="1392">
        <f>IF(AF313&lt;START!$C$2+2021,0,AF300)</f>
        <v>430.08879870547986</v>
      </c>
      <c r="AG320" s="1392">
        <f>IF(AG313&lt;START!$C$2+2021,0,AG300)</f>
        <v>429.43472397638857</v>
      </c>
      <c r="AH320" s="1392">
        <f>IF(AH313&lt;START!$C$2+2021,0,AH300)</f>
        <v>429.15944686243427</v>
      </c>
      <c r="AI320" s="1392">
        <f>IF(AI313&lt;START!$C$2+2021,0,AI300)</f>
        <v>428.88266541038701</v>
      </c>
      <c r="AJ320" s="1392">
        <f>IF(AJ313&lt;START!$C$2+2021,0,AJ300)</f>
        <v>428.60459124011516</v>
      </c>
      <c r="AK320" s="1392">
        <f>IF(AK313&lt;START!$C$2+2021,0,AK300)</f>
        <v>428.32541724392411</v>
      </c>
      <c r="AL320" s="1392">
        <f>IF(AL313&lt;START!$C$2+2021,0,AL300)</f>
        <v>428.04531900643849</v>
      </c>
      <c r="AM320" s="1392">
        <f>IF(AM313&lt;START!$C$2+2021,0,AM300)</f>
        <v>427.7644561249474</v>
      </c>
      <c r="AN320" s="1392">
        <f>IF(AN313&lt;START!$C$2+2021,0,AN300)</f>
        <v>427.48297343686818</v>
      </c>
      <c r="AO320" s="1392">
        <f>IF(AO313&lt;START!$C$2+2021,0,AO300)</f>
        <v>427.2010021605505</v>
      </c>
      <c r="AP320" s="1392">
        <f>IF(AP313&lt;START!$C$2+2021,0,AP300)</f>
        <v>426.91866095524011</v>
      </c>
      <c r="AQ320" s="1392">
        <f>IF(AQ313&lt;START!$C$2+2021,0,AQ300)</f>
        <v>426.6360569056456</v>
      </c>
      <c r="AR320" s="1392">
        <f>IF(AR313&lt;START!$C$2+2021,0,AR300)</f>
        <v>426.43189482488441</v>
      </c>
      <c r="AS320" s="1392">
        <f>IF(AS313&lt;START!$C$2+2021,0,AS300)</f>
        <v>426.22854020334125</v>
      </c>
      <c r="AT320" s="1392">
        <f>IF(AT313&lt;START!$C$2+2021,0,AT300)</f>
        <v>426.02599743040213</v>
      </c>
      <c r="AU320" s="1392">
        <f>IF(AU313&lt;START!$C$2+2021,0,AU300)</f>
        <v>425.82426797005621</v>
      </c>
      <c r="AV320" s="1392">
        <f>IF(AV313&lt;START!$C$2+2021,0,AV300)</f>
        <v>425.62335066941199</v>
      </c>
      <c r="AW320" s="1392">
        <f>IF(AW313&lt;START!$C$2+2021,0,AW300)</f>
        <v>425.34264643114921</v>
      </c>
      <c r="AX320" s="1392">
        <f>IF(AX313&lt;START!$C$2+2021,0,AX300)</f>
        <v>425.06207663483212</v>
      </c>
      <c r="AY320" s="1392">
        <f>IF(AY313&lt;START!$C$2+2021,0,AY300)</f>
        <v>424.78168905157582</v>
      </c>
      <c r="AZ320" s="1392">
        <f>IF(AZ313&lt;START!$C$2+2021,0,AZ300)</f>
        <v>424.50152579098574</v>
      </c>
      <c r="BA320" s="1393">
        <f>IF(BA313&lt;START!$C$2+2021,0,BA300)</f>
        <v>424.22162377941635</v>
      </c>
    </row>
    <row r="321" spans="2:53" ht="20.100000000000001" customHeight="1">
      <c r="M321" s="407"/>
      <c r="N321" s="407"/>
      <c r="O321" s="407"/>
      <c r="P321" s="407"/>
      <c r="Q321" s="407"/>
      <c r="R321" s="407"/>
      <c r="S321" s="1391" t="s">
        <v>2957</v>
      </c>
      <c r="T321" s="1273" t="s">
        <v>2963</v>
      </c>
      <c r="U321" s="1273"/>
      <c r="V321" s="1273"/>
      <c r="W321" s="1273"/>
      <c r="X321" s="1273"/>
      <c r="Y321" s="1392">
        <f>IF(Y313&lt;START!$C$2+2021,0,Y310)</f>
        <v>0</v>
      </c>
      <c r="Z321" s="1392">
        <f>IF(Z313&lt;START!$C$2+2021,0,Z310)</f>
        <v>0</v>
      </c>
      <c r="AA321" s="1392">
        <f>IF(AA313&lt;START!$C$2+2021,0,AA310)</f>
        <v>0</v>
      </c>
      <c r="AB321" s="1392">
        <f>IF(AB313&lt;START!$C$2+2021,0,AB310)</f>
        <v>0</v>
      </c>
      <c r="AC321" s="1392">
        <f>IF(AC313&lt;START!$C$2+2021,0,AC310)</f>
        <v>0</v>
      </c>
      <c r="AD321" s="1392">
        <f>IF(AD313&lt;START!$C$2+2021,0,AD310)</f>
        <v>0</v>
      </c>
      <c r="AE321" s="1392">
        <f>IF(AE313&lt;START!$C$2+2021,0,AE310)</f>
        <v>0</v>
      </c>
      <c r="AF321" s="1392">
        <f>IF(AF313&lt;START!$C$2+2021,0,AF310)</f>
        <v>0</v>
      </c>
      <c r="AG321" s="1392">
        <f>IF(AG313&lt;START!$C$2+2021,0,AG310)</f>
        <v>0</v>
      </c>
      <c r="AH321" s="1392">
        <f>IF(AH313&lt;START!$C$2+2021,0,AH310)</f>
        <v>0</v>
      </c>
      <c r="AI321" s="1392">
        <f>IF(AI313&lt;START!$C$2+2021,0,AI310)</f>
        <v>0</v>
      </c>
      <c r="AJ321" s="1392">
        <f>IF(AJ313&lt;START!$C$2+2021,0,AJ310)</f>
        <v>0</v>
      </c>
      <c r="AK321" s="1392">
        <f>IF(AK313&lt;START!$C$2+2021,0,AK310)</f>
        <v>0</v>
      </c>
      <c r="AL321" s="1392">
        <f>IF(AL313&lt;START!$C$2+2021,0,AL310)</f>
        <v>0</v>
      </c>
      <c r="AM321" s="1392">
        <f>IF(AM313&lt;START!$C$2+2021,0,AM310)</f>
        <v>0</v>
      </c>
      <c r="AN321" s="1392">
        <f>IF(AN313&lt;START!$C$2+2021,0,AN310)</f>
        <v>0</v>
      </c>
      <c r="AO321" s="1392">
        <f>IF(AO313&lt;START!$C$2+2021,0,AO310)</f>
        <v>0</v>
      </c>
      <c r="AP321" s="1392">
        <f>IF(AP313&lt;START!$C$2+2021,0,AP310)</f>
        <v>0</v>
      </c>
      <c r="AQ321" s="1392">
        <f>IF(AQ313&lt;START!$C$2+2021,0,AQ310)</f>
        <v>0</v>
      </c>
      <c r="AR321" s="1392">
        <f>IF(AR313&lt;START!$C$2+2021,0,AR310)</f>
        <v>0</v>
      </c>
      <c r="AS321" s="1392">
        <f>IF(AS313&lt;START!$C$2+2021,0,AS310)</f>
        <v>0</v>
      </c>
      <c r="AT321" s="1392">
        <f>IF(AT313&lt;START!$C$2+2021,0,AT310)</f>
        <v>0</v>
      </c>
      <c r="AU321" s="1392">
        <f>IF(AU313&lt;START!$C$2+2021,0,AU310)</f>
        <v>0</v>
      </c>
      <c r="AV321" s="1392">
        <f>IF(AV313&lt;START!$C$2+2021,0,AV310)</f>
        <v>0</v>
      </c>
      <c r="AW321" s="1392">
        <f>IF(AW313&lt;START!$C$2+2021,0,AW310)</f>
        <v>0</v>
      </c>
      <c r="AX321" s="1392">
        <f>IF(AX313&lt;START!$C$2+2021,0,AX310)</f>
        <v>0</v>
      </c>
      <c r="AY321" s="1392">
        <f>IF(AY313&lt;START!$C$2+2021,0,AY310)</f>
        <v>0</v>
      </c>
      <c r="AZ321" s="1392">
        <f>IF(AZ313&lt;START!$C$2+2021,0,AZ310)</f>
        <v>0</v>
      </c>
      <c r="BA321" s="1393">
        <f>IF(BA313&lt;START!$C$2+2021,0,BA310)</f>
        <v>0</v>
      </c>
    </row>
    <row r="322" spans="2:53" ht="20.100000000000001" customHeight="1" thickBot="1">
      <c r="M322" s="407"/>
      <c r="N322" s="407"/>
      <c r="O322" s="407"/>
      <c r="P322" s="407"/>
      <c r="Q322" s="407"/>
      <c r="R322" s="407"/>
      <c r="S322" s="1394" t="s">
        <v>3213</v>
      </c>
      <c r="T322" s="1274"/>
      <c r="U322" s="1274"/>
      <c r="V322" s="1328">
        <f>SUM(V314:V321)</f>
        <v>0</v>
      </c>
      <c r="W322" s="1328">
        <f t="shared" ref="W322:BA322" si="523">SUM(W314:W321)</f>
        <v>0</v>
      </c>
      <c r="X322" s="1328">
        <f t="shared" si="523"/>
        <v>0</v>
      </c>
      <c r="Y322" s="1328">
        <f t="shared" si="523"/>
        <v>0</v>
      </c>
      <c r="Z322" s="1328">
        <f t="shared" si="523"/>
        <v>103718.67179066918</v>
      </c>
      <c r="AA322" s="1328">
        <f t="shared" si="523"/>
        <v>103984.40964521845</v>
      </c>
      <c r="AB322" s="1328">
        <f t="shared" si="523"/>
        <v>104250.60288559963</v>
      </c>
      <c r="AC322" s="1328">
        <f t="shared" si="523"/>
        <v>104419.51081571874</v>
      </c>
      <c r="AD322" s="1328">
        <f t="shared" si="523"/>
        <v>104587.85675706294</v>
      </c>
      <c r="AE322" s="1328">
        <f t="shared" si="523"/>
        <v>104755.64373149379</v>
      </c>
      <c r="AF322" s="1328">
        <f t="shared" si="523"/>
        <v>104922.87470504129</v>
      </c>
      <c r="AG322" s="1328">
        <f t="shared" si="523"/>
        <v>94849.496875242301</v>
      </c>
      <c r="AH322" s="1328">
        <f t="shared" si="523"/>
        <v>87859.58174450029</v>
      </c>
      <c r="AI322" s="1328">
        <f t="shared" si="523"/>
        <v>82730.4021101814</v>
      </c>
      <c r="AJ322" s="1328">
        <f t="shared" si="523"/>
        <v>78826.782650543886</v>
      </c>
      <c r="AK322" s="1328">
        <f t="shared" si="523"/>
        <v>75770.110949749665</v>
      </c>
      <c r="AL322" s="1328">
        <f t="shared" si="523"/>
        <v>73321.548801474215</v>
      </c>
      <c r="AM322" s="1328">
        <f t="shared" si="523"/>
        <v>73486.673832076413</v>
      </c>
      <c r="AN322" s="1328">
        <f t="shared" si="523"/>
        <v>73652.036348248585</v>
      </c>
      <c r="AO322" s="1328">
        <f t="shared" si="523"/>
        <v>73817.659563399458</v>
      </c>
      <c r="AP322" s="1328">
        <f t="shared" si="523"/>
        <v>73983.636701509313</v>
      </c>
      <c r="AQ322" s="1328">
        <f t="shared" si="523"/>
        <v>74149.915214280423</v>
      </c>
      <c r="AR322" s="1328">
        <f t="shared" si="523"/>
        <v>74327.38352709639</v>
      </c>
      <c r="AS322" s="1328">
        <f t="shared" si="523"/>
        <v>74505.413411893052</v>
      </c>
      <c r="AT322" s="1328">
        <f t="shared" si="523"/>
        <v>74684.007900847457</v>
      </c>
      <c r="AU322" s="1328">
        <f t="shared" si="523"/>
        <v>74863.241737829885</v>
      </c>
      <c r="AV322" s="1328">
        <f t="shared" si="523"/>
        <v>75043.04484451469</v>
      </c>
      <c r="AW322" s="1328">
        <f t="shared" si="523"/>
        <v>75211.876928953032</v>
      </c>
      <c r="AX322" s="1328">
        <f t="shared" si="523"/>
        <v>75381.089344934706</v>
      </c>
      <c r="AY322" s="1328">
        <f t="shared" si="523"/>
        <v>75550.691798579195</v>
      </c>
      <c r="AZ322" s="1328">
        <f t="shared" si="523"/>
        <v>75720.693052689458</v>
      </c>
      <c r="BA322" s="1395">
        <f t="shared" si="523"/>
        <v>75891.173438664351</v>
      </c>
    </row>
    <row r="323" spans="2:53" ht="20.100000000000001" customHeight="1">
      <c r="M323" s="407"/>
      <c r="N323" s="407"/>
      <c r="O323" s="407"/>
      <c r="P323" s="407"/>
      <c r="Q323" s="407"/>
      <c r="R323" s="407"/>
    </row>
    <row r="324" spans="2:53" ht="20.100000000000001" customHeight="1">
      <c r="M324" s="407"/>
      <c r="N324" s="407"/>
      <c r="O324" s="407"/>
      <c r="P324" s="407"/>
      <c r="Q324" s="407"/>
      <c r="R324" s="407"/>
    </row>
    <row r="325" spans="2:53" ht="20.100000000000001" customHeight="1">
      <c r="M325" s="407"/>
      <c r="N325" s="407"/>
      <c r="O325" s="407"/>
      <c r="P325" s="407"/>
      <c r="Q325" s="407"/>
      <c r="R325" s="407"/>
    </row>
    <row r="326" spans="2:53" ht="20.100000000000001" customHeight="1">
      <c r="M326" s="407"/>
      <c r="N326" s="407"/>
      <c r="O326" s="407"/>
      <c r="P326" s="407"/>
      <c r="Q326" s="407"/>
      <c r="R326" s="407"/>
    </row>
    <row r="327" spans="2:53" ht="20.100000000000001" customHeight="1">
      <c r="M327" s="406"/>
      <c r="N327" s="406"/>
      <c r="O327" s="406"/>
      <c r="P327" s="406"/>
      <c r="Q327" s="406"/>
      <c r="R327" s="406"/>
    </row>
    <row r="328" spans="2:53" ht="20.100000000000001" customHeight="1">
      <c r="M328" s="407"/>
      <c r="N328" s="407"/>
      <c r="O328" s="407"/>
      <c r="P328" s="407"/>
      <c r="Q328" s="407"/>
      <c r="R328" s="407"/>
    </row>
    <row r="329" spans="2:53" ht="20.100000000000001" customHeight="1">
      <c r="C329" s="1078"/>
      <c r="D329" s="1078"/>
      <c r="E329" s="1078"/>
      <c r="F329" s="25"/>
      <c r="G329" s="29"/>
      <c r="H329" s="29"/>
      <c r="I329" s="406"/>
      <c r="J329" s="406"/>
      <c r="K329" s="406"/>
      <c r="L329" s="406"/>
      <c r="M329" s="406"/>
      <c r="N329" s="406"/>
      <c r="O329" s="406"/>
      <c r="P329" s="406"/>
      <c r="Q329" s="406"/>
      <c r="R329" s="406"/>
    </row>
    <row r="330" spans="2:53" ht="20.100000000000001" customHeight="1" thickBot="1">
      <c r="C330" s="1078"/>
      <c r="D330" s="1078"/>
      <c r="E330" s="1078"/>
      <c r="F330" s="25"/>
      <c r="G330" s="29"/>
      <c r="H330" s="29"/>
      <c r="I330" s="407"/>
      <c r="J330" s="407"/>
      <c r="K330" s="407"/>
      <c r="L330" s="407"/>
      <c r="M330" s="407"/>
      <c r="N330" s="407"/>
      <c r="O330" s="407"/>
      <c r="P330" s="407"/>
      <c r="Q330" s="407"/>
      <c r="R330" s="407"/>
      <c r="S330" s="1323" t="s">
        <v>3186</v>
      </c>
      <c r="T330" s="17"/>
      <c r="U330" s="17"/>
      <c r="V330" s="17"/>
      <c r="W330" s="17"/>
    </row>
    <row r="331" spans="2:53" ht="20.100000000000001" customHeight="1">
      <c r="C331" s="168"/>
      <c r="D331" s="168"/>
      <c r="E331" s="168"/>
      <c r="F331" s="168"/>
      <c r="G331" s="168"/>
      <c r="H331" s="168"/>
      <c r="I331" s="168"/>
      <c r="J331" s="168"/>
      <c r="K331" s="168"/>
      <c r="L331" s="406"/>
      <c r="M331" s="406"/>
      <c r="N331" s="406"/>
      <c r="O331" s="406"/>
      <c r="P331" s="406"/>
      <c r="Q331" s="406"/>
      <c r="R331" s="406"/>
      <c r="S331" s="823"/>
      <c r="T331" s="828"/>
      <c r="U331" s="367"/>
      <c r="V331" s="367"/>
      <c r="W331" s="367"/>
      <c r="X331" s="798">
        <f t="shared" ref="X331:BA331" si="524">X200</f>
        <v>2021</v>
      </c>
      <c r="Y331" s="798">
        <f t="shared" si="524"/>
        <v>2022</v>
      </c>
      <c r="Z331" s="798">
        <f t="shared" si="524"/>
        <v>2023</v>
      </c>
      <c r="AA331" s="798">
        <f t="shared" si="524"/>
        <v>2024</v>
      </c>
      <c r="AB331" s="798">
        <f t="shared" si="524"/>
        <v>2025</v>
      </c>
      <c r="AC331" s="798">
        <f t="shared" si="524"/>
        <v>2026</v>
      </c>
      <c r="AD331" s="798">
        <f t="shared" si="524"/>
        <v>2027</v>
      </c>
      <c r="AE331" s="798">
        <f t="shared" si="524"/>
        <v>2028</v>
      </c>
      <c r="AF331" s="798">
        <f t="shared" si="524"/>
        <v>2029</v>
      </c>
      <c r="AG331" s="798">
        <f t="shared" si="524"/>
        <v>2030</v>
      </c>
      <c r="AH331" s="798">
        <f t="shared" si="524"/>
        <v>2031</v>
      </c>
      <c r="AI331" s="798">
        <f t="shared" si="524"/>
        <v>2032</v>
      </c>
      <c r="AJ331" s="798">
        <f t="shared" si="524"/>
        <v>2033</v>
      </c>
      <c r="AK331" s="798">
        <f t="shared" si="524"/>
        <v>2034</v>
      </c>
      <c r="AL331" s="798">
        <f t="shared" si="524"/>
        <v>2035</v>
      </c>
      <c r="AM331" s="798">
        <f t="shared" si="524"/>
        <v>2036</v>
      </c>
      <c r="AN331" s="798">
        <f t="shared" si="524"/>
        <v>2037</v>
      </c>
      <c r="AO331" s="798">
        <f t="shared" si="524"/>
        <v>2038</v>
      </c>
      <c r="AP331" s="798">
        <f t="shared" si="524"/>
        <v>2039</v>
      </c>
      <c r="AQ331" s="798">
        <f t="shared" si="524"/>
        <v>2040</v>
      </c>
      <c r="AR331" s="798">
        <f t="shared" si="524"/>
        <v>2041</v>
      </c>
      <c r="AS331" s="798">
        <f t="shared" si="524"/>
        <v>2042</v>
      </c>
      <c r="AT331" s="798">
        <f t="shared" si="524"/>
        <v>2043</v>
      </c>
      <c r="AU331" s="798">
        <f t="shared" si="524"/>
        <v>2044</v>
      </c>
      <c r="AV331" s="798">
        <f t="shared" si="524"/>
        <v>2045</v>
      </c>
      <c r="AW331" s="798">
        <f t="shared" si="524"/>
        <v>2046</v>
      </c>
      <c r="AX331" s="798">
        <f t="shared" si="524"/>
        <v>2047</v>
      </c>
      <c r="AY331" s="798">
        <f t="shared" si="524"/>
        <v>2048</v>
      </c>
      <c r="AZ331" s="798">
        <f t="shared" si="524"/>
        <v>2049</v>
      </c>
      <c r="BA331" s="799">
        <f t="shared" si="524"/>
        <v>2050</v>
      </c>
    </row>
    <row r="332" spans="2:53" ht="20.100000000000001" customHeight="1" thickBot="1">
      <c r="C332" s="168"/>
      <c r="D332" s="168"/>
      <c r="E332" s="168"/>
      <c r="F332" s="168"/>
      <c r="G332" s="168"/>
      <c r="H332" s="168"/>
      <c r="I332" s="168"/>
      <c r="J332" s="168"/>
      <c r="K332" s="168"/>
      <c r="L332" s="407"/>
      <c r="M332" s="407"/>
      <c r="N332" s="407"/>
      <c r="O332" s="407"/>
      <c r="P332" s="407"/>
      <c r="Q332" s="407"/>
      <c r="R332" s="407"/>
      <c r="S332" s="824" t="s">
        <v>177</v>
      </c>
      <c r="T332" s="829" t="s">
        <v>3139</v>
      </c>
      <c r="U332" s="816"/>
      <c r="V332" s="816"/>
      <c r="W332" s="816"/>
      <c r="X332" s="817"/>
      <c r="Y332" s="779">
        <f>IF(AND(Y331&gt;(2020+$F$151),Y331&lt;(2022+$G$151)),X332+($F$149/($G$151-$F$151+1)),X332)</f>
        <v>0</v>
      </c>
      <c r="Z332" s="779">
        <f t="shared" ref="Z332:BA332" si="525">IF(AND(Z331&gt;(2020+$F$151),Z331&lt;(2022+$G$151)),Y332+($F$149/($G$151-$F$151+1)),Y332)</f>
        <v>0</v>
      </c>
      <c r="AA332" s="779">
        <f t="shared" si="525"/>
        <v>0</v>
      </c>
      <c r="AB332" s="779">
        <f t="shared" si="525"/>
        <v>8.3333333333333339</v>
      </c>
      <c r="AC332" s="779">
        <f t="shared" si="525"/>
        <v>16.666666666666668</v>
      </c>
      <c r="AD332" s="779">
        <f t="shared" si="525"/>
        <v>25</v>
      </c>
      <c r="AE332" s="779">
        <f t="shared" si="525"/>
        <v>33.333333333333336</v>
      </c>
      <c r="AF332" s="779">
        <f t="shared" si="525"/>
        <v>41.666666666666671</v>
      </c>
      <c r="AG332" s="779">
        <f t="shared" si="525"/>
        <v>50.000000000000007</v>
      </c>
      <c r="AH332" s="779">
        <f t="shared" si="525"/>
        <v>50.000000000000007</v>
      </c>
      <c r="AI332" s="779">
        <f t="shared" si="525"/>
        <v>50.000000000000007</v>
      </c>
      <c r="AJ332" s="779">
        <f t="shared" si="525"/>
        <v>50.000000000000007</v>
      </c>
      <c r="AK332" s="779">
        <f t="shared" si="525"/>
        <v>50.000000000000007</v>
      </c>
      <c r="AL332" s="779">
        <f t="shared" si="525"/>
        <v>50.000000000000007</v>
      </c>
      <c r="AM332" s="779">
        <f t="shared" si="525"/>
        <v>50.000000000000007</v>
      </c>
      <c r="AN332" s="779">
        <f t="shared" si="525"/>
        <v>50.000000000000007</v>
      </c>
      <c r="AO332" s="779">
        <f t="shared" si="525"/>
        <v>50.000000000000007</v>
      </c>
      <c r="AP332" s="779">
        <f t="shared" si="525"/>
        <v>50.000000000000007</v>
      </c>
      <c r="AQ332" s="779">
        <f t="shared" si="525"/>
        <v>50.000000000000007</v>
      </c>
      <c r="AR332" s="779">
        <f t="shared" si="525"/>
        <v>50.000000000000007</v>
      </c>
      <c r="AS332" s="779">
        <f t="shared" si="525"/>
        <v>50.000000000000007</v>
      </c>
      <c r="AT332" s="779">
        <f t="shared" si="525"/>
        <v>50.000000000000007</v>
      </c>
      <c r="AU332" s="779">
        <f t="shared" si="525"/>
        <v>50.000000000000007</v>
      </c>
      <c r="AV332" s="779">
        <f t="shared" si="525"/>
        <v>50.000000000000007</v>
      </c>
      <c r="AW332" s="779">
        <f t="shared" si="525"/>
        <v>50.000000000000007</v>
      </c>
      <c r="AX332" s="779">
        <f t="shared" si="525"/>
        <v>50.000000000000007</v>
      </c>
      <c r="AY332" s="779">
        <f t="shared" si="525"/>
        <v>50.000000000000007</v>
      </c>
      <c r="AZ332" s="779">
        <f t="shared" si="525"/>
        <v>50.000000000000007</v>
      </c>
      <c r="BA332" s="797">
        <f t="shared" si="525"/>
        <v>50.000000000000007</v>
      </c>
    </row>
    <row r="333" spans="2:53" ht="20.100000000000001" customHeight="1">
      <c r="C333" s="168"/>
      <c r="D333" s="168"/>
      <c r="E333" s="168"/>
      <c r="F333" s="168"/>
      <c r="G333" s="168"/>
      <c r="H333" s="168"/>
      <c r="I333" s="168"/>
      <c r="J333" s="168"/>
      <c r="K333" s="168"/>
      <c r="L333" s="406"/>
      <c r="M333" s="406"/>
      <c r="N333" s="406"/>
      <c r="O333" s="406"/>
      <c r="P333" s="406"/>
      <c r="Q333" s="406"/>
      <c r="R333" s="406"/>
      <c r="S333" s="804" t="s">
        <v>181</v>
      </c>
      <c r="T333" s="828"/>
      <c r="U333" s="367"/>
      <c r="V333" s="367"/>
      <c r="W333" s="367"/>
      <c r="X333" s="798">
        <f>X331</f>
        <v>2021</v>
      </c>
      <c r="Y333" s="798">
        <f t="shared" ref="Y333:BA333" si="526">Y331</f>
        <v>2022</v>
      </c>
      <c r="Z333" s="798">
        <f t="shared" si="526"/>
        <v>2023</v>
      </c>
      <c r="AA333" s="798">
        <f t="shared" si="526"/>
        <v>2024</v>
      </c>
      <c r="AB333" s="798">
        <f t="shared" si="526"/>
        <v>2025</v>
      </c>
      <c r="AC333" s="798">
        <f t="shared" si="526"/>
        <v>2026</v>
      </c>
      <c r="AD333" s="798">
        <f t="shared" si="526"/>
        <v>2027</v>
      </c>
      <c r="AE333" s="798">
        <f t="shared" si="526"/>
        <v>2028</v>
      </c>
      <c r="AF333" s="798">
        <f t="shared" si="526"/>
        <v>2029</v>
      </c>
      <c r="AG333" s="798">
        <f t="shared" si="526"/>
        <v>2030</v>
      </c>
      <c r="AH333" s="798">
        <f t="shared" si="526"/>
        <v>2031</v>
      </c>
      <c r="AI333" s="798">
        <f t="shared" si="526"/>
        <v>2032</v>
      </c>
      <c r="AJ333" s="798">
        <f t="shared" si="526"/>
        <v>2033</v>
      </c>
      <c r="AK333" s="798">
        <f t="shared" si="526"/>
        <v>2034</v>
      </c>
      <c r="AL333" s="798">
        <f t="shared" si="526"/>
        <v>2035</v>
      </c>
      <c r="AM333" s="798">
        <f t="shared" si="526"/>
        <v>2036</v>
      </c>
      <c r="AN333" s="798">
        <f t="shared" si="526"/>
        <v>2037</v>
      </c>
      <c r="AO333" s="798">
        <f t="shared" si="526"/>
        <v>2038</v>
      </c>
      <c r="AP333" s="798">
        <f t="shared" si="526"/>
        <v>2039</v>
      </c>
      <c r="AQ333" s="798">
        <f t="shared" si="526"/>
        <v>2040</v>
      </c>
      <c r="AR333" s="798">
        <f t="shared" si="526"/>
        <v>2041</v>
      </c>
      <c r="AS333" s="798">
        <f t="shared" si="526"/>
        <v>2042</v>
      </c>
      <c r="AT333" s="798">
        <f t="shared" si="526"/>
        <v>2043</v>
      </c>
      <c r="AU333" s="798">
        <f t="shared" si="526"/>
        <v>2044</v>
      </c>
      <c r="AV333" s="798">
        <f t="shared" si="526"/>
        <v>2045</v>
      </c>
      <c r="AW333" s="798">
        <f t="shared" si="526"/>
        <v>2046</v>
      </c>
      <c r="AX333" s="798">
        <f t="shared" si="526"/>
        <v>2047</v>
      </c>
      <c r="AY333" s="798">
        <f t="shared" si="526"/>
        <v>2048</v>
      </c>
      <c r="AZ333" s="798">
        <f t="shared" si="526"/>
        <v>2049</v>
      </c>
      <c r="BA333" s="799">
        <f t="shared" si="526"/>
        <v>2050</v>
      </c>
    </row>
    <row r="334" spans="2:53" ht="20.100000000000001" customHeight="1">
      <c r="B334" s="168"/>
      <c r="C334" s="168"/>
      <c r="D334" s="168"/>
      <c r="E334" s="168"/>
      <c r="F334" s="168"/>
      <c r="G334" s="168"/>
      <c r="H334" s="168"/>
      <c r="I334" s="168"/>
      <c r="J334" s="168"/>
      <c r="K334" s="168"/>
      <c r="L334" s="406"/>
      <c r="M334" s="406"/>
      <c r="N334" s="406"/>
      <c r="O334" s="406"/>
      <c r="P334" s="406"/>
      <c r="Q334" s="406"/>
      <c r="R334" s="406"/>
      <c r="S334" s="825" t="str">
        <f t="shared" ref="S334:S339" si="527">S265</f>
        <v>BUS</v>
      </c>
      <c r="T334" s="791" t="s">
        <v>3077</v>
      </c>
      <c r="U334" s="789"/>
      <c r="V334" s="789"/>
      <c r="W334" s="789"/>
      <c r="X334" s="366"/>
      <c r="Y334" s="76">
        <f t="shared" ref="Y334:BA334" si="528">(100-Y$332)/100*Y265</f>
        <v>0</v>
      </c>
      <c r="Z334" s="76">
        <f t="shared" si="528"/>
        <v>2751.522157781947</v>
      </c>
      <c r="AA334" s="76">
        <f t="shared" si="528"/>
        <v>2759.7767242552927</v>
      </c>
      <c r="AB334" s="76">
        <f t="shared" si="528"/>
        <v>2537.3847165590532</v>
      </c>
      <c r="AC334" s="76">
        <f t="shared" si="528"/>
        <v>2313.6335188261182</v>
      </c>
      <c r="AD334" s="76">
        <f t="shared" si="528"/>
        <v>2088.5169774443375</v>
      </c>
      <c r="AE334" s="76">
        <f t="shared" si="528"/>
        <v>1862.0289141125952</v>
      </c>
      <c r="AF334" s="76">
        <f t="shared" si="528"/>
        <v>1634.1631257480665</v>
      </c>
      <c r="AG334" s="76">
        <f t="shared" si="528"/>
        <v>1282.7933561201564</v>
      </c>
      <c r="AH334" s="76">
        <f t="shared" si="528"/>
        <v>1194.8855700981887</v>
      </c>
      <c r="AI334" s="76">
        <f t="shared" si="528"/>
        <v>1126.9556302099088</v>
      </c>
      <c r="AJ334" s="76">
        <f t="shared" si="528"/>
        <v>1072.9952327998576</v>
      </c>
      <c r="AK334" s="76">
        <f t="shared" si="528"/>
        <v>1029.1863842632245</v>
      </c>
      <c r="AL334" s="76">
        <f t="shared" si="528"/>
        <v>992.98560670986899</v>
      </c>
      <c r="AM334" s="76">
        <f t="shared" si="528"/>
        <v>995.96372399134123</v>
      </c>
      <c r="AN334" s="76">
        <f t="shared" si="528"/>
        <v>998.95075556046913</v>
      </c>
      <c r="AO334" s="76">
        <f t="shared" si="528"/>
        <v>1001.9467281651375</v>
      </c>
      <c r="AP334" s="76">
        <f t="shared" si="528"/>
        <v>1004.9527662642045</v>
      </c>
      <c r="AQ334" s="76">
        <f t="shared" si="528"/>
        <v>1007.9678013236962</v>
      </c>
      <c r="AR334" s="76">
        <f t="shared" si="528"/>
        <v>1010.990781483349</v>
      </c>
      <c r="AS334" s="76">
        <f t="shared" si="528"/>
        <v>1014.0228105089333</v>
      </c>
      <c r="AT334" s="76">
        <f t="shared" si="528"/>
        <v>1017.0639155524024</v>
      </c>
      <c r="AU334" s="76">
        <f t="shared" si="528"/>
        <v>1020.1152269667766</v>
      </c>
      <c r="AV334" s="76">
        <f t="shared" si="528"/>
        <v>1023.1756711471746</v>
      </c>
      <c r="AW334" s="76">
        <f t="shared" si="528"/>
        <v>1026.2441912326435</v>
      </c>
      <c r="AX334" s="76">
        <f t="shared" si="528"/>
        <v>1029.3218967943405</v>
      </c>
      <c r="AY334" s="76">
        <f t="shared" si="528"/>
        <v>1032.4088153943524</v>
      </c>
      <c r="AZ334" s="76">
        <f t="shared" si="528"/>
        <v>1035.5049746775765</v>
      </c>
      <c r="BA334" s="795">
        <f t="shared" si="528"/>
        <v>1038.6115121124594</v>
      </c>
    </row>
    <row r="335" spans="2:53" ht="20.100000000000001" customHeight="1">
      <c r="B335" s="168"/>
      <c r="C335" s="168"/>
      <c r="D335" s="168"/>
      <c r="E335" s="168"/>
      <c r="F335" s="168"/>
      <c r="G335" s="168"/>
      <c r="H335" s="168"/>
      <c r="I335" s="168"/>
      <c r="J335" s="168"/>
      <c r="K335" s="168"/>
      <c r="L335" s="406"/>
      <c r="M335" s="406"/>
      <c r="N335" s="406"/>
      <c r="O335" s="406"/>
      <c r="P335" s="406"/>
      <c r="Q335" s="406"/>
      <c r="R335" s="406"/>
      <c r="S335" s="825" t="str">
        <f t="shared" si="527"/>
        <v>METRO</v>
      </c>
      <c r="T335" s="791" t="s">
        <v>3078</v>
      </c>
      <c r="U335" s="789"/>
      <c r="V335" s="789"/>
      <c r="W335" s="789"/>
      <c r="X335" s="366"/>
      <c r="Y335" s="76">
        <f t="shared" ref="Y335:BA335" si="529">(100-Y$332)/100*Y266</f>
        <v>0</v>
      </c>
      <c r="Z335" s="76">
        <f t="shared" si="529"/>
        <v>0</v>
      </c>
      <c r="AA335" s="76">
        <f t="shared" si="529"/>
        <v>0</v>
      </c>
      <c r="AB335" s="76">
        <f t="shared" si="529"/>
        <v>0</v>
      </c>
      <c r="AC335" s="76">
        <f t="shared" si="529"/>
        <v>0</v>
      </c>
      <c r="AD335" s="76">
        <f t="shared" si="529"/>
        <v>0</v>
      </c>
      <c r="AE335" s="76">
        <f t="shared" si="529"/>
        <v>0</v>
      </c>
      <c r="AF335" s="76">
        <f t="shared" si="529"/>
        <v>0</v>
      </c>
      <c r="AG335" s="76">
        <f t="shared" si="529"/>
        <v>0</v>
      </c>
      <c r="AH335" s="76">
        <f t="shared" si="529"/>
        <v>0</v>
      </c>
      <c r="AI335" s="76">
        <f t="shared" si="529"/>
        <v>0</v>
      </c>
      <c r="AJ335" s="76">
        <f t="shared" si="529"/>
        <v>0</v>
      </c>
      <c r="AK335" s="76">
        <f t="shared" si="529"/>
        <v>0</v>
      </c>
      <c r="AL335" s="76">
        <f t="shared" si="529"/>
        <v>0</v>
      </c>
      <c r="AM335" s="76">
        <f t="shared" si="529"/>
        <v>0</v>
      </c>
      <c r="AN335" s="76">
        <f t="shared" si="529"/>
        <v>0</v>
      </c>
      <c r="AO335" s="76">
        <f t="shared" si="529"/>
        <v>0</v>
      </c>
      <c r="AP335" s="76">
        <f t="shared" si="529"/>
        <v>0</v>
      </c>
      <c r="AQ335" s="76">
        <f t="shared" si="529"/>
        <v>0</v>
      </c>
      <c r="AR335" s="76">
        <f t="shared" si="529"/>
        <v>0</v>
      </c>
      <c r="AS335" s="76">
        <f t="shared" si="529"/>
        <v>0</v>
      </c>
      <c r="AT335" s="76">
        <f t="shared" si="529"/>
        <v>0</v>
      </c>
      <c r="AU335" s="76">
        <f t="shared" si="529"/>
        <v>0</v>
      </c>
      <c r="AV335" s="76">
        <f t="shared" si="529"/>
        <v>0</v>
      </c>
      <c r="AW335" s="76">
        <f t="shared" si="529"/>
        <v>0</v>
      </c>
      <c r="AX335" s="76">
        <f t="shared" si="529"/>
        <v>0</v>
      </c>
      <c r="AY335" s="76">
        <f t="shared" si="529"/>
        <v>0</v>
      </c>
      <c r="AZ335" s="76">
        <f t="shared" si="529"/>
        <v>0</v>
      </c>
      <c r="BA335" s="795">
        <f t="shared" si="529"/>
        <v>0</v>
      </c>
    </row>
    <row r="336" spans="2:53" ht="20.100000000000001" customHeight="1">
      <c r="B336" s="168"/>
      <c r="C336" s="168"/>
      <c r="D336" s="168"/>
      <c r="E336" s="168"/>
      <c r="F336" s="168"/>
      <c r="G336" s="168"/>
      <c r="H336" s="168"/>
      <c r="I336" s="168"/>
      <c r="J336" s="168"/>
      <c r="K336" s="168"/>
      <c r="L336" s="406"/>
      <c r="M336" s="406"/>
      <c r="N336" s="406"/>
      <c r="O336" s="406"/>
      <c r="P336" s="406"/>
      <c r="Q336" s="406"/>
      <c r="R336" s="406"/>
      <c r="S336" s="825" t="str">
        <f t="shared" si="527"/>
        <v>TRAM</v>
      </c>
      <c r="T336" s="791" t="s">
        <v>3079</v>
      </c>
      <c r="U336" s="789"/>
      <c r="V336" s="789"/>
      <c r="W336" s="789"/>
      <c r="X336" s="366"/>
      <c r="Y336" s="76">
        <f t="shared" ref="Y336:BA336" si="530">(100-Y$332)/100*Y267</f>
        <v>0</v>
      </c>
      <c r="Z336" s="76">
        <f t="shared" si="530"/>
        <v>334.60219383319458</v>
      </c>
      <c r="AA336" s="76">
        <f t="shared" si="530"/>
        <v>338.2828179653597</v>
      </c>
      <c r="AB336" s="76">
        <f t="shared" si="530"/>
        <v>313.50360154939705</v>
      </c>
      <c r="AC336" s="76">
        <f t="shared" si="530"/>
        <v>288.13831015130944</v>
      </c>
      <c r="AD336" s="76">
        <f t="shared" si="530"/>
        <v>262.17704840667642</v>
      </c>
      <c r="AE336" s="76">
        <f t="shared" si="530"/>
        <v>235.60977416813313</v>
      </c>
      <c r="AF336" s="76">
        <f t="shared" si="530"/>
        <v>208.4262964734848</v>
      </c>
      <c r="AG336" s="76">
        <f t="shared" si="530"/>
        <v>180.61627348687981</v>
      </c>
      <c r="AH336" s="76">
        <f t="shared" si="530"/>
        <v>182.24181994826174</v>
      </c>
      <c r="AI336" s="76">
        <f t="shared" si="530"/>
        <v>183.88199632779609</v>
      </c>
      <c r="AJ336" s="76">
        <f t="shared" si="530"/>
        <v>185.53693429474626</v>
      </c>
      <c r="AK336" s="76">
        <f t="shared" si="530"/>
        <v>187.20676670339896</v>
      </c>
      <c r="AL336" s="76">
        <f t="shared" si="530"/>
        <v>188.89162760372955</v>
      </c>
      <c r="AM336" s="76">
        <f t="shared" si="530"/>
        <v>190.59165225216313</v>
      </c>
      <c r="AN336" s="76">
        <f t="shared" si="530"/>
        <v>192.30697712243261</v>
      </c>
      <c r="AO336" s="76">
        <f t="shared" si="530"/>
        <v>194.03773991653452</v>
      </c>
      <c r="AP336" s="76">
        <f t="shared" si="530"/>
        <v>195.78407957578338</v>
      </c>
      <c r="AQ336" s="76">
        <f t="shared" si="530"/>
        <v>197.54613629196547</v>
      </c>
      <c r="AR336" s="76">
        <f t="shared" si="530"/>
        <v>199.32405151859314</v>
      </c>
      <c r="AS336" s="76">
        <f t="shared" si="530"/>
        <v>201.1179679822605</v>
      </c>
      <c r="AT336" s="76">
        <f t="shared" si="530"/>
        <v>202.92802969410087</v>
      </c>
      <c r="AU336" s="76">
        <f t="shared" si="530"/>
        <v>204.7543819613478</v>
      </c>
      <c r="AV336" s="76">
        <f t="shared" si="530"/>
        <v>206.59717139899996</v>
      </c>
      <c r="AW336" s="76">
        <f t="shared" si="530"/>
        <v>208.45654594159097</v>
      </c>
      <c r="AX336" s="76">
        <f t="shared" si="530"/>
        <v>210.33265485506533</v>
      </c>
      <c r="AY336" s="76">
        <f t="shared" si="530"/>
        <v>212.22564874876093</v>
      </c>
      <c r="AZ336" s="76">
        <f t="shared" si="530"/>
        <v>214.13567958749979</v>
      </c>
      <c r="BA336" s="795">
        <f t="shared" si="530"/>
        <v>216.06290070378728</v>
      </c>
    </row>
    <row r="337" spans="2:54" ht="20.100000000000001" customHeight="1">
      <c r="B337" s="168"/>
      <c r="C337" s="168"/>
      <c r="D337" s="168"/>
      <c r="E337" s="168"/>
      <c r="F337" s="168"/>
      <c r="G337" s="168"/>
      <c r="H337" s="168"/>
      <c r="I337" s="168"/>
      <c r="J337" s="168"/>
      <c r="K337" s="168"/>
      <c r="L337" s="409"/>
      <c r="M337" s="409"/>
      <c r="N337" s="409"/>
      <c r="O337" s="409"/>
      <c r="P337" s="409"/>
      <c r="Q337" s="409"/>
      <c r="R337" s="409"/>
      <c r="S337" s="825" t="str">
        <f t="shared" si="527"/>
        <v>PASSENGER TRAIN</v>
      </c>
      <c r="T337" s="791" t="s">
        <v>3080</v>
      </c>
      <c r="U337" s="789"/>
      <c r="V337" s="789"/>
      <c r="W337" s="789"/>
      <c r="X337" s="366"/>
      <c r="Y337" s="76">
        <f t="shared" ref="Y337:BA337" si="531">(100-Y$332)/100*Y268</f>
        <v>0</v>
      </c>
      <c r="Z337" s="76">
        <f t="shared" si="531"/>
        <v>1570.5724135552232</v>
      </c>
      <c r="AA337" s="76">
        <f t="shared" si="531"/>
        <v>1587.8487101043306</v>
      </c>
      <c r="AB337" s="76">
        <f t="shared" si="531"/>
        <v>1471.5387920891885</v>
      </c>
      <c r="AC337" s="76">
        <f t="shared" si="531"/>
        <v>1352.4779261837905</v>
      </c>
      <c r="AD337" s="76">
        <f t="shared" si="531"/>
        <v>1230.619665034631</v>
      </c>
      <c r="AE337" s="76">
        <f t="shared" si="531"/>
        <v>1105.9168723111213</v>
      </c>
      <c r="AF337" s="76">
        <f t="shared" si="531"/>
        <v>978.32171316822564</v>
      </c>
      <c r="AG337" s="76">
        <f t="shared" si="531"/>
        <v>769.28709126995091</v>
      </c>
      <c r="AH337" s="76">
        <f t="shared" si="531"/>
        <v>716.87713664920659</v>
      </c>
      <c r="AI337" s="76">
        <f t="shared" si="531"/>
        <v>676.80793716585208</v>
      </c>
      <c r="AJ337" s="76">
        <f t="shared" si="531"/>
        <v>645.37489811002877</v>
      </c>
      <c r="AK337" s="76">
        <f t="shared" si="531"/>
        <v>620.22400528226706</v>
      </c>
      <c r="AL337" s="76">
        <f t="shared" si="531"/>
        <v>599.78708334374016</v>
      </c>
      <c r="AM337" s="76">
        <f t="shared" si="531"/>
        <v>605.18460777833423</v>
      </c>
      <c r="AN337" s="76">
        <f t="shared" si="531"/>
        <v>610.63069313990411</v>
      </c>
      <c r="AO337" s="76">
        <f t="shared" si="531"/>
        <v>616.1257762992808</v>
      </c>
      <c r="AP337" s="76">
        <f t="shared" si="531"/>
        <v>621.67104252062177</v>
      </c>
      <c r="AQ337" s="76">
        <f t="shared" si="531"/>
        <v>627.26620250760948</v>
      </c>
      <c r="AR337" s="76">
        <f t="shared" si="531"/>
        <v>632.91096462980045</v>
      </c>
      <c r="AS337" s="76">
        <f t="shared" si="531"/>
        <v>638.60651195898186</v>
      </c>
      <c r="AT337" s="76">
        <f t="shared" si="531"/>
        <v>644.3533013772219</v>
      </c>
      <c r="AU337" s="76">
        <f t="shared" si="531"/>
        <v>650.15256471055341</v>
      </c>
      <c r="AV337" s="76">
        <f t="shared" si="531"/>
        <v>656.00400703377943</v>
      </c>
      <c r="AW337" s="76">
        <f t="shared" si="531"/>
        <v>661.90733103658499</v>
      </c>
      <c r="AX337" s="76">
        <f t="shared" si="531"/>
        <v>667.86376640822277</v>
      </c>
      <c r="AY337" s="76">
        <f t="shared" si="531"/>
        <v>673.87379095864185</v>
      </c>
      <c r="AZ337" s="76">
        <f t="shared" si="531"/>
        <v>679.93788679655711</v>
      </c>
      <c r="BA337" s="795">
        <f t="shared" si="531"/>
        <v>686.05734408086857</v>
      </c>
    </row>
    <row r="338" spans="2:54" ht="20.100000000000001" customHeight="1">
      <c r="B338" s="168"/>
      <c r="C338" s="168"/>
      <c r="D338" s="168"/>
      <c r="E338" s="168"/>
      <c r="F338" s="168"/>
      <c r="G338" s="168"/>
      <c r="H338" s="168"/>
      <c r="I338" s="168"/>
      <c r="J338" s="168"/>
      <c r="K338" s="168"/>
      <c r="L338" s="409"/>
      <c r="M338" s="409"/>
      <c r="N338" s="409"/>
      <c r="O338" s="409"/>
      <c r="P338" s="409"/>
      <c r="Q338" s="409"/>
      <c r="R338" s="409"/>
      <c r="S338" s="825" t="str">
        <f t="shared" si="527"/>
        <v>PASSENGER CAR</v>
      </c>
      <c r="T338" s="791" t="s">
        <v>3081</v>
      </c>
      <c r="U338" s="789"/>
      <c r="V338" s="789"/>
      <c r="W338" s="789"/>
      <c r="X338" s="366"/>
      <c r="Y338" s="76">
        <f t="shared" ref="Y338:BA338" si="532">(100-Y$332)/100*Y269</f>
        <v>0</v>
      </c>
      <c r="Z338" s="76">
        <f t="shared" si="532"/>
        <v>4955.3418901195537</v>
      </c>
      <c r="AA338" s="76">
        <f t="shared" si="532"/>
        <v>4975.1632576800321</v>
      </c>
      <c r="AB338" s="76">
        <f t="shared" si="532"/>
        <v>4578.80858481819</v>
      </c>
      <c r="AC338" s="76">
        <f t="shared" si="532"/>
        <v>4179.2034719613293</v>
      </c>
      <c r="AD338" s="76">
        <f t="shared" si="532"/>
        <v>3776.3282572642574</v>
      </c>
      <c r="AE338" s="76">
        <f t="shared" si="532"/>
        <v>3370.1631735940564</v>
      </c>
      <c r="AF338" s="76">
        <f t="shared" si="532"/>
        <v>2960.6883480023789</v>
      </c>
      <c r="AG338" s="76">
        <f t="shared" si="532"/>
        <v>3676.3028718457604</v>
      </c>
      <c r="AH338" s="76">
        <f t="shared" si="532"/>
        <v>4530.6596865664796</v>
      </c>
      <c r="AI338" s="76">
        <f t="shared" si="532"/>
        <v>5199.2164372805291</v>
      </c>
      <c r="AJ338" s="76">
        <f t="shared" si="532"/>
        <v>5737.8790349299079</v>
      </c>
      <c r="AK338" s="76">
        <f t="shared" si="532"/>
        <v>6182.1731318153288</v>
      </c>
      <c r="AL338" s="76">
        <f t="shared" si="532"/>
        <v>6555.7652286916018</v>
      </c>
      <c r="AM338" s="76">
        <f t="shared" si="532"/>
        <v>6568.8844704019593</v>
      </c>
      <c r="AN338" s="76">
        <f t="shared" si="532"/>
        <v>6582.0301270155351</v>
      </c>
      <c r="AO338" s="76">
        <f t="shared" si="532"/>
        <v>6595.2022509566686</v>
      </c>
      <c r="AP338" s="76">
        <f t="shared" si="532"/>
        <v>6608.3908430237989</v>
      </c>
      <c r="AQ338" s="76">
        <f t="shared" si="532"/>
        <v>6621.6060076089534</v>
      </c>
      <c r="AR338" s="76">
        <f t="shared" si="532"/>
        <v>6634.8576575331936</v>
      </c>
      <c r="AS338" s="76">
        <f t="shared" si="532"/>
        <v>6648.1359856312247</v>
      </c>
      <c r="AT338" s="76">
        <f t="shared" si="532"/>
        <v>6661.4410448534518</v>
      </c>
      <c r="AU338" s="76">
        <f t="shared" si="532"/>
        <v>6674.7628365187484</v>
      </c>
      <c r="AV338" s="76">
        <f t="shared" si="532"/>
        <v>6688.1114655491929</v>
      </c>
      <c r="AW338" s="76">
        <f t="shared" si="532"/>
        <v>6701.4968454239706</v>
      </c>
      <c r="AX338" s="76">
        <f t="shared" si="532"/>
        <v>6714.9091693898172</v>
      </c>
      <c r="AY338" s="76">
        <f t="shared" si="532"/>
        <v>6728.3484909288336</v>
      </c>
      <c r="AZ338" s="76">
        <f t="shared" si="532"/>
        <v>6741.8148636296537</v>
      </c>
      <c r="BA338" s="795">
        <f t="shared" si="532"/>
        <v>6755.2982894597462</v>
      </c>
    </row>
    <row r="339" spans="2:54" ht="20.100000000000001" customHeight="1" thickBot="1">
      <c r="B339" s="168"/>
      <c r="C339" s="168"/>
      <c r="D339" s="168"/>
      <c r="E339" s="168"/>
      <c r="F339" s="168"/>
      <c r="G339" s="168"/>
      <c r="H339" s="168"/>
      <c r="I339" s="168"/>
      <c r="J339" s="168"/>
      <c r="K339" s="168"/>
      <c r="L339" s="406"/>
      <c r="M339" s="406"/>
      <c r="N339" s="406"/>
      <c r="O339" s="406"/>
      <c r="P339" s="406"/>
      <c r="Q339" s="406"/>
      <c r="R339" s="406"/>
      <c r="S339" s="826" t="str">
        <f t="shared" si="527"/>
        <v>TOTAL</v>
      </c>
      <c r="T339" s="830" t="s">
        <v>178</v>
      </c>
      <c r="U339" s="818"/>
      <c r="V339" s="818"/>
      <c r="W339" s="818"/>
      <c r="X339" s="819"/>
      <c r="Y339" s="820">
        <f>SUM(Y334:Y338)</f>
        <v>0</v>
      </c>
      <c r="Z339" s="820">
        <f t="shared" ref="Z339:BA339" si="533">SUM(Z334:Z338)</f>
        <v>9612.0386552899181</v>
      </c>
      <c r="AA339" s="820">
        <f t="shared" si="533"/>
        <v>9661.0715100050147</v>
      </c>
      <c r="AB339" s="820">
        <f t="shared" si="533"/>
        <v>8901.2356950158282</v>
      </c>
      <c r="AC339" s="820">
        <f t="shared" si="533"/>
        <v>8133.4532271225471</v>
      </c>
      <c r="AD339" s="820">
        <f t="shared" si="533"/>
        <v>7357.6419481499024</v>
      </c>
      <c r="AE339" s="820">
        <f t="shared" si="533"/>
        <v>6573.7187341859062</v>
      </c>
      <c r="AF339" s="820">
        <f t="shared" si="533"/>
        <v>5781.5994833921559</v>
      </c>
      <c r="AG339" s="820">
        <f t="shared" si="533"/>
        <v>5908.9995927227483</v>
      </c>
      <c r="AH339" s="820">
        <f t="shared" si="533"/>
        <v>6624.6642132621364</v>
      </c>
      <c r="AI339" s="820">
        <f t="shared" si="533"/>
        <v>7186.8620009840861</v>
      </c>
      <c r="AJ339" s="820">
        <f t="shared" si="533"/>
        <v>7641.7861001345409</v>
      </c>
      <c r="AK339" s="820">
        <f t="shared" si="533"/>
        <v>8018.7902880642196</v>
      </c>
      <c r="AL339" s="820">
        <f t="shared" si="533"/>
        <v>8337.4295463489398</v>
      </c>
      <c r="AM339" s="820">
        <f t="shared" si="533"/>
        <v>8360.6244544237979</v>
      </c>
      <c r="AN339" s="820">
        <f t="shared" si="533"/>
        <v>8383.9185528383405</v>
      </c>
      <c r="AO339" s="820">
        <f t="shared" si="533"/>
        <v>8407.3124953376209</v>
      </c>
      <c r="AP339" s="820">
        <f t="shared" si="533"/>
        <v>8430.7987313844078</v>
      </c>
      <c r="AQ339" s="820">
        <f t="shared" si="533"/>
        <v>8454.3861477322243</v>
      </c>
      <c r="AR339" s="820">
        <f t="shared" si="533"/>
        <v>8478.0834551649368</v>
      </c>
      <c r="AS339" s="820">
        <f t="shared" si="533"/>
        <v>8501.8832760814003</v>
      </c>
      <c r="AT339" s="820">
        <f t="shared" si="533"/>
        <v>8525.7862914771777</v>
      </c>
      <c r="AU339" s="820">
        <f t="shared" si="533"/>
        <v>8549.7850101574259</v>
      </c>
      <c r="AV339" s="820">
        <f t="shared" si="533"/>
        <v>8573.8883151291466</v>
      </c>
      <c r="AW339" s="820">
        <f t="shared" si="533"/>
        <v>8598.1049136347901</v>
      </c>
      <c r="AX339" s="820">
        <f t="shared" si="533"/>
        <v>8622.4274874474468</v>
      </c>
      <c r="AY339" s="820">
        <f t="shared" si="533"/>
        <v>8646.8567460305894</v>
      </c>
      <c r="AZ339" s="820">
        <f t="shared" si="533"/>
        <v>8671.3934046912873</v>
      </c>
      <c r="BA339" s="821">
        <f t="shared" si="533"/>
        <v>8696.0300463568619</v>
      </c>
    </row>
    <row r="340" spans="2:54" ht="20.100000000000001" customHeight="1">
      <c r="S340" s="801" t="s">
        <v>3082</v>
      </c>
      <c r="T340" s="1198"/>
      <c r="U340" s="822"/>
      <c r="V340" s="822"/>
      <c r="W340" s="822"/>
      <c r="X340" s="798">
        <f>X331</f>
        <v>2021</v>
      </c>
      <c r="Y340" s="798">
        <f t="shared" ref="Y340:BA340" si="534">Y331</f>
        <v>2022</v>
      </c>
      <c r="Z340" s="798">
        <f t="shared" si="534"/>
        <v>2023</v>
      </c>
      <c r="AA340" s="798">
        <f t="shared" si="534"/>
        <v>2024</v>
      </c>
      <c r="AB340" s="798">
        <f t="shared" si="534"/>
        <v>2025</v>
      </c>
      <c r="AC340" s="798">
        <f t="shared" si="534"/>
        <v>2026</v>
      </c>
      <c r="AD340" s="798">
        <f t="shared" si="534"/>
        <v>2027</v>
      </c>
      <c r="AE340" s="798">
        <f t="shared" si="534"/>
        <v>2028</v>
      </c>
      <c r="AF340" s="798">
        <f t="shared" si="534"/>
        <v>2029</v>
      </c>
      <c r="AG340" s="798">
        <f t="shared" si="534"/>
        <v>2030</v>
      </c>
      <c r="AH340" s="798">
        <f t="shared" si="534"/>
        <v>2031</v>
      </c>
      <c r="AI340" s="798">
        <f t="shared" si="534"/>
        <v>2032</v>
      </c>
      <c r="AJ340" s="798">
        <f t="shared" si="534"/>
        <v>2033</v>
      </c>
      <c r="AK340" s="798">
        <f t="shared" si="534"/>
        <v>2034</v>
      </c>
      <c r="AL340" s="798">
        <f t="shared" si="534"/>
        <v>2035</v>
      </c>
      <c r="AM340" s="798">
        <f t="shared" si="534"/>
        <v>2036</v>
      </c>
      <c r="AN340" s="798">
        <f t="shared" si="534"/>
        <v>2037</v>
      </c>
      <c r="AO340" s="798">
        <f t="shared" si="534"/>
        <v>2038</v>
      </c>
      <c r="AP340" s="798">
        <f t="shared" si="534"/>
        <v>2039</v>
      </c>
      <c r="AQ340" s="798">
        <f t="shared" si="534"/>
        <v>2040</v>
      </c>
      <c r="AR340" s="798">
        <f t="shared" si="534"/>
        <v>2041</v>
      </c>
      <c r="AS340" s="798">
        <f t="shared" si="534"/>
        <v>2042</v>
      </c>
      <c r="AT340" s="798">
        <f t="shared" si="534"/>
        <v>2043</v>
      </c>
      <c r="AU340" s="798">
        <f t="shared" si="534"/>
        <v>2044</v>
      </c>
      <c r="AV340" s="798">
        <f t="shared" si="534"/>
        <v>2045</v>
      </c>
      <c r="AW340" s="798">
        <f t="shared" si="534"/>
        <v>2046</v>
      </c>
      <c r="AX340" s="798">
        <f t="shared" si="534"/>
        <v>2047</v>
      </c>
      <c r="AY340" s="798">
        <f t="shared" si="534"/>
        <v>2048</v>
      </c>
      <c r="AZ340" s="798">
        <f t="shared" si="534"/>
        <v>2049</v>
      </c>
      <c r="BA340" s="799">
        <f t="shared" si="534"/>
        <v>2050</v>
      </c>
    </row>
    <row r="341" spans="2:54" ht="20.100000000000001" customHeight="1">
      <c r="S341" s="825" t="str">
        <f t="shared" ref="S341:S346" si="535">S334</f>
        <v>BUS</v>
      </c>
      <c r="T341" s="1402" t="s">
        <v>3140</v>
      </c>
      <c r="U341" s="1403"/>
      <c r="V341" s="789"/>
      <c r="W341" s="789"/>
      <c r="X341" s="366"/>
      <c r="Y341" s="76">
        <f t="shared" ref="Y341:BA341" si="536">((100-$G$149)/100*Y265)+($G$149/100*Y334)</f>
        <v>0</v>
      </c>
      <c r="Z341" s="76">
        <f t="shared" si="536"/>
        <v>2751.522157781947</v>
      </c>
      <c r="AA341" s="76">
        <f t="shared" si="536"/>
        <v>2759.7767242552927</v>
      </c>
      <c r="AB341" s="76">
        <f t="shared" si="536"/>
        <v>2537.3847165590532</v>
      </c>
      <c r="AC341" s="76">
        <f t="shared" si="536"/>
        <v>2313.6335188261182</v>
      </c>
      <c r="AD341" s="76">
        <f t="shared" si="536"/>
        <v>2088.5169774443375</v>
      </c>
      <c r="AE341" s="76">
        <f t="shared" si="536"/>
        <v>1862.0289141125952</v>
      </c>
      <c r="AF341" s="76">
        <f t="shared" si="536"/>
        <v>1634.1631257480665</v>
      </c>
      <c r="AG341" s="76">
        <f t="shared" si="536"/>
        <v>1282.7933561201564</v>
      </c>
      <c r="AH341" s="76">
        <f t="shared" si="536"/>
        <v>1194.8855700981887</v>
      </c>
      <c r="AI341" s="76">
        <f t="shared" si="536"/>
        <v>1126.9556302099088</v>
      </c>
      <c r="AJ341" s="76">
        <f t="shared" si="536"/>
        <v>1072.9952327998576</v>
      </c>
      <c r="AK341" s="76">
        <f t="shared" si="536"/>
        <v>1029.1863842632245</v>
      </c>
      <c r="AL341" s="76">
        <f t="shared" si="536"/>
        <v>992.98560670986899</v>
      </c>
      <c r="AM341" s="76">
        <f t="shared" si="536"/>
        <v>995.96372399134123</v>
      </c>
      <c r="AN341" s="76">
        <f t="shared" si="536"/>
        <v>998.95075556046913</v>
      </c>
      <c r="AO341" s="76">
        <f t="shared" si="536"/>
        <v>1001.9467281651375</v>
      </c>
      <c r="AP341" s="76">
        <f t="shared" si="536"/>
        <v>1004.9527662642045</v>
      </c>
      <c r="AQ341" s="76">
        <f t="shared" si="536"/>
        <v>1007.9678013236962</v>
      </c>
      <c r="AR341" s="76">
        <f t="shared" si="536"/>
        <v>1010.990781483349</v>
      </c>
      <c r="AS341" s="76">
        <f t="shared" si="536"/>
        <v>1014.0228105089333</v>
      </c>
      <c r="AT341" s="76">
        <f t="shared" si="536"/>
        <v>1017.0639155524024</v>
      </c>
      <c r="AU341" s="76">
        <f t="shared" si="536"/>
        <v>1020.1152269667766</v>
      </c>
      <c r="AV341" s="76">
        <f t="shared" si="536"/>
        <v>1023.1756711471746</v>
      </c>
      <c r="AW341" s="76">
        <f t="shared" si="536"/>
        <v>1026.2441912326435</v>
      </c>
      <c r="AX341" s="76">
        <f t="shared" si="536"/>
        <v>1029.3218967943405</v>
      </c>
      <c r="AY341" s="76">
        <f t="shared" si="536"/>
        <v>1032.4088153943524</v>
      </c>
      <c r="AZ341" s="76">
        <f t="shared" si="536"/>
        <v>1035.5049746775765</v>
      </c>
      <c r="BA341" s="795">
        <f t="shared" si="536"/>
        <v>1038.6115121124594</v>
      </c>
    </row>
    <row r="342" spans="2:54" ht="20.100000000000001" customHeight="1">
      <c r="S342" s="825" t="str">
        <f t="shared" si="535"/>
        <v>METRO</v>
      </c>
      <c r="T342" s="1402" t="s">
        <v>3141</v>
      </c>
      <c r="U342" s="1403"/>
      <c r="V342" s="789"/>
      <c r="W342" s="789"/>
      <c r="X342" s="366"/>
      <c r="Y342" s="76">
        <f t="shared" ref="Y342:BA342" si="537">((100-$G$149)/100*Y266)+($G$149/100*Y335)</f>
        <v>0</v>
      </c>
      <c r="Z342" s="76">
        <f t="shared" si="537"/>
        <v>0</v>
      </c>
      <c r="AA342" s="76">
        <f t="shared" si="537"/>
        <v>0</v>
      </c>
      <c r="AB342" s="76">
        <f t="shared" si="537"/>
        <v>0</v>
      </c>
      <c r="AC342" s="76">
        <f t="shared" si="537"/>
        <v>0</v>
      </c>
      <c r="AD342" s="76">
        <f t="shared" si="537"/>
        <v>0</v>
      </c>
      <c r="AE342" s="76">
        <f t="shared" si="537"/>
        <v>0</v>
      </c>
      <c r="AF342" s="76">
        <f t="shared" si="537"/>
        <v>0</v>
      </c>
      <c r="AG342" s="76">
        <f t="shared" si="537"/>
        <v>0</v>
      </c>
      <c r="AH342" s="76">
        <f t="shared" si="537"/>
        <v>0</v>
      </c>
      <c r="AI342" s="76">
        <f t="shared" si="537"/>
        <v>0</v>
      </c>
      <c r="AJ342" s="76">
        <f t="shared" si="537"/>
        <v>0</v>
      </c>
      <c r="AK342" s="76">
        <f t="shared" si="537"/>
        <v>0</v>
      </c>
      <c r="AL342" s="76">
        <f t="shared" si="537"/>
        <v>0</v>
      </c>
      <c r="AM342" s="76">
        <f t="shared" si="537"/>
        <v>0</v>
      </c>
      <c r="AN342" s="76">
        <f t="shared" si="537"/>
        <v>0</v>
      </c>
      <c r="AO342" s="76">
        <f t="shared" si="537"/>
        <v>0</v>
      </c>
      <c r="AP342" s="76">
        <f t="shared" si="537"/>
        <v>0</v>
      </c>
      <c r="AQ342" s="76">
        <f t="shared" si="537"/>
        <v>0</v>
      </c>
      <c r="AR342" s="76">
        <f t="shared" si="537"/>
        <v>0</v>
      </c>
      <c r="AS342" s="76">
        <f t="shared" si="537"/>
        <v>0</v>
      </c>
      <c r="AT342" s="76">
        <f t="shared" si="537"/>
        <v>0</v>
      </c>
      <c r="AU342" s="76">
        <f t="shared" si="537"/>
        <v>0</v>
      </c>
      <c r="AV342" s="76">
        <f t="shared" si="537"/>
        <v>0</v>
      </c>
      <c r="AW342" s="76">
        <f t="shared" si="537"/>
        <v>0</v>
      </c>
      <c r="AX342" s="76">
        <f t="shared" si="537"/>
        <v>0</v>
      </c>
      <c r="AY342" s="76">
        <f t="shared" si="537"/>
        <v>0</v>
      </c>
      <c r="AZ342" s="76">
        <f t="shared" si="537"/>
        <v>0</v>
      </c>
      <c r="BA342" s="795">
        <f t="shared" si="537"/>
        <v>0</v>
      </c>
    </row>
    <row r="343" spans="2:54" ht="20.100000000000001" customHeight="1">
      <c r="S343" s="825" t="str">
        <f t="shared" si="535"/>
        <v>TRAM</v>
      </c>
      <c r="T343" s="1402" t="s">
        <v>3142</v>
      </c>
      <c r="U343" s="1403"/>
      <c r="V343" s="789"/>
      <c r="W343" s="789"/>
      <c r="X343" s="366"/>
      <c r="Y343" s="76">
        <f t="shared" ref="Y343:BA343" si="538">((100-$G$149)/100*Y267)+($G$149/100*Y336)</f>
        <v>0</v>
      </c>
      <c r="Z343" s="76">
        <f t="shared" si="538"/>
        <v>334.60219383319458</v>
      </c>
      <c r="AA343" s="76">
        <f t="shared" si="538"/>
        <v>338.2828179653597</v>
      </c>
      <c r="AB343" s="76">
        <f t="shared" si="538"/>
        <v>313.50360154939705</v>
      </c>
      <c r="AC343" s="76">
        <f t="shared" si="538"/>
        <v>288.13831015130944</v>
      </c>
      <c r="AD343" s="76">
        <f t="shared" si="538"/>
        <v>262.17704840667642</v>
      </c>
      <c r="AE343" s="76">
        <f t="shared" si="538"/>
        <v>235.60977416813313</v>
      </c>
      <c r="AF343" s="76">
        <f t="shared" si="538"/>
        <v>208.4262964734848</v>
      </c>
      <c r="AG343" s="76">
        <f t="shared" si="538"/>
        <v>180.61627348687981</v>
      </c>
      <c r="AH343" s="76">
        <f t="shared" si="538"/>
        <v>182.24181994826174</v>
      </c>
      <c r="AI343" s="76">
        <f t="shared" si="538"/>
        <v>183.88199632779609</v>
      </c>
      <c r="AJ343" s="76">
        <f t="shared" si="538"/>
        <v>185.53693429474626</v>
      </c>
      <c r="AK343" s="76">
        <f t="shared" si="538"/>
        <v>187.20676670339896</v>
      </c>
      <c r="AL343" s="76">
        <f t="shared" si="538"/>
        <v>188.89162760372955</v>
      </c>
      <c r="AM343" s="76">
        <f t="shared" si="538"/>
        <v>190.59165225216313</v>
      </c>
      <c r="AN343" s="76">
        <f t="shared" si="538"/>
        <v>192.30697712243261</v>
      </c>
      <c r="AO343" s="76">
        <f t="shared" si="538"/>
        <v>194.03773991653452</v>
      </c>
      <c r="AP343" s="76">
        <f t="shared" si="538"/>
        <v>195.78407957578338</v>
      </c>
      <c r="AQ343" s="76">
        <f t="shared" si="538"/>
        <v>197.54613629196547</v>
      </c>
      <c r="AR343" s="76">
        <f t="shared" si="538"/>
        <v>199.32405151859314</v>
      </c>
      <c r="AS343" s="76">
        <f t="shared" si="538"/>
        <v>201.1179679822605</v>
      </c>
      <c r="AT343" s="76">
        <f t="shared" si="538"/>
        <v>202.92802969410087</v>
      </c>
      <c r="AU343" s="76">
        <f t="shared" si="538"/>
        <v>204.7543819613478</v>
      </c>
      <c r="AV343" s="76">
        <f t="shared" si="538"/>
        <v>206.59717139899996</v>
      </c>
      <c r="AW343" s="76">
        <f t="shared" si="538"/>
        <v>208.45654594159097</v>
      </c>
      <c r="AX343" s="76">
        <f t="shared" si="538"/>
        <v>210.33265485506533</v>
      </c>
      <c r="AY343" s="76">
        <f t="shared" si="538"/>
        <v>212.22564874876093</v>
      </c>
      <c r="AZ343" s="76">
        <f t="shared" si="538"/>
        <v>214.13567958749979</v>
      </c>
      <c r="BA343" s="795">
        <f t="shared" si="538"/>
        <v>216.06290070378728</v>
      </c>
    </row>
    <row r="344" spans="2:54" ht="20.100000000000001" customHeight="1">
      <c r="S344" s="825" t="str">
        <f t="shared" si="535"/>
        <v>PASSENGER TRAIN</v>
      </c>
      <c r="T344" s="1402" t="s">
        <v>3143</v>
      </c>
      <c r="U344" s="1403"/>
      <c r="V344" s="789"/>
      <c r="W344" s="789"/>
      <c r="X344" s="366"/>
      <c r="Y344" s="76">
        <f t="shared" ref="Y344:BA344" si="539">((100-$G$149)/100*Y268)+($G$149/100*Y337)</f>
        <v>0</v>
      </c>
      <c r="Z344" s="76">
        <f t="shared" si="539"/>
        <v>1570.5724135552232</v>
      </c>
      <c r="AA344" s="76">
        <f t="shared" si="539"/>
        <v>1587.8487101043306</v>
      </c>
      <c r="AB344" s="76">
        <f t="shared" si="539"/>
        <v>1471.5387920891885</v>
      </c>
      <c r="AC344" s="76">
        <f t="shared" si="539"/>
        <v>1352.4779261837905</v>
      </c>
      <c r="AD344" s="76">
        <f t="shared" si="539"/>
        <v>1230.619665034631</v>
      </c>
      <c r="AE344" s="76">
        <f t="shared" si="539"/>
        <v>1105.9168723111213</v>
      </c>
      <c r="AF344" s="76">
        <f t="shared" si="539"/>
        <v>978.32171316822564</v>
      </c>
      <c r="AG344" s="76">
        <f t="shared" si="539"/>
        <v>769.28709126995091</v>
      </c>
      <c r="AH344" s="76">
        <f t="shared" si="539"/>
        <v>716.87713664920659</v>
      </c>
      <c r="AI344" s="76">
        <f t="shared" si="539"/>
        <v>676.80793716585208</v>
      </c>
      <c r="AJ344" s="76">
        <f t="shared" si="539"/>
        <v>645.37489811002877</v>
      </c>
      <c r="AK344" s="76">
        <f t="shared" si="539"/>
        <v>620.22400528226706</v>
      </c>
      <c r="AL344" s="76">
        <f t="shared" si="539"/>
        <v>599.78708334374016</v>
      </c>
      <c r="AM344" s="76">
        <f t="shared" si="539"/>
        <v>605.18460777833423</v>
      </c>
      <c r="AN344" s="76">
        <f t="shared" si="539"/>
        <v>610.63069313990411</v>
      </c>
      <c r="AO344" s="76">
        <f t="shared" si="539"/>
        <v>616.1257762992808</v>
      </c>
      <c r="AP344" s="76">
        <f t="shared" si="539"/>
        <v>621.67104252062177</v>
      </c>
      <c r="AQ344" s="76">
        <f t="shared" si="539"/>
        <v>627.26620250760948</v>
      </c>
      <c r="AR344" s="76">
        <f t="shared" si="539"/>
        <v>632.91096462980045</v>
      </c>
      <c r="AS344" s="76">
        <f t="shared" si="539"/>
        <v>638.60651195898186</v>
      </c>
      <c r="AT344" s="76">
        <f t="shared" si="539"/>
        <v>644.3533013772219</v>
      </c>
      <c r="AU344" s="76">
        <f t="shared" si="539"/>
        <v>650.15256471055341</v>
      </c>
      <c r="AV344" s="76">
        <f t="shared" si="539"/>
        <v>656.00400703377943</v>
      </c>
      <c r="AW344" s="76">
        <f t="shared" si="539"/>
        <v>661.90733103658499</v>
      </c>
      <c r="AX344" s="76">
        <f t="shared" si="539"/>
        <v>667.86376640822277</v>
      </c>
      <c r="AY344" s="76">
        <f t="shared" si="539"/>
        <v>673.87379095864185</v>
      </c>
      <c r="AZ344" s="76">
        <f t="shared" si="539"/>
        <v>679.93788679655711</v>
      </c>
      <c r="BA344" s="795">
        <f t="shared" si="539"/>
        <v>686.05734408086857</v>
      </c>
      <c r="BB344" s="168"/>
    </row>
    <row r="345" spans="2:54" ht="20.100000000000001" customHeight="1">
      <c r="S345" s="825" t="str">
        <f t="shared" si="535"/>
        <v>PASSENGER CAR</v>
      </c>
      <c r="T345" s="1404" t="s">
        <v>3144</v>
      </c>
      <c r="U345" s="1405"/>
      <c r="V345" s="789"/>
      <c r="W345" s="789"/>
      <c r="X345" s="366"/>
      <c r="Y345" s="76">
        <f t="shared" ref="Y345:BA345" si="540">((100-$G$149)/100*Y269)+($G$149/100*Y338)</f>
        <v>0</v>
      </c>
      <c r="Z345" s="76">
        <f t="shared" si="540"/>
        <v>4955.3418901195537</v>
      </c>
      <c r="AA345" s="76">
        <f t="shared" si="540"/>
        <v>4975.1632576800321</v>
      </c>
      <c r="AB345" s="76">
        <f t="shared" si="540"/>
        <v>4578.80858481819</v>
      </c>
      <c r="AC345" s="76">
        <f t="shared" si="540"/>
        <v>4179.2034719613293</v>
      </c>
      <c r="AD345" s="76">
        <f t="shared" si="540"/>
        <v>3776.3282572642574</v>
      </c>
      <c r="AE345" s="76">
        <f t="shared" si="540"/>
        <v>3370.1631735940564</v>
      </c>
      <c r="AF345" s="76">
        <f t="shared" si="540"/>
        <v>2960.6883480023789</v>
      </c>
      <c r="AG345" s="76">
        <f t="shared" si="540"/>
        <v>3676.3028718457604</v>
      </c>
      <c r="AH345" s="76">
        <f t="shared" si="540"/>
        <v>4530.6596865664796</v>
      </c>
      <c r="AI345" s="76">
        <f t="shared" si="540"/>
        <v>5199.2164372805291</v>
      </c>
      <c r="AJ345" s="76">
        <f t="shared" si="540"/>
        <v>5737.8790349299079</v>
      </c>
      <c r="AK345" s="76">
        <f t="shared" si="540"/>
        <v>6182.1731318153288</v>
      </c>
      <c r="AL345" s="76">
        <f t="shared" si="540"/>
        <v>6555.7652286916018</v>
      </c>
      <c r="AM345" s="76">
        <f t="shared" si="540"/>
        <v>6568.8844704019593</v>
      </c>
      <c r="AN345" s="76">
        <f t="shared" si="540"/>
        <v>6582.0301270155351</v>
      </c>
      <c r="AO345" s="76">
        <f t="shared" si="540"/>
        <v>6595.2022509566686</v>
      </c>
      <c r="AP345" s="76">
        <f t="shared" si="540"/>
        <v>6608.3908430237989</v>
      </c>
      <c r="AQ345" s="76">
        <f t="shared" si="540"/>
        <v>6621.6060076089534</v>
      </c>
      <c r="AR345" s="76">
        <f t="shared" si="540"/>
        <v>6634.8576575331936</v>
      </c>
      <c r="AS345" s="76">
        <f t="shared" si="540"/>
        <v>6648.1359856312247</v>
      </c>
      <c r="AT345" s="76">
        <f t="shared" si="540"/>
        <v>6661.4410448534518</v>
      </c>
      <c r="AU345" s="76">
        <f t="shared" si="540"/>
        <v>6674.7628365187484</v>
      </c>
      <c r="AV345" s="76">
        <f t="shared" si="540"/>
        <v>6688.1114655491929</v>
      </c>
      <c r="AW345" s="76">
        <f t="shared" si="540"/>
        <v>6701.4968454239706</v>
      </c>
      <c r="AX345" s="76">
        <f t="shared" si="540"/>
        <v>6714.9091693898172</v>
      </c>
      <c r="AY345" s="76">
        <f t="shared" si="540"/>
        <v>6728.3484909288336</v>
      </c>
      <c r="AZ345" s="76">
        <f t="shared" si="540"/>
        <v>6741.8148636296537</v>
      </c>
      <c r="BA345" s="795">
        <f t="shared" si="540"/>
        <v>6755.2982894597462</v>
      </c>
      <c r="BB345" s="414"/>
    </row>
    <row r="346" spans="2:54" ht="20.100000000000001" customHeight="1" thickBot="1">
      <c r="S346" s="826" t="str">
        <f t="shared" si="535"/>
        <v>TOTAL</v>
      </c>
      <c r="T346" s="830" t="s">
        <v>178</v>
      </c>
      <c r="U346" s="830"/>
      <c r="V346" s="818"/>
      <c r="W346" s="818"/>
      <c r="X346" s="819"/>
      <c r="Y346" s="820">
        <f>SUM(Y341:Y345)</f>
        <v>0</v>
      </c>
      <c r="Z346" s="820">
        <f t="shared" ref="Z346:BA346" si="541">SUM(Z341:Z345)</f>
        <v>9612.0386552899181</v>
      </c>
      <c r="AA346" s="820">
        <f t="shared" si="541"/>
        <v>9661.0715100050147</v>
      </c>
      <c r="AB346" s="820">
        <f t="shared" si="541"/>
        <v>8901.2356950158282</v>
      </c>
      <c r="AC346" s="820">
        <f t="shared" si="541"/>
        <v>8133.4532271225471</v>
      </c>
      <c r="AD346" s="820">
        <f t="shared" si="541"/>
        <v>7357.6419481499024</v>
      </c>
      <c r="AE346" s="820">
        <f t="shared" si="541"/>
        <v>6573.7187341859062</v>
      </c>
      <c r="AF346" s="820">
        <f t="shared" si="541"/>
        <v>5781.5994833921559</v>
      </c>
      <c r="AG346" s="820">
        <f t="shared" si="541"/>
        <v>5908.9995927227483</v>
      </c>
      <c r="AH346" s="820">
        <f t="shared" si="541"/>
        <v>6624.6642132621364</v>
      </c>
      <c r="AI346" s="820">
        <f t="shared" si="541"/>
        <v>7186.8620009840861</v>
      </c>
      <c r="AJ346" s="820">
        <f t="shared" si="541"/>
        <v>7641.7861001345409</v>
      </c>
      <c r="AK346" s="820">
        <f t="shared" si="541"/>
        <v>8018.7902880642196</v>
      </c>
      <c r="AL346" s="820">
        <f t="shared" si="541"/>
        <v>8337.4295463489398</v>
      </c>
      <c r="AM346" s="820">
        <f t="shared" si="541"/>
        <v>8360.6244544237979</v>
      </c>
      <c r="AN346" s="820">
        <f t="shared" si="541"/>
        <v>8383.9185528383405</v>
      </c>
      <c r="AO346" s="820">
        <f t="shared" si="541"/>
        <v>8407.3124953376209</v>
      </c>
      <c r="AP346" s="820">
        <f t="shared" si="541"/>
        <v>8430.7987313844078</v>
      </c>
      <c r="AQ346" s="820">
        <f t="shared" si="541"/>
        <v>8454.3861477322243</v>
      </c>
      <c r="AR346" s="820">
        <f t="shared" si="541"/>
        <v>8478.0834551649368</v>
      </c>
      <c r="AS346" s="820">
        <f t="shared" si="541"/>
        <v>8501.8832760814003</v>
      </c>
      <c r="AT346" s="820">
        <f t="shared" si="541"/>
        <v>8525.7862914771777</v>
      </c>
      <c r="AU346" s="820">
        <f t="shared" si="541"/>
        <v>8549.7850101574259</v>
      </c>
      <c r="AV346" s="820">
        <f t="shared" si="541"/>
        <v>8573.8883151291466</v>
      </c>
      <c r="AW346" s="820">
        <f t="shared" si="541"/>
        <v>8598.1049136347901</v>
      </c>
      <c r="AX346" s="820">
        <f t="shared" si="541"/>
        <v>8622.4274874474468</v>
      </c>
      <c r="AY346" s="820">
        <f t="shared" si="541"/>
        <v>8646.8567460305894</v>
      </c>
      <c r="AZ346" s="820">
        <f t="shared" si="541"/>
        <v>8671.3934046912873</v>
      </c>
      <c r="BA346" s="821">
        <f t="shared" si="541"/>
        <v>8696.0300463568619</v>
      </c>
      <c r="BB346" s="414" t="s">
        <v>1254</v>
      </c>
    </row>
    <row r="347" spans="2:54" ht="20.100000000000001" customHeight="1">
      <c r="S347" s="801" t="s">
        <v>3083</v>
      </c>
      <c r="T347" s="1231"/>
      <c r="U347" s="822"/>
      <c r="V347" s="822"/>
      <c r="W347" s="822"/>
      <c r="X347" s="798">
        <f t="shared" ref="X347:BA347" si="542">X333</f>
        <v>2021</v>
      </c>
      <c r="Y347" s="798">
        <f t="shared" si="542"/>
        <v>2022</v>
      </c>
      <c r="Z347" s="798">
        <f t="shared" si="542"/>
        <v>2023</v>
      </c>
      <c r="AA347" s="798">
        <f t="shared" si="542"/>
        <v>2024</v>
      </c>
      <c r="AB347" s="798">
        <f t="shared" si="542"/>
        <v>2025</v>
      </c>
      <c r="AC347" s="798">
        <f t="shared" si="542"/>
        <v>2026</v>
      </c>
      <c r="AD347" s="798">
        <f t="shared" si="542"/>
        <v>2027</v>
      </c>
      <c r="AE347" s="798">
        <f t="shared" si="542"/>
        <v>2028</v>
      </c>
      <c r="AF347" s="798">
        <f t="shared" si="542"/>
        <v>2029</v>
      </c>
      <c r="AG347" s="798">
        <f t="shared" si="542"/>
        <v>2030</v>
      </c>
      <c r="AH347" s="798">
        <f t="shared" si="542"/>
        <v>2031</v>
      </c>
      <c r="AI347" s="798">
        <f t="shared" si="542"/>
        <v>2032</v>
      </c>
      <c r="AJ347" s="798">
        <f t="shared" si="542"/>
        <v>2033</v>
      </c>
      <c r="AK347" s="798">
        <f t="shared" si="542"/>
        <v>2034</v>
      </c>
      <c r="AL347" s="798">
        <f t="shared" si="542"/>
        <v>2035</v>
      </c>
      <c r="AM347" s="798">
        <f t="shared" si="542"/>
        <v>2036</v>
      </c>
      <c r="AN347" s="798">
        <f t="shared" si="542"/>
        <v>2037</v>
      </c>
      <c r="AO347" s="798">
        <f t="shared" si="542"/>
        <v>2038</v>
      </c>
      <c r="AP347" s="798">
        <f t="shared" si="542"/>
        <v>2039</v>
      </c>
      <c r="AQ347" s="798">
        <f t="shared" si="542"/>
        <v>2040</v>
      </c>
      <c r="AR347" s="798">
        <f t="shared" si="542"/>
        <v>2041</v>
      </c>
      <c r="AS347" s="798">
        <f t="shared" si="542"/>
        <v>2042</v>
      </c>
      <c r="AT347" s="798">
        <f t="shared" si="542"/>
        <v>2043</v>
      </c>
      <c r="AU347" s="798">
        <f t="shared" si="542"/>
        <v>2044</v>
      </c>
      <c r="AV347" s="798">
        <f t="shared" si="542"/>
        <v>2045</v>
      </c>
      <c r="AW347" s="798">
        <f t="shared" si="542"/>
        <v>2046</v>
      </c>
      <c r="AX347" s="798">
        <f t="shared" si="542"/>
        <v>2047</v>
      </c>
      <c r="AY347" s="798">
        <f t="shared" si="542"/>
        <v>2048</v>
      </c>
      <c r="AZ347" s="798">
        <f t="shared" si="542"/>
        <v>2049</v>
      </c>
      <c r="BA347" s="799">
        <f t="shared" si="542"/>
        <v>2050</v>
      </c>
      <c r="BB347" s="168"/>
    </row>
    <row r="348" spans="2:54" ht="20.100000000000001" customHeight="1">
      <c r="S348" s="825" t="str">
        <f t="shared" ref="S348:T353" si="543">S272</f>
        <v>BUS</v>
      </c>
      <c r="T348" s="788" t="str">
        <f t="shared" si="543"/>
        <v>conversion to percentages, zero division prevented with IF function</v>
      </c>
      <c r="U348" s="115"/>
      <c r="V348" s="115"/>
      <c r="W348" s="115"/>
      <c r="X348" s="366"/>
      <c r="Y348" s="76">
        <f t="shared" ref="Y348:BA348" si="544">IF(Y$346=0,0,Y341/Y$346*100)</f>
        <v>0</v>
      </c>
      <c r="Z348" s="76">
        <f t="shared" si="544"/>
        <v>28.625791639608796</v>
      </c>
      <c r="AA348" s="76">
        <f t="shared" si="544"/>
        <v>28.565948625856514</v>
      </c>
      <c r="AB348" s="76">
        <f t="shared" si="544"/>
        <v>28.505982803936313</v>
      </c>
      <c r="AC348" s="76">
        <f t="shared" si="544"/>
        <v>28.445894434000891</v>
      </c>
      <c r="AD348" s="76">
        <f t="shared" si="544"/>
        <v>28.385683785135811</v>
      </c>
      <c r="AE348" s="76">
        <f t="shared" si="544"/>
        <v>28.325351135413161</v>
      </c>
      <c r="AF348" s="76">
        <f t="shared" si="544"/>
        <v>28.264896771944446</v>
      </c>
      <c r="AG348" s="76">
        <f t="shared" si="544"/>
        <v>21.709146125174652</v>
      </c>
      <c r="AH348" s="76">
        <f t="shared" si="544"/>
        <v>18.036922802911391</v>
      </c>
      <c r="AI348" s="76">
        <f t="shared" si="544"/>
        <v>15.680774586399412</v>
      </c>
      <c r="AJ348" s="76">
        <f t="shared" si="544"/>
        <v>14.041157639585942</v>
      </c>
      <c r="AK348" s="76">
        <f t="shared" si="544"/>
        <v>12.834683877381655</v>
      </c>
      <c r="AL348" s="76">
        <f t="shared" si="544"/>
        <v>11.909972986155058</v>
      </c>
      <c r="AM348" s="76">
        <f t="shared" si="544"/>
        <v>11.912551860457672</v>
      </c>
      <c r="AN348" s="76">
        <f t="shared" si="544"/>
        <v>11.915081823192075</v>
      </c>
      <c r="AO348" s="76">
        <f t="shared" si="544"/>
        <v>11.917562582820365</v>
      </c>
      <c r="AP348" s="76">
        <f t="shared" si="544"/>
        <v>11.920018473732236</v>
      </c>
      <c r="AQ348" s="76">
        <f t="shared" si="544"/>
        <v>11.922424451763066</v>
      </c>
      <c r="AR348" s="76">
        <f t="shared" si="544"/>
        <v>11.924756188469022</v>
      </c>
      <c r="AS348" s="76">
        <f t="shared" si="544"/>
        <v>11.927037546630565</v>
      </c>
      <c r="AT348" s="76">
        <f t="shared" si="544"/>
        <v>11.929268231472243</v>
      </c>
      <c r="AU348" s="76">
        <f t="shared" si="544"/>
        <v>11.931472262224679</v>
      </c>
      <c r="AV348" s="76">
        <f t="shared" si="544"/>
        <v>11.933624903204292</v>
      </c>
      <c r="AW348" s="76">
        <f t="shared" si="544"/>
        <v>11.935702129026545</v>
      </c>
      <c r="AX348" s="76">
        <f t="shared" si="544"/>
        <v>11.937727493711373</v>
      </c>
      <c r="AY348" s="76">
        <f t="shared" si="544"/>
        <v>11.939700699543659</v>
      </c>
      <c r="AZ348" s="76">
        <f t="shared" si="544"/>
        <v>11.941621448259523</v>
      </c>
      <c r="BA348" s="795">
        <f t="shared" si="544"/>
        <v>11.943513379965587</v>
      </c>
      <c r="BB348" s="414" t="s">
        <v>1256</v>
      </c>
    </row>
    <row r="349" spans="2:54" ht="20.100000000000001" customHeight="1">
      <c r="S349" s="825" t="str">
        <f t="shared" si="543"/>
        <v>METRO</v>
      </c>
      <c r="T349" s="788" t="str">
        <f t="shared" si="543"/>
        <v>conversion to percentages, zero division prevented with IF function</v>
      </c>
      <c r="U349" s="115"/>
      <c r="V349" s="115"/>
      <c r="W349" s="115"/>
      <c r="X349" s="366"/>
      <c r="Y349" s="76">
        <f t="shared" ref="Y349:BA349" si="545">IF(Y$346=0,0,Y342/Y$346*100)</f>
        <v>0</v>
      </c>
      <c r="Z349" s="76">
        <f t="shared" si="545"/>
        <v>0</v>
      </c>
      <c r="AA349" s="76">
        <f t="shared" si="545"/>
        <v>0</v>
      </c>
      <c r="AB349" s="76">
        <f t="shared" si="545"/>
        <v>0</v>
      </c>
      <c r="AC349" s="76">
        <f t="shared" si="545"/>
        <v>0</v>
      </c>
      <c r="AD349" s="76">
        <f t="shared" si="545"/>
        <v>0</v>
      </c>
      <c r="AE349" s="76">
        <f t="shared" si="545"/>
        <v>0</v>
      </c>
      <c r="AF349" s="76">
        <f t="shared" si="545"/>
        <v>0</v>
      </c>
      <c r="AG349" s="76">
        <f t="shared" si="545"/>
        <v>0</v>
      </c>
      <c r="AH349" s="76">
        <f t="shared" si="545"/>
        <v>0</v>
      </c>
      <c r="AI349" s="76">
        <f t="shared" si="545"/>
        <v>0</v>
      </c>
      <c r="AJ349" s="76">
        <f t="shared" si="545"/>
        <v>0</v>
      </c>
      <c r="AK349" s="76">
        <f t="shared" si="545"/>
        <v>0</v>
      </c>
      <c r="AL349" s="76">
        <f t="shared" si="545"/>
        <v>0</v>
      </c>
      <c r="AM349" s="76">
        <f t="shared" si="545"/>
        <v>0</v>
      </c>
      <c r="AN349" s="76">
        <f t="shared" si="545"/>
        <v>0</v>
      </c>
      <c r="AO349" s="76">
        <f t="shared" si="545"/>
        <v>0</v>
      </c>
      <c r="AP349" s="76">
        <f t="shared" si="545"/>
        <v>0</v>
      </c>
      <c r="AQ349" s="76">
        <f t="shared" si="545"/>
        <v>0</v>
      </c>
      <c r="AR349" s="76">
        <f t="shared" si="545"/>
        <v>0</v>
      </c>
      <c r="AS349" s="76">
        <f t="shared" si="545"/>
        <v>0</v>
      </c>
      <c r="AT349" s="76">
        <f t="shared" si="545"/>
        <v>0</v>
      </c>
      <c r="AU349" s="76">
        <f t="shared" si="545"/>
        <v>0</v>
      </c>
      <c r="AV349" s="76">
        <f t="shared" si="545"/>
        <v>0</v>
      </c>
      <c r="AW349" s="76">
        <f t="shared" si="545"/>
        <v>0</v>
      </c>
      <c r="AX349" s="76">
        <f t="shared" si="545"/>
        <v>0</v>
      </c>
      <c r="AY349" s="76">
        <f t="shared" si="545"/>
        <v>0</v>
      </c>
      <c r="AZ349" s="76">
        <f t="shared" si="545"/>
        <v>0</v>
      </c>
      <c r="BA349" s="795">
        <f t="shared" si="545"/>
        <v>0</v>
      </c>
      <c r="BB349" s="414" t="s">
        <v>1254</v>
      </c>
    </row>
    <row r="350" spans="2:54" ht="20.100000000000001" customHeight="1">
      <c r="S350" s="825" t="str">
        <f t="shared" si="543"/>
        <v>TRAM</v>
      </c>
      <c r="T350" s="788" t="str">
        <f t="shared" si="543"/>
        <v>conversion to percentages, zero division prevented with IF function</v>
      </c>
      <c r="U350" s="115"/>
      <c r="V350" s="115"/>
      <c r="W350" s="115"/>
      <c r="X350" s="366"/>
      <c r="Y350" s="76">
        <f t="shared" ref="Y350:BA350" si="546">IF(Y$346=0,0,Y343/Y$346*100)</f>
        <v>0</v>
      </c>
      <c r="Z350" s="76">
        <f t="shared" si="546"/>
        <v>3.4810741595285681</v>
      </c>
      <c r="AA350" s="76">
        <f t="shared" si="546"/>
        <v>3.5015041304169388</v>
      </c>
      <c r="AB350" s="76">
        <f t="shared" si="546"/>
        <v>3.5220233717093992</v>
      </c>
      <c r="AC350" s="76">
        <f t="shared" si="546"/>
        <v>3.5426319191270128</v>
      </c>
      <c r="AD350" s="76">
        <f t="shared" si="546"/>
        <v>3.5633298039543972</v>
      </c>
      <c r="AE350" s="76">
        <f t="shared" si="546"/>
        <v>3.584117052998788</v>
      </c>
      <c r="AF350" s="76">
        <f t="shared" si="546"/>
        <v>3.6049936885492766</v>
      </c>
      <c r="AG350" s="76">
        <f t="shared" si="546"/>
        <v>3.0566303255346048</v>
      </c>
      <c r="AH350" s="76">
        <f t="shared" si="546"/>
        <v>2.7509593555462892</v>
      </c>
      <c r="AI350" s="76">
        <f t="shared" si="546"/>
        <v>2.5585853228101136</v>
      </c>
      <c r="AJ350" s="76">
        <f t="shared" si="546"/>
        <v>2.4279262971189381</v>
      </c>
      <c r="AK350" s="76">
        <f t="shared" si="546"/>
        <v>2.3346011053818407</v>
      </c>
      <c r="AL350" s="76">
        <f t="shared" si="546"/>
        <v>2.265585892554228</v>
      </c>
      <c r="AM350" s="76">
        <f t="shared" si="546"/>
        <v>2.2796341743506576</v>
      </c>
      <c r="AN350" s="76">
        <f t="shared" si="546"/>
        <v>2.2937600825967936</v>
      </c>
      <c r="AO350" s="76">
        <f t="shared" si="546"/>
        <v>2.3079639304967019</v>
      </c>
      <c r="AP350" s="76">
        <f t="shared" si="546"/>
        <v>2.3222482924062642</v>
      </c>
      <c r="AQ350" s="76">
        <f t="shared" si="546"/>
        <v>2.3366112316144276</v>
      </c>
      <c r="AR350" s="76">
        <f t="shared" si="546"/>
        <v>2.3510508309181937</v>
      </c>
      <c r="AS350" s="76">
        <f t="shared" si="546"/>
        <v>2.3655696208870762</v>
      </c>
      <c r="AT350" s="76">
        <f t="shared" si="546"/>
        <v>2.3801679136264342</v>
      </c>
      <c r="AU350" s="76">
        <f t="shared" si="546"/>
        <v>2.3948483116019039</v>
      </c>
      <c r="AV350" s="76">
        <f t="shared" si="546"/>
        <v>2.4096088473003165</v>
      </c>
      <c r="AW350" s="76">
        <f t="shared" si="546"/>
        <v>2.4244475734533388</v>
      </c>
      <c r="AX350" s="76">
        <f t="shared" si="546"/>
        <v>2.4393670478675316</v>
      </c>
      <c r="AY350" s="76">
        <f t="shared" si="546"/>
        <v>2.4543675809846723</v>
      </c>
      <c r="AZ350" s="76">
        <f t="shared" si="546"/>
        <v>2.4694494828437934</v>
      </c>
      <c r="BA350" s="795">
        <f t="shared" si="546"/>
        <v>2.4846153883093498</v>
      </c>
      <c r="BB350" s="168"/>
    </row>
    <row r="351" spans="2:54" ht="20.100000000000001" customHeight="1">
      <c r="S351" s="825" t="str">
        <f t="shared" si="543"/>
        <v>PASSENGER TRAIN</v>
      </c>
      <c r="T351" s="788" t="str">
        <f t="shared" si="543"/>
        <v>conversion to percentages, zero division prevented with IF function</v>
      </c>
      <c r="U351" s="115"/>
      <c r="V351" s="115"/>
      <c r="W351" s="115"/>
      <c r="X351" s="366"/>
      <c r="Y351" s="76">
        <f t="shared" ref="Y351:BA351" si="547">IF(Y$346=0,0,Y344/Y$346*100)</f>
        <v>0</v>
      </c>
      <c r="Z351" s="76">
        <f t="shared" si="547"/>
        <v>16.339638966088319</v>
      </c>
      <c r="AA351" s="76">
        <f t="shared" si="547"/>
        <v>16.435534179205206</v>
      </c>
      <c r="AB351" s="76">
        <f t="shared" si="547"/>
        <v>16.531848414183262</v>
      </c>
      <c r="AC351" s="76">
        <f t="shared" si="547"/>
        <v>16.62858183869178</v>
      </c>
      <c r="AD351" s="76">
        <f t="shared" si="547"/>
        <v>16.725734599576072</v>
      </c>
      <c r="AE351" s="76">
        <f t="shared" si="547"/>
        <v>16.823306822665252</v>
      </c>
      <c r="AF351" s="76">
        <f t="shared" si="547"/>
        <v>16.921298612580973</v>
      </c>
      <c r="AG351" s="76">
        <f t="shared" si="547"/>
        <v>13.018905809663103</v>
      </c>
      <c r="AH351" s="76">
        <f t="shared" si="547"/>
        <v>10.821335445411199</v>
      </c>
      <c r="AI351" s="76">
        <f t="shared" si="547"/>
        <v>9.4172941830965691</v>
      </c>
      <c r="AJ351" s="76">
        <f t="shared" si="547"/>
        <v>8.4453410453174858</v>
      </c>
      <c r="AK351" s="76">
        <f t="shared" si="547"/>
        <v>7.7346330681007576</v>
      </c>
      <c r="AL351" s="76">
        <f t="shared" si="547"/>
        <v>7.1939088661492097</v>
      </c>
      <c r="AM351" s="76">
        <f t="shared" si="547"/>
        <v>7.2385096481413793</v>
      </c>
      <c r="AN351" s="76">
        <f t="shared" si="547"/>
        <v>7.2833566940267769</v>
      </c>
      <c r="AO351" s="76">
        <f t="shared" si="547"/>
        <v>7.328450995974765</v>
      </c>
      <c r="AP351" s="76">
        <f t="shared" si="547"/>
        <v>7.3738095562214685</v>
      </c>
      <c r="AQ351" s="76">
        <f t="shared" si="547"/>
        <v>7.4194174662327823</v>
      </c>
      <c r="AR351" s="76">
        <f t="shared" si="547"/>
        <v>7.4652599019206924</v>
      </c>
      <c r="AS351" s="76">
        <f t="shared" si="547"/>
        <v>7.5113535580474551</v>
      </c>
      <c r="AT351" s="76">
        <f t="shared" si="547"/>
        <v>7.5576994232350296</v>
      </c>
      <c r="AU351" s="76">
        <f t="shared" si="547"/>
        <v>7.60431477444346</v>
      </c>
      <c r="AV351" s="76">
        <f t="shared" si="547"/>
        <v>7.6511844209146096</v>
      </c>
      <c r="AW351" s="76">
        <f t="shared" si="547"/>
        <v>7.6982932597965723</v>
      </c>
      <c r="AX351" s="76">
        <f t="shared" si="547"/>
        <v>7.7456582543663099</v>
      </c>
      <c r="AY351" s="76">
        <f t="shared" si="547"/>
        <v>7.7932803879049937</v>
      </c>
      <c r="AZ351" s="76">
        <f t="shared" si="547"/>
        <v>7.8411606424027047</v>
      </c>
      <c r="BA351" s="795">
        <f t="shared" si="547"/>
        <v>7.889316624064417</v>
      </c>
      <c r="BB351" s="414" t="s">
        <v>1256</v>
      </c>
    </row>
    <row r="352" spans="2:54" ht="20.100000000000001" customHeight="1">
      <c r="S352" s="825" t="str">
        <f t="shared" si="543"/>
        <v>PASSENGER CAR</v>
      </c>
      <c r="T352" s="788" t="str">
        <f t="shared" si="543"/>
        <v>conversion to percentages, zero division prevented with IF function</v>
      </c>
      <c r="U352" s="115"/>
      <c r="V352" s="115"/>
      <c r="W352" s="115"/>
      <c r="X352" s="366"/>
      <c r="Y352" s="76">
        <f t="shared" ref="Y352:BA352" si="548">IF(Y$346=0,0,Y345/Y$346*100)</f>
        <v>0</v>
      </c>
      <c r="Z352" s="76">
        <f t="shared" si="548"/>
        <v>51.553495234774317</v>
      </c>
      <c r="AA352" s="76">
        <f t="shared" si="548"/>
        <v>51.497013064521347</v>
      </c>
      <c r="AB352" s="76">
        <f t="shared" si="548"/>
        <v>51.440145410171034</v>
      </c>
      <c r="AC352" s="76">
        <f t="shared" si="548"/>
        <v>51.382891808180318</v>
      </c>
      <c r="AD352" s="76">
        <f t="shared" si="548"/>
        <v>51.325251811333715</v>
      </c>
      <c r="AE352" s="76">
        <f t="shared" si="548"/>
        <v>51.267224988922798</v>
      </c>
      <c r="AF352" s="76">
        <f t="shared" si="548"/>
        <v>51.208810926925295</v>
      </c>
      <c r="AG352" s="76">
        <f t="shared" si="548"/>
        <v>62.215317739627629</v>
      </c>
      <c r="AH352" s="76">
        <f t="shared" si="548"/>
        <v>68.390782396131129</v>
      </c>
      <c r="AI352" s="76">
        <f t="shared" si="548"/>
        <v>72.343345907693902</v>
      </c>
      <c r="AJ352" s="76">
        <f t="shared" si="548"/>
        <v>75.085575017977632</v>
      </c>
      <c r="AK352" s="76">
        <f t="shared" si="548"/>
        <v>77.096081949135737</v>
      </c>
      <c r="AL352" s="76">
        <f t="shared" si="548"/>
        <v>78.630532255141517</v>
      </c>
      <c r="AM352" s="76">
        <f t="shared" si="548"/>
        <v>78.569304317050296</v>
      </c>
      <c r="AN352" s="76">
        <f t="shared" si="548"/>
        <v>78.507801400184363</v>
      </c>
      <c r="AO352" s="76">
        <f t="shared" si="548"/>
        <v>78.446022490708174</v>
      </c>
      <c r="AP352" s="76">
        <f t="shared" si="548"/>
        <v>78.383923677640041</v>
      </c>
      <c r="AQ352" s="76">
        <f t="shared" si="548"/>
        <v>78.321546850389723</v>
      </c>
      <c r="AR352" s="76">
        <f t="shared" si="548"/>
        <v>78.258933078692081</v>
      </c>
      <c r="AS352" s="76">
        <f t="shared" si="548"/>
        <v>78.196039274434909</v>
      </c>
      <c r="AT352" s="76">
        <f t="shared" si="548"/>
        <v>78.132864431666277</v>
      </c>
      <c r="AU352" s="76">
        <f t="shared" si="548"/>
        <v>78.06936465172997</v>
      </c>
      <c r="AV352" s="76">
        <f t="shared" si="548"/>
        <v>78.005581828580787</v>
      </c>
      <c r="AW352" s="76">
        <f t="shared" si="548"/>
        <v>77.941557037723541</v>
      </c>
      <c r="AX352" s="76">
        <f t="shared" si="548"/>
        <v>77.877247204054783</v>
      </c>
      <c r="AY352" s="76">
        <f t="shared" si="548"/>
        <v>77.812651331566656</v>
      </c>
      <c r="AZ352" s="76">
        <f t="shared" si="548"/>
        <v>77.747768426493977</v>
      </c>
      <c r="BA352" s="795">
        <f t="shared" si="548"/>
        <v>77.682554607660634</v>
      </c>
      <c r="BB352" s="414" t="s">
        <v>1254</v>
      </c>
    </row>
    <row r="353" spans="19:54" ht="20.100000000000001" customHeight="1" thickBot="1">
      <c r="S353" s="824" t="str">
        <f t="shared" si="543"/>
        <v>TOTAL</v>
      </c>
      <c r="T353" s="832" t="str">
        <f t="shared" si="543"/>
        <v>sum of previous rows</v>
      </c>
      <c r="U353" s="796"/>
      <c r="V353" s="796"/>
      <c r="W353" s="796"/>
      <c r="X353" s="368"/>
      <c r="Y353" s="779">
        <f>SUM(Y348:Y352)</f>
        <v>0</v>
      </c>
      <c r="Z353" s="779">
        <f t="shared" ref="Z353:BA353" si="549">SUM(Z348:Z352)</f>
        <v>100</v>
      </c>
      <c r="AA353" s="779">
        <f t="shared" si="549"/>
        <v>100</v>
      </c>
      <c r="AB353" s="779">
        <f t="shared" si="549"/>
        <v>100</v>
      </c>
      <c r="AC353" s="779">
        <f t="shared" si="549"/>
        <v>100</v>
      </c>
      <c r="AD353" s="779">
        <f t="shared" si="549"/>
        <v>100</v>
      </c>
      <c r="AE353" s="779">
        <f t="shared" si="549"/>
        <v>100</v>
      </c>
      <c r="AF353" s="779">
        <f t="shared" si="549"/>
        <v>99.999999999999986</v>
      </c>
      <c r="AG353" s="779">
        <f t="shared" si="549"/>
        <v>100</v>
      </c>
      <c r="AH353" s="779">
        <f t="shared" si="549"/>
        <v>100</v>
      </c>
      <c r="AI353" s="779">
        <f t="shared" si="549"/>
        <v>100</v>
      </c>
      <c r="AJ353" s="779">
        <f t="shared" si="549"/>
        <v>100</v>
      </c>
      <c r="AK353" s="779">
        <f t="shared" si="549"/>
        <v>100</v>
      </c>
      <c r="AL353" s="779">
        <f t="shared" si="549"/>
        <v>100.00000000000001</v>
      </c>
      <c r="AM353" s="779">
        <f t="shared" si="549"/>
        <v>100</v>
      </c>
      <c r="AN353" s="779">
        <f t="shared" si="549"/>
        <v>100</v>
      </c>
      <c r="AO353" s="779">
        <f t="shared" si="549"/>
        <v>100</v>
      </c>
      <c r="AP353" s="779">
        <f t="shared" si="549"/>
        <v>100.00000000000001</v>
      </c>
      <c r="AQ353" s="779">
        <f t="shared" si="549"/>
        <v>100</v>
      </c>
      <c r="AR353" s="779">
        <f t="shared" si="549"/>
        <v>99.999999999999986</v>
      </c>
      <c r="AS353" s="779">
        <f t="shared" si="549"/>
        <v>100</v>
      </c>
      <c r="AT353" s="779">
        <f t="shared" si="549"/>
        <v>99.999999999999986</v>
      </c>
      <c r="AU353" s="779">
        <f t="shared" si="549"/>
        <v>100.00000000000001</v>
      </c>
      <c r="AV353" s="779">
        <f t="shared" si="549"/>
        <v>100</v>
      </c>
      <c r="AW353" s="779">
        <f t="shared" si="549"/>
        <v>100</v>
      </c>
      <c r="AX353" s="779">
        <f t="shared" si="549"/>
        <v>100</v>
      </c>
      <c r="AY353" s="779">
        <f t="shared" si="549"/>
        <v>99.999999999999972</v>
      </c>
      <c r="AZ353" s="779">
        <f t="shared" si="549"/>
        <v>100</v>
      </c>
      <c r="BA353" s="797">
        <f t="shared" si="549"/>
        <v>99.999999999999986</v>
      </c>
      <c r="BB353" s="414" t="s">
        <v>1257</v>
      </c>
    </row>
    <row r="355" spans="19:54" ht="20.100000000000001" customHeight="1" thickBot="1">
      <c r="S355" s="1323" t="s">
        <v>3185</v>
      </c>
      <c r="T355" s="25"/>
      <c r="U355" s="25"/>
      <c r="V355" s="25"/>
      <c r="W355" s="25"/>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row>
    <row r="356" spans="19:54" ht="20.100000000000001" customHeight="1">
      <c r="S356" s="838" t="s">
        <v>1258</v>
      </c>
      <c r="T356" s="852"/>
      <c r="U356" s="839"/>
      <c r="V356" s="839"/>
      <c r="W356" s="839"/>
      <c r="X356" s="798">
        <f t="shared" ref="X356:BA356" si="550">X331</f>
        <v>2021</v>
      </c>
      <c r="Y356" s="798">
        <f t="shared" si="550"/>
        <v>2022</v>
      </c>
      <c r="Z356" s="798">
        <f t="shared" si="550"/>
        <v>2023</v>
      </c>
      <c r="AA356" s="798">
        <f t="shared" si="550"/>
        <v>2024</v>
      </c>
      <c r="AB356" s="798">
        <f t="shared" si="550"/>
        <v>2025</v>
      </c>
      <c r="AC356" s="798">
        <f t="shared" si="550"/>
        <v>2026</v>
      </c>
      <c r="AD356" s="798">
        <f t="shared" si="550"/>
        <v>2027</v>
      </c>
      <c r="AE356" s="798">
        <f t="shared" si="550"/>
        <v>2028</v>
      </c>
      <c r="AF356" s="798">
        <f t="shared" si="550"/>
        <v>2029</v>
      </c>
      <c r="AG356" s="798">
        <f t="shared" si="550"/>
        <v>2030</v>
      </c>
      <c r="AH356" s="798">
        <f t="shared" si="550"/>
        <v>2031</v>
      </c>
      <c r="AI356" s="798">
        <f t="shared" si="550"/>
        <v>2032</v>
      </c>
      <c r="AJ356" s="798">
        <f t="shared" si="550"/>
        <v>2033</v>
      </c>
      <c r="AK356" s="798">
        <f t="shared" si="550"/>
        <v>2034</v>
      </c>
      <c r="AL356" s="798">
        <f t="shared" si="550"/>
        <v>2035</v>
      </c>
      <c r="AM356" s="798">
        <f t="shared" si="550"/>
        <v>2036</v>
      </c>
      <c r="AN356" s="798">
        <f t="shared" si="550"/>
        <v>2037</v>
      </c>
      <c r="AO356" s="798">
        <f t="shared" si="550"/>
        <v>2038</v>
      </c>
      <c r="AP356" s="798">
        <f t="shared" si="550"/>
        <v>2039</v>
      </c>
      <c r="AQ356" s="798">
        <f t="shared" si="550"/>
        <v>2040</v>
      </c>
      <c r="AR356" s="798">
        <f t="shared" si="550"/>
        <v>2041</v>
      </c>
      <c r="AS356" s="798">
        <f t="shared" si="550"/>
        <v>2042</v>
      </c>
      <c r="AT356" s="798">
        <f t="shared" si="550"/>
        <v>2043</v>
      </c>
      <c r="AU356" s="798">
        <f t="shared" si="550"/>
        <v>2044</v>
      </c>
      <c r="AV356" s="798">
        <f t="shared" si="550"/>
        <v>2045</v>
      </c>
      <c r="AW356" s="798">
        <f t="shared" si="550"/>
        <v>2046</v>
      </c>
      <c r="AX356" s="798">
        <f t="shared" si="550"/>
        <v>2047</v>
      </c>
      <c r="AY356" s="798">
        <f t="shared" si="550"/>
        <v>2048</v>
      </c>
      <c r="AZ356" s="798">
        <f t="shared" si="550"/>
        <v>2049</v>
      </c>
      <c r="BA356" s="799">
        <f t="shared" si="550"/>
        <v>2050</v>
      </c>
    </row>
    <row r="357" spans="19:54" ht="20.100000000000001" customHeight="1">
      <c r="S357" s="840" t="str">
        <f>S348</f>
        <v>BUS</v>
      </c>
      <c r="T357" s="788" t="s">
        <v>179</v>
      </c>
      <c r="U357" s="115"/>
      <c r="V357" s="115"/>
      <c r="W357" s="115"/>
      <c r="X357" s="76"/>
      <c r="Y357" s="76">
        <f t="shared" ref="Y357:BA357" si="551">Y348</f>
        <v>0</v>
      </c>
      <c r="Z357" s="76">
        <f t="shared" si="551"/>
        <v>28.625791639608796</v>
      </c>
      <c r="AA357" s="76">
        <f t="shared" si="551"/>
        <v>28.565948625856514</v>
      </c>
      <c r="AB357" s="76">
        <f t="shared" si="551"/>
        <v>28.505982803936313</v>
      </c>
      <c r="AC357" s="76">
        <f t="shared" si="551"/>
        <v>28.445894434000891</v>
      </c>
      <c r="AD357" s="76">
        <f t="shared" si="551"/>
        <v>28.385683785135811</v>
      </c>
      <c r="AE357" s="76">
        <f t="shared" si="551"/>
        <v>28.325351135413161</v>
      </c>
      <c r="AF357" s="76">
        <f t="shared" si="551"/>
        <v>28.264896771944446</v>
      </c>
      <c r="AG357" s="76">
        <f t="shared" si="551"/>
        <v>21.709146125174652</v>
      </c>
      <c r="AH357" s="76">
        <f t="shared" si="551"/>
        <v>18.036922802911391</v>
      </c>
      <c r="AI357" s="76">
        <f t="shared" si="551"/>
        <v>15.680774586399412</v>
      </c>
      <c r="AJ357" s="76">
        <f t="shared" si="551"/>
        <v>14.041157639585942</v>
      </c>
      <c r="AK357" s="76">
        <f t="shared" si="551"/>
        <v>12.834683877381655</v>
      </c>
      <c r="AL357" s="76">
        <f t="shared" si="551"/>
        <v>11.909972986155058</v>
      </c>
      <c r="AM357" s="76">
        <f t="shared" si="551"/>
        <v>11.912551860457672</v>
      </c>
      <c r="AN357" s="76">
        <f t="shared" si="551"/>
        <v>11.915081823192075</v>
      </c>
      <c r="AO357" s="76">
        <f t="shared" si="551"/>
        <v>11.917562582820365</v>
      </c>
      <c r="AP357" s="76">
        <f t="shared" si="551"/>
        <v>11.920018473732236</v>
      </c>
      <c r="AQ357" s="76">
        <f t="shared" si="551"/>
        <v>11.922424451763066</v>
      </c>
      <c r="AR357" s="76">
        <f t="shared" si="551"/>
        <v>11.924756188469022</v>
      </c>
      <c r="AS357" s="76">
        <f t="shared" si="551"/>
        <v>11.927037546630565</v>
      </c>
      <c r="AT357" s="76">
        <f t="shared" si="551"/>
        <v>11.929268231472243</v>
      </c>
      <c r="AU357" s="76">
        <f t="shared" si="551"/>
        <v>11.931472262224679</v>
      </c>
      <c r="AV357" s="76">
        <f t="shared" si="551"/>
        <v>11.933624903204292</v>
      </c>
      <c r="AW357" s="76">
        <f t="shared" si="551"/>
        <v>11.935702129026545</v>
      </c>
      <c r="AX357" s="76">
        <f t="shared" si="551"/>
        <v>11.937727493711373</v>
      </c>
      <c r="AY357" s="76">
        <f t="shared" si="551"/>
        <v>11.939700699543659</v>
      </c>
      <c r="AZ357" s="76">
        <f t="shared" si="551"/>
        <v>11.941621448259523</v>
      </c>
      <c r="BA357" s="795">
        <f t="shared" si="551"/>
        <v>11.943513379965587</v>
      </c>
    </row>
    <row r="358" spans="19:54" ht="20.100000000000001" customHeight="1">
      <c r="S358" s="840"/>
      <c r="T358" s="788" t="s">
        <v>175</v>
      </c>
      <c r="U358" s="115"/>
      <c r="V358" s="115"/>
      <c r="W358" s="115"/>
      <c r="X358" s="76"/>
      <c r="Y358" s="76">
        <f t="shared" ref="Y358:BA358" si="552">IF(AND(Y356&gt;($F$177+2020),Y356&lt;($G$177+2022)),($G$170-INDEX($Y$357:$BA$357,1,($F$177-1)))/($G$177-$F$177+1),0)</f>
        <v>0</v>
      </c>
      <c r="Z358" s="76">
        <f t="shared" si="552"/>
        <v>0</v>
      </c>
      <c r="AA358" s="76">
        <f t="shared" si="552"/>
        <v>0</v>
      </c>
      <c r="AB358" s="76">
        <f t="shared" si="552"/>
        <v>0.23900856235724768</v>
      </c>
      <c r="AC358" s="76">
        <f t="shared" si="552"/>
        <v>0.23900856235724768</v>
      </c>
      <c r="AD358" s="76">
        <f t="shared" si="552"/>
        <v>0.23900856235724768</v>
      </c>
      <c r="AE358" s="76">
        <f t="shared" si="552"/>
        <v>0.23900856235724768</v>
      </c>
      <c r="AF358" s="76">
        <f t="shared" si="552"/>
        <v>0.23900856235724768</v>
      </c>
      <c r="AG358" s="76">
        <f t="shared" si="552"/>
        <v>0.23900856235724768</v>
      </c>
      <c r="AH358" s="76">
        <f t="shared" si="552"/>
        <v>0</v>
      </c>
      <c r="AI358" s="76">
        <f t="shared" si="552"/>
        <v>0</v>
      </c>
      <c r="AJ358" s="76">
        <f t="shared" si="552"/>
        <v>0</v>
      </c>
      <c r="AK358" s="76">
        <f t="shared" si="552"/>
        <v>0</v>
      </c>
      <c r="AL358" s="76">
        <f t="shared" si="552"/>
        <v>0</v>
      </c>
      <c r="AM358" s="76">
        <f t="shared" si="552"/>
        <v>0</v>
      </c>
      <c r="AN358" s="76">
        <f t="shared" si="552"/>
        <v>0</v>
      </c>
      <c r="AO358" s="76">
        <f t="shared" si="552"/>
        <v>0</v>
      </c>
      <c r="AP358" s="76">
        <f t="shared" si="552"/>
        <v>0</v>
      </c>
      <c r="AQ358" s="76">
        <f t="shared" si="552"/>
        <v>0</v>
      </c>
      <c r="AR358" s="76">
        <f t="shared" si="552"/>
        <v>0</v>
      </c>
      <c r="AS358" s="76">
        <f t="shared" si="552"/>
        <v>0</v>
      </c>
      <c r="AT358" s="76">
        <f t="shared" si="552"/>
        <v>0</v>
      </c>
      <c r="AU358" s="76">
        <f t="shared" si="552"/>
        <v>0</v>
      </c>
      <c r="AV358" s="76">
        <f t="shared" si="552"/>
        <v>0</v>
      </c>
      <c r="AW358" s="76">
        <f t="shared" si="552"/>
        <v>0</v>
      </c>
      <c r="AX358" s="76">
        <f t="shared" si="552"/>
        <v>0</v>
      </c>
      <c r="AY358" s="76">
        <f t="shared" si="552"/>
        <v>0</v>
      </c>
      <c r="AZ358" s="76">
        <f t="shared" si="552"/>
        <v>0</v>
      </c>
      <c r="BA358" s="76">
        <f t="shared" si="552"/>
        <v>0</v>
      </c>
    </row>
    <row r="359" spans="19:54" ht="20.100000000000001" customHeight="1">
      <c r="S359" s="840"/>
      <c r="T359" s="1270" t="s">
        <v>180</v>
      </c>
      <c r="U359" s="1271"/>
      <c r="V359" s="1271"/>
      <c r="W359" s="1271"/>
      <c r="X359" s="76"/>
      <c r="Y359" s="1272">
        <f>IF(AND(Y356&gt;($F$177+2020),Y356&lt;($G$177+2022)),Y357+Y358,Y357)</f>
        <v>0</v>
      </c>
      <c r="Z359" s="1272">
        <f>IF(AND(Z356&gt;($F$177+2020),Z356&lt;($G$177+2022)),Y359+Z358,Y359*(IF(Y357=0,1,Z357/Y357)))</f>
        <v>0</v>
      </c>
      <c r="AA359" s="1272">
        <f t="shared" ref="AA359:AC359" si="553">IF(AND(AA356&gt;($F$177+2020),AA356&lt;($G$177+2022)),Z359+AA358,Z359*(IF(Z357=0,1,AA357/Z357)))</f>
        <v>0</v>
      </c>
      <c r="AB359" s="1272">
        <f t="shared" si="553"/>
        <v>0.23900856235724768</v>
      </c>
      <c r="AC359" s="1272">
        <f t="shared" si="553"/>
        <v>0.47801712471449537</v>
      </c>
      <c r="AD359" s="1272">
        <f t="shared" ref="AD359" si="554">IF(AND(AD356&gt;($F$177+2020),AD356&lt;($G$177+2022)),AC359+AD358,AC359*(IF(AC357=0,1,AD357/AC357)))</f>
        <v>0.71702568707174308</v>
      </c>
      <c r="AE359" s="1272">
        <f t="shared" ref="AE359:AF359" si="555">IF(AND(AE356&gt;($F$177+2020),AE356&lt;($G$177+2022)),AD359+AE358,AD359*(IF(AD357=0,1,AE357/AD357)))</f>
        <v>0.95603424942899073</v>
      </c>
      <c r="AF359" s="1272">
        <f t="shared" si="555"/>
        <v>1.1950428117862384</v>
      </c>
      <c r="AG359" s="1272">
        <f t="shared" ref="AG359" si="556">IF(AND(AG356&gt;($F$177+2020),AG356&lt;($G$177+2022)),AF359+AG358,AF359*(IF(AF357=0,1,AG357/AF357)))</f>
        <v>1.4340513741434862</v>
      </c>
      <c r="AH359" s="1272">
        <f t="shared" ref="AH359:AI359" si="557">IF(AND(AH356&gt;($F$177+2020),AH356&lt;($G$177+2022)),AG359+AH358,AG359*(IF(AG357=0,1,AH357/AG357)))</f>
        <v>1.1914735743954539</v>
      </c>
      <c r="AI359" s="1272">
        <f t="shared" si="557"/>
        <v>1.0358323728441632</v>
      </c>
      <c r="AJ359" s="1272">
        <f t="shared" ref="AJ359" si="558">IF(AND(AJ356&gt;($F$177+2020),AJ356&lt;($G$177+2022)),AI359+AJ358,AI359*(IF(AI357=0,1,AJ357/AI357)))</f>
        <v>0.9275234176190581</v>
      </c>
      <c r="AK359" s="1272">
        <f t="shared" ref="AK359:AL359" si="559">IF(AND(AK356&gt;($F$177+2020),AK356&lt;($G$177+2022)),AJ359+AK358,AJ359*(IF(AJ357=0,1,AK357/AJ357)))</f>
        <v>0.84782680741702054</v>
      </c>
      <c r="AL359" s="1272">
        <f t="shared" si="559"/>
        <v>0.7867427409777985</v>
      </c>
      <c r="AM359" s="1272">
        <f t="shared" ref="AM359" si="560">IF(AND(AM356&gt;($F$177+2020),AM356&lt;($G$177+2022)),AL359+AM358,AL359*(IF(AL357=0,1,AM357/AL357)))</f>
        <v>0.78691309490218064</v>
      </c>
      <c r="AN359" s="1272">
        <f t="shared" ref="AN359:AO359" si="561">IF(AND(AN356&gt;($F$177+2020),AN356&lt;($G$177+2022)),AM359+AN358,AM359*(IF(AM357=0,1,AN357/AM357)))</f>
        <v>0.78708021785187576</v>
      </c>
      <c r="AO359" s="1272">
        <f t="shared" si="561"/>
        <v>0.78724409056862632</v>
      </c>
      <c r="AP359" s="1272">
        <f t="shared" ref="AP359" si="562">IF(AND(AP356&gt;($F$177+2020),AP356&lt;($G$177+2022)),AO359+AP358,AO359*(IF(AO357=0,1,AP357/AO357)))</f>
        <v>0.78740632052076764</v>
      </c>
      <c r="AQ359" s="1272">
        <f t="shared" ref="AQ359:AR359" si="563">IF(AND(AQ356&gt;($F$177+2020),AQ356&lt;($G$177+2022)),AP359+AQ358,AP359*(IF(AP357=0,1,AQ357/AP357)))</f>
        <v>0.78756525335402494</v>
      </c>
      <c r="AR359" s="1272">
        <f t="shared" si="563"/>
        <v>0.78771928199283181</v>
      </c>
      <c r="AS359" s="1272">
        <f t="shared" ref="AS359" si="564">IF(AND(AS356&gt;($F$177+2020),AS356&lt;($G$177+2022)),AR359+AS358,AR359*(IF(AR357=0,1,AS357/AR357)))</f>
        <v>0.7878699827522081</v>
      </c>
      <c r="AT359" s="1272">
        <f t="shared" ref="AT359:AU359" si="565">IF(AND(AT356&gt;($F$177+2020),AT356&lt;($G$177+2022)),AS359+AT358,AS359*(IF(AS357=0,1,AT357/AS357)))</f>
        <v>0.788017336160032</v>
      </c>
      <c r="AU359" s="1272">
        <f t="shared" si="565"/>
        <v>0.78816292886602612</v>
      </c>
      <c r="AV359" s="1272">
        <f t="shared" ref="AV359" si="566">IF(AND(AV356&gt;($F$177+2020),AV356&lt;($G$177+2022)),AU359+AV358,AU359*(IF(AU357=0,1,AV357/AU357)))</f>
        <v>0.78830512689339449</v>
      </c>
      <c r="AW359" s="1272">
        <f t="shared" ref="AW359:AX359" si="567">IF(AND(AW356&gt;($F$177+2020),AW356&lt;($G$177+2022)),AV359+AW358,AV359*(IF(AV357=0,1,AW357/AV357)))</f>
        <v>0.78844234318590234</v>
      </c>
      <c r="AX359" s="1272">
        <f t="shared" si="567"/>
        <v>0.78857613366262913</v>
      </c>
      <c r="AY359" s="1272">
        <f t="shared" ref="AY359" si="568">IF(AND(AY356&gt;($F$177+2020),AY356&lt;($G$177+2022)),AX359+AY358,AX359*(IF(AX357=0,1,AY357/AX357)))</f>
        <v>0.78870647865726606</v>
      </c>
      <c r="AZ359" s="1272">
        <f t="shared" ref="AZ359:BA359" si="569">IF(AND(AZ356&gt;($F$177+2020),AZ356&lt;($G$177+2022)),AY359+AZ358,AY359*(IF(AY357=0,1,AZ357/AY357)))</f>
        <v>0.78883335846725433</v>
      </c>
      <c r="BA359" s="1272">
        <f t="shared" si="569"/>
        <v>0.78895833469834253</v>
      </c>
    </row>
    <row r="360" spans="19:54" ht="20.100000000000001" customHeight="1">
      <c r="S360" s="840" t="str">
        <f>S349</f>
        <v>METRO</v>
      </c>
      <c r="T360" s="788" t="s">
        <v>179</v>
      </c>
      <c r="U360" s="115"/>
      <c r="V360" s="115"/>
      <c r="W360" s="115"/>
      <c r="X360" s="76"/>
      <c r="Y360" s="76">
        <f t="shared" ref="Y360:BA360" si="570">Y349</f>
        <v>0</v>
      </c>
      <c r="Z360" s="76">
        <f t="shared" si="570"/>
        <v>0</v>
      </c>
      <c r="AA360" s="76">
        <f t="shared" si="570"/>
        <v>0</v>
      </c>
      <c r="AB360" s="76">
        <f t="shared" si="570"/>
        <v>0</v>
      </c>
      <c r="AC360" s="76">
        <f t="shared" si="570"/>
        <v>0</v>
      </c>
      <c r="AD360" s="76">
        <f t="shared" si="570"/>
        <v>0</v>
      </c>
      <c r="AE360" s="76">
        <f t="shared" si="570"/>
        <v>0</v>
      </c>
      <c r="AF360" s="76">
        <f t="shared" si="570"/>
        <v>0</v>
      </c>
      <c r="AG360" s="76">
        <f t="shared" si="570"/>
        <v>0</v>
      </c>
      <c r="AH360" s="76">
        <f t="shared" si="570"/>
        <v>0</v>
      </c>
      <c r="AI360" s="76">
        <f t="shared" si="570"/>
        <v>0</v>
      </c>
      <c r="AJ360" s="76">
        <f t="shared" si="570"/>
        <v>0</v>
      </c>
      <c r="AK360" s="76">
        <f t="shared" si="570"/>
        <v>0</v>
      </c>
      <c r="AL360" s="76">
        <f t="shared" si="570"/>
        <v>0</v>
      </c>
      <c r="AM360" s="76">
        <f t="shared" si="570"/>
        <v>0</v>
      </c>
      <c r="AN360" s="76">
        <f t="shared" si="570"/>
        <v>0</v>
      </c>
      <c r="AO360" s="76">
        <f t="shared" si="570"/>
        <v>0</v>
      </c>
      <c r="AP360" s="76">
        <f t="shared" si="570"/>
        <v>0</v>
      </c>
      <c r="AQ360" s="76">
        <f t="shared" si="570"/>
        <v>0</v>
      </c>
      <c r="AR360" s="76">
        <f t="shared" si="570"/>
        <v>0</v>
      </c>
      <c r="AS360" s="76">
        <f t="shared" si="570"/>
        <v>0</v>
      </c>
      <c r="AT360" s="76">
        <f t="shared" si="570"/>
        <v>0</v>
      </c>
      <c r="AU360" s="76">
        <f t="shared" si="570"/>
        <v>0</v>
      </c>
      <c r="AV360" s="76">
        <f t="shared" si="570"/>
        <v>0</v>
      </c>
      <c r="AW360" s="76">
        <f t="shared" si="570"/>
        <v>0</v>
      </c>
      <c r="AX360" s="76">
        <f t="shared" si="570"/>
        <v>0</v>
      </c>
      <c r="AY360" s="76">
        <f t="shared" si="570"/>
        <v>0</v>
      </c>
      <c r="AZ360" s="76">
        <f t="shared" si="570"/>
        <v>0</v>
      </c>
      <c r="BA360" s="795">
        <f t="shared" si="570"/>
        <v>0</v>
      </c>
    </row>
    <row r="361" spans="19:54" ht="20.100000000000001" customHeight="1">
      <c r="S361" s="840"/>
      <c r="T361" s="788" t="s">
        <v>175</v>
      </c>
      <c r="U361" s="115"/>
      <c r="V361" s="115"/>
      <c r="W361" s="115"/>
      <c r="X361" s="76"/>
      <c r="Y361" s="76">
        <f t="shared" ref="Y361:BA361" si="571">IF(AND(Y356&gt;($F$177+2020),Y356&lt;($G$177+2022)),($G$171-INDEX($Y$360:$BA$360,1,($F$177-1)))/($G$177-$F$177+1),0)</f>
        <v>0</v>
      </c>
      <c r="Z361" s="76">
        <f t="shared" si="571"/>
        <v>0</v>
      </c>
      <c r="AA361" s="76">
        <f t="shared" si="571"/>
        <v>0</v>
      </c>
      <c r="AB361" s="76">
        <f t="shared" si="571"/>
        <v>0.83333333333333337</v>
      </c>
      <c r="AC361" s="76">
        <f t="shared" si="571"/>
        <v>0.83333333333333337</v>
      </c>
      <c r="AD361" s="76">
        <f t="shared" si="571"/>
        <v>0.83333333333333337</v>
      </c>
      <c r="AE361" s="76">
        <f t="shared" si="571"/>
        <v>0.83333333333333337</v>
      </c>
      <c r="AF361" s="76">
        <f t="shared" si="571"/>
        <v>0.83333333333333337</v>
      </c>
      <c r="AG361" s="76">
        <f t="shared" si="571"/>
        <v>0.83333333333333337</v>
      </c>
      <c r="AH361" s="76">
        <f t="shared" si="571"/>
        <v>0</v>
      </c>
      <c r="AI361" s="76">
        <f t="shared" si="571"/>
        <v>0</v>
      </c>
      <c r="AJ361" s="76">
        <f t="shared" si="571"/>
        <v>0</v>
      </c>
      <c r="AK361" s="76">
        <f t="shared" si="571"/>
        <v>0</v>
      </c>
      <c r="AL361" s="76">
        <f t="shared" si="571"/>
        <v>0</v>
      </c>
      <c r="AM361" s="76">
        <f t="shared" si="571"/>
        <v>0</v>
      </c>
      <c r="AN361" s="76">
        <f t="shared" si="571"/>
        <v>0</v>
      </c>
      <c r="AO361" s="76">
        <f t="shared" si="571"/>
        <v>0</v>
      </c>
      <c r="AP361" s="76">
        <f t="shared" si="571"/>
        <v>0</v>
      </c>
      <c r="AQ361" s="76">
        <f t="shared" si="571"/>
        <v>0</v>
      </c>
      <c r="AR361" s="76">
        <f t="shared" si="571"/>
        <v>0</v>
      </c>
      <c r="AS361" s="76">
        <f t="shared" si="571"/>
        <v>0</v>
      </c>
      <c r="AT361" s="76">
        <f t="shared" si="571"/>
        <v>0</v>
      </c>
      <c r="AU361" s="76">
        <f t="shared" si="571"/>
        <v>0</v>
      </c>
      <c r="AV361" s="76">
        <f t="shared" si="571"/>
        <v>0</v>
      </c>
      <c r="AW361" s="76">
        <f t="shared" si="571"/>
        <v>0</v>
      </c>
      <c r="AX361" s="76">
        <f t="shared" si="571"/>
        <v>0</v>
      </c>
      <c r="AY361" s="76">
        <f t="shared" si="571"/>
        <v>0</v>
      </c>
      <c r="AZ361" s="76">
        <f t="shared" si="571"/>
        <v>0</v>
      </c>
      <c r="BA361" s="76">
        <f t="shared" si="571"/>
        <v>0</v>
      </c>
    </row>
    <row r="362" spans="19:54" ht="20.100000000000001" customHeight="1">
      <c r="S362" s="840"/>
      <c r="T362" s="788" t="s">
        <v>180</v>
      </c>
      <c r="U362" s="115"/>
      <c r="V362" s="115"/>
      <c r="W362" s="115"/>
      <c r="X362" s="76"/>
      <c r="Y362" s="1272">
        <f>IF(AND(Y356&gt;($F$177+2020),Y356&lt;($G$177+2022)),Y360+Y361,Y360)</f>
        <v>0</v>
      </c>
      <c r="Z362" s="1272">
        <f>IF(AND(Z356&gt;($F$177+2020),Z356&lt;($G$177+2022)),Y362+Z361,Y362*IF(Y360=0,1,(Z360/Y360)))</f>
        <v>0</v>
      </c>
      <c r="AA362" s="1272">
        <f t="shared" ref="AA362:AN362" si="572">IF(AND(AA356&gt;($F$177+2020),AA356&lt;($G$177+2022)),Z362+AA361,Z362*IF(Z360=0,1,(AA360/Z360)))</f>
        <v>0</v>
      </c>
      <c r="AB362" s="1272">
        <f t="shared" si="572"/>
        <v>0.83333333333333337</v>
      </c>
      <c r="AC362" s="1272">
        <f t="shared" si="572"/>
        <v>1.6666666666666667</v>
      </c>
      <c r="AD362" s="1272">
        <f t="shared" si="572"/>
        <v>2.5</v>
      </c>
      <c r="AE362" s="1272">
        <f t="shared" si="572"/>
        <v>3.3333333333333335</v>
      </c>
      <c r="AF362" s="1272">
        <f t="shared" si="572"/>
        <v>4.166666666666667</v>
      </c>
      <c r="AG362" s="1272">
        <f t="shared" si="572"/>
        <v>5</v>
      </c>
      <c r="AH362" s="1272">
        <f t="shared" si="572"/>
        <v>5</v>
      </c>
      <c r="AI362" s="1272">
        <f t="shared" si="572"/>
        <v>5</v>
      </c>
      <c r="AJ362" s="1272">
        <f t="shared" si="572"/>
        <v>5</v>
      </c>
      <c r="AK362" s="1272">
        <f t="shared" si="572"/>
        <v>5</v>
      </c>
      <c r="AL362" s="1272">
        <f t="shared" si="572"/>
        <v>5</v>
      </c>
      <c r="AM362" s="1272">
        <f t="shared" si="572"/>
        <v>5</v>
      </c>
      <c r="AN362" s="1272">
        <f t="shared" si="572"/>
        <v>5</v>
      </c>
      <c r="AO362" s="1272">
        <f>IF(AND(AO356&gt;($F$177+2020),AO356&lt;($G$177+2022)),AN362+AO361,AN362*IF(AN360=0,1,(AO360/AN360)))</f>
        <v>5</v>
      </c>
      <c r="AP362" s="1272">
        <f t="shared" ref="AP362" si="573">IF(AND(AP356&gt;($F$177+2020),AP356&lt;($G$177+2022)),AO362+AP361,AO362*IF(AO360=0,1,(AP360/AO360)))</f>
        <v>5</v>
      </c>
      <c r="AQ362" s="1272">
        <f t="shared" ref="AQ362" si="574">IF(AND(AQ356&gt;($F$177+2020),AQ356&lt;($G$177+2022)),AP362+AQ361,AP362*IF(AP360=0,1,(AQ360/AP360)))</f>
        <v>5</v>
      </c>
      <c r="AR362" s="1272">
        <f t="shared" ref="AR362" si="575">IF(AND(AR356&gt;($F$177+2020),AR356&lt;($G$177+2022)),AQ362+AR361,AQ362*IF(AQ360=0,1,(AR360/AQ360)))</f>
        <v>5</v>
      </c>
      <c r="AS362" s="1272">
        <f t="shared" ref="AS362" si="576">IF(AND(AS356&gt;($F$177+2020),AS356&lt;($G$177+2022)),AR362+AS361,AR362*IF(AR360=0,1,(AS360/AR360)))</f>
        <v>5</v>
      </c>
      <c r="AT362" s="1272">
        <f t="shared" ref="AT362" si="577">IF(AND(AT356&gt;($F$177+2020),AT356&lt;($G$177+2022)),AS362+AT361,AS362*IF(AS360=0,1,(AT360/AS360)))</f>
        <v>5</v>
      </c>
      <c r="AU362" s="1272">
        <f t="shared" ref="AU362" si="578">IF(AND(AU356&gt;($F$177+2020),AU356&lt;($G$177+2022)),AT362+AU361,AT362*IF(AT360=0,1,(AU360/AT360)))</f>
        <v>5</v>
      </c>
      <c r="AV362" s="1272">
        <f t="shared" ref="AV362" si="579">IF(AND(AV356&gt;($F$177+2020),AV356&lt;($G$177+2022)),AU362+AV361,AU362*IF(AU360=0,1,(AV360/AU360)))</f>
        <v>5</v>
      </c>
      <c r="AW362" s="1272">
        <f t="shared" ref="AW362" si="580">IF(AND(AW356&gt;($F$177+2020),AW356&lt;($G$177+2022)),AV362+AW361,AV362*IF(AV360=0,1,(AW360/AV360)))</f>
        <v>5</v>
      </c>
      <c r="AX362" s="1272">
        <f t="shared" ref="AX362" si="581">IF(AND(AX356&gt;($F$177+2020),AX356&lt;($G$177+2022)),AW362+AX361,AW362*IF(AW360=0,1,(AX360/AW360)))</f>
        <v>5</v>
      </c>
      <c r="AY362" s="1272">
        <f t="shared" ref="AY362" si="582">IF(AND(AY356&gt;($F$177+2020),AY356&lt;($G$177+2022)),AX362+AY361,AX362*IF(AX360=0,1,(AY360/AX360)))</f>
        <v>5</v>
      </c>
      <c r="AZ362" s="1272">
        <f t="shared" ref="AZ362" si="583">IF(AND(AZ356&gt;($F$177+2020),AZ356&lt;($G$177+2022)),AY362+AZ361,AY362*IF(AY360=0,1,(AZ360/AY360)))</f>
        <v>5</v>
      </c>
      <c r="BA362" s="1272">
        <f t="shared" ref="BA362" si="584">IF(AND(BA356&gt;($F$177+2020),BA356&lt;($G$177+2022)),AZ362+BA361,AZ362*IF(AZ360=0,1,(BA360/AZ360)))</f>
        <v>5</v>
      </c>
    </row>
    <row r="363" spans="19:54" ht="20.100000000000001" customHeight="1">
      <c r="S363" s="840" t="str">
        <f>S350</f>
        <v>TRAM</v>
      </c>
      <c r="T363" s="788" t="s">
        <v>179</v>
      </c>
      <c r="U363" s="115"/>
      <c r="V363" s="115"/>
      <c r="W363" s="115"/>
      <c r="X363" s="76"/>
      <c r="Y363" s="76">
        <f t="shared" ref="Y363:BA363" si="585">Y350</f>
        <v>0</v>
      </c>
      <c r="Z363" s="76">
        <f t="shared" si="585"/>
        <v>3.4810741595285681</v>
      </c>
      <c r="AA363" s="76">
        <f t="shared" si="585"/>
        <v>3.5015041304169388</v>
      </c>
      <c r="AB363" s="76">
        <f t="shared" si="585"/>
        <v>3.5220233717093992</v>
      </c>
      <c r="AC363" s="76">
        <f t="shared" si="585"/>
        <v>3.5426319191270128</v>
      </c>
      <c r="AD363" s="76">
        <f t="shared" si="585"/>
        <v>3.5633298039543972</v>
      </c>
      <c r="AE363" s="76">
        <f t="shared" si="585"/>
        <v>3.584117052998788</v>
      </c>
      <c r="AF363" s="76">
        <f t="shared" si="585"/>
        <v>3.6049936885492766</v>
      </c>
      <c r="AG363" s="76">
        <f t="shared" si="585"/>
        <v>3.0566303255346048</v>
      </c>
      <c r="AH363" s="76">
        <f t="shared" si="585"/>
        <v>2.7509593555462892</v>
      </c>
      <c r="AI363" s="76">
        <f t="shared" si="585"/>
        <v>2.5585853228101136</v>
      </c>
      <c r="AJ363" s="76">
        <f t="shared" si="585"/>
        <v>2.4279262971189381</v>
      </c>
      <c r="AK363" s="76">
        <f t="shared" si="585"/>
        <v>2.3346011053818407</v>
      </c>
      <c r="AL363" s="76">
        <f t="shared" si="585"/>
        <v>2.265585892554228</v>
      </c>
      <c r="AM363" s="76">
        <f t="shared" si="585"/>
        <v>2.2796341743506576</v>
      </c>
      <c r="AN363" s="76">
        <f t="shared" si="585"/>
        <v>2.2937600825967936</v>
      </c>
      <c r="AO363" s="76">
        <f t="shared" si="585"/>
        <v>2.3079639304967019</v>
      </c>
      <c r="AP363" s="76">
        <f t="shared" si="585"/>
        <v>2.3222482924062642</v>
      </c>
      <c r="AQ363" s="76">
        <f t="shared" si="585"/>
        <v>2.3366112316144276</v>
      </c>
      <c r="AR363" s="76">
        <f t="shared" si="585"/>
        <v>2.3510508309181937</v>
      </c>
      <c r="AS363" s="76">
        <f t="shared" si="585"/>
        <v>2.3655696208870762</v>
      </c>
      <c r="AT363" s="76">
        <f t="shared" si="585"/>
        <v>2.3801679136264342</v>
      </c>
      <c r="AU363" s="76">
        <f t="shared" si="585"/>
        <v>2.3948483116019039</v>
      </c>
      <c r="AV363" s="76">
        <f t="shared" si="585"/>
        <v>2.4096088473003165</v>
      </c>
      <c r="AW363" s="76">
        <f t="shared" si="585"/>
        <v>2.4244475734533388</v>
      </c>
      <c r="AX363" s="76">
        <f t="shared" si="585"/>
        <v>2.4393670478675316</v>
      </c>
      <c r="AY363" s="76">
        <f t="shared" si="585"/>
        <v>2.4543675809846723</v>
      </c>
      <c r="AZ363" s="76">
        <f t="shared" si="585"/>
        <v>2.4694494828437934</v>
      </c>
      <c r="BA363" s="795">
        <f t="shared" si="585"/>
        <v>2.4846153883093498</v>
      </c>
    </row>
    <row r="364" spans="19:54" ht="20.100000000000001" customHeight="1">
      <c r="S364" s="840"/>
      <c r="T364" s="788" t="s">
        <v>175</v>
      </c>
      <c r="U364" s="115"/>
      <c r="V364" s="115"/>
      <c r="W364" s="115"/>
      <c r="X364" s="76"/>
      <c r="Y364" s="76">
        <f t="shared" ref="Y364:BA364" si="586">IF(AND(Y356&gt;($F$177+2020),Y356&lt;($G$177+2022)),($G$172-INDEX($Y$363:$BA$363,1,($F$177-1)))/($G$177-$F$177+1),0)</f>
        <v>0</v>
      </c>
      <c r="Z364" s="76">
        <f t="shared" si="586"/>
        <v>0</v>
      </c>
      <c r="AA364" s="76">
        <f t="shared" si="586"/>
        <v>0</v>
      </c>
      <c r="AB364" s="76">
        <f t="shared" si="586"/>
        <v>0.24974931159717687</v>
      </c>
      <c r="AC364" s="76">
        <f t="shared" si="586"/>
        <v>0.24974931159717687</v>
      </c>
      <c r="AD364" s="76">
        <f t="shared" si="586"/>
        <v>0.24974931159717687</v>
      </c>
      <c r="AE364" s="76">
        <f t="shared" si="586"/>
        <v>0.24974931159717687</v>
      </c>
      <c r="AF364" s="76">
        <f t="shared" si="586"/>
        <v>0.24974931159717687</v>
      </c>
      <c r="AG364" s="76">
        <f t="shared" si="586"/>
        <v>0.24974931159717687</v>
      </c>
      <c r="AH364" s="76">
        <f t="shared" si="586"/>
        <v>0</v>
      </c>
      <c r="AI364" s="76">
        <f t="shared" si="586"/>
        <v>0</v>
      </c>
      <c r="AJ364" s="76">
        <f t="shared" si="586"/>
        <v>0</v>
      </c>
      <c r="AK364" s="76">
        <f t="shared" si="586"/>
        <v>0</v>
      </c>
      <c r="AL364" s="76">
        <f t="shared" si="586"/>
        <v>0</v>
      </c>
      <c r="AM364" s="76">
        <f t="shared" si="586"/>
        <v>0</v>
      </c>
      <c r="AN364" s="76">
        <f t="shared" si="586"/>
        <v>0</v>
      </c>
      <c r="AO364" s="76">
        <f t="shared" si="586"/>
        <v>0</v>
      </c>
      <c r="AP364" s="76">
        <f t="shared" si="586"/>
        <v>0</v>
      </c>
      <c r="AQ364" s="76">
        <f t="shared" si="586"/>
        <v>0</v>
      </c>
      <c r="AR364" s="76">
        <f t="shared" si="586"/>
        <v>0</v>
      </c>
      <c r="AS364" s="76">
        <f t="shared" si="586"/>
        <v>0</v>
      </c>
      <c r="AT364" s="76">
        <f t="shared" si="586"/>
        <v>0</v>
      </c>
      <c r="AU364" s="76">
        <f t="shared" si="586"/>
        <v>0</v>
      </c>
      <c r="AV364" s="76">
        <f t="shared" si="586"/>
        <v>0</v>
      </c>
      <c r="AW364" s="76">
        <f t="shared" si="586"/>
        <v>0</v>
      </c>
      <c r="AX364" s="76">
        <f t="shared" si="586"/>
        <v>0</v>
      </c>
      <c r="AY364" s="76">
        <f t="shared" si="586"/>
        <v>0</v>
      </c>
      <c r="AZ364" s="76">
        <f t="shared" si="586"/>
        <v>0</v>
      </c>
      <c r="BA364" s="76">
        <f t="shared" si="586"/>
        <v>0</v>
      </c>
    </row>
    <row r="365" spans="19:54" ht="20.100000000000001" customHeight="1">
      <c r="S365" s="840"/>
      <c r="T365" s="788" t="s">
        <v>180</v>
      </c>
      <c r="U365" s="115"/>
      <c r="V365" s="115"/>
      <c r="W365" s="115"/>
      <c r="X365" s="76"/>
      <c r="Y365" s="1272">
        <f>IF(AND(Y356&gt;($F$177+2020),Y356&lt;($G$177+2022)),Y363+Y364,Y363)</f>
        <v>0</v>
      </c>
      <c r="Z365" s="1272">
        <f>IF(AND(Z356&gt;($F$177+2020),Z356&lt;($G$177+2022)),Y365+Z364,Y365*IF(Y363=0,1,(Z363/Y363)))</f>
        <v>0</v>
      </c>
      <c r="AA365" s="1272">
        <f t="shared" ref="AA365:AC365" si="587">IF(AND(AA356&gt;($F$177+2020),AA356&lt;($G$177+2022)),Z365+AA364,Z365*IF(Z363=0,1,(AA363/Z363)))</f>
        <v>0</v>
      </c>
      <c r="AB365" s="1272">
        <f t="shared" si="587"/>
        <v>0.24974931159717687</v>
      </c>
      <c r="AC365" s="1272">
        <f t="shared" si="587"/>
        <v>0.49949862319435373</v>
      </c>
      <c r="AD365" s="1272">
        <f t="shared" ref="AD365" si="588">IF(AND(AD356&gt;($F$177+2020),AD356&lt;($G$177+2022)),AC365+AD364,AC365*IF(AC363=0,1,(AD363/AC363)))</f>
        <v>0.74924793479153062</v>
      </c>
      <c r="AE365" s="1272">
        <f t="shared" ref="AE365:AF365" si="589">IF(AND(AE356&gt;($F$177+2020),AE356&lt;($G$177+2022)),AD365+AE364,AD365*IF(AD363=0,1,(AE363/AD363)))</f>
        <v>0.99899724638870746</v>
      </c>
      <c r="AF365" s="1272">
        <f t="shared" si="589"/>
        <v>1.2487465579858843</v>
      </c>
      <c r="AG365" s="1272">
        <f t="shared" ref="AG365" si="590">IF(AND(AG356&gt;($F$177+2020),AG356&lt;($G$177+2022)),AF365+AG364,AF365*IF(AF363=0,1,(AG363/AF363)))</f>
        <v>1.4984958695830612</v>
      </c>
      <c r="AH365" s="1272">
        <f t="shared" ref="AH365:AI365" si="591">IF(AND(AH356&gt;($F$177+2020),AH356&lt;($G$177+2022)),AG365+AH364,AG365*IF(AG363=0,1,(AH363/AG363)))</f>
        <v>1.3486423913418459</v>
      </c>
      <c r="AI365" s="1272">
        <f t="shared" si="591"/>
        <v>1.2543321009995629</v>
      </c>
      <c r="AJ365" s="1272">
        <f t="shared" ref="AJ365" si="592">IF(AND(AJ356&gt;($F$177+2020),AJ356&lt;($G$177+2022)),AI365+AJ364,AI365*IF(AI363=0,1,(AJ363/AI363)))</f>
        <v>1.190277246643654</v>
      </c>
      <c r="AK365" s="1272">
        <f t="shared" ref="AK365:AL365" si="593">IF(AND(AK356&gt;($F$177+2020),AK356&lt;($G$177+2022)),AJ365+AK364,AJ365*IF(AJ363=0,1,(AK363/AJ363)))</f>
        <v>1.1445250949431933</v>
      </c>
      <c r="AL365" s="1272">
        <f t="shared" si="593"/>
        <v>1.110690774025604</v>
      </c>
      <c r="AM365" s="1272">
        <f t="shared" ref="AM365" si="594">IF(AND(AM356&gt;($F$177+2020),AM356&lt;($G$177+2022)),AL365+AM364,AL365*IF(AL363=0,1,(AM363/AL363)))</f>
        <v>1.1175778653662967</v>
      </c>
      <c r="AN365" s="1272">
        <f t="shared" ref="AN365:AO365" si="595">IF(AND(AN356&gt;($F$177+2020),AN356&lt;($G$177+2022)),AM365+AN364,AM365*IF(AM363=0,1,(AN363/AM363)))</f>
        <v>1.1245030126384785</v>
      </c>
      <c r="AO365" s="1272">
        <f t="shared" si="595"/>
        <v>1.1314663693886853</v>
      </c>
      <c r="AP365" s="1272">
        <f t="shared" ref="AP365" si="596">IF(AND(AP356&gt;($F$177+2020),AP356&lt;($G$177+2022)),AO365+AP364,AO365*IF(AO363=0,1,(AP363/AO363)))</f>
        <v>1.1384691976804464</v>
      </c>
      <c r="AQ365" s="1272">
        <f t="shared" ref="AQ365:AR365" si="597">IF(AND(AQ356&gt;($F$177+2020),AQ356&lt;($G$177+2022)),AP365+AQ364,AP365*IF(AP363=0,1,(AQ363/AP363)))</f>
        <v>1.1455105480520329</v>
      </c>
      <c r="AR365" s="1272">
        <f t="shared" si="597"/>
        <v>1.15258948060543</v>
      </c>
      <c r="AS365" s="1272">
        <f>IF(AND(AS356&gt;($F$177+2020),AS356&lt;($G$177+2022)),AR365+AS364,AR365*IF(AR363=0,1,(AS363/AR363)))</f>
        <v>1.1597072359381457</v>
      </c>
      <c r="AT365" s="1272">
        <f t="shared" ref="AT365" si="598">IF(AND(AT356&gt;($F$177+2020),AT356&lt;($G$177+2022)),AS365+AT364,AS365*IF(AS363=0,1,(AT363/AS363)))</f>
        <v>1.1668639670580812</v>
      </c>
      <c r="AU365" s="1272">
        <f t="shared" ref="AU365" si="599">IF(AND(AU356&gt;($F$177+2020),AU356&lt;($G$177+2022)),AT365+AU364,AT365*IF(AT363=0,1,(AU363/AT363)))</f>
        <v>1.1740609498094152</v>
      </c>
      <c r="AV365" s="1272">
        <f t="shared" ref="AV365" si="600">IF(AND(AV356&gt;($F$177+2020),AV356&lt;($G$177+2022)),AU365+AV364,AU365*IF(AU363=0,1,(AV363/AU363)))</f>
        <v>1.1812972196298541</v>
      </c>
      <c r="AW365" s="1272">
        <f t="shared" ref="AW365" si="601">IF(AND(AW356&gt;($F$177+2020),AW356&lt;($G$177+2022)),AV365+AW364,AV365*IF(AV363=0,1,(AW363/AV363)))</f>
        <v>1.1885718218820218</v>
      </c>
      <c r="AX365" s="1272">
        <f t="shared" ref="AX365" si="602">IF(AND(AX356&gt;($F$177+2020),AX356&lt;($G$177+2022)),AW365+AX364,AW365*IF(AW363=0,1,(AX363/AW363)))</f>
        <v>1.1958860105162354</v>
      </c>
      <c r="AY365" s="1272">
        <f t="shared" ref="AY365" si="603">IF(AND(AY356&gt;($F$177+2020),AY356&lt;($G$177+2022)),AX365+AY364,AX365*IF(AX363=0,1,(AY363/AX363)))</f>
        <v>1.2032399377248348</v>
      </c>
      <c r="AZ365" s="1272">
        <f t="shared" ref="AZ365" si="604">IF(AND(AZ356&gt;($F$177+2020),AZ356&lt;($G$177+2022)),AY365+AZ364,AY365*IF(AY363=0,1,(AZ363/AY363)))</f>
        <v>1.2106337555027167</v>
      </c>
      <c r="BA365" s="1272">
        <f t="shared" ref="BA365" si="605">IF(AND(BA356&gt;($F$177+2020),BA356&lt;($G$177+2022)),AZ365+BA364,AZ365*IF(AZ363=0,1,(BA363/AZ363)))</f>
        <v>1.2180687555773981</v>
      </c>
    </row>
    <row r="366" spans="19:54" ht="20.100000000000001" customHeight="1">
      <c r="S366" s="840" t="str">
        <f>S351</f>
        <v>PASSENGER TRAIN</v>
      </c>
      <c r="T366" s="788" t="s">
        <v>179</v>
      </c>
      <c r="U366" s="115"/>
      <c r="V366" s="115"/>
      <c r="W366" s="115"/>
      <c r="X366" s="76"/>
      <c r="Y366" s="76">
        <f t="shared" ref="Y366:BA366" si="606">Y351</f>
        <v>0</v>
      </c>
      <c r="Z366" s="76">
        <f t="shared" si="606"/>
        <v>16.339638966088319</v>
      </c>
      <c r="AA366" s="76">
        <f t="shared" si="606"/>
        <v>16.435534179205206</v>
      </c>
      <c r="AB366" s="76">
        <f t="shared" si="606"/>
        <v>16.531848414183262</v>
      </c>
      <c r="AC366" s="76">
        <f t="shared" si="606"/>
        <v>16.62858183869178</v>
      </c>
      <c r="AD366" s="76">
        <f t="shared" si="606"/>
        <v>16.725734599576072</v>
      </c>
      <c r="AE366" s="76">
        <f t="shared" si="606"/>
        <v>16.823306822665252</v>
      </c>
      <c r="AF366" s="76">
        <f t="shared" si="606"/>
        <v>16.921298612580973</v>
      </c>
      <c r="AG366" s="76">
        <f t="shared" si="606"/>
        <v>13.018905809663103</v>
      </c>
      <c r="AH366" s="76">
        <f t="shared" si="606"/>
        <v>10.821335445411199</v>
      </c>
      <c r="AI366" s="76">
        <f t="shared" si="606"/>
        <v>9.4172941830965691</v>
      </c>
      <c r="AJ366" s="76">
        <f t="shared" si="606"/>
        <v>8.4453410453174858</v>
      </c>
      <c r="AK366" s="76">
        <f t="shared" si="606"/>
        <v>7.7346330681007576</v>
      </c>
      <c r="AL366" s="76">
        <f t="shared" si="606"/>
        <v>7.1939088661492097</v>
      </c>
      <c r="AM366" s="76">
        <f t="shared" si="606"/>
        <v>7.2385096481413793</v>
      </c>
      <c r="AN366" s="76">
        <f t="shared" si="606"/>
        <v>7.2833566940267769</v>
      </c>
      <c r="AO366" s="76">
        <f t="shared" si="606"/>
        <v>7.328450995974765</v>
      </c>
      <c r="AP366" s="76">
        <f t="shared" si="606"/>
        <v>7.3738095562214685</v>
      </c>
      <c r="AQ366" s="76">
        <f t="shared" si="606"/>
        <v>7.4194174662327823</v>
      </c>
      <c r="AR366" s="76">
        <f t="shared" si="606"/>
        <v>7.4652599019206924</v>
      </c>
      <c r="AS366" s="76">
        <f t="shared" si="606"/>
        <v>7.5113535580474551</v>
      </c>
      <c r="AT366" s="76">
        <f t="shared" si="606"/>
        <v>7.5576994232350296</v>
      </c>
      <c r="AU366" s="76">
        <f t="shared" si="606"/>
        <v>7.60431477444346</v>
      </c>
      <c r="AV366" s="76">
        <f t="shared" si="606"/>
        <v>7.6511844209146096</v>
      </c>
      <c r="AW366" s="76">
        <f t="shared" si="606"/>
        <v>7.6982932597965723</v>
      </c>
      <c r="AX366" s="76">
        <f t="shared" si="606"/>
        <v>7.7456582543663099</v>
      </c>
      <c r="AY366" s="76">
        <f t="shared" si="606"/>
        <v>7.7932803879049937</v>
      </c>
      <c r="AZ366" s="76">
        <f t="shared" si="606"/>
        <v>7.8411606424027047</v>
      </c>
      <c r="BA366" s="795">
        <f t="shared" si="606"/>
        <v>7.889316624064417</v>
      </c>
    </row>
    <row r="367" spans="19:54" ht="20.100000000000001" customHeight="1">
      <c r="S367" s="840"/>
      <c r="T367" s="788" t="s">
        <v>175</v>
      </c>
      <c r="U367" s="115"/>
      <c r="V367" s="115"/>
      <c r="W367" s="115"/>
      <c r="X367" s="76"/>
      <c r="Y367" s="76">
        <f t="shared" ref="Y367:BA367" si="607">IF(AND(Y356&gt;($F$177+2020),Y356&lt;($G$177+2022)),($G$173-INDEX($Y$366:$BA$366,1,($F$177-1)))/($G$177-$F$177+1),0)</f>
        <v>0</v>
      </c>
      <c r="Z367" s="76">
        <f t="shared" si="607"/>
        <v>0</v>
      </c>
      <c r="AA367" s="76">
        <f t="shared" si="607"/>
        <v>0</v>
      </c>
      <c r="AB367" s="76">
        <f t="shared" si="607"/>
        <v>0.59407763679913239</v>
      </c>
      <c r="AC367" s="76">
        <f t="shared" si="607"/>
        <v>0.59407763679913239</v>
      </c>
      <c r="AD367" s="76">
        <f t="shared" si="607"/>
        <v>0.59407763679913239</v>
      </c>
      <c r="AE367" s="76">
        <f t="shared" si="607"/>
        <v>0.59407763679913239</v>
      </c>
      <c r="AF367" s="76">
        <f t="shared" si="607"/>
        <v>0.59407763679913239</v>
      </c>
      <c r="AG367" s="76">
        <f t="shared" si="607"/>
        <v>0.59407763679913239</v>
      </c>
      <c r="AH367" s="76">
        <f t="shared" si="607"/>
        <v>0</v>
      </c>
      <c r="AI367" s="76">
        <f t="shared" si="607"/>
        <v>0</v>
      </c>
      <c r="AJ367" s="76">
        <f t="shared" si="607"/>
        <v>0</v>
      </c>
      <c r="AK367" s="76">
        <f t="shared" si="607"/>
        <v>0</v>
      </c>
      <c r="AL367" s="76">
        <f t="shared" si="607"/>
        <v>0</v>
      </c>
      <c r="AM367" s="76">
        <f t="shared" si="607"/>
        <v>0</v>
      </c>
      <c r="AN367" s="76">
        <f t="shared" si="607"/>
        <v>0</v>
      </c>
      <c r="AO367" s="76">
        <f t="shared" si="607"/>
        <v>0</v>
      </c>
      <c r="AP367" s="76">
        <f t="shared" si="607"/>
        <v>0</v>
      </c>
      <c r="AQ367" s="76">
        <f t="shared" si="607"/>
        <v>0</v>
      </c>
      <c r="AR367" s="76">
        <f t="shared" si="607"/>
        <v>0</v>
      </c>
      <c r="AS367" s="76">
        <f t="shared" si="607"/>
        <v>0</v>
      </c>
      <c r="AT367" s="76">
        <f t="shared" si="607"/>
        <v>0</v>
      </c>
      <c r="AU367" s="76">
        <f t="shared" si="607"/>
        <v>0</v>
      </c>
      <c r="AV367" s="76">
        <f t="shared" si="607"/>
        <v>0</v>
      </c>
      <c r="AW367" s="76">
        <f t="shared" si="607"/>
        <v>0</v>
      </c>
      <c r="AX367" s="76">
        <f t="shared" si="607"/>
        <v>0</v>
      </c>
      <c r="AY367" s="76">
        <f t="shared" si="607"/>
        <v>0</v>
      </c>
      <c r="AZ367" s="76">
        <f t="shared" si="607"/>
        <v>0</v>
      </c>
      <c r="BA367" s="76">
        <f t="shared" si="607"/>
        <v>0</v>
      </c>
    </row>
    <row r="368" spans="19:54" ht="20.100000000000001" customHeight="1">
      <c r="S368" s="840"/>
      <c r="T368" s="788" t="s">
        <v>180</v>
      </c>
      <c r="U368" s="115"/>
      <c r="V368" s="115"/>
      <c r="W368" s="115"/>
      <c r="X368" s="76"/>
      <c r="Y368" s="1272">
        <f t="shared" ref="Y368" si="608">IF(AND(Y356&gt;($F$177+2020),Y356&lt;($G$177+2022)),Y366+Y367,Y366)</f>
        <v>0</v>
      </c>
      <c r="Z368" s="1272">
        <f>IF(AND(Z356&gt;($F$177+2020),Z356&lt;($G$177+2022)),Y368+Z367,Y368*IF(Y366=0,1,(Z366/Y366)))</f>
        <v>0</v>
      </c>
      <c r="AA368" s="1272">
        <f t="shared" ref="AA368:AE368" si="609">IF(AND(AA356&gt;($F$177+2020),AA356&lt;($G$177+2022)),Z368+AA367,Z368*IF(Z366=0,1,(AA366/Z366)))</f>
        <v>0</v>
      </c>
      <c r="AB368" s="1272">
        <f t="shared" si="609"/>
        <v>0.59407763679913239</v>
      </c>
      <c r="AC368" s="1272">
        <f t="shared" si="609"/>
        <v>1.1881552735982648</v>
      </c>
      <c r="AD368" s="1272">
        <f t="shared" si="609"/>
        <v>1.7822329103973971</v>
      </c>
      <c r="AE368" s="1272">
        <f t="shared" si="609"/>
        <v>2.3763105471965296</v>
      </c>
      <c r="AF368" s="1272">
        <f t="shared" ref="AF368" si="610">IF(AND(AF356&gt;($F$177+2020),AF356&lt;($G$177+2022)),AE368+AF367,AE368*IF(AE366=0,1,(AF366/AE366)))</f>
        <v>2.9703881839956621</v>
      </c>
      <c r="AG368" s="1272">
        <f t="shared" ref="AG368" si="611">IF(AND(AG356&gt;($F$177+2020),AG356&lt;($G$177+2022)),AF368+AG367,AF368*IF(AF366=0,1,(AG366/AF366)))</f>
        <v>3.5644658207947946</v>
      </c>
      <c r="AH368" s="1272">
        <f t="shared" ref="AH368" si="612">IF(AND(AH356&gt;($F$177+2020),AH356&lt;($G$177+2022)),AG368+AH367,AG368*IF(AG366=0,1,(AH366/AG366)))</f>
        <v>2.9627897224583721</v>
      </c>
      <c r="AI368" s="1272">
        <f t="shared" ref="AI368:AJ368" si="613">IF(AND(AI356&gt;($F$177+2020),AI356&lt;($G$177+2022)),AH368+AI367,AH368*IF(AH366=0,1,(AI366/AH366)))</f>
        <v>2.5783751515509277</v>
      </c>
      <c r="AJ368" s="1272">
        <f t="shared" si="613"/>
        <v>2.3122626387423377</v>
      </c>
      <c r="AK368" s="1272">
        <f t="shared" ref="AK368" si="614">IF(AND(AK356&gt;($F$177+2020),AK356&lt;($G$177+2022)),AJ368+AK367,AJ368*IF(AJ366=0,1,(AK366/AJ366)))</f>
        <v>2.1176768317327404</v>
      </c>
      <c r="AL368" s="1272">
        <f t="shared" ref="AL368" si="615">IF(AND(AL356&gt;($F$177+2020),AL356&lt;($G$177+2022)),AK368+AL367,AK368*IF(AK366=0,1,(AL366/AK366)))</f>
        <v>1.9696311384531828</v>
      </c>
      <c r="AM368" s="1272">
        <f t="shared" ref="AM368" si="616">IF(AND(AM356&gt;($F$177+2020),AM356&lt;($G$177+2022)),AL368+AM367,AL368*IF(AL366=0,1,(AM366/AL366)))</f>
        <v>1.9818424536985708</v>
      </c>
      <c r="AN368" s="1272">
        <f t="shared" ref="AN368:AO368" si="617">IF(AND(AN356&gt;($F$177+2020),AN356&lt;($G$177+2022)),AM368+AN367,AM368*IF(AM366=0,1,(AN366/AM366)))</f>
        <v>1.9941211939060208</v>
      </c>
      <c r="AO368" s="1272">
        <f t="shared" si="617"/>
        <v>2.0064676307230767</v>
      </c>
      <c r="AP368" s="1272">
        <f t="shared" ref="AP368" si="618">IF(AND(AP356&gt;($F$177+2020),AP356&lt;($G$177+2022)),AO368+AP367,AO368*IF(AO366=0,1,(AP366/AO366)))</f>
        <v>2.0188864192175622</v>
      </c>
      <c r="AQ368" s="1272">
        <f t="shared" ref="AQ368" si="619">IF(AND(AQ356&gt;($F$177+2020),AQ356&lt;($G$177+2022)),AP368+AQ367,AP368*IF(AP366=0,1,(AQ366/AP366)))</f>
        <v>2.0313734775594816</v>
      </c>
      <c r="AR368" s="1272">
        <f t="shared" ref="AR368" si="620">IF(AND(AR356&gt;($F$177+2020),AR356&lt;($G$177+2022)),AQ368+AR367,AQ368*IF(AQ366=0,1,(AR366/AQ366)))</f>
        <v>2.0439247470394601</v>
      </c>
      <c r="AS368" s="1272">
        <f t="shared" ref="AS368:AT368" si="621">IF(AND(AS356&gt;($F$177+2020),AS356&lt;($G$177+2022)),AR368+AS367,AR368*IF(AR366=0,1,(AS366/AR366)))</f>
        <v>2.056544798541589</v>
      </c>
      <c r="AT368" s="1272">
        <f t="shared" si="621"/>
        <v>2.0692339027421629</v>
      </c>
      <c r="AU368" s="1272">
        <f t="shared" ref="AU368" si="622">IF(AND(AU356&gt;($F$177+2020),AU356&lt;($G$177+2022)),AT368+AU367,AT368*IF(AT366=0,1,(AU366/AT366)))</f>
        <v>2.0819967899260816</v>
      </c>
      <c r="AV368" s="1272">
        <f t="shared" ref="AV368" si="623">IF(AND(AV356&gt;($F$177+2020),AV356&lt;($G$177+2022)),AU368+AV367,AU368*IF(AU366=0,1,(AV366/AU366)))</f>
        <v>2.0948293009928065</v>
      </c>
      <c r="AW368" s="1272">
        <f t="shared" ref="AW368" si="624">IF(AND(AW356&gt;($F$177+2020),AW356&lt;($G$177+2022)),AV368+AW367,AV368*IF(AV366=0,1,(AW366/AV366)))</f>
        <v>2.1077273009097772</v>
      </c>
      <c r="AX368" s="1272">
        <f t="shared" ref="AX368:AY368" si="625">IF(AND(AX356&gt;($F$177+2020),AX356&lt;($G$177+2022)),AW368+AX367,AW368*IF(AW366=0,1,(AX366/AW366)))</f>
        <v>2.1206954340781308</v>
      </c>
      <c r="AY368" s="1272">
        <f t="shared" si="625"/>
        <v>2.1337339697118991</v>
      </c>
      <c r="AZ368" s="1272">
        <f t="shared" ref="AZ368" si="626">IF(AND(AZ356&gt;($F$177+2020),AZ356&lt;($G$177+2022)),AY368+AZ367,AY368*IF(AY366=0,1,(AZ366/AY366)))</f>
        <v>2.1468431766716249</v>
      </c>
      <c r="BA368" s="1272">
        <f t="shared" ref="BA368" si="627">IF(AND(BA356&gt;($F$177+2020),BA356&lt;($G$177+2022)),AZ368+BA367,AZ368*IF(AZ366=0,1,(BA366/AZ366)))</f>
        <v>2.1600278753866728</v>
      </c>
    </row>
    <row r="369" spans="19:53" ht="20.100000000000001" customHeight="1" thickBot="1">
      <c r="S369" s="841" t="str">
        <f>S352</f>
        <v>PASSENGER CAR</v>
      </c>
      <c r="T369" s="832" t="s">
        <v>184</v>
      </c>
      <c r="U369" s="796"/>
      <c r="V369" s="796"/>
      <c r="W369" s="796"/>
      <c r="X369" s="779"/>
      <c r="Y369" s="1104">
        <f>100-(Y359+Y362+Y365+Y368)</f>
        <v>100</v>
      </c>
      <c r="Z369" s="1104">
        <f t="shared" ref="Z369:BA369" si="628">100-(Z359+Z362+Z365+Z368)</f>
        <v>100</v>
      </c>
      <c r="AA369" s="1104">
        <f t="shared" si="628"/>
        <v>100</v>
      </c>
      <c r="AB369" s="1104">
        <f t="shared" si="628"/>
        <v>98.083831155913103</v>
      </c>
      <c r="AC369" s="1104">
        <f t="shared" si="628"/>
        <v>96.16766231182622</v>
      </c>
      <c r="AD369" s="1104">
        <f t="shared" si="628"/>
        <v>94.251493467739323</v>
      </c>
      <c r="AE369" s="1104">
        <f t="shared" si="628"/>
        <v>92.33532462365244</v>
      </c>
      <c r="AF369" s="1104">
        <f t="shared" si="628"/>
        <v>90.419155779565557</v>
      </c>
      <c r="AG369" s="1104">
        <f t="shared" si="628"/>
        <v>88.50298693547866</v>
      </c>
      <c r="AH369" s="1104">
        <f t="shared" si="628"/>
        <v>89.497094311804332</v>
      </c>
      <c r="AI369" s="1104">
        <f t="shared" si="628"/>
        <v>90.131460374605354</v>
      </c>
      <c r="AJ369" s="1104">
        <f t="shared" si="628"/>
        <v>90.569936696994944</v>
      </c>
      <c r="AK369" s="1104">
        <f t="shared" si="628"/>
        <v>90.88997126590705</v>
      </c>
      <c r="AL369" s="1104">
        <f t="shared" si="628"/>
        <v>91.13293534654342</v>
      </c>
      <c r="AM369" s="1104">
        <f t="shared" si="628"/>
        <v>91.113666586032949</v>
      </c>
      <c r="AN369" s="1104">
        <f t="shared" si="628"/>
        <v>91.094295575603624</v>
      </c>
      <c r="AO369" s="1104">
        <f t="shared" si="628"/>
        <v>91.07482190931961</v>
      </c>
      <c r="AP369" s="1104">
        <f t="shared" si="628"/>
        <v>91.055238062581225</v>
      </c>
      <c r="AQ369" s="1104">
        <f t="shared" si="628"/>
        <v>91.035550721034468</v>
      </c>
      <c r="AR369" s="1104">
        <f t="shared" si="628"/>
        <v>91.015766490362282</v>
      </c>
      <c r="AS369" s="1104">
        <f t="shared" si="628"/>
        <v>90.995877982768064</v>
      </c>
      <c r="AT369" s="1104">
        <f t="shared" si="628"/>
        <v>90.975884794039729</v>
      </c>
      <c r="AU369" s="1104">
        <f t="shared" si="628"/>
        <v>90.955779331398475</v>
      </c>
      <c r="AV369" s="1104">
        <f t="shared" si="628"/>
        <v>90.935568352483941</v>
      </c>
      <c r="AW369" s="1104">
        <f t="shared" si="628"/>
        <v>90.9152585340223</v>
      </c>
      <c r="AX369" s="1104">
        <f t="shared" si="628"/>
        <v>90.894842421743007</v>
      </c>
      <c r="AY369" s="1104">
        <f t="shared" si="628"/>
        <v>90.874319613905996</v>
      </c>
      <c r="AZ369" s="1104">
        <f t="shared" si="628"/>
        <v>90.853689709358406</v>
      </c>
      <c r="BA369" s="1105">
        <f t="shared" si="628"/>
        <v>90.832945034337584</v>
      </c>
    </row>
    <row r="370" spans="19:53" ht="20.100000000000001" customHeight="1">
      <c r="S370" s="842" t="s">
        <v>182</v>
      </c>
      <c r="T370" s="828"/>
      <c r="U370" s="367"/>
      <c r="V370" s="367"/>
      <c r="W370" s="367"/>
      <c r="X370" s="798">
        <f>X356</f>
        <v>2021</v>
      </c>
      <c r="Y370" s="798">
        <f>Y356</f>
        <v>2022</v>
      </c>
      <c r="Z370" s="798">
        <f t="shared" ref="Z370:BA370" si="629">Z356</f>
        <v>2023</v>
      </c>
      <c r="AA370" s="798">
        <f t="shared" si="629"/>
        <v>2024</v>
      </c>
      <c r="AB370" s="798">
        <f t="shared" si="629"/>
        <v>2025</v>
      </c>
      <c r="AC370" s="798">
        <f t="shared" si="629"/>
        <v>2026</v>
      </c>
      <c r="AD370" s="798">
        <f t="shared" si="629"/>
        <v>2027</v>
      </c>
      <c r="AE370" s="798">
        <f t="shared" si="629"/>
        <v>2028</v>
      </c>
      <c r="AF370" s="798">
        <f t="shared" si="629"/>
        <v>2029</v>
      </c>
      <c r="AG370" s="798">
        <f t="shared" si="629"/>
        <v>2030</v>
      </c>
      <c r="AH370" s="798">
        <f t="shared" si="629"/>
        <v>2031</v>
      </c>
      <c r="AI370" s="798">
        <f t="shared" si="629"/>
        <v>2032</v>
      </c>
      <c r="AJ370" s="798">
        <f t="shared" si="629"/>
        <v>2033</v>
      </c>
      <c r="AK370" s="798">
        <f t="shared" si="629"/>
        <v>2034</v>
      </c>
      <c r="AL370" s="798">
        <f t="shared" si="629"/>
        <v>2035</v>
      </c>
      <c r="AM370" s="798">
        <f t="shared" si="629"/>
        <v>2036</v>
      </c>
      <c r="AN370" s="798">
        <f t="shared" si="629"/>
        <v>2037</v>
      </c>
      <c r="AO370" s="798">
        <f t="shared" si="629"/>
        <v>2038</v>
      </c>
      <c r="AP370" s="798">
        <f t="shared" si="629"/>
        <v>2039</v>
      </c>
      <c r="AQ370" s="798">
        <f t="shared" si="629"/>
        <v>2040</v>
      </c>
      <c r="AR370" s="798">
        <f t="shared" si="629"/>
        <v>2041</v>
      </c>
      <c r="AS370" s="798">
        <f t="shared" si="629"/>
        <v>2042</v>
      </c>
      <c r="AT370" s="798">
        <f t="shared" si="629"/>
        <v>2043</v>
      </c>
      <c r="AU370" s="798">
        <f t="shared" si="629"/>
        <v>2044</v>
      </c>
      <c r="AV370" s="798">
        <f t="shared" si="629"/>
        <v>2045</v>
      </c>
      <c r="AW370" s="798">
        <f t="shared" si="629"/>
        <v>2046</v>
      </c>
      <c r="AX370" s="798">
        <f t="shared" si="629"/>
        <v>2047</v>
      </c>
      <c r="AY370" s="798">
        <f t="shared" si="629"/>
        <v>2048</v>
      </c>
      <c r="AZ370" s="798">
        <f t="shared" si="629"/>
        <v>2049</v>
      </c>
      <c r="BA370" s="799">
        <f t="shared" si="629"/>
        <v>2050</v>
      </c>
    </row>
    <row r="371" spans="19:53" ht="20.100000000000001" customHeight="1">
      <c r="S371" s="802" t="str">
        <f t="shared" ref="S371:S376" si="630">S348</f>
        <v>BUS</v>
      </c>
      <c r="T371" s="788" t="s">
        <v>183</v>
      </c>
      <c r="U371" s="115"/>
      <c r="V371" s="115"/>
      <c r="W371" s="115"/>
      <c r="X371" s="366"/>
      <c r="Y371" s="76">
        <f>(Y359/100)*Y$346</f>
        <v>0</v>
      </c>
      <c r="Z371" s="76">
        <f t="shared" ref="Z371:AN371" si="631">(Z359/100)*Z$346</f>
        <v>0</v>
      </c>
      <c r="AA371" s="76">
        <f t="shared" si="631"/>
        <v>0</v>
      </c>
      <c r="AB371" s="76">
        <f t="shared" si="631"/>
        <v>21.274715466687496</v>
      </c>
      <c r="AC371" s="76">
        <f t="shared" si="631"/>
        <v>38.879299256289535</v>
      </c>
      <c r="AD371" s="76">
        <f t="shared" si="631"/>
        <v>52.756182731000621</v>
      </c>
      <c r="AE371" s="76">
        <f t="shared" si="631"/>
        <v>62.847002559947178</v>
      </c>
      <c r="AF371" s="76">
        <f t="shared" si="631"/>
        <v>69.092589032548247</v>
      </c>
      <c r="AG371" s="76">
        <f t="shared" si="631"/>
        <v>84.73808985757357</v>
      </c>
      <c r="AH371" s="76">
        <f t="shared" si="631"/>
        <v>78.931123493450855</v>
      </c>
      <c r="AI371" s="76">
        <f t="shared" si="631"/>
        <v>74.443843197828969</v>
      </c>
      <c r="AJ371" s="76">
        <f t="shared" si="631"/>
        <v>70.879355603106035</v>
      </c>
      <c r="AK371" s="76">
        <f t="shared" si="631"/>
        <v>67.98545369276097</v>
      </c>
      <c r="AL371" s="76">
        <f t="shared" si="631"/>
        <v>65.594121740038489</v>
      </c>
      <c r="AM371" s="76">
        <f t="shared" si="631"/>
        <v>65.790848647454865</v>
      </c>
      <c r="AN371" s="76">
        <f t="shared" si="631"/>
        <v>65.988164410203851</v>
      </c>
      <c r="AO371" s="76">
        <f>(AO359/100)*AO$346</f>
        <v>66.186070795183142</v>
      </c>
      <c r="AP371" s="76">
        <f t="shared" ref="AP371:BA371" si="632">(AP359/100)*AP$346</f>
        <v>66.384642081305515</v>
      </c>
      <c r="AQ371" s="76">
        <f t="shared" si="632"/>
        <v>66.58380768391487</v>
      </c>
      <c r="AR371" s="76">
        <f t="shared" si="632"/>
        <v>66.783498119778301</v>
      </c>
      <c r="AS371" s="76">
        <f t="shared" si="632"/>
        <v>66.983786300875394</v>
      </c>
      <c r="AT371" s="76">
        <f t="shared" si="632"/>
        <v>67.18467402079564</v>
      </c>
      <c r="AU371" s="76">
        <f t="shared" si="632"/>
        <v>67.386235947805247</v>
      </c>
      <c r="AV371" s="76">
        <f t="shared" si="632"/>
        <v>67.588401162276739</v>
      </c>
      <c r="AW371" s="76">
        <f t="shared" si="632"/>
        <v>67.791099850644343</v>
      </c>
      <c r="AX371" s="76">
        <f t="shared" si="632"/>
        <v>67.994405308376855</v>
      </c>
      <c r="AY371" s="76">
        <f t="shared" si="632"/>
        <v>68.198319356156119</v>
      </c>
      <c r="AZ371" s="76">
        <f t="shared" si="632"/>
        <v>68.402843820134279</v>
      </c>
      <c r="BA371" s="76">
        <f t="shared" si="632"/>
        <v>68.608053838604604</v>
      </c>
    </row>
    <row r="372" spans="19:53" ht="20.100000000000001" customHeight="1">
      <c r="S372" s="802" t="str">
        <f t="shared" si="630"/>
        <v>METRO</v>
      </c>
      <c r="T372" s="788" t="s">
        <v>183</v>
      </c>
      <c r="U372" s="115"/>
      <c r="V372" s="115"/>
      <c r="W372" s="115"/>
      <c r="X372" s="366"/>
      <c r="Y372" s="76">
        <f>(Y362/100)*Y$346</f>
        <v>0</v>
      </c>
      <c r="Z372" s="76">
        <f t="shared" ref="Z372:AN372" si="633">(Z362/100)*Z$346</f>
        <v>0</v>
      </c>
      <c r="AA372" s="76">
        <f t="shared" si="633"/>
        <v>0</v>
      </c>
      <c r="AB372" s="76">
        <f t="shared" si="633"/>
        <v>74.176964125131903</v>
      </c>
      <c r="AC372" s="76">
        <f t="shared" si="633"/>
        <v>135.55755378537577</v>
      </c>
      <c r="AD372" s="76">
        <f t="shared" si="633"/>
        <v>183.94104870374758</v>
      </c>
      <c r="AE372" s="76">
        <f t="shared" si="633"/>
        <v>219.12395780619687</v>
      </c>
      <c r="AF372" s="76">
        <f t="shared" si="633"/>
        <v>240.89997847467319</v>
      </c>
      <c r="AG372" s="76">
        <f t="shared" si="633"/>
        <v>295.44997963613741</v>
      </c>
      <c r="AH372" s="76">
        <f t="shared" si="633"/>
        <v>331.23321066310683</v>
      </c>
      <c r="AI372" s="76">
        <f t="shared" si="633"/>
        <v>359.34310004920434</v>
      </c>
      <c r="AJ372" s="76">
        <f t="shared" si="633"/>
        <v>382.08930500672705</v>
      </c>
      <c r="AK372" s="76">
        <f t="shared" si="633"/>
        <v>400.93951440321098</v>
      </c>
      <c r="AL372" s="76">
        <f t="shared" si="633"/>
        <v>416.87147731744699</v>
      </c>
      <c r="AM372" s="76">
        <f t="shared" si="633"/>
        <v>418.03122272118992</v>
      </c>
      <c r="AN372" s="76">
        <f t="shared" si="633"/>
        <v>419.19592764191702</v>
      </c>
      <c r="AO372" s="76">
        <f>(AO362/100)*AO$346</f>
        <v>420.36562476688107</v>
      </c>
      <c r="AP372" s="76">
        <f t="shared" ref="AP372:BA372" si="634">(AP362/100)*AP$346</f>
        <v>421.5399365692204</v>
      </c>
      <c r="AQ372" s="76">
        <f t="shared" si="634"/>
        <v>422.71930738661126</v>
      </c>
      <c r="AR372" s="76">
        <f t="shared" si="634"/>
        <v>423.90417275824689</v>
      </c>
      <c r="AS372" s="76">
        <f t="shared" si="634"/>
        <v>425.09416380407004</v>
      </c>
      <c r="AT372" s="76">
        <f t="shared" si="634"/>
        <v>426.28931457385892</v>
      </c>
      <c r="AU372" s="76">
        <f t="shared" si="634"/>
        <v>427.4892505078713</v>
      </c>
      <c r="AV372" s="76">
        <f t="shared" si="634"/>
        <v>428.69441575645737</v>
      </c>
      <c r="AW372" s="76">
        <f t="shared" si="634"/>
        <v>429.90524568173953</v>
      </c>
      <c r="AX372" s="76">
        <f t="shared" si="634"/>
        <v>431.12137437237237</v>
      </c>
      <c r="AY372" s="76">
        <f t="shared" si="634"/>
        <v>432.34283730152947</v>
      </c>
      <c r="AZ372" s="76">
        <f t="shared" si="634"/>
        <v>433.5696702345644</v>
      </c>
      <c r="BA372" s="76">
        <f t="shared" si="634"/>
        <v>434.80150231784313</v>
      </c>
    </row>
    <row r="373" spans="19:53" ht="20.100000000000001" customHeight="1">
      <c r="S373" s="802" t="str">
        <f t="shared" si="630"/>
        <v>TRAM</v>
      </c>
      <c r="T373" s="788" t="s">
        <v>183</v>
      </c>
      <c r="U373" s="115"/>
      <c r="V373" s="115"/>
      <c r="W373" s="115"/>
      <c r="X373" s="366"/>
      <c r="Y373" s="76">
        <f>(Y365/100)*Y$346</f>
        <v>0</v>
      </c>
      <c r="Z373" s="76">
        <f t="shared" ref="Z373:AN373" si="635">(Z365/100)*Z$346</f>
        <v>0</v>
      </c>
      <c r="AA373" s="76">
        <f t="shared" si="635"/>
        <v>0</v>
      </c>
      <c r="AB373" s="76">
        <f t="shared" si="635"/>
        <v>22.230774871944213</v>
      </c>
      <c r="AC373" s="76">
        <f t="shared" si="635"/>
        <v>40.626486887633853</v>
      </c>
      <c r="AD373" s="76">
        <f t="shared" si="635"/>
        <v>55.126980345868489</v>
      </c>
      <c r="AE373" s="76">
        <f t="shared" si="635"/>
        <v>65.671269139855795</v>
      </c>
      <c r="AF373" s="76">
        <f t="shared" si="635"/>
        <v>72.197524545389214</v>
      </c>
      <c r="AG373" s="76">
        <f t="shared" si="635"/>
        <v>88.546114830630302</v>
      </c>
      <c r="AH373" s="76">
        <f t="shared" si="635"/>
        <v>89.343029864105958</v>
      </c>
      <c r="AI373" s="76">
        <f t="shared" si="635"/>
        <v>90.147117132882912</v>
      </c>
      <c r="AJ373" s="76">
        <f t="shared" si="635"/>
        <v>90.958441187078876</v>
      </c>
      <c r="AK373" s="76">
        <f t="shared" si="635"/>
        <v>91.777067157762573</v>
      </c>
      <c r="AL373" s="76">
        <f t="shared" si="635"/>
        <v>92.603060762182437</v>
      </c>
      <c r="AM373" s="76">
        <f t="shared" si="635"/>
        <v>93.436488309042062</v>
      </c>
      <c r="AN373" s="76">
        <f t="shared" si="635"/>
        <v>94.277416703823476</v>
      </c>
      <c r="AO373" s="76">
        <f>(AO365/100)*AO$346</f>
        <v>95.125913454157867</v>
      </c>
      <c r="AP373" s="76">
        <f t="shared" ref="AP373:BA373" si="636">(AP365/100)*AP$346</f>
        <v>95.982046675245329</v>
      </c>
      <c r="AQ373" s="76">
        <f t="shared" si="636"/>
        <v>96.845885095322558</v>
      </c>
      <c r="AR373" s="76">
        <f t="shared" si="636"/>
        <v>97.717498061180436</v>
      </c>
      <c r="AS373" s="76">
        <f t="shared" si="636"/>
        <v>98.59695554373107</v>
      </c>
      <c r="AT373" s="76">
        <f t="shared" si="636"/>
        <v>99.484328143624651</v>
      </c>
      <c r="AU373" s="76">
        <f t="shared" si="636"/>
        <v>100.37968709691728</v>
      </c>
      <c r="AV373" s="76">
        <f t="shared" si="636"/>
        <v>101.28310428078956</v>
      </c>
      <c r="AW373" s="76">
        <f t="shared" si="636"/>
        <v>102.19465221931667</v>
      </c>
      <c r="AX373" s="76">
        <f t="shared" si="636"/>
        <v>103.11440408929055</v>
      </c>
      <c r="AY373" s="76">
        <f t="shared" si="636"/>
        <v>104.04243372609415</v>
      </c>
      <c r="AZ373" s="76">
        <f t="shared" si="636"/>
        <v>104.97881562962901</v>
      </c>
      <c r="BA373" s="76">
        <f t="shared" si="636"/>
        <v>105.92362497029566</v>
      </c>
    </row>
    <row r="374" spans="19:53" ht="20.100000000000001" customHeight="1">
      <c r="S374" s="802" t="str">
        <f t="shared" si="630"/>
        <v>PASSENGER TRAIN</v>
      </c>
      <c r="T374" s="788" t="s">
        <v>183</v>
      </c>
      <c r="U374" s="115"/>
      <c r="V374" s="115"/>
      <c r="W374" s="115"/>
      <c r="X374" s="366"/>
      <c r="Y374" s="76">
        <f>(Y368/100)*Y$346</f>
        <v>0</v>
      </c>
      <c r="Z374" s="76">
        <f t="shared" ref="Z374:AN374" si="637">(Z368/100)*Z$346</f>
        <v>0</v>
      </c>
      <c r="AA374" s="76">
        <f t="shared" si="637"/>
        <v>0</v>
      </c>
      <c r="AB374" s="76">
        <f t="shared" si="637"/>
        <v>52.880250662870864</v>
      </c>
      <c r="AC374" s="76">
        <f t="shared" si="637"/>
        <v>96.638053443704806</v>
      </c>
      <c r="AD374" s="76">
        <f t="shared" si="637"/>
        <v>131.13031622913175</v>
      </c>
      <c r="AE374" s="76">
        <f t="shared" si="637"/>
        <v>156.21197162349389</v>
      </c>
      <c r="AF374" s="76">
        <f t="shared" si="637"/>
        <v>171.73594790063484</v>
      </c>
      <c r="AG374" s="76">
        <f t="shared" si="637"/>
        <v>210.62427083350599</v>
      </c>
      <c r="AH374" s="76">
        <f t="shared" si="637"/>
        <v>196.27487045790835</v>
      </c>
      <c r="AI374" s="76">
        <f t="shared" si="637"/>
        <v>185.30426400962946</v>
      </c>
      <c r="AJ374" s="76">
        <f t="shared" si="637"/>
        <v>176.69816492601612</v>
      </c>
      <c r="AK374" s="76">
        <f t="shared" si="637"/>
        <v>169.81206411557105</v>
      </c>
      <c r="AL374" s="76">
        <f t="shared" si="637"/>
        <v>164.21660849148466</v>
      </c>
      <c r="AM374" s="76">
        <f t="shared" si="637"/>
        <v>165.69440483207535</v>
      </c>
      <c r="AN374" s="76">
        <f t="shared" si="637"/>
        <v>167.18549674196831</v>
      </c>
      <c r="AO374" s="76">
        <f>(AO368/100)*AO$346</f>
        <v>168.69000383268593</v>
      </c>
      <c r="AP374" s="76">
        <f t="shared" ref="AP374:BA374" si="638">(AP368/100)*AP$346</f>
        <v>170.20825061948634</v>
      </c>
      <c r="AQ374" s="76">
        <f t="shared" si="638"/>
        <v>171.7401578954952</v>
      </c>
      <c r="AR374" s="76">
        <f t="shared" si="638"/>
        <v>173.28564581477426</v>
      </c>
      <c r="AS374" s="76">
        <f t="shared" si="638"/>
        <v>174.84503829232926</v>
      </c>
      <c r="AT374" s="76">
        <f t="shared" si="638"/>
        <v>176.41846041858952</v>
      </c>
      <c r="AU374" s="76">
        <f t="shared" si="638"/>
        <v>178.00624945705891</v>
      </c>
      <c r="AV374" s="76">
        <f t="shared" si="638"/>
        <v>179.60832465972382</v>
      </c>
      <c r="AW374" s="76">
        <f t="shared" si="638"/>
        <v>181.22460462554548</v>
      </c>
      <c r="AX374" s="76">
        <f t="shared" si="638"/>
        <v>182.85542603299569</v>
      </c>
      <c r="AY374" s="76">
        <f t="shared" si="638"/>
        <v>184.50091970237963</v>
      </c>
      <c r="AZ374" s="76">
        <f t="shared" si="638"/>
        <v>186.1612176309682</v>
      </c>
      <c r="BA374" s="76">
        <f t="shared" si="638"/>
        <v>187.83667305330883</v>
      </c>
    </row>
    <row r="375" spans="19:53" ht="20.100000000000001" customHeight="1" thickBot="1">
      <c r="S375" s="803" t="str">
        <f t="shared" si="630"/>
        <v>PASSENGER CAR</v>
      </c>
      <c r="T375" s="832" t="s">
        <v>183</v>
      </c>
      <c r="U375" s="796"/>
      <c r="V375" s="796"/>
      <c r="W375" s="796"/>
      <c r="X375" s="368"/>
      <c r="Y375" s="779">
        <f>(Y369/100)*Y$346</f>
        <v>0</v>
      </c>
      <c r="Z375" s="779">
        <f t="shared" ref="Z375:AN375" si="639">(Z369/100)*Z$346</f>
        <v>9612.0386552899181</v>
      </c>
      <c r="AA375" s="779">
        <f t="shared" si="639"/>
        <v>9661.0715100050147</v>
      </c>
      <c r="AB375" s="779">
        <f t="shared" si="639"/>
        <v>8730.6729898891936</v>
      </c>
      <c r="AC375" s="779">
        <f t="shared" si="639"/>
        <v>7821.751833749543</v>
      </c>
      <c r="AD375" s="779">
        <f t="shared" si="639"/>
        <v>6934.6874201401533</v>
      </c>
      <c r="AE375" s="779">
        <f t="shared" si="639"/>
        <v>6069.8645330564123</v>
      </c>
      <c r="AF375" s="779">
        <f t="shared" si="639"/>
        <v>5227.6734434389109</v>
      </c>
      <c r="AG375" s="779">
        <f t="shared" si="639"/>
        <v>5229.6411375649013</v>
      </c>
      <c r="AH375" s="779">
        <f t="shared" si="639"/>
        <v>5928.8819787835646</v>
      </c>
      <c r="AI375" s="779">
        <f t="shared" si="639"/>
        <v>6477.6236765945414</v>
      </c>
      <c r="AJ375" s="779">
        <f t="shared" si="639"/>
        <v>6921.1608334116127</v>
      </c>
      <c r="AK375" s="779">
        <f t="shared" si="639"/>
        <v>7288.2761886949147</v>
      </c>
      <c r="AL375" s="779">
        <f t="shared" si="639"/>
        <v>7598.1442780377874</v>
      </c>
      <c r="AM375" s="779">
        <f t="shared" si="639"/>
        <v>7617.6714899140352</v>
      </c>
      <c r="AN375" s="779">
        <f t="shared" si="639"/>
        <v>7637.2715473404278</v>
      </c>
      <c r="AO375" s="779">
        <f>(AO369/100)*AO$346</f>
        <v>7656.9448824887131</v>
      </c>
      <c r="AP375" s="779">
        <f t="shared" ref="AP375:BA375" si="640">(AP369/100)*AP$346</f>
        <v>7676.6838554391497</v>
      </c>
      <c r="AQ375" s="779">
        <f t="shared" si="640"/>
        <v>7696.4969896708808</v>
      </c>
      <c r="AR375" s="779">
        <f t="shared" si="640"/>
        <v>7716.392640410957</v>
      </c>
      <c r="AS375" s="779">
        <f t="shared" si="640"/>
        <v>7736.3633321403959</v>
      </c>
      <c r="AT375" s="779">
        <f t="shared" si="640"/>
        <v>7756.4095143203094</v>
      </c>
      <c r="AU375" s="779">
        <f t="shared" si="640"/>
        <v>7776.5235871477735</v>
      </c>
      <c r="AV375" s="779">
        <f t="shared" si="640"/>
        <v>7796.7140692698986</v>
      </c>
      <c r="AW375" s="779">
        <f t="shared" si="640"/>
        <v>7816.9893112575446</v>
      </c>
      <c r="AX375" s="779">
        <f t="shared" si="640"/>
        <v>7837.3418776444114</v>
      </c>
      <c r="AY375" s="779">
        <f t="shared" si="640"/>
        <v>7857.7722359444297</v>
      </c>
      <c r="AZ375" s="779">
        <f t="shared" si="640"/>
        <v>7878.2808573759921</v>
      </c>
      <c r="BA375" s="779">
        <f t="shared" si="640"/>
        <v>7898.8601921768095</v>
      </c>
    </row>
    <row r="376" spans="19:53" ht="20.100000000000001" customHeight="1" thickBot="1">
      <c r="S376" s="1264" t="str">
        <f t="shared" si="630"/>
        <v>TOTAL</v>
      </c>
      <c r="T376" s="1265" t="s">
        <v>183</v>
      </c>
      <c r="U376" s="1266"/>
      <c r="V376" s="1266"/>
      <c r="W376" s="1266"/>
      <c r="X376" s="1267"/>
      <c r="Y376" s="1268">
        <f>SUM(Y371:Y375)</f>
        <v>0</v>
      </c>
      <c r="Z376" s="1268">
        <f t="shared" ref="Z376:BA376" si="641">SUM(Z371:Z375)</f>
        <v>9612.0386552899181</v>
      </c>
      <c r="AA376" s="1268">
        <f t="shared" si="641"/>
        <v>9661.0715100050147</v>
      </c>
      <c r="AB376" s="1268">
        <f t="shared" si="641"/>
        <v>8901.2356950158282</v>
      </c>
      <c r="AC376" s="1268">
        <f t="shared" si="641"/>
        <v>8133.4532271225471</v>
      </c>
      <c r="AD376" s="1268">
        <f t="shared" si="641"/>
        <v>7357.6419481499015</v>
      </c>
      <c r="AE376" s="1268">
        <f t="shared" si="641"/>
        <v>6573.7187341859062</v>
      </c>
      <c r="AF376" s="1268">
        <f t="shared" si="641"/>
        <v>5781.5994833921568</v>
      </c>
      <c r="AG376" s="1268">
        <f t="shared" si="641"/>
        <v>5908.9995927227483</v>
      </c>
      <c r="AH376" s="1268">
        <f t="shared" si="641"/>
        <v>6624.6642132621364</v>
      </c>
      <c r="AI376" s="1268">
        <f t="shared" si="641"/>
        <v>7186.862000984087</v>
      </c>
      <c r="AJ376" s="1268">
        <f t="shared" si="641"/>
        <v>7641.7861001345409</v>
      </c>
      <c r="AK376" s="1268">
        <f t="shared" si="641"/>
        <v>8018.7902880642205</v>
      </c>
      <c r="AL376" s="1268">
        <f t="shared" si="641"/>
        <v>8337.4295463489398</v>
      </c>
      <c r="AM376" s="1268">
        <f t="shared" si="641"/>
        <v>8360.6244544237979</v>
      </c>
      <c r="AN376" s="1268">
        <f t="shared" si="641"/>
        <v>8383.9185528383405</v>
      </c>
      <c r="AO376" s="1268">
        <f t="shared" si="641"/>
        <v>8407.3124953376209</v>
      </c>
      <c r="AP376" s="1268">
        <f t="shared" si="641"/>
        <v>8430.7987313844078</v>
      </c>
      <c r="AQ376" s="1268">
        <f t="shared" si="641"/>
        <v>8454.3861477322243</v>
      </c>
      <c r="AR376" s="1268">
        <f t="shared" si="641"/>
        <v>8478.0834551649368</v>
      </c>
      <c r="AS376" s="1268">
        <f t="shared" si="641"/>
        <v>8501.8832760814021</v>
      </c>
      <c r="AT376" s="1268">
        <f t="shared" si="641"/>
        <v>8525.7862914771777</v>
      </c>
      <c r="AU376" s="1268">
        <f t="shared" si="641"/>
        <v>8549.7850101574259</v>
      </c>
      <c r="AV376" s="1268">
        <f t="shared" si="641"/>
        <v>8573.8883151291466</v>
      </c>
      <c r="AW376" s="1268">
        <f t="shared" si="641"/>
        <v>8598.1049136347901</v>
      </c>
      <c r="AX376" s="1268">
        <f t="shared" si="641"/>
        <v>8622.4274874474468</v>
      </c>
      <c r="AY376" s="1268">
        <f t="shared" si="641"/>
        <v>8646.8567460305894</v>
      </c>
      <c r="AZ376" s="1268">
        <f t="shared" si="641"/>
        <v>8671.3934046912873</v>
      </c>
      <c r="BA376" s="1269">
        <f t="shared" si="641"/>
        <v>8696.0300463568619</v>
      </c>
    </row>
    <row r="377" spans="19:53" ht="20.100000000000001" customHeight="1">
      <c r="S377" s="842" t="s">
        <v>3152</v>
      </c>
      <c r="T377" s="828"/>
      <c r="U377" s="367"/>
      <c r="V377" s="367"/>
      <c r="W377" s="367"/>
      <c r="X377" s="798">
        <f>X370</f>
        <v>2021</v>
      </c>
      <c r="Y377" s="798">
        <f t="shared" ref="Y377:BA377" si="642">Y370</f>
        <v>2022</v>
      </c>
      <c r="Z377" s="798">
        <f t="shared" si="642"/>
        <v>2023</v>
      </c>
      <c r="AA377" s="798">
        <f t="shared" si="642"/>
        <v>2024</v>
      </c>
      <c r="AB377" s="798">
        <f t="shared" si="642"/>
        <v>2025</v>
      </c>
      <c r="AC377" s="798">
        <f t="shared" si="642"/>
        <v>2026</v>
      </c>
      <c r="AD377" s="798">
        <f t="shared" si="642"/>
        <v>2027</v>
      </c>
      <c r="AE377" s="798">
        <f t="shared" si="642"/>
        <v>2028</v>
      </c>
      <c r="AF377" s="798">
        <f t="shared" si="642"/>
        <v>2029</v>
      </c>
      <c r="AG377" s="798">
        <f t="shared" si="642"/>
        <v>2030</v>
      </c>
      <c r="AH377" s="798">
        <f t="shared" si="642"/>
        <v>2031</v>
      </c>
      <c r="AI377" s="798">
        <f t="shared" si="642"/>
        <v>2032</v>
      </c>
      <c r="AJ377" s="798">
        <f t="shared" si="642"/>
        <v>2033</v>
      </c>
      <c r="AK377" s="798">
        <f t="shared" si="642"/>
        <v>2034</v>
      </c>
      <c r="AL377" s="798">
        <f t="shared" si="642"/>
        <v>2035</v>
      </c>
      <c r="AM377" s="798">
        <f t="shared" si="642"/>
        <v>2036</v>
      </c>
      <c r="AN377" s="798">
        <f t="shared" si="642"/>
        <v>2037</v>
      </c>
      <c r="AO377" s="798">
        <f t="shared" si="642"/>
        <v>2038</v>
      </c>
      <c r="AP377" s="798">
        <f t="shared" si="642"/>
        <v>2039</v>
      </c>
      <c r="AQ377" s="798">
        <f t="shared" si="642"/>
        <v>2040</v>
      </c>
      <c r="AR377" s="798">
        <f t="shared" si="642"/>
        <v>2041</v>
      </c>
      <c r="AS377" s="798">
        <f t="shared" si="642"/>
        <v>2042</v>
      </c>
      <c r="AT377" s="798">
        <f t="shared" si="642"/>
        <v>2043</v>
      </c>
      <c r="AU377" s="798">
        <f t="shared" si="642"/>
        <v>2044</v>
      </c>
      <c r="AV377" s="798">
        <f t="shared" si="642"/>
        <v>2045</v>
      </c>
      <c r="AW377" s="798">
        <f t="shared" si="642"/>
        <v>2046</v>
      </c>
      <c r="AX377" s="798">
        <f t="shared" si="642"/>
        <v>2047</v>
      </c>
      <c r="AY377" s="798">
        <f t="shared" si="642"/>
        <v>2048</v>
      </c>
      <c r="AZ377" s="798">
        <f t="shared" si="642"/>
        <v>2049</v>
      </c>
      <c r="BA377" s="799">
        <f t="shared" si="642"/>
        <v>2050</v>
      </c>
    </row>
    <row r="378" spans="19:53" ht="20.100000000000001" customHeight="1">
      <c r="S378" s="802" t="str">
        <f>S371</f>
        <v>BUS</v>
      </c>
      <c r="T378" s="1229" t="s">
        <v>3084</v>
      </c>
      <c r="U378" s="1230"/>
      <c r="V378" s="366"/>
      <c r="W378" s="366"/>
      <c r="X378" s="54">
        <f t="shared" ref="X378:BA378" si="643">((100-$H$170)/100*X341)+($H$170/100*X371)</f>
        <v>0</v>
      </c>
      <c r="Y378" s="76">
        <f t="shared" si="643"/>
        <v>0</v>
      </c>
      <c r="Z378" s="76">
        <f t="shared" si="643"/>
        <v>2751.522157781947</v>
      </c>
      <c r="AA378" s="76">
        <f t="shared" si="643"/>
        <v>2759.7767242552927</v>
      </c>
      <c r="AB378" s="76">
        <f t="shared" si="643"/>
        <v>2537.3847165590532</v>
      </c>
      <c r="AC378" s="76">
        <f t="shared" si="643"/>
        <v>2313.6335188261182</v>
      </c>
      <c r="AD378" s="76">
        <f t="shared" si="643"/>
        <v>2088.5169774443375</v>
      </c>
      <c r="AE378" s="76">
        <f t="shared" si="643"/>
        <v>1862.0289141125952</v>
      </c>
      <c r="AF378" s="76">
        <f t="shared" si="643"/>
        <v>1634.1631257480665</v>
      </c>
      <c r="AG378" s="76">
        <f t="shared" si="643"/>
        <v>1282.7933561201564</v>
      </c>
      <c r="AH378" s="76">
        <f t="shared" si="643"/>
        <v>1194.8855700981887</v>
      </c>
      <c r="AI378" s="76">
        <f t="shared" si="643"/>
        <v>1126.9556302099088</v>
      </c>
      <c r="AJ378" s="76">
        <f t="shared" si="643"/>
        <v>1072.9952327998576</v>
      </c>
      <c r="AK378" s="76">
        <f t="shared" si="643"/>
        <v>1029.1863842632245</v>
      </c>
      <c r="AL378" s="76">
        <f t="shared" si="643"/>
        <v>992.98560670986899</v>
      </c>
      <c r="AM378" s="76">
        <f t="shared" si="643"/>
        <v>995.96372399134123</v>
      </c>
      <c r="AN378" s="76">
        <f t="shared" si="643"/>
        <v>998.95075556046913</v>
      </c>
      <c r="AO378" s="76">
        <f t="shared" si="643"/>
        <v>1001.9467281651375</v>
      </c>
      <c r="AP378" s="76">
        <f t="shared" si="643"/>
        <v>1004.9527662642045</v>
      </c>
      <c r="AQ378" s="76">
        <f t="shared" si="643"/>
        <v>1007.9678013236962</v>
      </c>
      <c r="AR378" s="76">
        <f t="shared" si="643"/>
        <v>1010.990781483349</v>
      </c>
      <c r="AS378" s="76">
        <f t="shared" si="643"/>
        <v>1014.0228105089333</v>
      </c>
      <c r="AT378" s="76">
        <f t="shared" si="643"/>
        <v>1017.0639155524024</v>
      </c>
      <c r="AU378" s="76">
        <f t="shared" si="643"/>
        <v>1020.1152269667766</v>
      </c>
      <c r="AV378" s="76">
        <f t="shared" si="643"/>
        <v>1023.1756711471746</v>
      </c>
      <c r="AW378" s="76">
        <f t="shared" si="643"/>
        <v>1026.2441912326435</v>
      </c>
      <c r="AX378" s="76">
        <f t="shared" si="643"/>
        <v>1029.3218967943405</v>
      </c>
      <c r="AY378" s="76">
        <f t="shared" si="643"/>
        <v>1032.4088153943524</v>
      </c>
      <c r="AZ378" s="76">
        <f t="shared" si="643"/>
        <v>1035.5049746775765</v>
      </c>
      <c r="BA378" s="795">
        <f t="shared" si="643"/>
        <v>1038.6115121124594</v>
      </c>
    </row>
    <row r="379" spans="19:53" ht="20.100000000000001" customHeight="1">
      <c r="S379" s="802" t="str">
        <f t="shared" ref="S379:S383" si="644">S372</f>
        <v>METRO</v>
      </c>
      <c r="T379" s="1229" t="s">
        <v>3085</v>
      </c>
      <c r="U379" s="1230"/>
      <c r="V379" s="366"/>
      <c r="W379" s="366"/>
      <c r="X379" s="54">
        <f t="shared" ref="X379:BA379" si="645">((100-$H$170)/100*X342)+($H$170/100*X372)</f>
        <v>0</v>
      </c>
      <c r="Y379" s="76">
        <f t="shared" si="645"/>
        <v>0</v>
      </c>
      <c r="Z379" s="76">
        <f t="shared" si="645"/>
        <v>0</v>
      </c>
      <c r="AA379" s="76">
        <f t="shared" si="645"/>
        <v>0</v>
      </c>
      <c r="AB379" s="76">
        <f t="shared" si="645"/>
        <v>0</v>
      </c>
      <c r="AC379" s="76">
        <f t="shared" si="645"/>
        <v>0</v>
      </c>
      <c r="AD379" s="76">
        <f t="shared" si="645"/>
        <v>0</v>
      </c>
      <c r="AE379" s="76">
        <f t="shared" si="645"/>
        <v>0</v>
      </c>
      <c r="AF379" s="76">
        <f t="shared" si="645"/>
        <v>0</v>
      </c>
      <c r="AG379" s="76">
        <f t="shared" si="645"/>
        <v>0</v>
      </c>
      <c r="AH379" s="76">
        <f t="shared" si="645"/>
        <v>0</v>
      </c>
      <c r="AI379" s="76">
        <f t="shared" si="645"/>
        <v>0</v>
      </c>
      <c r="AJ379" s="76">
        <f t="shared" si="645"/>
        <v>0</v>
      </c>
      <c r="AK379" s="76">
        <f t="shared" si="645"/>
        <v>0</v>
      </c>
      <c r="AL379" s="76">
        <f t="shared" si="645"/>
        <v>0</v>
      </c>
      <c r="AM379" s="76">
        <f t="shared" si="645"/>
        <v>0</v>
      </c>
      <c r="AN379" s="76">
        <f t="shared" si="645"/>
        <v>0</v>
      </c>
      <c r="AO379" s="76">
        <f t="shared" si="645"/>
        <v>0</v>
      </c>
      <c r="AP379" s="76">
        <f t="shared" si="645"/>
        <v>0</v>
      </c>
      <c r="AQ379" s="76">
        <f t="shared" si="645"/>
        <v>0</v>
      </c>
      <c r="AR379" s="76">
        <f t="shared" si="645"/>
        <v>0</v>
      </c>
      <c r="AS379" s="76">
        <f t="shared" si="645"/>
        <v>0</v>
      </c>
      <c r="AT379" s="76">
        <f t="shared" si="645"/>
        <v>0</v>
      </c>
      <c r="AU379" s="76">
        <f t="shared" si="645"/>
        <v>0</v>
      </c>
      <c r="AV379" s="76">
        <f t="shared" si="645"/>
        <v>0</v>
      </c>
      <c r="AW379" s="76">
        <f t="shared" si="645"/>
        <v>0</v>
      </c>
      <c r="AX379" s="76">
        <f t="shared" si="645"/>
        <v>0</v>
      </c>
      <c r="AY379" s="76">
        <f t="shared" si="645"/>
        <v>0</v>
      </c>
      <c r="AZ379" s="76">
        <f t="shared" si="645"/>
        <v>0</v>
      </c>
      <c r="BA379" s="795">
        <f t="shared" si="645"/>
        <v>0</v>
      </c>
    </row>
    <row r="380" spans="19:53" ht="20.100000000000001" customHeight="1">
      <c r="S380" s="802" t="str">
        <f t="shared" si="644"/>
        <v>TRAM</v>
      </c>
      <c r="T380" s="1229" t="s">
        <v>3086</v>
      </c>
      <c r="U380" s="1230"/>
      <c r="V380" s="366"/>
      <c r="W380" s="366"/>
      <c r="X380" s="54">
        <f t="shared" ref="X380:BA380" si="646">((100-$H$170)/100*X343)+($H$170/100*X373)</f>
        <v>0</v>
      </c>
      <c r="Y380" s="76">
        <f t="shared" si="646"/>
        <v>0</v>
      </c>
      <c r="Z380" s="76">
        <f t="shared" si="646"/>
        <v>334.60219383319458</v>
      </c>
      <c r="AA380" s="76">
        <f t="shared" si="646"/>
        <v>338.2828179653597</v>
      </c>
      <c r="AB380" s="76">
        <f t="shared" si="646"/>
        <v>313.50360154939705</v>
      </c>
      <c r="AC380" s="76">
        <f t="shared" si="646"/>
        <v>288.13831015130944</v>
      </c>
      <c r="AD380" s="76">
        <f t="shared" si="646"/>
        <v>262.17704840667642</v>
      </c>
      <c r="AE380" s="76">
        <f t="shared" si="646"/>
        <v>235.60977416813313</v>
      </c>
      <c r="AF380" s="76">
        <f t="shared" si="646"/>
        <v>208.4262964734848</v>
      </c>
      <c r="AG380" s="76">
        <f t="shared" si="646"/>
        <v>180.61627348687981</v>
      </c>
      <c r="AH380" s="76">
        <f t="shared" si="646"/>
        <v>182.24181994826174</v>
      </c>
      <c r="AI380" s="76">
        <f t="shared" si="646"/>
        <v>183.88199632779609</v>
      </c>
      <c r="AJ380" s="76">
        <f t="shared" si="646"/>
        <v>185.53693429474626</v>
      </c>
      <c r="AK380" s="76">
        <f t="shared" si="646"/>
        <v>187.20676670339896</v>
      </c>
      <c r="AL380" s="76">
        <f t="shared" si="646"/>
        <v>188.89162760372955</v>
      </c>
      <c r="AM380" s="76">
        <f t="shared" si="646"/>
        <v>190.59165225216313</v>
      </c>
      <c r="AN380" s="76">
        <f t="shared" si="646"/>
        <v>192.30697712243261</v>
      </c>
      <c r="AO380" s="76">
        <f t="shared" si="646"/>
        <v>194.03773991653452</v>
      </c>
      <c r="AP380" s="76">
        <f t="shared" si="646"/>
        <v>195.78407957578338</v>
      </c>
      <c r="AQ380" s="76">
        <f t="shared" si="646"/>
        <v>197.54613629196547</v>
      </c>
      <c r="AR380" s="76">
        <f t="shared" si="646"/>
        <v>199.32405151859314</v>
      </c>
      <c r="AS380" s="76">
        <f t="shared" si="646"/>
        <v>201.1179679822605</v>
      </c>
      <c r="AT380" s="76">
        <f t="shared" si="646"/>
        <v>202.92802969410087</v>
      </c>
      <c r="AU380" s="76">
        <f t="shared" si="646"/>
        <v>204.7543819613478</v>
      </c>
      <c r="AV380" s="76">
        <f t="shared" si="646"/>
        <v>206.59717139899996</v>
      </c>
      <c r="AW380" s="76">
        <f t="shared" si="646"/>
        <v>208.45654594159097</v>
      </c>
      <c r="AX380" s="76">
        <f t="shared" si="646"/>
        <v>210.33265485506533</v>
      </c>
      <c r="AY380" s="76">
        <f t="shared" si="646"/>
        <v>212.22564874876093</v>
      </c>
      <c r="AZ380" s="76">
        <f t="shared" si="646"/>
        <v>214.13567958749979</v>
      </c>
      <c r="BA380" s="795">
        <f t="shared" si="646"/>
        <v>216.06290070378728</v>
      </c>
    </row>
    <row r="381" spans="19:53" ht="20.100000000000001" customHeight="1">
      <c r="S381" s="802" t="str">
        <f t="shared" si="644"/>
        <v>PASSENGER TRAIN</v>
      </c>
      <c r="T381" s="1229" t="s">
        <v>3087</v>
      </c>
      <c r="U381" s="1230"/>
      <c r="V381" s="366"/>
      <c r="W381" s="366"/>
      <c r="X381" s="54">
        <f t="shared" ref="X381:BA381" si="647">((100-$H$170)/100*X344)+($H$170/100*X374)</f>
        <v>0</v>
      </c>
      <c r="Y381" s="76">
        <f t="shared" si="647"/>
        <v>0</v>
      </c>
      <c r="Z381" s="76">
        <f t="shared" si="647"/>
        <v>1570.5724135552232</v>
      </c>
      <c r="AA381" s="76">
        <f t="shared" si="647"/>
        <v>1587.8487101043306</v>
      </c>
      <c r="AB381" s="76">
        <f t="shared" si="647"/>
        <v>1471.5387920891885</v>
      </c>
      <c r="AC381" s="76">
        <f t="shared" si="647"/>
        <v>1352.4779261837905</v>
      </c>
      <c r="AD381" s="76">
        <f t="shared" si="647"/>
        <v>1230.619665034631</v>
      </c>
      <c r="AE381" s="76">
        <f t="shared" si="647"/>
        <v>1105.9168723111213</v>
      </c>
      <c r="AF381" s="76">
        <f t="shared" si="647"/>
        <v>978.32171316822564</v>
      </c>
      <c r="AG381" s="76">
        <f t="shared" si="647"/>
        <v>769.28709126995091</v>
      </c>
      <c r="AH381" s="76">
        <f t="shared" si="647"/>
        <v>716.87713664920659</v>
      </c>
      <c r="AI381" s="76">
        <f t="shared" si="647"/>
        <v>676.80793716585208</v>
      </c>
      <c r="AJ381" s="76">
        <f t="shared" si="647"/>
        <v>645.37489811002877</v>
      </c>
      <c r="AK381" s="76">
        <f t="shared" si="647"/>
        <v>620.22400528226706</v>
      </c>
      <c r="AL381" s="76">
        <f t="shared" si="647"/>
        <v>599.78708334374016</v>
      </c>
      <c r="AM381" s="76">
        <f t="shared" si="647"/>
        <v>605.18460777833423</v>
      </c>
      <c r="AN381" s="76">
        <f t="shared" si="647"/>
        <v>610.63069313990411</v>
      </c>
      <c r="AO381" s="76">
        <f t="shared" si="647"/>
        <v>616.1257762992808</v>
      </c>
      <c r="AP381" s="76">
        <f t="shared" si="647"/>
        <v>621.67104252062177</v>
      </c>
      <c r="AQ381" s="76">
        <f t="shared" si="647"/>
        <v>627.26620250760948</v>
      </c>
      <c r="AR381" s="76">
        <f t="shared" si="647"/>
        <v>632.91096462980045</v>
      </c>
      <c r="AS381" s="76">
        <f t="shared" si="647"/>
        <v>638.60651195898186</v>
      </c>
      <c r="AT381" s="76">
        <f t="shared" si="647"/>
        <v>644.3533013772219</v>
      </c>
      <c r="AU381" s="76">
        <f t="shared" si="647"/>
        <v>650.15256471055341</v>
      </c>
      <c r="AV381" s="76">
        <f t="shared" si="647"/>
        <v>656.00400703377943</v>
      </c>
      <c r="AW381" s="76">
        <f t="shared" si="647"/>
        <v>661.90733103658499</v>
      </c>
      <c r="AX381" s="76">
        <f t="shared" si="647"/>
        <v>667.86376640822277</v>
      </c>
      <c r="AY381" s="76">
        <f t="shared" si="647"/>
        <v>673.87379095864185</v>
      </c>
      <c r="AZ381" s="76">
        <f t="shared" si="647"/>
        <v>679.93788679655711</v>
      </c>
      <c r="BA381" s="795">
        <f t="shared" si="647"/>
        <v>686.05734408086857</v>
      </c>
    </row>
    <row r="382" spans="19:53" ht="20.100000000000001" customHeight="1">
      <c r="S382" s="802" t="str">
        <f t="shared" si="644"/>
        <v>PASSENGER CAR</v>
      </c>
      <c r="T382" s="1229" t="s">
        <v>3088</v>
      </c>
      <c r="U382" s="1230"/>
      <c r="V382" s="366"/>
      <c r="W382" s="366"/>
      <c r="X382" s="54">
        <f t="shared" ref="X382:BA382" si="648">((100-$H$170)/100*X345)+($H$170/100*X375)</f>
        <v>0</v>
      </c>
      <c r="Y382" s="76">
        <f t="shared" si="648"/>
        <v>0</v>
      </c>
      <c r="Z382" s="76">
        <f t="shared" si="648"/>
        <v>4955.3418901195537</v>
      </c>
      <c r="AA382" s="76">
        <f t="shared" si="648"/>
        <v>4975.1632576800321</v>
      </c>
      <c r="AB382" s="76">
        <f t="shared" si="648"/>
        <v>4578.80858481819</v>
      </c>
      <c r="AC382" s="76">
        <f t="shared" si="648"/>
        <v>4179.2034719613293</v>
      </c>
      <c r="AD382" s="76">
        <f t="shared" si="648"/>
        <v>3776.3282572642574</v>
      </c>
      <c r="AE382" s="76">
        <f t="shared" si="648"/>
        <v>3370.1631735940564</v>
      </c>
      <c r="AF382" s="76">
        <f t="shared" si="648"/>
        <v>2960.6883480023789</v>
      </c>
      <c r="AG382" s="76">
        <f t="shared" si="648"/>
        <v>3676.3028718457604</v>
      </c>
      <c r="AH382" s="76">
        <f t="shared" si="648"/>
        <v>4530.6596865664796</v>
      </c>
      <c r="AI382" s="76">
        <f t="shared" si="648"/>
        <v>5199.2164372805291</v>
      </c>
      <c r="AJ382" s="76">
        <f t="shared" si="648"/>
        <v>5737.8790349299079</v>
      </c>
      <c r="AK382" s="76">
        <f t="shared" si="648"/>
        <v>6182.1731318153288</v>
      </c>
      <c r="AL382" s="76">
        <f t="shared" si="648"/>
        <v>6555.7652286916018</v>
      </c>
      <c r="AM382" s="76">
        <f t="shared" si="648"/>
        <v>6568.8844704019593</v>
      </c>
      <c r="AN382" s="76">
        <f t="shared" si="648"/>
        <v>6582.0301270155351</v>
      </c>
      <c r="AO382" s="76">
        <f t="shared" si="648"/>
        <v>6595.2022509566686</v>
      </c>
      <c r="AP382" s="76">
        <f t="shared" si="648"/>
        <v>6608.3908430237989</v>
      </c>
      <c r="AQ382" s="76">
        <f t="shared" si="648"/>
        <v>6621.6060076089534</v>
      </c>
      <c r="AR382" s="76">
        <f t="shared" si="648"/>
        <v>6634.8576575331936</v>
      </c>
      <c r="AS382" s="76">
        <f t="shared" si="648"/>
        <v>6648.1359856312247</v>
      </c>
      <c r="AT382" s="76">
        <f t="shared" si="648"/>
        <v>6661.4410448534518</v>
      </c>
      <c r="AU382" s="76">
        <f t="shared" si="648"/>
        <v>6674.7628365187484</v>
      </c>
      <c r="AV382" s="76">
        <f t="shared" si="648"/>
        <v>6688.1114655491929</v>
      </c>
      <c r="AW382" s="76">
        <f t="shared" si="648"/>
        <v>6701.4968454239706</v>
      </c>
      <c r="AX382" s="76">
        <f t="shared" si="648"/>
        <v>6714.9091693898172</v>
      </c>
      <c r="AY382" s="76">
        <f t="shared" si="648"/>
        <v>6728.3484909288336</v>
      </c>
      <c r="AZ382" s="76">
        <f t="shared" si="648"/>
        <v>6741.8148636296537</v>
      </c>
      <c r="BA382" s="795">
        <f t="shared" si="648"/>
        <v>6755.2982894597462</v>
      </c>
    </row>
    <row r="383" spans="19:53" ht="20.100000000000001" customHeight="1" thickBot="1">
      <c r="S383" s="803" t="str">
        <f t="shared" si="644"/>
        <v>TOTAL</v>
      </c>
      <c r="T383" s="851"/>
      <c r="U383" s="368"/>
      <c r="V383" s="368"/>
      <c r="W383" s="368"/>
      <c r="X383" s="800">
        <f>SUM(X378:X382)</f>
        <v>0</v>
      </c>
      <c r="Y383" s="779">
        <f t="shared" ref="Y383:BA383" si="649">SUM(Y378:Y382)</f>
        <v>0</v>
      </c>
      <c r="Z383" s="779">
        <f t="shared" si="649"/>
        <v>9612.0386552899181</v>
      </c>
      <c r="AA383" s="779">
        <f t="shared" si="649"/>
        <v>9661.0715100050147</v>
      </c>
      <c r="AB383" s="779">
        <f t="shared" si="649"/>
        <v>8901.2356950158282</v>
      </c>
      <c r="AC383" s="779">
        <f t="shared" si="649"/>
        <v>8133.4532271225471</v>
      </c>
      <c r="AD383" s="779">
        <f t="shared" si="649"/>
        <v>7357.6419481499024</v>
      </c>
      <c r="AE383" s="779">
        <f t="shared" si="649"/>
        <v>6573.7187341859062</v>
      </c>
      <c r="AF383" s="779">
        <f t="shared" si="649"/>
        <v>5781.5994833921559</v>
      </c>
      <c r="AG383" s="779">
        <f t="shared" si="649"/>
        <v>5908.9995927227483</v>
      </c>
      <c r="AH383" s="779">
        <f t="shared" si="649"/>
        <v>6624.6642132621364</v>
      </c>
      <c r="AI383" s="779">
        <f t="shared" si="649"/>
        <v>7186.8620009840861</v>
      </c>
      <c r="AJ383" s="779">
        <f t="shared" si="649"/>
        <v>7641.7861001345409</v>
      </c>
      <c r="AK383" s="779">
        <f t="shared" si="649"/>
        <v>8018.7902880642196</v>
      </c>
      <c r="AL383" s="779">
        <f t="shared" si="649"/>
        <v>8337.4295463489398</v>
      </c>
      <c r="AM383" s="779">
        <f t="shared" si="649"/>
        <v>8360.6244544237979</v>
      </c>
      <c r="AN383" s="779">
        <f t="shared" si="649"/>
        <v>8383.9185528383405</v>
      </c>
      <c r="AO383" s="779">
        <f t="shared" si="649"/>
        <v>8407.3124953376209</v>
      </c>
      <c r="AP383" s="779">
        <f t="shared" si="649"/>
        <v>8430.7987313844078</v>
      </c>
      <c r="AQ383" s="779">
        <f t="shared" si="649"/>
        <v>8454.3861477322243</v>
      </c>
      <c r="AR383" s="779">
        <f t="shared" si="649"/>
        <v>8478.0834551649368</v>
      </c>
      <c r="AS383" s="779">
        <f t="shared" si="649"/>
        <v>8501.8832760814003</v>
      </c>
      <c r="AT383" s="779">
        <f t="shared" si="649"/>
        <v>8525.7862914771777</v>
      </c>
      <c r="AU383" s="779">
        <f t="shared" si="649"/>
        <v>8549.7850101574259</v>
      </c>
      <c r="AV383" s="779">
        <f t="shared" si="649"/>
        <v>8573.8883151291466</v>
      </c>
      <c r="AW383" s="779">
        <f t="shared" si="649"/>
        <v>8598.1049136347901</v>
      </c>
      <c r="AX383" s="779">
        <f t="shared" si="649"/>
        <v>8622.4274874474468</v>
      </c>
      <c r="AY383" s="779">
        <f t="shared" si="649"/>
        <v>8646.8567460305894</v>
      </c>
      <c r="AZ383" s="779">
        <f t="shared" si="649"/>
        <v>8671.3934046912873</v>
      </c>
      <c r="BA383" s="797">
        <f t="shared" si="649"/>
        <v>8696.0300463568619</v>
      </c>
    </row>
    <row r="386" spans="19:53" ht="20.100000000000001" customHeight="1" thickBot="1">
      <c r="S386" s="1322" t="s">
        <v>3184</v>
      </c>
      <c r="T386" s="17" t="s">
        <v>90</v>
      </c>
      <c r="U386" s="17"/>
      <c r="V386" s="17"/>
      <c r="W386" s="17"/>
    </row>
    <row r="387" spans="19:53" ht="20.100000000000001" customHeight="1">
      <c r="S387" s="846"/>
      <c r="T387" s="828"/>
      <c r="U387" s="367"/>
      <c r="V387" s="367"/>
      <c r="W387" s="367"/>
      <c r="X387" s="798">
        <f t="shared" ref="X387:BA387" si="650">X331</f>
        <v>2021</v>
      </c>
      <c r="Y387" s="798">
        <f t="shared" si="650"/>
        <v>2022</v>
      </c>
      <c r="Z387" s="798">
        <f t="shared" si="650"/>
        <v>2023</v>
      </c>
      <c r="AA387" s="798">
        <f t="shared" si="650"/>
        <v>2024</v>
      </c>
      <c r="AB387" s="798">
        <f t="shared" si="650"/>
        <v>2025</v>
      </c>
      <c r="AC387" s="798">
        <f t="shared" si="650"/>
        <v>2026</v>
      </c>
      <c r="AD387" s="798">
        <f t="shared" si="650"/>
        <v>2027</v>
      </c>
      <c r="AE387" s="798">
        <f t="shared" si="650"/>
        <v>2028</v>
      </c>
      <c r="AF387" s="798">
        <f t="shared" si="650"/>
        <v>2029</v>
      </c>
      <c r="AG387" s="798">
        <f t="shared" si="650"/>
        <v>2030</v>
      </c>
      <c r="AH387" s="798">
        <f t="shared" si="650"/>
        <v>2031</v>
      </c>
      <c r="AI387" s="798">
        <f t="shared" si="650"/>
        <v>2032</v>
      </c>
      <c r="AJ387" s="798">
        <f t="shared" si="650"/>
        <v>2033</v>
      </c>
      <c r="AK387" s="798">
        <f t="shared" si="650"/>
        <v>2034</v>
      </c>
      <c r="AL387" s="798">
        <f t="shared" si="650"/>
        <v>2035</v>
      </c>
      <c r="AM387" s="798">
        <f t="shared" si="650"/>
        <v>2036</v>
      </c>
      <c r="AN387" s="798">
        <f t="shared" si="650"/>
        <v>2037</v>
      </c>
      <c r="AO387" s="798">
        <f t="shared" si="650"/>
        <v>2038</v>
      </c>
      <c r="AP387" s="798">
        <f t="shared" si="650"/>
        <v>2039</v>
      </c>
      <c r="AQ387" s="798">
        <f t="shared" si="650"/>
        <v>2040</v>
      </c>
      <c r="AR387" s="798">
        <f t="shared" si="650"/>
        <v>2041</v>
      </c>
      <c r="AS387" s="798">
        <f t="shared" si="650"/>
        <v>2042</v>
      </c>
      <c r="AT387" s="798">
        <f t="shared" si="650"/>
        <v>2043</v>
      </c>
      <c r="AU387" s="798">
        <f t="shared" si="650"/>
        <v>2044</v>
      </c>
      <c r="AV387" s="798">
        <f t="shared" si="650"/>
        <v>2045</v>
      </c>
      <c r="AW387" s="798">
        <f t="shared" si="650"/>
        <v>2046</v>
      </c>
      <c r="AX387" s="798">
        <f t="shared" si="650"/>
        <v>2047</v>
      </c>
      <c r="AY387" s="798">
        <f t="shared" si="650"/>
        <v>2048</v>
      </c>
      <c r="AZ387" s="798">
        <f t="shared" si="650"/>
        <v>2049</v>
      </c>
      <c r="BA387" s="799">
        <f t="shared" si="650"/>
        <v>2050</v>
      </c>
    </row>
    <row r="388" spans="19:53" ht="20.100000000000001" customHeight="1" thickBot="1">
      <c r="S388" s="1215" t="s">
        <v>188</v>
      </c>
      <c r="T388" s="836"/>
      <c r="U388" s="819"/>
      <c r="V388" s="819"/>
      <c r="W388" s="819"/>
      <c r="X388" s="819"/>
      <c r="Y388" s="820">
        <f t="shared" ref="Y388:BA388" si="651">IF(AND(Y387&gt;(2020+$F$160),Y387&lt;(2022+$G$160)),X388+($F$158/($G$160-$F$160+1)),X388)</f>
        <v>0</v>
      </c>
      <c r="Z388" s="820">
        <f t="shared" si="651"/>
        <v>0</v>
      </c>
      <c r="AA388" s="820">
        <f t="shared" si="651"/>
        <v>0</v>
      </c>
      <c r="AB388" s="820">
        <f t="shared" si="651"/>
        <v>0</v>
      </c>
      <c r="AC388" s="820">
        <f t="shared" si="651"/>
        <v>0</v>
      </c>
      <c r="AD388" s="820">
        <f t="shared" si="651"/>
        <v>0</v>
      </c>
      <c r="AE388" s="820">
        <f t="shared" si="651"/>
        <v>0</v>
      </c>
      <c r="AF388" s="820">
        <f t="shared" si="651"/>
        <v>0</v>
      </c>
      <c r="AG388" s="820">
        <f t="shared" si="651"/>
        <v>0</v>
      </c>
      <c r="AH388" s="820">
        <f t="shared" si="651"/>
        <v>0</v>
      </c>
      <c r="AI388" s="820">
        <f t="shared" si="651"/>
        <v>0</v>
      </c>
      <c r="AJ388" s="820">
        <f t="shared" si="651"/>
        <v>0</v>
      </c>
      <c r="AK388" s="820">
        <f t="shared" si="651"/>
        <v>0</v>
      </c>
      <c r="AL388" s="820">
        <f t="shared" si="651"/>
        <v>0</v>
      </c>
      <c r="AM388" s="820">
        <f t="shared" si="651"/>
        <v>0</v>
      </c>
      <c r="AN388" s="820">
        <f t="shared" si="651"/>
        <v>0</v>
      </c>
      <c r="AO388" s="820">
        <f t="shared" si="651"/>
        <v>0</v>
      </c>
      <c r="AP388" s="820">
        <f t="shared" si="651"/>
        <v>0</v>
      </c>
      <c r="AQ388" s="820">
        <f t="shared" si="651"/>
        <v>0</v>
      </c>
      <c r="AR388" s="820">
        <f t="shared" si="651"/>
        <v>0</v>
      </c>
      <c r="AS388" s="820">
        <f t="shared" si="651"/>
        <v>0</v>
      </c>
      <c r="AT388" s="820">
        <f t="shared" si="651"/>
        <v>0</v>
      </c>
      <c r="AU388" s="820">
        <f t="shared" si="651"/>
        <v>0</v>
      </c>
      <c r="AV388" s="820">
        <f t="shared" si="651"/>
        <v>0</v>
      </c>
      <c r="AW388" s="820">
        <f t="shared" si="651"/>
        <v>0</v>
      </c>
      <c r="AX388" s="820">
        <f t="shared" si="651"/>
        <v>0</v>
      </c>
      <c r="AY388" s="820">
        <f t="shared" si="651"/>
        <v>0</v>
      </c>
      <c r="AZ388" s="820">
        <f t="shared" si="651"/>
        <v>0</v>
      </c>
      <c r="BA388" s="821">
        <f t="shared" si="651"/>
        <v>0</v>
      </c>
    </row>
    <row r="389" spans="19:53" ht="20.100000000000001" customHeight="1">
      <c r="S389" s="827" t="s">
        <v>3132</v>
      </c>
      <c r="T389" s="831"/>
      <c r="U389" s="822"/>
      <c r="V389" s="822"/>
      <c r="W389" s="822"/>
      <c r="X389" s="833">
        <f>X387</f>
        <v>2021</v>
      </c>
      <c r="Y389" s="833">
        <f t="shared" ref="Y389:BA389" si="652">Y387</f>
        <v>2022</v>
      </c>
      <c r="Z389" s="833">
        <f t="shared" si="652"/>
        <v>2023</v>
      </c>
      <c r="AA389" s="833">
        <f t="shared" si="652"/>
        <v>2024</v>
      </c>
      <c r="AB389" s="833">
        <f t="shared" si="652"/>
        <v>2025</v>
      </c>
      <c r="AC389" s="833">
        <f t="shared" si="652"/>
        <v>2026</v>
      </c>
      <c r="AD389" s="833">
        <f t="shared" si="652"/>
        <v>2027</v>
      </c>
      <c r="AE389" s="833">
        <f t="shared" si="652"/>
        <v>2028</v>
      </c>
      <c r="AF389" s="833">
        <f t="shared" si="652"/>
        <v>2029</v>
      </c>
      <c r="AG389" s="833">
        <f t="shared" si="652"/>
        <v>2030</v>
      </c>
      <c r="AH389" s="833">
        <f t="shared" si="652"/>
        <v>2031</v>
      </c>
      <c r="AI389" s="833">
        <f t="shared" si="652"/>
        <v>2032</v>
      </c>
      <c r="AJ389" s="833">
        <f t="shared" si="652"/>
        <v>2033</v>
      </c>
      <c r="AK389" s="833">
        <f t="shared" si="652"/>
        <v>2034</v>
      </c>
      <c r="AL389" s="833">
        <f t="shared" si="652"/>
        <v>2035</v>
      </c>
      <c r="AM389" s="833">
        <f t="shared" si="652"/>
        <v>2036</v>
      </c>
      <c r="AN389" s="833">
        <f t="shared" si="652"/>
        <v>2037</v>
      </c>
      <c r="AO389" s="833">
        <f t="shared" si="652"/>
        <v>2038</v>
      </c>
      <c r="AP389" s="833">
        <f t="shared" si="652"/>
        <v>2039</v>
      </c>
      <c r="AQ389" s="833">
        <f t="shared" si="652"/>
        <v>2040</v>
      </c>
      <c r="AR389" s="833">
        <f t="shared" si="652"/>
        <v>2041</v>
      </c>
      <c r="AS389" s="833">
        <f t="shared" si="652"/>
        <v>2042</v>
      </c>
      <c r="AT389" s="833">
        <f t="shared" si="652"/>
        <v>2043</v>
      </c>
      <c r="AU389" s="833">
        <f t="shared" si="652"/>
        <v>2044</v>
      </c>
      <c r="AV389" s="833">
        <f t="shared" si="652"/>
        <v>2045</v>
      </c>
      <c r="AW389" s="833">
        <f t="shared" si="652"/>
        <v>2046</v>
      </c>
      <c r="AX389" s="833">
        <f t="shared" si="652"/>
        <v>2047</v>
      </c>
      <c r="AY389" s="833">
        <f t="shared" si="652"/>
        <v>2048</v>
      </c>
      <c r="AZ389" s="833">
        <f t="shared" si="652"/>
        <v>2049</v>
      </c>
      <c r="BA389" s="834">
        <f t="shared" si="652"/>
        <v>2050</v>
      </c>
    </row>
    <row r="390" spans="19:53" ht="20.100000000000001" customHeight="1">
      <c r="S390" s="802" t="s">
        <v>78</v>
      </c>
      <c r="T390" s="791" t="s">
        <v>3100</v>
      </c>
      <c r="U390" s="789"/>
      <c r="V390" s="789"/>
      <c r="W390" s="789"/>
      <c r="X390" s="777">
        <f t="shared" ref="X390:BA390" si="653">(100-X$388)/100*X281</f>
        <v>0</v>
      </c>
      <c r="Y390" s="360">
        <f t="shared" si="653"/>
        <v>0</v>
      </c>
      <c r="Z390" s="360">
        <f t="shared" si="653"/>
        <v>413164.65382860624</v>
      </c>
      <c r="AA390" s="360">
        <f t="shared" si="653"/>
        <v>419362.12363603531</v>
      </c>
      <c r="AB390" s="360">
        <f t="shared" si="653"/>
        <v>425652.55549057585</v>
      </c>
      <c r="AC390" s="360">
        <f t="shared" si="653"/>
        <v>432037.34382293449</v>
      </c>
      <c r="AD390" s="360">
        <f t="shared" si="653"/>
        <v>438517.90398027853</v>
      </c>
      <c r="AE390" s="360">
        <f t="shared" si="653"/>
        <v>445095.67253998265</v>
      </c>
      <c r="AF390" s="360">
        <f t="shared" si="653"/>
        <v>451772.10762808239</v>
      </c>
      <c r="AG390" s="360">
        <f t="shared" si="653"/>
        <v>421993.52318914561</v>
      </c>
      <c r="AH390" s="360">
        <f t="shared" si="653"/>
        <v>400134.10097694886</v>
      </c>
      <c r="AI390" s="360">
        <f t="shared" si="653"/>
        <v>383856.82051738311</v>
      </c>
      <c r="AJ390" s="360">
        <f t="shared" si="653"/>
        <v>371495.44837805151</v>
      </c>
      <c r="AK390" s="360">
        <f t="shared" si="653"/>
        <v>361991.38795149449</v>
      </c>
      <c r="AL390" s="360">
        <f t="shared" si="653"/>
        <v>354639.58132842032</v>
      </c>
      <c r="AM390" s="360">
        <f t="shared" si="653"/>
        <v>359604.26716453314</v>
      </c>
      <c r="AN390" s="360">
        <f t="shared" si="653"/>
        <v>364638.44917735033</v>
      </c>
      <c r="AO390" s="360">
        <f t="shared" si="653"/>
        <v>369743.10014052666</v>
      </c>
      <c r="AP390" s="360">
        <f t="shared" si="653"/>
        <v>374919.56889659323</v>
      </c>
      <c r="AQ390" s="360">
        <f t="shared" si="653"/>
        <v>380168.5018700831</v>
      </c>
      <c r="AR390" s="360">
        <f t="shared" si="653"/>
        <v>385490.54930465773</v>
      </c>
      <c r="AS390" s="360">
        <f t="shared" si="653"/>
        <v>390887.09513667074</v>
      </c>
      <c r="AT390" s="360">
        <f t="shared" si="653"/>
        <v>396359.18215782003</v>
      </c>
      <c r="AU390" s="360">
        <f t="shared" si="653"/>
        <v>401908.25243887457</v>
      </c>
      <c r="AV390" s="360">
        <f t="shared" si="653"/>
        <v>407535.00269873498</v>
      </c>
      <c r="AW390" s="360">
        <f t="shared" si="653"/>
        <v>413240.13385373564</v>
      </c>
      <c r="AX390" s="360">
        <f t="shared" si="653"/>
        <v>419025.12567227875</v>
      </c>
      <c r="AY390" s="360">
        <f t="shared" si="653"/>
        <v>424891.09600381751</v>
      </c>
      <c r="AZ390" s="360">
        <f t="shared" si="653"/>
        <v>430839.17834472668</v>
      </c>
      <c r="BA390" s="1070">
        <f t="shared" si="653"/>
        <v>436870.93522252119</v>
      </c>
    </row>
    <row r="391" spans="19:53" ht="20.100000000000001" customHeight="1">
      <c r="S391" s="802" t="s">
        <v>79</v>
      </c>
      <c r="T391" s="791" t="s">
        <v>3101</v>
      </c>
      <c r="U391" s="789"/>
      <c r="V391" s="789"/>
      <c r="W391" s="789"/>
      <c r="X391" s="777">
        <f t="shared" ref="X391:BA391" si="654">(100-X$388)/100*X282</f>
        <v>0</v>
      </c>
      <c r="Y391" s="360">
        <f t="shared" si="654"/>
        <v>0</v>
      </c>
      <c r="Z391" s="360">
        <f t="shared" si="654"/>
        <v>517960.12511668302</v>
      </c>
      <c r="AA391" s="360">
        <f t="shared" si="654"/>
        <v>524693.60674319987</v>
      </c>
      <c r="AB391" s="360">
        <f t="shared" si="654"/>
        <v>531514.62363086152</v>
      </c>
      <c r="AC391" s="360">
        <f t="shared" si="654"/>
        <v>538424.31373806263</v>
      </c>
      <c r="AD391" s="360">
        <f t="shared" si="654"/>
        <v>545423.82981665747</v>
      </c>
      <c r="AE391" s="360">
        <f t="shared" si="654"/>
        <v>552514.3396042739</v>
      </c>
      <c r="AF391" s="360">
        <f t="shared" si="654"/>
        <v>559697.02601912944</v>
      </c>
      <c r="AG391" s="360">
        <f t="shared" si="654"/>
        <v>524118.04285102803</v>
      </c>
      <c r="AH391" s="360">
        <f t="shared" si="654"/>
        <v>495458.8681649713</v>
      </c>
      <c r="AI391" s="360">
        <f t="shared" si="654"/>
        <v>473630.20828304224</v>
      </c>
      <c r="AJ391" s="360">
        <f t="shared" si="654"/>
        <v>456581.39265807875</v>
      </c>
      <c r="AK391" s="360">
        <f t="shared" si="654"/>
        <v>443009.34974929097</v>
      </c>
      <c r="AL391" s="360">
        <f t="shared" si="654"/>
        <v>432046.00951218809</v>
      </c>
      <c r="AM391" s="360">
        <f t="shared" si="654"/>
        <v>435070.02984287823</v>
      </c>
      <c r="AN391" s="360">
        <f t="shared" si="654"/>
        <v>438115.20987258537</v>
      </c>
      <c r="AO391" s="360">
        <f t="shared" si="654"/>
        <v>441181.69765847636</v>
      </c>
      <c r="AP391" s="360">
        <f t="shared" si="654"/>
        <v>444270.0415283544</v>
      </c>
      <c r="AQ391" s="360">
        <f t="shared" si="654"/>
        <v>447379.9963675508</v>
      </c>
      <c r="AR391" s="360">
        <f t="shared" si="654"/>
        <v>450511.31785230449</v>
      </c>
      <c r="AS391" s="360">
        <f t="shared" si="654"/>
        <v>453664.54984824243</v>
      </c>
      <c r="AT391" s="360">
        <f t="shared" si="654"/>
        <v>456839.84566660109</v>
      </c>
      <c r="AU391" s="360">
        <f t="shared" si="654"/>
        <v>460037.76898714801</v>
      </c>
      <c r="AV391" s="360">
        <f t="shared" si="654"/>
        <v>463258.07006254373</v>
      </c>
      <c r="AW391" s="360">
        <f t="shared" si="654"/>
        <v>466500.49996187433</v>
      </c>
      <c r="AX391" s="360">
        <f t="shared" si="654"/>
        <v>469765.61782725796</v>
      </c>
      <c r="AY391" s="360">
        <f t="shared" si="654"/>
        <v>473053.58241044986</v>
      </c>
      <c r="AZ391" s="360">
        <f t="shared" si="654"/>
        <v>476364.55357415677</v>
      </c>
      <c r="BA391" s="1070">
        <f t="shared" si="654"/>
        <v>479699.11400334252</v>
      </c>
    </row>
    <row r="392" spans="19:53" ht="20.100000000000001" customHeight="1">
      <c r="S392" s="843" t="s">
        <v>80</v>
      </c>
      <c r="T392" s="1216" t="s">
        <v>3101</v>
      </c>
      <c r="U392" s="1217"/>
      <c r="V392" s="1217"/>
      <c r="W392" s="1217"/>
      <c r="X392" s="284">
        <f t="shared" ref="X392:BA392" si="655">(100-X$388)/100*X283</f>
        <v>0</v>
      </c>
      <c r="Y392" s="365">
        <f t="shared" si="655"/>
        <v>0</v>
      </c>
      <c r="Z392" s="365">
        <f t="shared" si="655"/>
        <v>61332.751943377727</v>
      </c>
      <c r="AA392" s="365">
        <f t="shared" si="655"/>
        <v>61884.746710868138</v>
      </c>
      <c r="AB392" s="365">
        <f t="shared" si="655"/>
        <v>62441.709431265954</v>
      </c>
      <c r="AC392" s="365">
        <f t="shared" si="655"/>
        <v>63003.684816147354</v>
      </c>
      <c r="AD392" s="365">
        <f t="shared" si="655"/>
        <v>63570.717979492685</v>
      </c>
      <c r="AE392" s="365">
        <f t="shared" si="655"/>
        <v>64142.854441308125</v>
      </c>
      <c r="AF392" s="365">
        <f t="shared" si="655"/>
        <v>64720.140131279906</v>
      </c>
      <c r="AG392" s="365">
        <f t="shared" si="655"/>
        <v>59088.621935036441</v>
      </c>
      <c r="AH392" s="365">
        <f t="shared" si="655"/>
        <v>55032.403096692768</v>
      </c>
      <c r="AI392" s="365">
        <f t="shared" si="655"/>
        <v>51940.504120122649</v>
      </c>
      <c r="AJ392" s="365">
        <f t="shared" si="655"/>
        <v>49523.700681302638</v>
      </c>
      <c r="AK392" s="365">
        <f t="shared" si="655"/>
        <v>47598.215507694425</v>
      </c>
      <c r="AL392" s="365">
        <f t="shared" si="655"/>
        <v>46041.624718948362</v>
      </c>
      <c r="AM392" s="365">
        <f t="shared" si="655"/>
        <v>46548.037785870496</v>
      </c>
      <c r="AN392" s="365">
        <f t="shared" si="655"/>
        <v>47060.019959823003</v>
      </c>
      <c r="AO392" s="365">
        <f t="shared" si="655"/>
        <v>47577.632481187276</v>
      </c>
      <c r="AP392" s="365">
        <f t="shared" si="655"/>
        <v>48100.997255661125</v>
      </c>
      <c r="AQ392" s="365">
        <f t="shared" si="655"/>
        <v>48630.117963529032</v>
      </c>
      <c r="AR392" s="365">
        <f t="shared" si="655"/>
        <v>49164.997992297824</v>
      </c>
      <c r="AS392" s="365">
        <f t="shared" si="655"/>
        <v>49705.760168804823</v>
      </c>
      <c r="AT392" s="365">
        <f t="shared" si="655"/>
        <v>50252.469175791004</v>
      </c>
      <c r="AU392" s="365">
        <f t="shared" si="655"/>
        <v>50805.253142293623</v>
      </c>
      <c r="AV392" s="365">
        <f t="shared" si="655"/>
        <v>51364.11657325922</v>
      </c>
      <c r="AW392" s="365">
        <f t="shared" si="655"/>
        <v>51929.063673881799</v>
      </c>
      <c r="AX392" s="365">
        <f t="shared" si="655"/>
        <v>52500.223558811078</v>
      </c>
      <c r="AY392" s="365">
        <f t="shared" si="655"/>
        <v>53077.664546645363</v>
      </c>
      <c r="AZ392" s="365">
        <f t="shared" si="655"/>
        <v>53661.455707250054</v>
      </c>
      <c r="BA392" s="1218">
        <f t="shared" si="655"/>
        <v>54251.733062734987</v>
      </c>
    </row>
    <row r="393" spans="19:53" ht="20.100000000000001" customHeight="1" thickBot="1">
      <c r="S393" s="470" t="s">
        <v>176</v>
      </c>
      <c r="T393" s="288"/>
      <c r="U393" s="288"/>
      <c r="V393" s="288"/>
      <c r="W393" s="288"/>
      <c r="X393" s="320">
        <f>SUM(X390:X392)</f>
        <v>0</v>
      </c>
      <c r="Y393" s="320">
        <f t="shared" ref="Y393:BA393" si="656">SUM(Y390:Y392)</f>
        <v>0</v>
      </c>
      <c r="Z393" s="320">
        <f t="shared" si="656"/>
        <v>992457.5308886671</v>
      </c>
      <c r="AA393" s="320">
        <f t="shared" si="656"/>
        <v>1005940.4770901033</v>
      </c>
      <c r="AB393" s="320">
        <f t="shared" si="656"/>
        <v>1019608.8885527033</v>
      </c>
      <c r="AC393" s="320">
        <f t="shared" si="656"/>
        <v>1033465.3423771445</v>
      </c>
      <c r="AD393" s="320">
        <f t="shared" si="656"/>
        <v>1047512.4517764287</v>
      </c>
      <c r="AE393" s="320">
        <f t="shared" si="656"/>
        <v>1061752.8665855648</v>
      </c>
      <c r="AF393" s="320">
        <f t="shared" si="656"/>
        <v>1076189.2737784917</v>
      </c>
      <c r="AG393" s="320">
        <f t="shared" si="656"/>
        <v>1005200.1879752101</v>
      </c>
      <c r="AH393" s="320">
        <f t="shared" si="656"/>
        <v>950625.37223861285</v>
      </c>
      <c r="AI393" s="320">
        <f t="shared" si="656"/>
        <v>909427.53292054799</v>
      </c>
      <c r="AJ393" s="320">
        <f t="shared" si="656"/>
        <v>877600.5417174329</v>
      </c>
      <c r="AK393" s="320">
        <f t="shared" si="656"/>
        <v>852598.95320847991</v>
      </c>
      <c r="AL393" s="320">
        <f t="shared" si="656"/>
        <v>832727.21555955673</v>
      </c>
      <c r="AM393" s="320">
        <f t="shared" si="656"/>
        <v>841222.33479328186</v>
      </c>
      <c r="AN393" s="320">
        <f t="shared" si="656"/>
        <v>849813.67900975863</v>
      </c>
      <c r="AO393" s="320">
        <f t="shared" si="656"/>
        <v>858502.43028019031</v>
      </c>
      <c r="AP393" s="320">
        <f t="shared" si="656"/>
        <v>867290.60768060887</v>
      </c>
      <c r="AQ393" s="320">
        <f t="shared" si="656"/>
        <v>876178.61620116292</v>
      </c>
      <c r="AR393" s="320">
        <f t="shared" si="656"/>
        <v>885166.86514926003</v>
      </c>
      <c r="AS393" s="320">
        <f t="shared" si="656"/>
        <v>894257.40515371796</v>
      </c>
      <c r="AT393" s="320">
        <f t="shared" si="656"/>
        <v>903451.4970002122</v>
      </c>
      <c r="AU393" s="320">
        <f t="shared" si="656"/>
        <v>912751.27456831618</v>
      </c>
      <c r="AV393" s="320">
        <f t="shared" si="656"/>
        <v>922157.18933453795</v>
      </c>
      <c r="AW393" s="320">
        <f t="shared" si="656"/>
        <v>931669.69748949178</v>
      </c>
      <c r="AX393" s="320">
        <f t="shared" si="656"/>
        <v>941290.96705834789</v>
      </c>
      <c r="AY393" s="320">
        <f t="shared" si="656"/>
        <v>951022.34296091273</v>
      </c>
      <c r="AZ393" s="320">
        <f t="shared" si="656"/>
        <v>960865.18762613356</v>
      </c>
      <c r="BA393" s="321">
        <f t="shared" si="656"/>
        <v>970821.78228859871</v>
      </c>
    </row>
    <row r="394" spans="19:53" ht="20.100000000000001" customHeight="1">
      <c r="S394" s="468" t="s">
        <v>3107</v>
      </c>
      <c r="T394" s="287"/>
      <c r="U394" s="287"/>
      <c r="V394" s="287"/>
      <c r="W394" s="287"/>
      <c r="X394" s="287"/>
      <c r="Y394" s="287"/>
      <c r="Z394" s="287"/>
      <c r="AA394" s="287"/>
      <c r="AB394" s="287"/>
      <c r="AC394" s="287"/>
      <c r="AD394" s="287"/>
      <c r="AE394" s="287"/>
      <c r="AF394" s="287"/>
      <c r="AG394" s="287"/>
      <c r="AH394" s="287"/>
      <c r="AI394" s="287"/>
      <c r="AJ394" s="287"/>
      <c r="AK394" s="287"/>
      <c r="AL394" s="287"/>
      <c r="AM394" s="287"/>
      <c r="AN394" s="287"/>
      <c r="AO394" s="287"/>
      <c r="AP394" s="287"/>
      <c r="AQ394" s="287"/>
      <c r="AR394" s="287"/>
      <c r="AS394" s="287"/>
      <c r="AT394" s="287"/>
      <c r="AU394" s="287"/>
      <c r="AV394" s="287"/>
      <c r="AW394" s="287"/>
      <c r="AX394" s="287"/>
      <c r="AY394" s="287"/>
      <c r="AZ394" s="287"/>
      <c r="BA394" s="895"/>
    </row>
    <row r="395" spans="19:53" ht="20.100000000000001" customHeight="1">
      <c r="S395" s="241" t="s">
        <v>78</v>
      </c>
      <c r="T395" s="280"/>
      <c r="U395" s="280"/>
      <c r="V395" s="280"/>
      <c r="W395" s="280"/>
      <c r="X395" s="777">
        <f t="shared" ref="X395:BA395" si="657">IF(X$393=0,0,X390/X$393*100)</f>
        <v>0</v>
      </c>
      <c r="Y395" s="272">
        <f t="shared" si="657"/>
        <v>0</v>
      </c>
      <c r="Z395" s="272">
        <f t="shared" si="657"/>
        <v>41.630461855496229</v>
      </c>
      <c r="AA395" s="272">
        <f t="shared" si="657"/>
        <v>41.688562413665807</v>
      </c>
      <c r="AB395" s="272">
        <f t="shared" si="657"/>
        <v>41.746650139032596</v>
      </c>
      <c r="AC395" s="272">
        <f t="shared" si="657"/>
        <v>41.804724948896279</v>
      </c>
      <c r="AD395" s="272">
        <f t="shared" si="657"/>
        <v>41.862786760827134</v>
      </c>
      <c r="AE395" s="272">
        <f t="shared" si="657"/>
        <v>41.920835492664352</v>
      </c>
      <c r="AF395" s="272">
        <f t="shared" si="657"/>
        <v>41.978871062514337</v>
      </c>
      <c r="AG395" s="272">
        <f t="shared" si="657"/>
        <v>41.981043003898904</v>
      </c>
      <c r="AH395" s="272">
        <f t="shared" si="657"/>
        <v>42.091670668822914</v>
      </c>
      <c r="AI395" s="272">
        <f t="shared" si="657"/>
        <v>42.20862098650786</v>
      </c>
      <c r="AJ395" s="272">
        <f t="shared" si="657"/>
        <v>42.330813475917893</v>
      </c>
      <c r="AK395" s="272">
        <f t="shared" si="657"/>
        <v>42.457404690594238</v>
      </c>
      <c r="AL395" s="272">
        <f t="shared" si="657"/>
        <v>42.587725572307356</v>
      </c>
      <c r="AM395" s="272">
        <f t="shared" si="657"/>
        <v>42.7478268575573</v>
      </c>
      <c r="AN395" s="272">
        <f t="shared" si="657"/>
        <v>42.908046573484619</v>
      </c>
      <c r="AO395" s="272">
        <f t="shared" si="657"/>
        <v>43.068381299730653</v>
      </c>
      <c r="AP395" s="272">
        <f t="shared" si="657"/>
        <v>43.22882844301045</v>
      </c>
      <c r="AQ395" s="272">
        <f t="shared" si="657"/>
        <v>43.389383721594932</v>
      </c>
      <c r="AR395" s="272">
        <f t="shared" si="657"/>
        <v>43.550042876904897</v>
      </c>
      <c r="AS395" s="272">
        <f t="shared" si="657"/>
        <v>43.710803274755037</v>
      </c>
      <c r="AT395" s="272">
        <f t="shared" si="657"/>
        <v>43.871661453202165</v>
      </c>
      <c r="AU395" s="272">
        <f t="shared" si="657"/>
        <v>44.032614759037855</v>
      </c>
      <c r="AV395" s="272">
        <f t="shared" si="657"/>
        <v>44.193658891585173</v>
      </c>
      <c r="AW395" s="272">
        <f t="shared" si="657"/>
        <v>44.35478957481029</v>
      </c>
      <c r="AX395" s="272">
        <f t="shared" si="657"/>
        <v>44.516004119510967</v>
      </c>
      <c r="AY395" s="272">
        <f t="shared" si="657"/>
        <v>44.677299029690687</v>
      </c>
      <c r="AZ395" s="272">
        <f t="shared" si="657"/>
        <v>44.838670803459621</v>
      </c>
      <c r="BA395" s="324">
        <f t="shared" si="657"/>
        <v>45.000116725095424</v>
      </c>
    </row>
    <row r="396" spans="19:53" ht="20.100000000000001" customHeight="1">
      <c r="S396" s="241" t="s">
        <v>79</v>
      </c>
      <c r="T396" s="280"/>
      <c r="U396" s="280"/>
      <c r="V396" s="280"/>
      <c r="W396" s="280"/>
      <c r="X396" s="777">
        <f t="shared" ref="X396:BA396" si="658">IF(X$393=0,0,X391/X$393*100)</f>
        <v>0</v>
      </c>
      <c r="Y396" s="272">
        <f t="shared" si="658"/>
        <v>0</v>
      </c>
      <c r="Z396" s="272">
        <f t="shared" si="658"/>
        <v>52.189651344868203</v>
      </c>
      <c r="AA396" s="272">
        <f t="shared" si="658"/>
        <v>52.159508310172356</v>
      </c>
      <c r="AB396" s="272">
        <f t="shared" si="658"/>
        <v>52.129265407378576</v>
      </c>
      <c r="AC396" s="272">
        <f t="shared" si="658"/>
        <v>52.098923075600766</v>
      </c>
      <c r="AD396" s="272">
        <f t="shared" si="658"/>
        <v>52.068481753290662</v>
      </c>
      <c r="AE396" s="272">
        <f t="shared" si="658"/>
        <v>52.037941878233461</v>
      </c>
      <c r="AF396" s="272">
        <f t="shared" si="658"/>
        <v>52.007303887543664</v>
      </c>
      <c r="AG396" s="272">
        <f t="shared" si="658"/>
        <v>52.140663036162671</v>
      </c>
      <c r="AH396" s="272">
        <f t="shared" si="658"/>
        <v>52.119255664113297</v>
      </c>
      <c r="AI396" s="272">
        <f t="shared" si="658"/>
        <v>52.080038390966642</v>
      </c>
      <c r="AJ396" s="272">
        <f t="shared" si="658"/>
        <v>52.026106520463777</v>
      </c>
      <c r="AK396" s="272">
        <f t="shared" si="658"/>
        <v>51.959874930900249</v>
      </c>
      <c r="AL396" s="272">
        <f t="shared" si="658"/>
        <v>51.883257979249763</v>
      </c>
      <c r="AM396" s="272">
        <f t="shared" si="658"/>
        <v>51.718792030146268</v>
      </c>
      <c r="AN396" s="272">
        <f t="shared" si="658"/>
        <v>51.554266622666866</v>
      </c>
      <c r="AO396" s="272">
        <f t="shared" si="658"/>
        <v>51.38968535179189</v>
      </c>
      <c r="AP396" s="272">
        <f t="shared" si="658"/>
        <v>51.225049319565862</v>
      </c>
      <c r="AQ396" s="272">
        <f t="shared" si="658"/>
        <v>51.060364644283474</v>
      </c>
      <c r="AR396" s="272">
        <f t="shared" si="658"/>
        <v>50.895637375257785</v>
      </c>
      <c r="AS396" s="272">
        <f t="shared" si="658"/>
        <v>50.730868677599595</v>
      </c>
      <c r="AT396" s="272">
        <f t="shared" si="658"/>
        <v>50.56606217195673</v>
      </c>
      <c r="AU396" s="272">
        <f t="shared" si="658"/>
        <v>50.401219018261237</v>
      </c>
      <c r="AV396" s="272">
        <f t="shared" si="658"/>
        <v>50.236345323821375</v>
      </c>
      <c r="AW396" s="272">
        <f t="shared" si="658"/>
        <v>50.0714471254053</v>
      </c>
      <c r="AX396" s="272">
        <f t="shared" si="658"/>
        <v>49.906525640560886</v>
      </c>
      <c r="AY396" s="272">
        <f t="shared" si="658"/>
        <v>49.741584507641001</v>
      </c>
      <c r="AZ396" s="272">
        <f t="shared" si="658"/>
        <v>49.576627367574808</v>
      </c>
      <c r="BA396" s="324">
        <f t="shared" si="658"/>
        <v>49.411655440250627</v>
      </c>
    </row>
    <row r="397" spans="19:53" ht="20.100000000000001" customHeight="1">
      <c r="S397" s="241" t="s">
        <v>80</v>
      </c>
      <c r="T397" s="280"/>
      <c r="U397" s="280"/>
      <c r="V397" s="280"/>
      <c r="W397" s="280"/>
      <c r="X397" s="777">
        <f t="shared" ref="X397:BA397" si="659">IF(X$393=0,0,X392/X$393*100)</f>
        <v>0</v>
      </c>
      <c r="Y397" s="272">
        <f t="shared" si="659"/>
        <v>0</v>
      </c>
      <c r="Z397" s="272">
        <f t="shared" si="659"/>
        <v>6.1798867996355584</v>
      </c>
      <c r="AA397" s="272">
        <f t="shared" si="659"/>
        <v>6.1519292761618383</v>
      </c>
      <c r="AB397" s="272">
        <f t="shared" si="659"/>
        <v>6.1240844535888286</v>
      </c>
      <c r="AC397" s="272">
        <f t="shared" si="659"/>
        <v>6.0963519755029481</v>
      </c>
      <c r="AD397" s="272">
        <f t="shared" si="659"/>
        <v>6.0687314858821955</v>
      </c>
      <c r="AE397" s="272">
        <f t="shared" si="659"/>
        <v>6.0412226291021716</v>
      </c>
      <c r="AF397" s="272">
        <f t="shared" si="659"/>
        <v>6.0138250499420076</v>
      </c>
      <c r="AG397" s="272">
        <f t="shared" si="659"/>
        <v>5.8782939599384223</v>
      </c>
      <c r="AH397" s="272">
        <f t="shared" si="659"/>
        <v>5.7890736670637999</v>
      </c>
      <c r="AI397" s="272">
        <f t="shared" si="659"/>
        <v>5.7113406225254915</v>
      </c>
      <c r="AJ397" s="272">
        <f t="shared" si="659"/>
        <v>5.6430800036183344</v>
      </c>
      <c r="AK397" s="272">
        <f t="shared" si="659"/>
        <v>5.5827203785055053</v>
      </c>
      <c r="AL397" s="272">
        <f t="shared" si="659"/>
        <v>5.5290164484428885</v>
      </c>
      <c r="AM397" s="272">
        <f t="shared" si="659"/>
        <v>5.5333811122964294</v>
      </c>
      <c r="AN397" s="272">
        <f t="shared" si="659"/>
        <v>5.5376868038485174</v>
      </c>
      <c r="AO397" s="272">
        <f t="shared" si="659"/>
        <v>5.5419333484774551</v>
      </c>
      <c r="AP397" s="272">
        <f t="shared" si="659"/>
        <v>5.5461222374236696</v>
      </c>
      <c r="AQ397" s="272">
        <f t="shared" si="659"/>
        <v>5.5502516341215964</v>
      </c>
      <c r="AR397" s="272">
        <f t="shared" si="659"/>
        <v>5.5543197478373125</v>
      </c>
      <c r="AS397" s="272">
        <f t="shared" si="659"/>
        <v>5.5583280476453734</v>
      </c>
      <c r="AT397" s="272">
        <f t="shared" si="659"/>
        <v>5.5622763748410948</v>
      </c>
      <c r="AU397" s="272">
        <f t="shared" si="659"/>
        <v>5.5661662227009066</v>
      </c>
      <c r="AV397" s="272">
        <f t="shared" si="659"/>
        <v>5.569995784593452</v>
      </c>
      <c r="AW397" s="272">
        <f t="shared" si="659"/>
        <v>5.5737632997844173</v>
      </c>
      <c r="AX397" s="272">
        <f t="shared" si="659"/>
        <v>5.5774702399281324</v>
      </c>
      <c r="AY397" s="272">
        <f t="shared" si="659"/>
        <v>5.5811164626683087</v>
      </c>
      <c r="AZ397" s="272">
        <f t="shared" si="659"/>
        <v>5.5847018289655619</v>
      </c>
      <c r="BA397" s="324">
        <f t="shared" si="659"/>
        <v>5.588227834653944</v>
      </c>
    </row>
    <row r="398" spans="19:53" ht="20.100000000000001" customHeight="1" thickBot="1">
      <c r="S398" s="470" t="s">
        <v>176</v>
      </c>
      <c r="T398" s="471"/>
      <c r="U398" s="471"/>
      <c r="V398" s="471"/>
      <c r="W398" s="471"/>
      <c r="X398" s="320">
        <f>SUM(X395:X397)</f>
        <v>0</v>
      </c>
      <c r="Y398" s="320">
        <f t="shared" ref="Y398:BA398" si="660">SUM(Y395:Y397)</f>
        <v>0</v>
      </c>
      <c r="Z398" s="320">
        <f t="shared" si="660"/>
        <v>99.999999999999986</v>
      </c>
      <c r="AA398" s="320">
        <f t="shared" si="660"/>
        <v>100</v>
      </c>
      <c r="AB398" s="320">
        <f t="shared" si="660"/>
        <v>100</v>
      </c>
      <c r="AC398" s="320">
        <f t="shared" si="660"/>
        <v>100</v>
      </c>
      <c r="AD398" s="320">
        <f t="shared" si="660"/>
        <v>99.999999999999986</v>
      </c>
      <c r="AE398" s="320">
        <f t="shared" si="660"/>
        <v>99.999999999999986</v>
      </c>
      <c r="AF398" s="320">
        <f t="shared" si="660"/>
        <v>100.00000000000001</v>
      </c>
      <c r="AG398" s="320">
        <f t="shared" si="660"/>
        <v>100</v>
      </c>
      <c r="AH398" s="320">
        <f t="shared" si="660"/>
        <v>100.00000000000001</v>
      </c>
      <c r="AI398" s="320">
        <f t="shared" si="660"/>
        <v>100</v>
      </c>
      <c r="AJ398" s="320">
        <f t="shared" si="660"/>
        <v>100</v>
      </c>
      <c r="AK398" s="320">
        <f t="shared" si="660"/>
        <v>99.999999999999986</v>
      </c>
      <c r="AL398" s="320">
        <f t="shared" si="660"/>
        <v>100</v>
      </c>
      <c r="AM398" s="320">
        <f t="shared" si="660"/>
        <v>99.999999999999986</v>
      </c>
      <c r="AN398" s="320">
        <f t="shared" si="660"/>
        <v>100</v>
      </c>
      <c r="AO398" s="320">
        <f t="shared" si="660"/>
        <v>100</v>
      </c>
      <c r="AP398" s="320">
        <f t="shared" si="660"/>
        <v>99.999999999999986</v>
      </c>
      <c r="AQ398" s="320">
        <f t="shared" si="660"/>
        <v>100</v>
      </c>
      <c r="AR398" s="320">
        <f t="shared" si="660"/>
        <v>99.999999999999986</v>
      </c>
      <c r="AS398" s="320">
        <f t="shared" si="660"/>
        <v>100</v>
      </c>
      <c r="AT398" s="320">
        <f t="shared" si="660"/>
        <v>99.999999999999986</v>
      </c>
      <c r="AU398" s="320">
        <f t="shared" si="660"/>
        <v>100</v>
      </c>
      <c r="AV398" s="320">
        <f t="shared" si="660"/>
        <v>100</v>
      </c>
      <c r="AW398" s="320">
        <f t="shared" si="660"/>
        <v>100</v>
      </c>
      <c r="AX398" s="320">
        <f t="shared" si="660"/>
        <v>99.999999999999986</v>
      </c>
      <c r="AY398" s="320">
        <f t="shared" si="660"/>
        <v>99.999999999999986</v>
      </c>
      <c r="AZ398" s="320">
        <f t="shared" si="660"/>
        <v>100</v>
      </c>
      <c r="BA398" s="321">
        <f t="shared" si="660"/>
        <v>100</v>
      </c>
    </row>
    <row r="400" spans="19:53" ht="20.100000000000001" customHeight="1" thickBot="1">
      <c r="S400" s="1321" t="s">
        <v>3183</v>
      </c>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row>
    <row r="401" spans="19:53" ht="20.100000000000001" customHeight="1">
      <c r="S401" s="468" t="s">
        <v>1259</v>
      </c>
      <c r="T401" s="287" t="s">
        <v>3103</v>
      </c>
      <c r="U401" s="287"/>
      <c r="V401" s="287"/>
      <c r="W401" s="287"/>
      <c r="X401" s="1228">
        <v>2021</v>
      </c>
      <c r="Y401" s="1228">
        <f>X401+1</f>
        <v>2022</v>
      </c>
      <c r="Z401" s="1228">
        <f t="shared" ref="Z401:BA401" si="661">Y401+1</f>
        <v>2023</v>
      </c>
      <c r="AA401" s="1228">
        <f t="shared" si="661"/>
        <v>2024</v>
      </c>
      <c r="AB401" s="1228">
        <f t="shared" si="661"/>
        <v>2025</v>
      </c>
      <c r="AC401" s="1228">
        <f t="shared" si="661"/>
        <v>2026</v>
      </c>
      <c r="AD401" s="1228">
        <f t="shared" si="661"/>
        <v>2027</v>
      </c>
      <c r="AE401" s="1228">
        <f t="shared" si="661"/>
        <v>2028</v>
      </c>
      <c r="AF401" s="1228">
        <f t="shared" si="661"/>
        <v>2029</v>
      </c>
      <c r="AG401" s="1228">
        <f t="shared" si="661"/>
        <v>2030</v>
      </c>
      <c r="AH401" s="1228">
        <f t="shared" si="661"/>
        <v>2031</v>
      </c>
      <c r="AI401" s="1228">
        <f t="shared" si="661"/>
        <v>2032</v>
      </c>
      <c r="AJ401" s="1228">
        <f t="shared" si="661"/>
        <v>2033</v>
      </c>
      <c r="AK401" s="1228">
        <f t="shared" si="661"/>
        <v>2034</v>
      </c>
      <c r="AL401" s="1228">
        <f t="shared" si="661"/>
        <v>2035</v>
      </c>
      <c r="AM401" s="1228">
        <f t="shared" si="661"/>
        <v>2036</v>
      </c>
      <c r="AN401" s="1228">
        <f t="shared" si="661"/>
        <v>2037</v>
      </c>
      <c r="AO401" s="1228">
        <f t="shared" si="661"/>
        <v>2038</v>
      </c>
      <c r="AP401" s="1228">
        <f t="shared" si="661"/>
        <v>2039</v>
      </c>
      <c r="AQ401" s="1228">
        <f t="shared" si="661"/>
        <v>2040</v>
      </c>
      <c r="AR401" s="1228">
        <f t="shared" si="661"/>
        <v>2041</v>
      </c>
      <c r="AS401" s="1228">
        <f t="shared" si="661"/>
        <v>2042</v>
      </c>
      <c r="AT401" s="1228">
        <f t="shared" si="661"/>
        <v>2043</v>
      </c>
      <c r="AU401" s="1228">
        <f t="shared" si="661"/>
        <v>2044</v>
      </c>
      <c r="AV401" s="1228">
        <f t="shared" si="661"/>
        <v>2045</v>
      </c>
      <c r="AW401" s="1228">
        <f t="shared" si="661"/>
        <v>2046</v>
      </c>
      <c r="AX401" s="1228">
        <f t="shared" si="661"/>
        <v>2047</v>
      </c>
      <c r="AY401" s="1228">
        <f t="shared" si="661"/>
        <v>2048</v>
      </c>
      <c r="AZ401" s="1228">
        <f t="shared" si="661"/>
        <v>2049</v>
      </c>
      <c r="BA401" s="318">
        <f t="shared" si="661"/>
        <v>2050</v>
      </c>
    </row>
    <row r="402" spans="19:53" ht="20.100000000000001" customHeight="1">
      <c r="S402" s="241" t="s">
        <v>3111</v>
      </c>
      <c r="T402" s="552" t="s">
        <v>3104</v>
      </c>
      <c r="U402" s="280"/>
      <c r="V402" s="280"/>
      <c r="W402" s="280"/>
      <c r="X402" s="272">
        <f>X395</f>
        <v>0</v>
      </c>
      <c r="Y402" s="272">
        <f t="shared" ref="Y402:BA402" si="662">Y395</f>
        <v>0</v>
      </c>
      <c r="Z402" s="272">
        <f t="shared" si="662"/>
        <v>41.630461855496229</v>
      </c>
      <c r="AA402" s="272">
        <f t="shared" si="662"/>
        <v>41.688562413665807</v>
      </c>
      <c r="AB402" s="272">
        <f t="shared" si="662"/>
        <v>41.746650139032596</v>
      </c>
      <c r="AC402" s="272">
        <f t="shared" si="662"/>
        <v>41.804724948896279</v>
      </c>
      <c r="AD402" s="272">
        <f t="shared" si="662"/>
        <v>41.862786760827134</v>
      </c>
      <c r="AE402" s="272">
        <f t="shared" si="662"/>
        <v>41.920835492664352</v>
      </c>
      <c r="AF402" s="272">
        <f t="shared" si="662"/>
        <v>41.978871062514337</v>
      </c>
      <c r="AG402" s="272">
        <f t="shared" si="662"/>
        <v>41.981043003898904</v>
      </c>
      <c r="AH402" s="272">
        <f t="shared" si="662"/>
        <v>42.091670668822914</v>
      </c>
      <c r="AI402" s="272">
        <f t="shared" si="662"/>
        <v>42.20862098650786</v>
      </c>
      <c r="AJ402" s="272">
        <f t="shared" si="662"/>
        <v>42.330813475917893</v>
      </c>
      <c r="AK402" s="272">
        <f t="shared" si="662"/>
        <v>42.457404690594238</v>
      </c>
      <c r="AL402" s="272">
        <f t="shared" si="662"/>
        <v>42.587725572307356</v>
      </c>
      <c r="AM402" s="272">
        <f t="shared" si="662"/>
        <v>42.7478268575573</v>
      </c>
      <c r="AN402" s="272">
        <f t="shared" si="662"/>
        <v>42.908046573484619</v>
      </c>
      <c r="AO402" s="272">
        <f t="shared" si="662"/>
        <v>43.068381299730653</v>
      </c>
      <c r="AP402" s="272">
        <f t="shared" si="662"/>
        <v>43.22882844301045</v>
      </c>
      <c r="AQ402" s="272">
        <f t="shared" si="662"/>
        <v>43.389383721594932</v>
      </c>
      <c r="AR402" s="272">
        <f t="shared" si="662"/>
        <v>43.550042876904897</v>
      </c>
      <c r="AS402" s="272">
        <f t="shared" si="662"/>
        <v>43.710803274755037</v>
      </c>
      <c r="AT402" s="272">
        <f t="shared" si="662"/>
        <v>43.871661453202165</v>
      </c>
      <c r="AU402" s="272">
        <f t="shared" si="662"/>
        <v>44.032614759037855</v>
      </c>
      <c r="AV402" s="272">
        <f t="shared" si="662"/>
        <v>44.193658891585173</v>
      </c>
      <c r="AW402" s="272">
        <f t="shared" si="662"/>
        <v>44.35478957481029</v>
      </c>
      <c r="AX402" s="272">
        <f t="shared" si="662"/>
        <v>44.516004119510967</v>
      </c>
      <c r="AY402" s="272">
        <f t="shared" si="662"/>
        <v>44.677299029690687</v>
      </c>
      <c r="AZ402" s="272">
        <f t="shared" si="662"/>
        <v>44.838670803459621</v>
      </c>
      <c r="BA402" s="324">
        <f t="shared" si="662"/>
        <v>45.000116725095424</v>
      </c>
    </row>
    <row r="403" spans="19:53" ht="20.100000000000001" customHeight="1">
      <c r="S403" s="241" t="s">
        <v>3110</v>
      </c>
      <c r="T403" s="552" t="s">
        <v>175</v>
      </c>
      <c r="U403" s="280"/>
      <c r="V403" s="280"/>
      <c r="W403" s="280"/>
      <c r="X403" s="366"/>
      <c r="Y403" s="272">
        <f t="shared" ref="Y403:BA403" si="663">IF(AND(Y401&gt;($F$187+2020),Y401&lt;($G$187+2022)),($G$182-INDEX($Y$402:$BA$402,1,($F$187-1)))/($G$187-$F$187+1),0)</f>
        <v>0</v>
      </c>
      <c r="Z403" s="272">
        <f t="shared" si="663"/>
        <v>0</v>
      </c>
      <c r="AA403" s="272">
        <f t="shared" si="663"/>
        <v>0</v>
      </c>
      <c r="AB403" s="272">
        <f t="shared" si="663"/>
        <v>5.1906264389032231E-2</v>
      </c>
      <c r="AC403" s="272">
        <f t="shared" si="663"/>
        <v>5.1906264389032231E-2</v>
      </c>
      <c r="AD403" s="272">
        <f t="shared" si="663"/>
        <v>5.1906264389032231E-2</v>
      </c>
      <c r="AE403" s="272">
        <f t="shared" si="663"/>
        <v>5.1906264389032231E-2</v>
      </c>
      <c r="AF403" s="272">
        <f t="shared" si="663"/>
        <v>5.1906264389032231E-2</v>
      </c>
      <c r="AG403" s="272">
        <f t="shared" si="663"/>
        <v>5.1906264389032231E-2</v>
      </c>
      <c r="AH403" s="272">
        <f t="shared" si="663"/>
        <v>0</v>
      </c>
      <c r="AI403" s="272">
        <f t="shared" si="663"/>
        <v>0</v>
      </c>
      <c r="AJ403" s="272">
        <f t="shared" si="663"/>
        <v>0</v>
      </c>
      <c r="AK403" s="272">
        <f t="shared" si="663"/>
        <v>0</v>
      </c>
      <c r="AL403" s="272">
        <f t="shared" si="663"/>
        <v>0</v>
      </c>
      <c r="AM403" s="272">
        <f t="shared" si="663"/>
        <v>0</v>
      </c>
      <c r="AN403" s="272">
        <f t="shared" si="663"/>
        <v>0</v>
      </c>
      <c r="AO403" s="272">
        <f t="shared" si="663"/>
        <v>0</v>
      </c>
      <c r="AP403" s="272">
        <f t="shared" si="663"/>
        <v>0</v>
      </c>
      <c r="AQ403" s="272">
        <f t="shared" si="663"/>
        <v>0</v>
      </c>
      <c r="AR403" s="272">
        <f t="shared" si="663"/>
        <v>0</v>
      </c>
      <c r="AS403" s="272">
        <f t="shared" si="663"/>
        <v>0</v>
      </c>
      <c r="AT403" s="272">
        <f t="shared" si="663"/>
        <v>0</v>
      </c>
      <c r="AU403" s="272">
        <f t="shared" si="663"/>
        <v>0</v>
      </c>
      <c r="AV403" s="272">
        <f t="shared" si="663"/>
        <v>0</v>
      </c>
      <c r="AW403" s="272">
        <f t="shared" si="663"/>
        <v>0</v>
      </c>
      <c r="AX403" s="272">
        <f t="shared" si="663"/>
        <v>0</v>
      </c>
      <c r="AY403" s="272">
        <f t="shared" si="663"/>
        <v>0</v>
      </c>
      <c r="AZ403" s="272">
        <f t="shared" si="663"/>
        <v>0</v>
      </c>
      <c r="BA403" s="324">
        <f t="shared" si="663"/>
        <v>0</v>
      </c>
    </row>
    <row r="404" spans="19:53" ht="20.100000000000001" customHeight="1">
      <c r="S404" s="844" t="s">
        <v>3112</v>
      </c>
      <c r="T404" s="552" t="s">
        <v>3102</v>
      </c>
      <c r="U404" s="280"/>
      <c r="V404" s="280"/>
      <c r="W404" s="280"/>
      <c r="X404" s="366"/>
      <c r="Y404" s="1220">
        <f>IF(AND(Y401&gt;($F$187+2020),Y401&lt;($G$187+2022)),Y402+Y403,Y402)</f>
        <v>0</v>
      </c>
      <c r="Z404" s="1220">
        <f>IF(AND(Z401&gt;($F$187+2020),Z401&lt;($G$187+2022)),Y404+Z403,Y404*IF(Y402=0,1,(Z402/Y402)))</f>
        <v>0</v>
      </c>
      <c r="AA404" s="1220">
        <f t="shared" ref="AA404:BA404" si="664">IF(AND(AA401&gt;($F$187+2020),AA401&lt;($G$187+2022)),Z404+AA403,Z404*IF(Z402=0,1,(AA402/Z402)))</f>
        <v>0</v>
      </c>
      <c r="AB404" s="1220">
        <f t="shared" si="664"/>
        <v>5.1906264389032231E-2</v>
      </c>
      <c r="AC404" s="1220">
        <f t="shared" si="664"/>
        <v>0.10381252877806446</v>
      </c>
      <c r="AD404" s="1220">
        <f t="shared" si="664"/>
        <v>0.15571879316709669</v>
      </c>
      <c r="AE404" s="1220">
        <f t="shared" si="664"/>
        <v>0.20762505755612892</v>
      </c>
      <c r="AF404" s="1220">
        <f t="shared" si="664"/>
        <v>0.25953132194516115</v>
      </c>
      <c r="AG404" s="1220">
        <f t="shared" si="664"/>
        <v>0.31143758633419338</v>
      </c>
      <c r="AH404" s="1220">
        <f t="shared" si="664"/>
        <v>0.31225828087821705</v>
      </c>
      <c r="AI404" s="1220">
        <f t="shared" si="664"/>
        <v>0.3131258802053094</v>
      </c>
      <c r="AJ404" s="1220">
        <f t="shared" si="664"/>
        <v>0.31403236873553708</v>
      </c>
      <c r="AK404" s="1220">
        <f t="shared" si="664"/>
        <v>0.31497148933685831</v>
      </c>
      <c r="AL404" s="1220">
        <f t="shared" si="664"/>
        <v>0.31593827858137297</v>
      </c>
      <c r="AM404" s="1220">
        <f t="shared" si="664"/>
        <v>0.31712599461412166</v>
      </c>
      <c r="AN404" s="1220">
        <f t="shared" si="664"/>
        <v>0.31831458922828881</v>
      </c>
      <c r="AO404" s="1220">
        <f t="shared" si="664"/>
        <v>0.31950403704984437</v>
      </c>
      <c r="AP404" s="1220">
        <f t="shared" si="664"/>
        <v>0.32069431884042865</v>
      </c>
      <c r="AQ404" s="1220">
        <f t="shared" si="664"/>
        <v>0.32188540283591016</v>
      </c>
      <c r="AR404" s="1220">
        <f t="shared" si="664"/>
        <v>0.32307725744389543</v>
      </c>
      <c r="AS404" s="1220">
        <f t="shared" si="664"/>
        <v>0.32426986312260436</v>
      </c>
      <c r="AT404" s="1220">
        <f t="shared" si="664"/>
        <v>0.32546319418951081</v>
      </c>
      <c r="AU404" s="1220">
        <f t="shared" si="664"/>
        <v>0.32665723096171112</v>
      </c>
      <c r="AV404" s="1220">
        <f t="shared" si="664"/>
        <v>0.32785194153450853</v>
      </c>
      <c r="AW404" s="1220">
        <f t="shared" si="664"/>
        <v>0.32904729418602197</v>
      </c>
      <c r="AX404" s="1220">
        <f t="shared" si="664"/>
        <v>0.33024326896632655</v>
      </c>
      <c r="AY404" s="1220">
        <f t="shared" si="664"/>
        <v>0.3314398399402706</v>
      </c>
      <c r="AZ404" s="1220">
        <f t="shared" si="664"/>
        <v>0.33263698112898277</v>
      </c>
      <c r="BA404" s="1221">
        <f t="shared" si="664"/>
        <v>0.33383467238579795</v>
      </c>
    </row>
    <row r="405" spans="19:53" ht="20.100000000000001" customHeight="1">
      <c r="S405" s="241" t="s">
        <v>79</v>
      </c>
      <c r="T405" s="552" t="s">
        <v>3102</v>
      </c>
      <c r="U405" s="280"/>
      <c r="V405" s="280"/>
      <c r="W405" s="280"/>
      <c r="X405" s="280"/>
      <c r="Y405" s="1220">
        <f t="shared" ref="Y405:BA405" si="665">100-Y404-Y408</f>
        <v>100</v>
      </c>
      <c r="Z405" s="1220">
        <f t="shared" si="665"/>
        <v>100</v>
      </c>
      <c r="AA405" s="1220">
        <f t="shared" si="665"/>
        <v>100</v>
      </c>
      <c r="AB405" s="1220">
        <f t="shared" si="665"/>
        <v>99.973415281637941</v>
      </c>
      <c r="AC405" s="1220">
        <f t="shared" si="665"/>
        <v>99.946830563275881</v>
      </c>
      <c r="AD405" s="1220">
        <f t="shared" si="665"/>
        <v>99.920245844913822</v>
      </c>
      <c r="AE405" s="1220">
        <f t="shared" si="665"/>
        <v>99.893661126551763</v>
      </c>
      <c r="AF405" s="1220">
        <f t="shared" si="665"/>
        <v>99.867076408189703</v>
      </c>
      <c r="AG405" s="1220">
        <f t="shared" si="665"/>
        <v>99.840491689827644</v>
      </c>
      <c r="AH405" s="1220">
        <f t="shared" si="665"/>
        <v>99.837365024434305</v>
      </c>
      <c r="AI405" s="1220">
        <f t="shared" si="665"/>
        <v>99.83448835151016</v>
      </c>
      <c r="AJ405" s="1220">
        <f t="shared" si="665"/>
        <v>99.831817611907837</v>
      </c>
      <c r="AK405" s="1220">
        <f t="shared" si="665"/>
        <v>99.829318447828712</v>
      </c>
      <c r="AL405" s="1220">
        <f t="shared" si="665"/>
        <v>99.826963636944413</v>
      </c>
      <c r="AM405" s="1220">
        <f t="shared" si="665"/>
        <v>99.825888729189799</v>
      </c>
      <c r="AN405" s="1220">
        <f t="shared" si="665"/>
        <v>99.824811418666769</v>
      </c>
      <c r="AO405" s="1220">
        <f t="shared" si="665"/>
        <v>99.823731726236176</v>
      </c>
      <c r="AP405" s="1220">
        <f t="shared" si="665"/>
        <v>99.822649709678643</v>
      </c>
      <c r="AQ405" s="1220">
        <f t="shared" si="665"/>
        <v>99.821565353290794</v>
      </c>
      <c r="AR405" s="1220">
        <f t="shared" si="665"/>
        <v>99.820478642382042</v>
      </c>
      <c r="AS405" s="1220">
        <f t="shared" si="665"/>
        <v>99.819389634463604</v>
      </c>
      <c r="AT405" s="1220">
        <f t="shared" si="665"/>
        <v>99.818298351116155</v>
      </c>
      <c r="AU405" s="1220">
        <f t="shared" si="665"/>
        <v>99.817204850617529</v>
      </c>
      <c r="AV405" s="1220">
        <f t="shared" si="665"/>
        <v>99.816109118178588</v>
      </c>
      <c r="AW405" s="1220">
        <f t="shared" si="665"/>
        <v>99.815011140013567</v>
      </c>
      <c r="AX405" s="272">
        <f t="shared" si="665"/>
        <v>99.813910974108538</v>
      </c>
      <c r="AY405" s="272">
        <f t="shared" si="665"/>
        <v>99.812808642719304</v>
      </c>
      <c r="AZ405" s="272">
        <f t="shared" si="665"/>
        <v>99.811704168231174</v>
      </c>
      <c r="BA405" s="324">
        <f t="shared" si="665"/>
        <v>99.810597609451861</v>
      </c>
    </row>
    <row r="406" spans="19:53" ht="20.100000000000001" customHeight="1">
      <c r="S406" s="241" t="s">
        <v>3113</v>
      </c>
      <c r="T406" s="552" t="s">
        <v>3104</v>
      </c>
      <c r="U406" s="280"/>
      <c r="V406" s="280"/>
      <c r="W406" s="280"/>
      <c r="X406" s="272">
        <f t="shared" ref="X406:BA406" si="666">X397</f>
        <v>0</v>
      </c>
      <c r="Y406" s="272">
        <f t="shared" si="666"/>
        <v>0</v>
      </c>
      <c r="Z406" s="272">
        <f t="shared" si="666"/>
        <v>6.1798867996355584</v>
      </c>
      <c r="AA406" s="272">
        <f t="shared" si="666"/>
        <v>6.1519292761618383</v>
      </c>
      <c r="AB406" s="272">
        <f t="shared" si="666"/>
        <v>6.1240844535888286</v>
      </c>
      <c r="AC406" s="272">
        <f t="shared" si="666"/>
        <v>6.0963519755029481</v>
      </c>
      <c r="AD406" s="272">
        <f t="shared" si="666"/>
        <v>6.0687314858821955</v>
      </c>
      <c r="AE406" s="272">
        <f t="shared" si="666"/>
        <v>6.0412226291021716</v>
      </c>
      <c r="AF406" s="272">
        <f t="shared" si="666"/>
        <v>6.0138250499420076</v>
      </c>
      <c r="AG406" s="272">
        <f t="shared" si="666"/>
        <v>5.8782939599384223</v>
      </c>
      <c r="AH406" s="272">
        <f t="shared" si="666"/>
        <v>5.7890736670637999</v>
      </c>
      <c r="AI406" s="272">
        <f t="shared" si="666"/>
        <v>5.7113406225254915</v>
      </c>
      <c r="AJ406" s="272">
        <f t="shared" si="666"/>
        <v>5.6430800036183344</v>
      </c>
      <c r="AK406" s="272">
        <f t="shared" si="666"/>
        <v>5.5827203785055053</v>
      </c>
      <c r="AL406" s="272">
        <f t="shared" si="666"/>
        <v>5.5290164484428885</v>
      </c>
      <c r="AM406" s="272">
        <f t="shared" si="666"/>
        <v>5.5333811122964294</v>
      </c>
      <c r="AN406" s="272">
        <f t="shared" si="666"/>
        <v>5.5376868038485174</v>
      </c>
      <c r="AO406" s="272">
        <f t="shared" si="666"/>
        <v>5.5419333484774551</v>
      </c>
      <c r="AP406" s="272">
        <f t="shared" si="666"/>
        <v>5.5461222374236696</v>
      </c>
      <c r="AQ406" s="272">
        <f t="shared" si="666"/>
        <v>5.5502516341215964</v>
      </c>
      <c r="AR406" s="272">
        <f t="shared" si="666"/>
        <v>5.5543197478373125</v>
      </c>
      <c r="AS406" s="272">
        <f t="shared" si="666"/>
        <v>5.5583280476453734</v>
      </c>
      <c r="AT406" s="272">
        <f t="shared" si="666"/>
        <v>5.5622763748410948</v>
      </c>
      <c r="AU406" s="272">
        <f t="shared" si="666"/>
        <v>5.5661662227009066</v>
      </c>
      <c r="AV406" s="272">
        <f t="shared" si="666"/>
        <v>5.569995784593452</v>
      </c>
      <c r="AW406" s="272">
        <f t="shared" si="666"/>
        <v>5.5737632997844173</v>
      </c>
      <c r="AX406" s="272">
        <f t="shared" si="666"/>
        <v>5.5774702399281324</v>
      </c>
      <c r="AY406" s="272">
        <f t="shared" si="666"/>
        <v>5.5811164626683087</v>
      </c>
      <c r="AZ406" s="272">
        <f t="shared" si="666"/>
        <v>5.5847018289655619</v>
      </c>
      <c r="BA406" s="324">
        <f t="shared" si="666"/>
        <v>5.588227834653944</v>
      </c>
    </row>
    <row r="407" spans="19:53" ht="20.100000000000001" customHeight="1">
      <c r="S407" s="241" t="s">
        <v>3110</v>
      </c>
      <c r="T407" s="552" t="s">
        <v>175</v>
      </c>
      <c r="U407" s="280"/>
      <c r="V407" s="280"/>
      <c r="W407" s="280"/>
      <c r="X407" s="280"/>
      <c r="Y407" s="272">
        <f t="shared" ref="Y407:BA407" si="667">IF(AND(Y401&gt;($F$187+2020),Y401&lt;($G$187+2022)),($G$183-INDEX($Y$406:$BA$406,1,($F$187-1)))/($G$187-$F$187+1),0)</f>
        <v>0</v>
      </c>
      <c r="Z407" s="272">
        <f t="shared" si="667"/>
        <v>0</v>
      </c>
      <c r="AA407" s="272">
        <f t="shared" si="667"/>
        <v>0</v>
      </c>
      <c r="AB407" s="272">
        <f t="shared" si="667"/>
        <v>-2.5321546026973046E-2</v>
      </c>
      <c r="AC407" s="272">
        <f t="shared" si="667"/>
        <v>-2.5321546026973046E-2</v>
      </c>
      <c r="AD407" s="272">
        <f t="shared" si="667"/>
        <v>-2.5321546026973046E-2</v>
      </c>
      <c r="AE407" s="272">
        <f t="shared" si="667"/>
        <v>-2.5321546026973046E-2</v>
      </c>
      <c r="AF407" s="272">
        <f t="shared" si="667"/>
        <v>-2.5321546026973046E-2</v>
      </c>
      <c r="AG407" s="272">
        <f t="shared" si="667"/>
        <v>-2.5321546026973046E-2</v>
      </c>
      <c r="AH407" s="272">
        <f t="shared" si="667"/>
        <v>0</v>
      </c>
      <c r="AI407" s="272">
        <f t="shared" si="667"/>
        <v>0</v>
      </c>
      <c r="AJ407" s="272">
        <f t="shared" si="667"/>
        <v>0</v>
      </c>
      <c r="AK407" s="272">
        <f t="shared" si="667"/>
        <v>0</v>
      </c>
      <c r="AL407" s="272">
        <f t="shared" si="667"/>
        <v>0</v>
      </c>
      <c r="AM407" s="272">
        <f t="shared" si="667"/>
        <v>0</v>
      </c>
      <c r="AN407" s="272">
        <f t="shared" si="667"/>
        <v>0</v>
      </c>
      <c r="AO407" s="272">
        <f t="shared" si="667"/>
        <v>0</v>
      </c>
      <c r="AP407" s="272">
        <f t="shared" si="667"/>
        <v>0</v>
      </c>
      <c r="AQ407" s="272">
        <f t="shared" si="667"/>
        <v>0</v>
      </c>
      <c r="AR407" s="272">
        <f t="shared" si="667"/>
        <v>0</v>
      </c>
      <c r="AS407" s="272">
        <f t="shared" si="667"/>
        <v>0</v>
      </c>
      <c r="AT407" s="272">
        <f t="shared" si="667"/>
        <v>0</v>
      </c>
      <c r="AU407" s="272">
        <f t="shared" si="667"/>
        <v>0</v>
      </c>
      <c r="AV407" s="272">
        <f t="shared" si="667"/>
        <v>0</v>
      </c>
      <c r="AW407" s="272">
        <f t="shared" si="667"/>
        <v>0</v>
      </c>
      <c r="AX407" s="272">
        <f t="shared" si="667"/>
        <v>0</v>
      </c>
      <c r="AY407" s="272">
        <f t="shared" si="667"/>
        <v>0</v>
      </c>
      <c r="AZ407" s="272">
        <f t="shared" si="667"/>
        <v>0</v>
      </c>
      <c r="BA407" s="324">
        <f t="shared" si="667"/>
        <v>0</v>
      </c>
    </row>
    <row r="408" spans="19:53" ht="20.100000000000001" customHeight="1">
      <c r="S408" s="241" t="s">
        <v>3114</v>
      </c>
      <c r="T408" s="552" t="s">
        <v>3102</v>
      </c>
      <c r="U408" s="280"/>
      <c r="V408" s="280"/>
      <c r="W408" s="280"/>
      <c r="X408" s="280"/>
      <c r="Y408" s="1220">
        <f>IF(AND(Y401&gt;($F$187+2020),Y401&lt;($G$187+2022)),Y406+Y407,Y406)</f>
        <v>0</v>
      </c>
      <c r="Z408" s="1220">
        <f>IF(AND(Z401&gt;($F$187+2020),Z401&lt;($G$187+2022)),Y408+Z407,Y408*IF(Y406=0,1,(Z406/Y406)))</f>
        <v>0</v>
      </c>
      <c r="AA408" s="1220">
        <f t="shared" ref="AA408:BA408" si="668">IF(AND(AA401&gt;($F$187+2020),AA401&lt;($G$187+2022)),Z408+AA407,Z408*IF(Z406=0,1,(AA406/Z406)))</f>
        <v>0</v>
      </c>
      <c r="AB408" s="1220">
        <f t="shared" si="668"/>
        <v>-2.5321546026973046E-2</v>
      </c>
      <c r="AC408" s="1220">
        <f t="shared" si="668"/>
        <v>-5.0643092053946091E-2</v>
      </c>
      <c r="AD408" s="1220">
        <f t="shared" si="668"/>
        <v>-7.5964638080919134E-2</v>
      </c>
      <c r="AE408" s="1220">
        <f t="shared" si="668"/>
        <v>-0.10128618410789218</v>
      </c>
      <c r="AF408" s="1220">
        <f t="shared" si="668"/>
        <v>-0.12660773013486523</v>
      </c>
      <c r="AG408" s="1220">
        <f t="shared" si="668"/>
        <v>-0.15192927616183827</v>
      </c>
      <c r="AH408" s="1220">
        <f t="shared" si="668"/>
        <v>-0.149623305312512</v>
      </c>
      <c r="AI408" s="1220">
        <f t="shared" si="668"/>
        <v>-0.14761423171547045</v>
      </c>
      <c r="AJ408" s="1220">
        <f t="shared" si="668"/>
        <v>-0.14584998064337332</v>
      </c>
      <c r="AK408" s="1220">
        <f t="shared" si="668"/>
        <v>-0.14428993716557348</v>
      </c>
      <c r="AL408" s="1220">
        <f t="shared" si="668"/>
        <v>-0.14290191552578044</v>
      </c>
      <c r="AM408" s="1220">
        <f t="shared" si="668"/>
        <v>-0.14301472380390967</v>
      </c>
      <c r="AN408" s="1220">
        <f t="shared" si="668"/>
        <v>-0.14312600789506658</v>
      </c>
      <c r="AO408" s="1220">
        <f t="shared" si="668"/>
        <v>-0.1432357632860117</v>
      </c>
      <c r="AP408" s="1220">
        <f t="shared" si="668"/>
        <v>-0.14334402851906367</v>
      </c>
      <c r="AQ408" s="1220">
        <f t="shared" si="668"/>
        <v>-0.14345075612669553</v>
      </c>
      <c r="AR408" s="1220">
        <f t="shared" si="668"/>
        <v>-0.14355589982593633</v>
      </c>
      <c r="AS408" s="1220">
        <f t="shared" si="668"/>
        <v>-0.14365949758620972</v>
      </c>
      <c r="AT408" s="1220">
        <f t="shared" si="668"/>
        <v>-0.1437615453056644</v>
      </c>
      <c r="AU408" s="1220">
        <f t="shared" si="668"/>
        <v>-0.14386208157924113</v>
      </c>
      <c r="AV408" s="1220">
        <f t="shared" si="668"/>
        <v>-0.14396105971308687</v>
      </c>
      <c r="AW408" s="1220">
        <f t="shared" si="668"/>
        <v>-0.14405843419959488</v>
      </c>
      <c r="AX408" s="1220">
        <f t="shared" si="668"/>
        <v>-0.14415424307486518</v>
      </c>
      <c r="AY408" s="1220">
        <f t="shared" si="668"/>
        <v>-0.14424848265958404</v>
      </c>
      <c r="AZ408" s="1220">
        <f t="shared" si="668"/>
        <v>-0.1443411493601657</v>
      </c>
      <c r="BA408" s="1221">
        <f t="shared" si="668"/>
        <v>-0.1444322818376548</v>
      </c>
    </row>
    <row r="409" spans="19:53" ht="20.100000000000001" customHeight="1" thickBot="1">
      <c r="S409" s="470" t="s">
        <v>3109</v>
      </c>
      <c r="T409" s="288"/>
      <c r="U409" s="288"/>
      <c r="V409" s="288"/>
      <c r="W409" s="288"/>
      <c r="X409" s="288"/>
      <c r="Y409" s="325">
        <f t="shared" ref="Y409:BA409" si="669">Y404+Y405+Y408</f>
        <v>100</v>
      </c>
      <c r="Z409" s="325">
        <f t="shared" si="669"/>
        <v>100</v>
      </c>
      <c r="AA409" s="325">
        <f t="shared" si="669"/>
        <v>100</v>
      </c>
      <c r="AB409" s="325">
        <f t="shared" si="669"/>
        <v>100</v>
      </c>
      <c r="AC409" s="325">
        <f t="shared" si="669"/>
        <v>100</v>
      </c>
      <c r="AD409" s="325">
        <f t="shared" si="669"/>
        <v>100</v>
      </c>
      <c r="AE409" s="325">
        <f t="shared" si="669"/>
        <v>100</v>
      </c>
      <c r="AF409" s="325">
        <f t="shared" si="669"/>
        <v>100</v>
      </c>
      <c r="AG409" s="325">
        <f t="shared" si="669"/>
        <v>100</v>
      </c>
      <c r="AH409" s="325">
        <f t="shared" si="669"/>
        <v>100</v>
      </c>
      <c r="AI409" s="325">
        <f t="shared" si="669"/>
        <v>100</v>
      </c>
      <c r="AJ409" s="325">
        <f t="shared" si="669"/>
        <v>100</v>
      </c>
      <c r="AK409" s="325">
        <f t="shared" si="669"/>
        <v>100</v>
      </c>
      <c r="AL409" s="325">
        <f t="shared" si="669"/>
        <v>100</v>
      </c>
      <c r="AM409" s="325">
        <f t="shared" si="669"/>
        <v>100</v>
      </c>
      <c r="AN409" s="325">
        <f t="shared" si="669"/>
        <v>100</v>
      </c>
      <c r="AO409" s="325">
        <f t="shared" si="669"/>
        <v>100</v>
      </c>
      <c r="AP409" s="325">
        <f t="shared" si="669"/>
        <v>100</v>
      </c>
      <c r="AQ409" s="325">
        <f t="shared" si="669"/>
        <v>100</v>
      </c>
      <c r="AR409" s="325">
        <f t="shared" si="669"/>
        <v>100</v>
      </c>
      <c r="AS409" s="325">
        <f t="shared" si="669"/>
        <v>100</v>
      </c>
      <c r="AT409" s="325">
        <f t="shared" si="669"/>
        <v>100</v>
      </c>
      <c r="AU409" s="325">
        <f t="shared" si="669"/>
        <v>100</v>
      </c>
      <c r="AV409" s="325">
        <f t="shared" si="669"/>
        <v>100</v>
      </c>
      <c r="AW409" s="325">
        <f t="shared" si="669"/>
        <v>100</v>
      </c>
      <c r="AX409" s="325">
        <f t="shared" si="669"/>
        <v>100</v>
      </c>
      <c r="AY409" s="325">
        <f t="shared" si="669"/>
        <v>100</v>
      </c>
      <c r="AZ409" s="325">
        <f t="shared" si="669"/>
        <v>100</v>
      </c>
      <c r="BA409" s="326">
        <f t="shared" si="669"/>
        <v>100</v>
      </c>
    </row>
    <row r="410" spans="19:53" ht="20.100000000000001" customHeight="1">
      <c r="S410" s="1276" t="s">
        <v>3115</v>
      </c>
      <c r="T410" s="285"/>
      <c r="U410" s="285"/>
      <c r="V410" s="285"/>
      <c r="W410" s="285"/>
      <c r="X410" s="316">
        <v>2021</v>
      </c>
      <c r="Y410" s="316">
        <f>X410+1</f>
        <v>2022</v>
      </c>
      <c r="Z410" s="316">
        <f t="shared" ref="Z410" si="670">Y410+1</f>
        <v>2023</v>
      </c>
      <c r="AA410" s="316">
        <f t="shared" ref="AA410" si="671">Z410+1</f>
        <v>2024</v>
      </c>
      <c r="AB410" s="316">
        <f t="shared" ref="AB410" si="672">AA410+1</f>
        <v>2025</v>
      </c>
      <c r="AC410" s="316">
        <f t="shared" ref="AC410" si="673">AB410+1</f>
        <v>2026</v>
      </c>
      <c r="AD410" s="316">
        <f t="shared" ref="AD410" si="674">AC410+1</f>
        <v>2027</v>
      </c>
      <c r="AE410" s="316">
        <f t="shared" ref="AE410" si="675">AD410+1</f>
        <v>2028</v>
      </c>
      <c r="AF410" s="316">
        <f t="shared" ref="AF410" si="676">AE410+1</f>
        <v>2029</v>
      </c>
      <c r="AG410" s="316">
        <f t="shared" ref="AG410" si="677">AF410+1</f>
        <v>2030</v>
      </c>
      <c r="AH410" s="316">
        <f t="shared" ref="AH410" si="678">AG410+1</f>
        <v>2031</v>
      </c>
      <c r="AI410" s="316">
        <f t="shared" ref="AI410" si="679">AH410+1</f>
        <v>2032</v>
      </c>
      <c r="AJ410" s="316">
        <f t="shared" ref="AJ410" si="680">AI410+1</f>
        <v>2033</v>
      </c>
      <c r="AK410" s="316">
        <f t="shared" ref="AK410" si="681">AJ410+1</f>
        <v>2034</v>
      </c>
      <c r="AL410" s="316">
        <f t="shared" ref="AL410" si="682">AK410+1</f>
        <v>2035</v>
      </c>
      <c r="AM410" s="316">
        <f t="shared" ref="AM410" si="683">AL410+1</f>
        <v>2036</v>
      </c>
      <c r="AN410" s="316">
        <f t="shared" ref="AN410" si="684">AM410+1</f>
        <v>2037</v>
      </c>
      <c r="AO410" s="316">
        <f t="shared" ref="AO410" si="685">AN410+1</f>
        <v>2038</v>
      </c>
      <c r="AP410" s="316">
        <f t="shared" ref="AP410" si="686">AO410+1</f>
        <v>2039</v>
      </c>
      <c r="AQ410" s="316">
        <f t="shared" ref="AQ410" si="687">AP410+1</f>
        <v>2040</v>
      </c>
      <c r="AR410" s="316">
        <f t="shared" ref="AR410" si="688">AQ410+1</f>
        <v>2041</v>
      </c>
      <c r="AS410" s="316">
        <f t="shared" ref="AS410" si="689">AR410+1</f>
        <v>2042</v>
      </c>
      <c r="AT410" s="316">
        <f t="shared" ref="AT410" si="690">AS410+1</f>
        <v>2043</v>
      </c>
      <c r="AU410" s="316">
        <f t="shared" ref="AU410" si="691">AT410+1</f>
        <v>2044</v>
      </c>
      <c r="AV410" s="316">
        <f t="shared" ref="AV410" si="692">AU410+1</f>
        <v>2045</v>
      </c>
      <c r="AW410" s="316">
        <f t="shared" ref="AW410" si="693">AV410+1</f>
        <v>2046</v>
      </c>
      <c r="AX410" s="316">
        <f t="shared" ref="AX410" si="694">AW410+1</f>
        <v>2047</v>
      </c>
      <c r="AY410" s="316">
        <f t="shared" ref="AY410" si="695">AX410+1</f>
        <v>2048</v>
      </c>
      <c r="AZ410" s="316">
        <f t="shared" ref="AZ410" si="696">AY410+1</f>
        <v>2049</v>
      </c>
      <c r="BA410" s="1277">
        <f t="shared" ref="BA410" si="697">AZ410+1</f>
        <v>2050</v>
      </c>
    </row>
    <row r="411" spans="19:53" ht="20.100000000000001" customHeight="1">
      <c r="S411" s="241" t="s">
        <v>78</v>
      </c>
      <c r="T411" s="280"/>
      <c r="U411" s="280"/>
      <c r="V411" s="280"/>
      <c r="W411" s="280"/>
      <c r="X411" s="280"/>
      <c r="Y411" s="272">
        <f>Y404/100*Y393</f>
        <v>0</v>
      </c>
      <c r="Z411" s="272">
        <f t="shared" ref="Z411:BA411" si="698">Z404/100*Z393</f>
        <v>0</v>
      </c>
      <c r="AA411" s="272">
        <f t="shared" si="698"/>
        <v>0</v>
      </c>
      <c r="AB411" s="272">
        <f t="shared" si="698"/>
        <v>529.24088542623917</v>
      </c>
      <c r="AC411" s="272">
        <f t="shared" si="698"/>
        <v>1072.8665059665955</v>
      </c>
      <c r="AD411" s="272">
        <f t="shared" si="698"/>
        <v>1631.1737481813207</v>
      </c>
      <c r="AE411" s="272">
        <f t="shared" si="698"/>
        <v>2204.4650003521274</v>
      </c>
      <c r="AF411" s="272">
        <f t="shared" si="698"/>
        <v>2793.0482488693488</v>
      </c>
      <c r="AG411" s="272">
        <f t="shared" si="698"/>
        <v>3130.5712032567694</v>
      </c>
      <c r="AH411" s="272">
        <f t="shared" si="698"/>
        <v>2968.406444944444</v>
      </c>
      <c r="AI411" s="272">
        <f t="shared" si="698"/>
        <v>2847.652967286896</v>
      </c>
      <c r="AJ411" s="272">
        <f t="shared" si="698"/>
        <v>2755.9497691911602</v>
      </c>
      <c r="AK411" s="272">
        <f t="shared" si="698"/>
        <v>2685.4436209912128</v>
      </c>
      <c r="AL411" s="272">
        <f t="shared" si="698"/>
        <v>2630.9040301174628</v>
      </c>
      <c r="AM411" s="272">
        <f t="shared" si="698"/>
        <v>2667.7346961293315</v>
      </c>
      <c r="AN411" s="272">
        <f t="shared" si="698"/>
        <v>2705.080921545722</v>
      </c>
      <c r="AO411" s="272">
        <f t="shared" si="698"/>
        <v>2742.9499229162334</v>
      </c>
      <c r="AP411" s="272">
        <f t="shared" si="698"/>
        <v>2781.351706668343</v>
      </c>
      <c r="AQ411" s="272">
        <f t="shared" si="698"/>
        <v>2820.2910683212167</v>
      </c>
      <c r="AR411" s="272">
        <f t="shared" si="698"/>
        <v>2859.7728317263332</v>
      </c>
      <c r="AS411" s="272">
        <f t="shared" si="698"/>
        <v>2899.8072636557149</v>
      </c>
      <c r="AT411" s="272">
        <f t="shared" si="698"/>
        <v>2940.4021000898429</v>
      </c>
      <c r="AU411" s="272">
        <f t="shared" si="698"/>
        <v>2981.5680390725865</v>
      </c>
      <c r="AV411" s="272">
        <f t="shared" si="698"/>
        <v>3023.3102492333364</v>
      </c>
      <c r="AW411" s="272">
        <f t="shared" si="698"/>
        <v>3065.6339303402688</v>
      </c>
      <c r="AX411" s="272">
        <f t="shared" si="698"/>
        <v>3108.5500600982359</v>
      </c>
      <c r="AY411" s="272">
        <f t="shared" si="698"/>
        <v>3152.0669313058602</v>
      </c>
      <c r="AZ411" s="272">
        <f t="shared" si="698"/>
        <v>3196.1929528389069</v>
      </c>
      <c r="BA411" s="324">
        <f t="shared" si="698"/>
        <v>3240.939716353108</v>
      </c>
    </row>
    <row r="412" spans="19:53" ht="20.100000000000001" customHeight="1">
      <c r="S412" s="241" t="s">
        <v>79</v>
      </c>
      <c r="T412" s="280"/>
      <c r="U412" s="280"/>
      <c r="V412" s="280"/>
      <c r="W412" s="280"/>
      <c r="X412" s="280"/>
      <c r="Y412" s="272">
        <f>Y405/100*Y393</f>
        <v>0</v>
      </c>
      <c r="Z412" s="272">
        <f t="shared" ref="Z412:BA412" si="699">Z405/100*Z393</f>
        <v>992457.5308886671</v>
      </c>
      <c r="AA412" s="272">
        <f t="shared" si="699"/>
        <v>1005940.4770901033</v>
      </c>
      <c r="AB412" s="272">
        <f t="shared" si="699"/>
        <v>1019337.8284012871</v>
      </c>
      <c r="AC412" s="272">
        <f t="shared" si="699"/>
        <v>1032915.8546758635</v>
      </c>
      <c r="AD412" s="272">
        <f t="shared" si="699"/>
        <v>1046677.0170710919</v>
      </c>
      <c r="AE412" s="272">
        <f t="shared" si="699"/>
        <v>1060623.8105484333</v>
      </c>
      <c r="AF412" s="272">
        <f t="shared" si="699"/>
        <v>1074758.764341108</v>
      </c>
      <c r="AG412" s="272">
        <f t="shared" si="699"/>
        <v>1003596.8101415216</v>
      </c>
      <c r="AH412" s="272">
        <f t="shared" si="699"/>
        <v>949079.32289675134</v>
      </c>
      <c r="AI412" s="272">
        <f t="shared" si="699"/>
        <v>907922.32441899076</v>
      </c>
      <c r="AJ412" s="272">
        <f t="shared" si="699"/>
        <v>876124.57216846279</v>
      </c>
      <c r="AK412" s="272">
        <f t="shared" si="699"/>
        <v>851143.72408134746</v>
      </c>
      <c r="AL412" s="272">
        <f t="shared" si="699"/>
        <v>831286.29467157845</v>
      </c>
      <c r="AM412" s="272">
        <f t="shared" si="699"/>
        <v>839757.67189583404</v>
      </c>
      <c r="AN412" s="272">
        <f t="shared" si="699"/>
        <v>848324.90248152567</v>
      </c>
      <c r="AO412" s="272">
        <f t="shared" si="699"/>
        <v>856989.16286611499</v>
      </c>
      <c r="AP412" s="272">
        <f t="shared" si="699"/>
        <v>865752.46526995744</v>
      </c>
      <c r="AQ412" s="272">
        <f t="shared" si="699"/>
        <v>874615.20998280274</v>
      </c>
      <c r="AR412" s="272">
        <f t="shared" si="699"/>
        <v>883577.80157575978</v>
      </c>
      <c r="AS412" s="272">
        <f t="shared" si="699"/>
        <v>892642.28358543362</v>
      </c>
      <c r="AT412" s="272">
        <f t="shared" si="699"/>
        <v>901809.910733297</v>
      </c>
      <c r="AU412" s="272">
        <f t="shared" si="699"/>
        <v>911082.80951247853</v>
      </c>
      <c r="AV412" s="272">
        <f t="shared" si="699"/>
        <v>920461.4263472911</v>
      </c>
      <c r="AW412" s="272">
        <f t="shared" si="699"/>
        <v>929946.21233726689</v>
      </c>
      <c r="AX412" s="272">
        <f t="shared" si="699"/>
        <v>939539.3278669446</v>
      </c>
      <c r="AY412" s="272">
        <f t="shared" si="699"/>
        <v>949242.11132908158</v>
      </c>
      <c r="AZ412" s="272">
        <f t="shared" si="699"/>
        <v>959055.91852891585</v>
      </c>
      <c r="BA412" s="324">
        <f t="shared" si="699"/>
        <v>968983.02262498206</v>
      </c>
    </row>
    <row r="413" spans="19:53" ht="20.100000000000001" customHeight="1">
      <c r="S413" s="241" t="s">
        <v>80</v>
      </c>
      <c r="T413" s="280"/>
      <c r="U413" s="280"/>
      <c r="V413" s="280"/>
      <c r="W413" s="280"/>
      <c r="X413" s="280"/>
      <c r="Y413" s="272">
        <f>Y408/100*Y393</f>
        <v>0</v>
      </c>
      <c r="Z413" s="272">
        <f t="shared" ref="Z413:BA413" si="700">Z408/100*Z393</f>
        <v>0</v>
      </c>
      <c r="AA413" s="272">
        <f t="shared" si="700"/>
        <v>0</v>
      </c>
      <c r="AB413" s="272">
        <f t="shared" si="700"/>
        <v>-258.18073400998111</v>
      </c>
      <c r="AC413" s="272">
        <f t="shared" si="700"/>
        <v>-523.37880468568642</v>
      </c>
      <c r="AD413" s="272">
        <f t="shared" si="700"/>
        <v>-795.73904284452669</v>
      </c>
      <c r="AE413" s="272">
        <f t="shared" si="700"/>
        <v>-1075.4089632206781</v>
      </c>
      <c r="AF413" s="272">
        <f t="shared" si="700"/>
        <v>-1362.5388114858388</v>
      </c>
      <c r="AG413" s="272">
        <f t="shared" si="700"/>
        <v>-1527.1933695681744</v>
      </c>
      <c r="AH413" s="272">
        <f t="shared" si="700"/>
        <v>-1422.3571030827834</v>
      </c>
      <c r="AI413" s="272">
        <f t="shared" si="700"/>
        <v>-1342.444465729624</v>
      </c>
      <c r="AJ413" s="272">
        <f t="shared" si="700"/>
        <v>-1279.9802202210153</v>
      </c>
      <c r="AK413" s="272">
        <f t="shared" si="700"/>
        <v>-1230.2144938588528</v>
      </c>
      <c r="AL413" s="272">
        <f t="shared" si="700"/>
        <v>-1189.9831421391013</v>
      </c>
      <c r="AM413" s="272">
        <f t="shared" si="700"/>
        <v>-1203.0717986814125</v>
      </c>
      <c r="AN413" s="272">
        <f t="shared" si="700"/>
        <v>-1216.3043933128629</v>
      </c>
      <c r="AO413" s="272">
        <f t="shared" si="700"/>
        <v>-1229.6825088407909</v>
      </c>
      <c r="AP413" s="272">
        <f t="shared" si="700"/>
        <v>-1243.2092960168527</v>
      </c>
      <c r="AQ413" s="272">
        <f t="shared" si="700"/>
        <v>-1256.8848499609858</v>
      </c>
      <c r="AR413" s="272">
        <f t="shared" si="700"/>
        <v>-1270.7092582260527</v>
      </c>
      <c r="AS413" s="272">
        <f t="shared" si="700"/>
        <v>-1284.685695371307</v>
      </c>
      <c r="AT413" s="272">
        <f t="shared" si="700"/>
        <v>-1298.8158331746633</v>
      </c>
      <c r="AU413" s="272">
        <f t="shared" si="700"/>
        <v>-1313.1029832350343</v>
      </c>
      <c r="AV413" s="272">
        <f t="shared" si="700"/>
        <v>-1327.5472619864177</v>
      </c>
      <c r="AW413" s="272">
        <f t="shared" si="700"/>
        <v>-1342.1487781154642</v>
      </c>
      <c r="AX413" s="272">
        <f t="shared" si="700"/>
        <v>-1356.9108686950401</v>
      </c>
      <c r="AY413" s="272">
        <f t="shared" si="700"/>
        <v>-1371.835299474742</v>
      </c>
      <c r="AZ413" s="272">
        <f t="shared" si="700"/>
        <v>-1386.9238556212738</v>
      </c>
      <c r="BA413" s="324">
        <f t="shared" si="700"/>
        <v>-1402.1800527364123</v>
      </c>
    </row>
    <row r="414" spans="19:53" ht="20.100000000000001" customHeight="1" thickBot="1">
      <c r="S414" s="1219" t="s">
        <v>3108</v>
      </c>
      <c r="T414" s="488"/>
      <c r="U414" s="488"/>
      <c r="V414" s="488"/>
      <c r="W414" s="488"/>
      <c r="X414" s="488"/>
      <c r="Y414" s="1126">
        <f>SUM(Y411:Y413)</f>
        <v>0</v>
      </c>
      <c r="Z414" s="1126">
        <f t="shared" ref="Z414:BA414" si="701">SUM(Z411:Z413)</f>
        <v>992457.5308886671</v>
      </c>
      <c r="AA414" s="1126">
        <f t="shared" si="701"/>
        <v>1005940.4770901033</v>
      </c>
      <c r="AB414" s="1126">
        <f t="shared" si="701"/>
        <v>1019608.8885527034</v>
      </c>
      <c r="AC414" s="1126">
        <f t="shared" si="701"/>
        <v>1033465.3423771445</v>
      </c>
      <c r="AD414" s="1126">
        <f t="shared" si="701"/>
        <v>1047512.4517764287</v>
      </c>
      <c r="AE414" s="1126">
        <f t="shared" si="701"/>
        <v>1061752.8665855648</v>
      </c>
      <c r="AF414" s="1126">
        <f t="shared" si="701"/>
        <v>1076189.2737784917</v>
      </c>
      <c r="AG414" s="1126">
        <f t="shared" si="701"/>
        <v>1005200.1879752101</v>
      </c>
      <c r="AH414" s="1126">
        <f t="shared" si="701"/>
        <v>950625.37223861297</v>
      </c>
      <c r="AI414" s="1126">
        <f t="shared" si="701"/>
        <v>909427.53292054799</v>
      </c>
      <c r="AJ414" s="1126">
        <f t="shared" si="701"/>
        <v>877600.54171743302</v>
      </c>
      <c r="AK414" s="1126">
        <f t="shared" si="701"/>
        <v>852598.9532084798</v>
      </c>
      <c r="AL414" s="1126">
        <f t="shared" si="701"/>
        <v>832727.21555955673</v>
      </c>
      <c r="AM414" s="1126">
        <f t="shared" si="701"/>
        <v>841222.33479328197</v>
      </c>
      <c r="AN414" s="1126">
        <f t="shared" si="701"/>
        <v>849813.67900975852</v>
      </c>
      <c r="AO414" s="1126">
        <f t="shared" si="701"/>
        <v>858502.43028019043</v>
      </c>
      <c r="AP414" s="1126">
        <f t="shared" si="701"/>
        <v>867290.60768060898</v>
      </c>
      <c r="AQ414" s="1126">
        <f t="shared" si="701"/>
        <v>876178.61620116292</v>
      </c>
      <c r="AR414" s="1126">
        <f t="shared" si="701"/>
        <v>885166.86514926003</v>
      </c>
      <c r="AS414" s="1126">
        <f t="shared" si="701"/>
        <v>894257.40515371796</v>
      </c>
      <c r="AT414" s="1126">
        <f t="shared" si="701"/>
        <v>903451.4970002122</v>
      </c>
      <c r="AU414" s="1126">
        <f t="shared" si="701"/>
        <v>912751.27456831606</v>
      </c>
      <c r="AV414" s="1126">
        <f t="shared" si="701"/>
        <v>922157.18933453807</v>
      </c>
      <c r="AW414" s="1126">
        <f t="shared" si="701"/>
        <v>931669.69748949166</v>
      </c>
      <c r="AX414" s="1126">
        <f t="shared" si="701"/>
        <v>941290.96705834789</v>
      </c>
      <c r="AY414" s="1126">
        <f t="shared" si="701"/>
        <v>951022.34296091262</v>
      </c>
      <c r="AZ414" s="1126">
        <f t="shared" si="701"/>
        <v>960865.18762613356</v>
      </c>
      <c r="BA414" s="1147">
        <f t="shared" si="701"/>
        <v>970821.78228859871</v>
      </c>
    </row>
    <row r="415" spans="19:53" ht="20.100000000000001" customHeight="1">
      <c r="S415" s="1239" t="s">
        <v>3131</v>
      </c>
      <c r="T415" s="1228"/>
      <c r="U415" s="1228"/>
      <c r="V415" s="1228"/>
      <c r="W415" s="1228"/>
      <c r="X415" s="1228">
        <v>2021</v>
      </c>
      <c r="Y415" s="1228">
        <v>2022</v>
      </c>
      <c r="Z415" s="1228">
        <v>2023</v>
      </c>
      <c r="AA415" s="1228">
        <v>2024</v>
      </c>
      <c r="AB415" s="1228">
        <v>2025</v>
      </c>
      <c r="AC415" s="1228">
        <v>2026</v>
      </c>
      <c r="AD415" s="1228">
        <v>2027</v>
      </c>
      <c r="AE415" s="1228">
        <v>2028</v>
      </c>
      <c r="AF415" s="1228">
        <v>2029</v>
      </c>
      <c r="AG415" s="1228">
        <v>2030</v>
      </c>
      <c r="AH415" s="1228">
        <v>2031</v>
      </c>
      <c r="AI415" s="1228">
        <v>2032</v>
      </c>
      <c r="AJ415" s="1228">
        <v>2033</v>
      </c>
      <c r="AK415" s="1228">
        <v>2034</v>
      </c>
      <c r="AL415" s="1228">
        <v>2035</v>
      </c>
      <c r="AM415" s="1228">
        <v>2036</v>
      </c>
      <c r="AN415" s="1228">
        <v>2037</v>
      </c>
      <c r="AO415" s="1228">
        <v>2038</v>
      </c>
      <c r="AP415" s="1228">
        <v>2039</v>
      </c>
      <c r="AQ415" s="1228">
        <v>2040</v>
      </c>
      <c r="AR415" s="1228">
        <v>2041</v>
      </c>
      <c r="AS415" s="1228">
        <v>2042</v>
      </c>
      <c r="AT415" s="1228">
        <v>2043</v>
      </c>
      <c r="AU415" s="1228">
        <v>2044</v>
      </c>
      <c r="AV415" s="1228">
        <v>2045</v>
      </c>
      <c r="AW415" s="1228">
        <v>2046</v>
      </c>
      <c r="AX415" s="1228">
        <v>2047</v>
      </c>
      <c r="AY415" s="1228">
        <v>2048</v>
      </c>
      <c r="AZ415" s="1228">
        <v>2049</v>
      </c>
      <c r="BA415" s="318">
        <v>2050</v>
      </c>
    </row>
    <row r="416" spans="19:53" ht="20.100000000000001" customHeight="1">
      <c r="S416" s="376" t="s">
        <v>78</v>
      </c>
      <c r="T416" s="777"/>
      <c r="U416" s="777"/>
      <c r="V416" s="777"/>
      <c r="W416" s="777"/>
      <c r="X416" s="777"/>
      <c r="Y416" s="272">
        <f>Y411/INDEX('DEFAULT DATA'!$JS$9:$JS$41,START!$C$3,1)</f>
        <v>0</v>
      </c>
      <c r="Z416" s="272">
        <f>Z411/INDEX('DEFAULT DATA'!$JS$9:$JS$41,START!$C$3,1)</f>
        <v>0</v>
      </c>
      <c r="AA416" s="272">
        <f>AA411/INDEX('DEFAULT DATA'!$JS$9:$JS$41,START!$C$3,1)</f>
        <v>0</v>
      </c>
      <c r="AB416" s="272">
        <f>AB411/INDEX('DEFAULT DATA'!$JS$9:$JS$41,START!$C$3,1)</f>
        <v>0.26462044271311957</v>
      </c>
      <c r="AC416" s="272">
        <f>AC411/INDEX('DEFAULT DATA'!$JS$9:$JS$41,START!$C$3,1)</f>
        <v>0.53643325298329769</v>
      </c>
      <c r="AD416" s="272">
        <f>AD411/INDEX('DEFAULT DATA'!$JS$9:$JS$41,START!$C$3,1)</f>
        <v>0.81558687409066033</v>
      </c>
      <c r="AE416" s="272">
        <f>AE411/INDEX('DEFAULT DATA'!$JS$9:$JS$41,START!$C$3,1)</f>
        <v>1.1022325001760638</v>
      </c>
      <c r="AF416" s="272">
        <f>AF411/INDEX('DEFAULT DATA'!$JS$9:$JS$41,START!$C$3,1)</f>
        <v>1.3965241244346744</v>
      </c>
      <c r="AG416" s="272">
        <f>AG411/INDEX('DEFAULT DATA'!$JS$9:$JS$41,START!$C$3,1)</f>
        <v>1.5652856016283847</v>
      </c>
      <c r="AH416" s="272">
        <f>AH411/INDEX('DEFAULT DATA'!$JS$9:$JS$41,START!$C$3,1)</f>
        <v>1.4842032224722219</v>
      </c>
      <c r="AI416" s="272">
        <f>AI411/INDEX('DEFAULT DATA'!$JS$9:$JS$41,START!$C$3,1)</f>
        <v>1.423826483643448</v>
      </c>
      <c r="AJ416" s="272">
        <f>AJ411/INDEX('DEFAULT DATA'!$JS$9:$JS$41,START!$C$3,1)</f>
        <v>1.3779748845955802</v>
      </c>
      <c r="AK416" s="272">
        <f>AK411/INDEX('DEFAULT DATA'!$JS$9:$JS$41,START!$C$3,1)</f>
        <v>1.3427218104956065</v>
      </c>
      <c r="AL416" s="272">
        <f>AL411/INDEX('DEFAULT DATA'!$JS$9:$JS$41,START!$C$3,1)</f>
        <v>1.3154520150587314</v>
      </c>
      <c r="AM416" s="272">
        <f>AM411/INDEX('DEFAULT DATA'!$JS$9:$JS$41,START!$C$3,1)</f>
        <v>1.3338673480646657</v>
      </c>
      <c r="AN416" s="272">
        <f>AN411/INDEX('DEFAULT DATA'!$JS$9:$JS$41,START!$C$3,1)</f>
        <v>1.3525404607728611</v>
      </c>
      <c r="AO416" s="272">
        <f>AO411/INDEX('DEFAULT DATA'!$JS$9:$JS$41,START!$C$3,1)</f>
        <v>1.3714749614581168</v>
      </c>
      <c r="AP416" s="272">
        <f>AP411/INDEX('DEFAULT DATA'!$JS$9:$JS$41,START!$C$3,1)</f>
        <v>1.3906758533341714</v>
      </c>
      <c r="AQ416" s="272">
        <f>AQ411/INDEX('DEFAULT DATA'!$JS$9:$JS$41,START!$C$3,1)</f>
        <v>1.4101455341606084</v>
      </c>
      <c r="AR416" s="272">
        <f>AR411/INDEX('DEFAULT DATA'!$JS$9:$JS$41,START!$C$3,1)</f>
        <v>1.4298864158631666</v>
      </c>
      <c r="AS416" s="272">
        <f>AS411/INDEX('DEFAULT DATA'!$JS$9:$JS$41,START!$C$3,1)</f>
        <v>1.4499036318278575</v>
      </c>
      <c r="AT416" s="272">
        <f>AT411/INDEX('DEFAULT DATA'!$JS$9:$JS$41,START!$C$3,1)</f>
        <v>1.4702010500449214</v>
      </c>
      <c r="AU416" s="272">
        <f>AU411/INDEX('DEFAULT DATA'!$JS$9:$JS$41,START!$C$3,1)</f>
        <v>1.4907840195362934</v>
      </c>
      <c r="AV416" s="272">
        <f>AV411/INDEX('DEFAULT DATA'!$JS$9:$JS$41,START!$C$3,1)</f>
        <v>1.5116551246166683</v>
      </c>
      <c r="AW416" s="272">
        <f>AW411/INDEX('DEFAULT DATA'!$JS$9:$JS$41,START!$C$3,1)</f>
        <v>1.5328169651701344</v>
      </c>
      <c r="AX416" s="272">
        <f>AX411/INDEX('DEFAULT DATA'!$JS$9:$JS$41,START!$C$3,1)</f>
        <v>1.5542750300491179</v>
      </c>
      <c r="AY416" s="272">
        <f>AY411/INDEX('DEFAULT DATA'!$JS$9:$JS$41,START!$C$3,1)</f>
        <v>1.57603346565293</v>
      </c>
      <c r="AZ416" s="272">
        <f>AZ411/INDEX('DEFAULT DATA'!$JS$9:$JS$41,START!$C$3,1)</f>
        <v>1.5980964764194534</v>
      </c>
      <c r="BA416" s="324">
        <f>BA411/INDEX('DEFAULT DATA'!$JS$9:$JS$41,START!$C$3,1)</f>
        <v>1.620469858176554</v>
      </c>
    </row>
    <row r="417" spans="18:54" ht="20.100000000000001" customHeight="1">
      <c r="S417" s="376" t="s">
        <v>79</v>
      </c>
      <c r="T417" s="777"/>
      <c r="U417" s="777"/>
      <c r="V417" s="777"/>
      <c r="W417" s="777"/>
      <c r="X417" s="777"/>
      <c r="Y417" s="272">
        <f>Y412/INDEX('DEFAULT DATA'!$LJ$9:$LJ$41,START!$C$3,1)</f>
        <v>0</v>
      </c>
      <c r="Z417" s="272">
        <f>Z412/INDEX('DEFAULT DATA'!$LJ$9:$LJ$41,START!$C$3,1)</f>
        <v>992.45753088866707</v>
      </c>
      <c r="AA417" s="272">
        <f>AA412/INDEX('DEFAULT DATA'!$LJ$9:$LJ$41,START!$C$3,1)</f>
        <v>1005.9404770901033</v>
      </c>
      <c r="AB417" s="272">
        <f>AB412/INDEX('DEFAULT DATA'!$LJ$9:$LJ$41,START!$C$3,1)</f>
        <v>1019.3378284012871</v>
      </c>
      <c r="AC417" s="272">
        <f>AC412/INDEX('DEFAULT DATA'!$LJ$9:$LJ$41,START!$C$3,1)</f>
        <v>1032.9158546758636</v>
      </c>
      <c r="AD417" s="272">
        <f>AD412/INDEX('DEFAULT DATA'!$LJ$9:$LJ$41,START!$C$3,1)</f>
        <v>1046.677017071092</v>
      </c>
      <c r="AE417" s="272">
        <f>AE412/INDEX('DEFAULT DATA'!$LJ$9:$LJ$41,START!$C$3,1)</f>
        <v>1060.6238105484333</v>
      </c>
      <c r="AF417" s="272">
        <f>AF412/INDEX('DEFAULT DATA'!$LJ$9:$LJ$41,START!$C$3,1)</f>
        <v>1074.758764341108</v>
      </c>
      <c r="AG417" s="272">
        <f>AG412/INDEX('DEFAULT DATA'!$LJ$9:$LJ$41,START!$C$3,1)</f>
        <v>1003.5968101415216</v>
      </c>
      <c r="AH417" s="272">
        <f>AH412/INDEX('DEFAULT DATA'!$LJ$9:$LJ$41,START!$C$3,1)</f>
        <v>949.07932289675136</v>
      </c>
      <c r="AI417" s="272">
        <f>AI412/INDEX('DEFAULT DATA'!$LJ$9:$LJ$41,START!$C$3,1)</f>
        <v>907.9223244189908</v>
      </c>
      <c r="AJ417" s="272">
        <f>AJ412/INDEX('DEFAULT DATA'!$LJ$9:$LJ$41,START!$C$3,1)</f>
        <v>876.12457216846281</v>
      </c>
      <c r="AK417" s="272">
        <f>AK412/INDEX('DEFAULT DATA'!$LJ$9:$LJ$41,START!$C$3,1)</f>
        <v>851.1437240813475</v>
      </c>
      <c r="AL417" s="272">
        <f>AL412/INDEX('DEFAULT DATA'!$LJ$9:$LJ$41,START!$C$3,1)</f>
        <v>831.2862946715785</v>
      </c>
      <c r="AM417" s="272">
        <f>AM412/INDEX('DEFAULT DATA'!$LJ$9:$LJ$41,START!$C$3,1)</f>
        <v>839.75767189583405</v>
      </c>
      <c r="AN417" s="272">
        <f>AN412/INDEX('DEFAULT DATA'!$LJ$9:$LJ$41,START!$C$3,1)</f>
        <v>848.32490248152567</v>
      </c>
      <c r="AO417" s="272">
        <f>AO412/INDEX('DEFAULT DATA'!$LJ$9:$LJ$41,START!$C$3,1)</f>
        <v>856.98916286611495</v>
      </c>
      <c r="AP417" s="272">
        <f>AP412/INDEX('DEFAULT DATA'!$LJ$9:$LJ$41,START!$C$3,1)</f>
        <v>865.75246526995738</v>
      </c>
      <c r="AQ417" s="272">
        <f>AQ412/INDEX('DEFAULT DATA'!$LJ$9:$LJ$41,START!$C$3,1)</f>
        <v>874.61520998280275</v>
      </c>
      <c r="AR417" s="272">
        <f>AR412/INDEX('DEFAULT DATA'!$LJ$9:$LJ$41,START!$C$3,1)</f>
        <v>883.57780157575974</v>
      </c>
      <c r="AS417" s="272">
        <f>AS412/INDEX('DEFAULT DATA'!$LJ$9:$LJ$41,START!$C$3,1)</f>
        <v>892.64228358543357</v>
      </c>
      <c r="AT417" s="272">
        <f>AT412/INDEX('DEFAULT DATA'!$LJ$9:$LJ$41,START!$C$3,1)</f>
        <v>901.80991073329699</v>
      </c>
      <c r="AU417" s="272">
        <f>AU412/INDEX('DEFAULT DATA'!$LJ$9:$LJ$41,START!$C$3,1)</f>
        <v>911.08280951247855</v>
      </c>
      <c r="AV417" s="272">
        <f>AV412/INDEX('DEFAULT DATA'!$LJ$9:$LJ$41,START!$C$3,1)</f>
        <v>920.46142634729108</v>
      </c>
      <c r="AW417" s="272">
        <f>AW412/INDEX('DEFAULT DATA'!$LJ$9:$LJ$41,START!$C$3,1)</f>
        <v>929.94621233726684</v>
      </c>
      <c r="AX417" s="272">
        <f>AX412/INDEX('DEFAULT DATA'!$LJ$9:$LJ$41,START!$C$3,1)</f>
        <v>939.53932786694463</v>
      </c>
      <c r="AY417" s="272">
        <f>AY412/INDEX('DEFAULT DATA'!$LJ$9:$LJ$41,START!$C$3,1)</f>
        <v>949.24211132908158</v>
      </c>
      <c r="AZ417" s="272">
        <f>AZ412/INDEX('DEFAULT DATA'!$LJ$9:$LJ$41,START!$C$3,1)</f>
        <v>959.05591852891587</v>
      </c>
      <c r="BA417" s="324">
        <f>BA412/INDEX('DEFAULT DATA'!$LJ$9:$LJ$41,START!$C$3,1)</f>
        <v>968.98302262498203</v>
      </c>
    </row>
    <row r="418" spans="18:54" ht="20.100000000000001" customHeight="1">
      <c r="S418" s="376" t="s">
        <v>80</v>
      </c>
      <c r="T418" s="777"/>
      <c r="U418" s="777"/>
      <c r="V418" s="777"/>
      <c r="W418" s="777"/>
      <c r="X418" s="777"/>
      <c r="Y418" s="272">
        <f>Y413/INDEX('DEFAULT DATA'!$LU$9:$LU$41,START!$C$3,1)</f>
        <v>0</v>
      </c>
      <c r="Z418" s="272">
        <f>Z413/INDEX('DEFAULT DATA'!$LU$9:$LU$41,START!$C$3,1)</f>
        <v>0</v>
      </c>
      <c r="AA418" s="272">
        <f>AA413/INDEX('DEFAULT DATA'!$LU$9:$LU$41,START!$C$3,1)</f>
        <v>0</v>
      </c>
      <c r="AB418" s="272">
        <f>AB413/INDEX('DEFAULT DATA'!$LU$9:$LU$41,START!$C$3,1)</f>
        <v>-0.17212048933998741</v>
      </c>
      <c r="AC418" s="272">
        <f>AC413/INDEX('DEFAULT DATA'!$LU$9:$LU$41,START!$C$3,1)</f>
        <v>-0.34891920312379093</v>
      </c>
      <c r="AD418" s="272">
        <f>AD413/INDEX('DEFAULT DATA'!$LU$9:$LU$41,START!$C$3,1)</f>
        <v>-0.53049269522968445</v>
      </c>
      <c r="AE418" s="272">
        <f>AE413/INDEX('DEFAULT DATA'!$LU$9:$LU$41,START!$C$3,1)</f>
        <v>-0.71693930881378543</v>
      </c>
      <c r="AF418" s="272">
        <f>AF413/INDEX('DEFAULT DATA'!$LU$9:$LU$41,START!$C$3,1)</f>
        <v>-0.90835920765722589</v>
      </c>
      <c r="AG418" s="272">
        <f>AG413/INDEX('DEFAULT DATA'!$LU$9:$LU$41,START!$C$3,1)</f>
        <v>-1.0181289130454496</v>
      </c>
      <c r="AH418" s="272">
        <f>AH413/INDEX('DEFAULT DATA'!$LU$9:$LU$41,START!$C$3,1)</f>
        <v>-0.94823806872185556</v>
      </c>
      <c r="AI418" s="272">
        <f>AI413/INDEX('DEFAULT DATA'!$LU$9:$LU$41,START!$C$3,1)</f>
        <v>-0.8949629771530826</v>
      </c>
      <c r="AJ418" s="272">
        <f>AJ413/INDEX('DEFAULT DATA'!$LU$9:$LU$41,START!$C$3,1)</f>
        <v>-0.85332014681401025</v>
      </c>
      <c r="AK418" s="272">
        <f>AK413/INDEX('DEFAULT DATA'!$LU$9:$LU$41,START!$C$3,1)</f>
        <v>-0.82014299590590189</v>
      </c>
      <c r="AL418" s="272">
        <f>AL413/INDEX('DEFAULT DATA'!$LU$9:$LU$41,START!$C$3,1)</f>
        <v>-0.79332209475940085</v>
      </c>
      <c r="AM418" s="272">
        <f>AM413/INDEX('DEFAULT DATA'!$LU$9:$LU$41,START!$C$3,1)</f>
        <v>-0.80204786578760834</v>
      </c>
      <c r="AN418" s="272">
        <f>AN413/INDEX('DEFAULT DATA'!$LU$9:$LU$41,START!$C$3,1)</f>
        <v>-0.81086959554190863</v>
      </c>
      <c r="AO418" s="272">
        <f>AO413/INDEX('DEFAULT DATA'!$LU$9:$LU$41,START!$C$3,1)</f>
        <v>-0.81978833922719396</v>
      </c>
      <c r="AP418" s="272">
        <f>AP413/INDEX('DEFAULT DATA'!$LU$9:$LU$41,START!$C$3,1)</f>
        <v>-0.82880619734456851</v>
      </c>
      <c r="AQ418" s="272">
        <f>AQ413/INDEX('DEFAULT DATA'!$LU$9:$LU$41,START!$C$3,1)</f>
        <v>-0.83792323330732388</v>
      </c>
      <c r="AR418" s="272">
        <f>AR413/INDEX('DEFAULT DATA'!$LU$9:$LU$41,START!$C$3,1)</f>
        <v>-0.84713950548403516</v>
      </c>
      <c r="AS418" s="272">
        <f>AS413/INDEX('DEFAULT DATA'!$LU$9:$LU$41,START!$C$3,1)</f>
        <v>-0.856457130247538</v>
      </c>
      <c r="AT418" s="272">
        <f>AT413/INDEX('DEFAULT DATA'!$LU$9:$LU$41,START!$C$3,1)</f>
        <v>-0.86587722211644225</v>
      </c>
      <c r="AU418" s="272">
        <f>AU413/INDEX('DEFAULT DATA'!$LU$9:$LU$41,START!$C$3,1)</f>
        <v>-0.87540198882335618</v>
      </c>
      <c r="AV418" s="272">
        <f>AV413/INDEX('DEFAULT DATA'!$LU$9:$LU$41,START!$C$3,1)</f>
        <v>-0.8850315079909451</v>
      </c>
      <c r="AW418" s="272">
        <f>AW413/INDEX('DEFAULT DATA'!$LU$9:$LU$41,START!$C$3,1)</f>
        <v>-0.89476585207697612</v>
      </c>
      <c r="AX418" s="272">
        <f>AX413/INDEX('DEFAULT DATA'!$LU$9:$LU$41,START!$C$3,1)</f>
        <v>-0.90460724579669338</v>
      </c>
      <c r="AY418" s="272">
        <f>AY413/INDEX('DEFAULT DATA'!$LU$9:$LU$41,START!$C$3,1)</f>
        <v>-0.91455686631649469</v>
      </c>
      <c r="AZ418" s="272">
        <f>AZ413/INDEX('DEFAULT DATA'!$LU$9:$LU$41,START!$C$3,1)</f>
        <v>-0.9246159037475159</v>
      </c>
      <c r="BA418" s="324">
        <f>BA413/INDEX('DEFAULT DATA'!$LU$9:$LU$41,START!$C$3,1)</f>
        <v>-0.93478670182427492</v>
      </c>
    </row>
    <row r="419" spans="18:54" ht="20.100000000000001" customHeight="1" thickBot="1">
      <c r="S419" s="377" t="s">
        <v>3133</v>
      </c>
      <c r="T419" s="320"/>
      <c r="U419" s="320"/>
      <c r="V419" s="320"/>
      <c r="W419" s="320"/>
      <c r="X419" s="320"/>
      <c r="Y419" s="325">
        <f>SUM(Y416:Y418)</f>
        <v>0</v>
      </c>
      <c r="Z419" s="325">
        <f t="shared" ref="Z419:BA419" si="702">SUM(Z416:Z418)</f>
        <v>992.45753088866707</v>
      </c>
      <c r="AA419" s="325">
        <f t="shared" si="702"/>
        <v>1005.9404770901033</v>
      </c>
      <c r="AB419" s="325">
        <f t="shared" si="702"/>
        <v>1019.4303283546602</v>
      </c>
      <c r="AC419" s="325">
        <f t="shared" si="702"/>
        <v>1033.1033687257229</v>
      </c>
      <c r="AD419" s="325">
        <f t="shared" si="702"/>
        <v>1046.9621112499531</v>
      </c>
      <c r="AE419" s="325">
        <f t="shared" si="702"/>
        <v>1061.0091037397956</v>
      </c>
      <c r="AF419" s="325">
        <f t="shared" si="702"/>
        <v>1075.2469292578853</v>
      </c>
      <c r="AG419" s="325">
        <f t="shared" si="702"/>
        <v>1004.1439668301045</v>
      </c>
      <c r="AH419" s="325">
        <f t="shared" si="702"/>
        <v>949.61528805050182</v>
      </c>
      <c r="AI419" s="325">
        <f t="shared" si="702"/>
        <v>908.45118792548112</v>
      </c>
      <c r="AJ419" s="325">
        <f t="shared" si="702"/>
        <v>876.64922690624439</v>
      </c>
      <c r="AK419" s="325">
        <f t="shared" si="702"/>
        <v>851.66630289593718</v>
      </c>
      <c r="AL419" s="325">
        <f t="shared" si="702"/>
        <v>831.80842459187784</v>
      </c>
      <c r="AM419" s="325">
        <f t="shared" si="702"/>
        <v>840.28949137811117</v>
      </c>
      <c r="AN419" s="325">
        <f t="shared" si="702"/>
        <v>848.86657334675658</v>
      </c>
      <c r="AO419" s="325">
        <f t="shared" si="702"/>
        <v>857.54084948834588</v>
      </c>
      <c r="AP419" s="325">
        <f t="shared" si="702"/>
        <v>866.31433492594704</v>
      </c>
      <c r="AQ419" s="325">
        <f t="shared" si="702"/>
        <v>875.18743228365599</v>
      </c>
      <c r="AR419" s="325">
        <f t="shared" si="702"/>
        <v>884.16054848613885</v>
      </c>
      <c r="AS419" s="325">
        <f t="shared" si="702"/>
        <v>893.23573008701385</v>
      </c>
      <c r="AT419" s="325">
        <f t="shared" si="702"/>
        <v>902.4142345612255</v>
      </c>
      <c r="AU419" s="325">
        <f t="shared" si="702"/>
        <v>911.69819154319146</v>
      </c>
      <c r="AV419" s="325">
        <f t="shared" si="702"/>
        <v>921.08804996391689</v>
      </c>
      <c r="AW419" s="325">
        <f t="shared" si="702"/>
        <v>930.58426345036003</v>
      </c>
      <c r="AX419" s="325">
        <f t="shared" si="702"/>
        <v>940.18899565119705</v>
      </c>
      <c r="AY419" s="325">
        <f t="shared" si="702"/>
        <v>949.90358792841801</v>
      </c>
      <c r="AZ419" s="325">
        <f t="shared" si="702"/>
        <v>959.72939910158777</v>
      </c>
      <c r="BA419" s="326">
        <f t="shared" si="702"/>
        <v>969.66870578133432</v>
      </c>
    </row>
    <row r="421" spans="18:54" ht="20.100000000000001" customHeight="1" thickBot="1">
      <c r="S421" s="1323" t="s">
        <v>3182</v>
      </c>
    </row>
    <row r="422" spans="18:54" ht="20.100000000000001" customHeight="1">
      <c r="S422" s="1227" t="s">
        <v>3122</v>
      </c>
      <c r="T422" s="880"/>
      <c r="U422" s="1226"/>
      <c r="V422" s="1226"/>
      <c r="W422" s="1226"/>
      <c r="X422" s="1223" t="s">
        <v>989</v>
      </c>
      <c r="Y422" s="1223"/>
      <c r="Z422" s="1223"/>
      <c r="AA422" s="1223"/>
      <c r="AB422" s="1223"/>
      <c r="AC422" s="1223"/>
      <c r="AD422" s="1223"/>
      <c r="AE422" s="1223"/>
      <c r="AF422" s="1223"/>
      <c r="AG422" s="1223"/>
      <c r="AH422" s="1223"/>
      <c r="AI422" s="1223"/>
      <c r="AJ422" s="1223"/>
      <c r="AK422" s="1223"/>
      <c r="AL422" s="1223"/>
      <c r="AM422" s="1223"/>
      <c r="AN422" s="1223"/>
      <c r="AO422" s="1223"/>
      <c r="AP422" s="1223"/>
      <c r="AQ422" s="1223"/>
      <c r="AR422" s="1223"/>
      <c r="AS422" s="1223"/>
      <c r="AT422" s="1223"/>
      <c r="AU422" s="1223"/>
      <c r="AV422" s="1223"/>
      <c r="AW422" s="1223"/>
      <c r="AX422" s="1223"/>
      <c r="AY422" s="1223"/>
      <c r="AZ422" s="1223"/>
      <c r="BA422" s="1224"/>
    </row>
    <row r="423" spans="18:54" ht="20.100000000000001" customHeight="1">
      <c r="S423" s="881"/>
      <c r="T423" s="552"/>
      <c r="U423" s="558"/>
      <c r="V423" s="558"/>
      <c r="W423" s="558"/>
      <c r="X423" s="559">
        <v>2021</v>
      </c>
      <c r="Y423" s="262">
        <v>2022</v>
      </c>
      <c r="Z423" s="559">
        <v>2023</v>
      </c>
      <c r="AA423" s="262">
        <v>2024</v>
      </c>
      <c r="AB423" s="559">
        <v>2025</v>
      </c>
      <c r="AC423" s="262">
        <v>2026</v>
      </c>
      <c r="AD423" s="559">
        <v>2027</v>
      </c>
      <c r="AE423" s="262">
        <v>2028</v>
      </c>
      <c r="AF423" s="559">
        <v>2029</v>
      </c>
      <c r="AG423" s="262">
        <v>2030</v>
      </c>
      <c r="AH423" s="559">
        <v>2031</v>
      </c>
      <c r="AI423" s="262">
        <v>2032</v>
      </c>
      <c r="AJ423" s="559">
        <v>2033</v>
      </c>
      <c r="AK423" s="262">
        <v>2034</v>
      </c>
      <c r="AL423" s="559">
        <v>2035</v>
      </c>
      <c r="AM423" s="262">
        <v>2036</v>
      </c>
      <c r="AN423" s="559">
        <v>2037</v>
      </c>
      <c r="AO423" s="262">
        <v>2038</v>
      </c>
      <c r="AP423" s="559">
        <v>2039</v>
      </c>
      <c r="AQ423" s="262">
        <v>2040</v>
      </c>
      <c r="AR423" s="559">
        <v>2041</v>
      </c>
      <c r="AS423" s="262">
        <v>2042</v>
      </c>
      <c r="AT423" s="559">
        <v>2043</v>
      </c>
      <c r="AU423" s="262">
        <v>2044</v>
      </c>
      <c r="AV423" s="559">
        <v>2045</v>
      </c>
      <c r="AW423" s="262">
        <v>2046</v>
      </c>
      <c r="AX423" s="559">
        <v>2047</v>
      </c>
      <c r="AY423" s="262">
        <v>2048</v>
      </c>
      <c r="AZ423" s="559">
        <v>2049</v>
      </c>
      <c r="BA423" s="492">
        <v>2050</v>
      </c>
    </row>
    <row r="424" spans="18:54" ht="20.100000000000001" customHeight="1">
      <c r="S424" s="881" t="s">
        <v>938</v>
      </c>
      <c r="T424" s="552" t="s">
        <v>3123</v>
      </c>
      <c r="U424" s="559"/>
      <c r="V424" s="559"/>
      <c r="W424" s="559"/>
      <c r="X424" s="558">
        <f t="shared" ref="X424:BA424" si="703">X29</f>
        <v>0.2</v>
      </c>
      <c r="Y424" s="558">
        <f t="shared" si="703"/>
        <v>0.2</v>
      </c>
      <c r="Z424" s="558">
        <f t="shared" si="703"/>
        <v>0.2</v>
      </c>
      <c r="AA424" s="558">
        <f t="shared" si="703"/>
        <v>0.2</v>
      </c>
      <c r="AB424" s="558">
        <f t="shared" si="703"/>
        <v>0.2</v>
      </c>
      <c r="AC424" s="558">
        <f t="shared" si="703"/>
        <v>0.2</v>
      </c>
      <c r="AD424" s="558">
        <f t="shared" si="703"/>
        <v>0.2</v>
      </c>
      <c r="AE424" s="558">
        <f t="shared" si="703"/>
        <v>0.2</v>
      </c>
      <c r="AF424" s="558">
        <f t="shared" si="703"/>
        <v>0.2</v>
      </c>
      <c r="AG424" s="558">
        <f t="shared" si="703"/>
        <v>0.2</v>
      </c>
      <c r="AH424" s="558">
        <f t="shared" si="703"/>
        <v>0.2</v>
      </c>
      <c r="AI424" s="558">
        <f t="shared" si="703"/>
        <v>0.2</v>
      </c>
      <c r="AJ424" s="558">
        <f t="shared" si="703"/>
        <v>0.2</v>
      </c>
      <c r="AK424" s="558">
        <f t="shared" si="703"/>
        <v>0.2</v>
      </c>
      <c r="AL424" s="558">
        <f t="shared" si="703"/>
        <v>0.2</v>
      </c>
      <c r="AM424" s="558">
        <f t="shared" si="703"/>
        <v>0.2</v>
      </c>
      <c r="AN424" s="558">
        <f t="shared" si="703"/>
        <v>0.2</v>
      </c>
      <c r="AO424" s="558">
        <f t="shared" si="703"/>
        <v>0.2</v>
      </c>
      <c r="AP424" s="558">
        <f t="shared" si="703"/>
        <v>0.2</v>
      </c>
      <c r="AQ424" s="558">
        <f t="shared" si="703"/>
        <v>0.2</v>
      </c>
      <c r="AR424" s="558">
        <f t="shared" si="703"/>
        <v>0.2</v>
      </c>
      <c r="AS424" s="558">
        <f t="shared" si="703"/>
        <v>0.2</v>
      </c>
      <c r="AT424" s="558">
        <f t="shared" si="703"/>
        <v>0.2</v>
      </c>
      <c r="AU424" s="558">
        <f t="shared" si="703"/>
        <v>0.2</v>
      </c>
      <c r="AV424" s="558">
        <f t="shared" si="703"/>
        <v>0.2</v>
      </c>
      <c r="AW424" s="558">
        <f t="shared" si="703"/>
        <v>0.2</v>
      </c>
      <c r="AX424" s="558">
        <f t="shared" si="703"/>
        <v>0.2</v>
      </c>
      <c r="AY424" s="558">
        <f t="shared" si="703"/>
        <v>0.2</v>
      </c>
      <c r="AZ424" s="558">
        <f t="shared" si="703"/>
        <v>0.2</v>
      </c>
      <c r="BA424" s="882">
        <f t="shared" si="703"/>
        <v>0.2</v>
      </c>
    </row>
    <row r="425" spans="18:54" ht="20.100000000000001" customHeight="1">
      <c r="S425" s="241" t="s">
        <v>3110</v>
      </c>
      <c r="T425" s="552"/>
      <c r="U425" s="280"/>
      <c r="V425" s="280"/>
      <c r="W425" s="280"/>
      <c r="X425" s="272">
        <f>IF(AND(X423&gt;(2020+TRANSPORT!$F$198),X423&lt;(2022+$G$198)),(TRANSPORT!$G$191-INDEX(TRANSPORT!$Y$424:$BA$424,1,($F$198-1)))/($G$198-$F$198+1),0)</f>
        <v>0</v>
      </c>
      <c r="Y425" s="272">
        <f>IF(AND(Y423&gt;(2020+TRANSPORT!$F$198),Y423&lt;(2022+$G$198)),(TRANSPORT!$G$191-INDEX(TRANSPORT!$Y$424:$BA$424,1,($F$198-1)))/($G$198-$F$198+1),0)</f>
        <v>0</v>
      </c>
      <c r="Z425" s="272">
        <f>IF(AND(Z423&gt;(2020+TRANSPORT!$F$198),Z423&lt;(2022+$G$198)),(TRANSPORT!$G$191-INDEX(TRANSPORT!$Y$424:$BA$424,1,($F$198-1)))/($G$198-$F$198+1),0)</f>
        <v>0</v>
      </c>
      <c r="AA425" s="272">
        <f>IF(AND(AA423&gt;(2020+TRANSPORT!$F$198),AA423&lt;(2022+$G$198)),(TRANSPORT!$G$191-INDEX(TRANSPORT!$Y$424:$BA$424,1,($F$198-1)))/($G$198-$F$198+1),0)</f>
        <v>0</v>
      </c>
      <c r="AB425" s="272">
        <f>IF(AND(AB423&gt;(2020+TRANSPORT!$F$198),AB423&lt;(2022+$G$198)),(TRANSPORT!$G$191-INDEX(TRANSPORT!$Y$424:$BA$424,1,($F$198-1)))/($G$198-$F$198+1),0)</f>
        <v>0</v>
      </c>
      <c r="AC425" s="272">
        <f>IF(AND(AC423&gt;(2020+TRANSPORT!$F$198),AC423&lt;(2022+$G$198)),(TRANSPORT!$G$191-INDEX(TRANSPORT!$Y$424:$BA$424,1,($F$198-1)))/($G$198-$F$198+1),0)</f>
        <v>0</v>
      </c>
      <c r="AD425" s="272">
        <f>IF(AND(AD423&gt;(2020+TRANSPORT!$F$198),AD423&lt;(2022+$G$198)),(TRANSPORT!$G$191-INDEX(TRANSPORT!$Y$424:$BA$424,1,($F$198-1)))/($G$198-$F$198+1),0)</f>
        <v>0</v>
      </c>
      <c r="AE425" s="272">
        <f>IF(AND(AE423&gt;(2020+TRANSPORT!$F$198),AE423&lt;(2022+$G$198)),(TRANSPORT!$G$191-INDEX(TRANSPORT!$Y$424:$BA$424,1,($F$198-1)))/($G$198-$F$198+1),0)</f>
        <v>0</v>
      </c>
      <c r="AF425" s="272">
        <f>IF(AND(AF423&gt;(2020+TRANSPORT!$F$198),AF423&lt;(2022+$G$198)),(TRANSPORT!$G$191-INDEX(TRANSPORT!$Y$424:$BA$424,1,($F$198-1)))/($G$198-$F$198+1),0)</f>
        <v>0</v>
      </c>
      <c r="AG425" s="272">
        <f>IF(AND(AG423&gt;(2020+TRANSPORT!$F$198),AG423&lt;(2022+$G$198)),(TRANSPORT!$G$191-INDEX(TRANSPORT!$Y$424:$BA$424,1,($F$198-1)))/($G$198-$F$198+1),0)</f>
        <v>0</v>
      </c>
      <c r="AH425" s="272">
        <f>IF(AND(AH423&gt;(2020+TRANSPORT!$F$198),AH423&lt;(2022+$G$198)),(TRANSPORT!$G$191-INDEX(TRANSPORT!$Y$424:$BA$424,1,($F$198-1)))/($G$198-$F$198+1),0)</f>
        <v>0</v>
      </c>
      <c r="AI425" s="272">
        <f>IF(AND(AI423&gt;(2020+TRANSPORT!$F$198),AI423&lt;(2022+$G$198)),(TRANSPORT!$G$191-INDEX(TRANSPORT!$Y$424:$BA$424,1,($F$198-1)))/($G$198-$F$198+1),0)</f>
        <v>0</v>
      </c>
      <c r="AJ425" s="272">
        <f>IF(AND(AJ423&gt;(2020+TRANSPORT!$F$198),AJ423&lt;(2022+$G$198)),(TRANSPORT!$G$191-INDEX(TRANSPORT!$Y$424:$BA$424,1,($F$198-1)))/($G$198-$F$198+1),0)</f>
        <v>0</v>
      </c>
      <c r="AK425" s="272">
        <f>IF(AND(AK423&gt;(2020+TRANSPORT!$F$198),AK423&lt;(2022+$G$198)),(TRANSPORT!$G$191-INDEX(TRANSPORT!$Y$424:$BA$424,1,($F$198-1)))/($G$198-$F$198+1),0)</f>
        <v>0</v>
      </c>
      <c r="AL425" s="272">
        <f>IF(AND(AL423&gt;(2020+TRANSPORT!$F$198),AL423&lt;(2022+$G$198)),(TRANSPORT!$G$191-INDEX(TRANSPORT!$Y$424:$BA$424,1,($F$198-1)))/($G$198-$F$198+1),0)</f>
        <v>0</v>
      </c>
      <c r="AM425" s="272">
        <f>IF(AND(AM423&gt;(2020+TRANSPORT!$F$198),AM423&lt;(2022+$G$198)),(TRANSPORT!$G$191-INDEX(TRANSPORT!$Y$424:$BA$424,1,($F$198-1)))/($G$198-$F$198+1),0)</f>
        <v>0</v>
      </c>
      <c r="AN425" s="272">
        <f>IF(AND(AN423&gt;(2020+TRANSPORT!$F$198),AN423&lt;(2022+$G$198)),(TRANSPORT!$G$191-INDEX(TRANSPORT!$Y$424:$BA$424,1,($F$198-1)))/($G$198-$F$198+1),0)</f>
        <v>0</v>
      </c>
      <c r="AO425" s="272">
        <f>IF(AND(AO423&gt;(2020+TRANSPORT!$F$198),AO423&lt;(2022+$G$198)),(TRANSPORT!$G$191-INDEX(TRANSPORT!$Y$424:$BA$424,1,($F$198-1)))/($G$198-$F$198+1),0)</f>
        <v>0</v>
      </c>
      <c r="AP425" s="272">
        <f>IF(AND(AP423&gt;(2020+TRANSPORT!$F$198),AP423&lt;(2022+$G$198)),(TRANSPORT!$G$191-INDEX(TRANSPORT!$Y$424:$BA$424,1,($F$198-1)))/($G$198-$F$198+1),0)</f>
        <v>0</v>
      </c>
      <c r="AQ425" s="272">
        <f>IF(AND(AQ423&gt;(2020+TRANSPORT!$F$198),AQ423&lt;(2022+$G$198)),(TRANSPORT!$G$191-INDEX(TRANSPORT!$Y$424:$BA$424,1,($F$198-1)))/($G$198-$F$198+1),0)</f>
        <v>0</v>
      </c>
      <c r="AR425" s="272">
        <f>IF(AND(AR423&gt;(2020+TRANSPORT!$F$198),AR423&lt;(2022+$G$198)),(TRANSPORT!$G$191-INDEX(TRANSPORT!$Y$424:$BA$424,1,($F$198-1)))/($G$198-$F$198+1),0)</f>
        <v>0</v>
      </c>
      <c r="AS425" s="272">
        <f>IF(AND(AS423&gt;(2020+TRANSPORT!$F$198),AS423&lt;(2022+$G$198)),(TRANSPORT!$G$191-INDEX(TRANSPORT!$Y$424:$BA$424,1,($F$198-1)))/($G$198-$F$198+1),0)</f>
        <v>0</v>
      </c>
      <c r="AT425" s="272">
        <f>IF(AND(AT423&gt;(2020+TRANSPORT!$F$198),AT423&lt;(2022+$G$198)),(TRANSPORT!$G$191-INDEX(TRANSPORT!$Y$424:$BA$424,1,($F$198-1)))/($G$198-$F$198+1),0)</f>
        <v>0</v>
      </c>
      <c r="AU425" s="272">
        <f>IF(AND(AU423&gt;(2020+TRANSPORT!$F$198),AU423&lt;(2022+$G$198)),(TRANSPORT!$G$191-INDEX(TRANSPORT!$Y$424:$BA$424,1,($F$198-1)))/($G$198-$F$198+1),0)</f>
        <v>0</v>
      </c>
      <c r="AV425" s="272">
        <f>IF(AND(AV423&gt;(2020+TRANSPORT!$F$198),AV423&lt;(2022+$G$198)),(TRANSPORT!$G$191-INDEX(TRANSPORT!$Y$424:$BA$424,1,($F$198-1)))/($G$198-$F$198+1),0)</f>
        <v>0</v>
      </c>
      <c r="AW425" s="272">
        <f>IF(AND(AW423&gt;(2020+TRANSPORT!$F$198),AW423&lt;(2022+$G$198)),(TRANSPORT!$G$191-INDEX(TRANSPORT!$Y$424:$BA$424,1,($F$198-1)))/($G$198-$F$198+1),0)</f>
        <v>0</v>
      </c>
      <c r="AX425" s="272">
        <f>IF(AND(AX423&gt;(2020+TRANSPORT!$F$198),AX423&lt;(2022+$G$198)),(TRANSPORT!$G$191-INDEX(TRANSPORT!$Y$424:$BA$424,1,($F$198-1)))/($G$198-$F$198+1),0)</f>
        <v>0</v>
      </c>
      <c r="AY425" s="272">
        <f>IF(AND(AY423&gt;(2020+TRANSPORT!$F$198),AY423&lt;(2022+$G$198)),(TRANSPORT!$G$191-INDEX(TRANSPORT!$Y$424:$BA$424,1,($F$198-1)))/($G$198-$F$198+1),0)</f>
        <v>0</v>
      </c>
      <c r="AZ425" s="272">
        <f>IF(AND(AZ423&gt;(2020+TRANSPORT!$F$198),AZ423&lt;(2022+$G$198)),(TRANSPORT!$G$191-INDEX(TRANSPORT!$Y$424:$BA$424,1,($F$198-1)))/($G$198-$F$198+1),0)</f>
        <v>0</v>
      </c>
      <c r="BA425" s="324">
        <f>IF(AND(BA423&gt;(2020+TRANSPORT!$F$198),BA423&lt;(2022+$G$198)),(TRANSPORT!$G$191-INDEX(TRANSPORT!$Y$424:$BA$424,1,($F$198-1)))/($G$198-$F$198+1),0)</f>
        <v>0</v>
      </c>
    </row>
    <row r="426" spans="18:54" ht="20.100000000000001" customHeight="1">
      <c r="S426" s="241" t="s">
        <v>3117</v>
      </c>
      <c r="T426" s="552" t="s">
        <v>3116</v>
      </c>
      <c r="U426" s="280"/>
      <c r="V426" s="280"/>
      <c r="W426" s="280"/>
      <c r="X426" s="1220">
        <f>X424+X425</f>
        <v>0.2</v>
      </c>
      <c r="Y426" s="1220">
        <f>IF(Y425=0,X426*(IF(X424=0,0,Y424/X424)),X426+Y425)</f>
        <v>0.2</v>
      </c>
      <c r="Z426" s="1220">
        <f t="shared" ref="Z426:BA426" si="704">IF(Z425=0,Y426*(IF(Y424=0,0,Z424/Y424)),Y426+Z425)</f>
        <v>0.2</v>
      </c>
      <c r="AA426" s="1220">
        <f t="shared" si="704"/>
        <v>0.2</v>
      </c>
      <c r="AB426" s="1220">
        <f t="shared" si="704"/>
        <v>0.2</v>
      </c>
      <c r="AC426" s="1220">
        <f t="shared" si="704"/>
        <v>0.2</v>
      </c>
      <c r="AD426" s="1220">
        <f t="shared" si="704"/>
        <v>0.2</v>
      </c>
      <c r="AE426" s="1220">
        <f t="shared" si="704"/>
        <v>0.2</v>
      </c>
      <c r="AF426" s="1220">
        <f t="shared" si="704"/>
        <v>0.2</v>
      </c>
      <c r="AG426" s="1220">
        <f t="shared" si="704"/>
        <v>0.2</v>
      </c>
      <c r="AH426" s="1220">
        <f t="shared" si="704"/>
        <v>0.2</v>
      </c>
      <c r="AI426" s="1220">
        <f t="shared" si="704"/>
        <v>0.2</v>
      </c>
      <c r="AJ426" s="1220">
        <f t="shared" si="704"/>
        <v>0.2</v>
      </c>
      <c r="AK426" s="1220">
        <f t="shared" si="704"/>
        <v>0.2</v>
      </c>
      <c r="AL426" s="1220">
        <f t="shared" si="704"/>
        <v>0.2</v>
      </c>
      <c r="AM426" s="1220">
        <f t="shared" si="704"/>
        <v>0.2</v>
      </c>
      <c r="AN426" s="1220">
        <f t="shared" si="704"/>
        <v>0.2</v>
      </c>
      <c r="AO426" s="1220">
        <f t="shared" si="704"/>
        <v>0.2</v>
      </c>
      <c r="AP426" s="1220">
        <f t="shared" si="704"/>
        <v>0.2</v>
      </c>
      <c r="AQ426" s="1220">
        <f t="shared" si="704"/>
        <v>0.2</v>
      </c>
      <c r="AR426" s="1220">
        <f t="shared" si="704"/>
        <v>0.2</v>
      </c>
      <c r="AS426" s="1220">
        <f t="shared" si="704"/>
        <v>0.2</v>
      </c>
      <c r="AT426" s="1220">
        <f t="shared" si="704"/>
        <v>0.2</v>
      </c>
      <c r="AU426" s="1220">
        <f t="shared" si="704"/>
        <v>0.2</v>
      </c>
      <c r="AV426" s="1220">
        <f t="shared" si="704"/>
        <v>0.2</v>
      </c>
      <c r="AW426" s="1220">
        <f t="shared" si="704"/>
        <v>0.2</v>
      </c>
      <c r="AX426" s="1220">
        <f t="shared" si="704"/>
        <v>0.2</v>
      </c>
      <c r="AY426" s="1220">
        <f t="shared" si="704"/>
        <v>0.2</v>
      </c>
      <c r="AZ426" s="1220">
        <f t="shared" si="704"/>
        <v>0.2</v>
      </c>
      <c r="BA426" s="1221">
        <f t="shared" si="704"/>
        <v>0.2</v>
      </c>
    </row>
    <row r="427" spans="18:54" ht="20.100000000000001" customHeight="1">
      <c r="S427" s="881" t="s">
        <v>2067</v>
      </c>
      <c r="T427" s="552" t="s">
        <v>3124</v>
      </c>
      <c r="U427" s="559"/>
      <c r="V427" s="559"/>
      <c r="W427" s="559"/>
      <c r="X427" s="628">
        <f t="shared" ref="X427:BA427" si="705">X30</f>
        <v>0</v>
      </c>
      <c r="Y427" s="628">
        <f t="shared" si="705"/>
        <v>0</v>
      </c>
      <c r="Z427" s="628">
        <f t="shared" si="705"/>
        <v>0</v>
      </c>
      <c r="AA427" s="628">
        <f t="shared" si="705"/>
        <v>0</v>
      </c>
      <c r="AB427" s="628">
        <f t="shared" si="705"/>
        <v>0</v>
      </c>
      <c r="AC427" s="628">
        <f t="shared" si="705"/>
        <v>0</v>
      </c>
      <c r="AD427" s="628">
        <f t="shared" si="705"/>
        <v>0</v>
      </c>
      <c r="AE427" s="628">
        <f t="shared" si="705"/>
        <v>0</v>
      </c>
      <c r="AF427" s="628">
        <f t="shared" si="705"/>
        <v>0</v>
      </c>
      <c r="AG427" s="628">
        <f t="shared" si="705"/>
        <v>0</v>
      </c>
      <c r="AH427" s="628">
        <f t="shared" si="705"/>
        <v>0</v>
      </c>
      <c r="AI427" s="628">
        <f t="shared" si="705"/>
        <v>0</v>
      </c>
      <c r="AJ427" s="628">
        <f t="shared" si="705"/>
        <v>0</v>
      </c>
      <c r="AK427" s="628">
        <f t="shared" si="705"/>
        <v>0</v>
      </c>
      <c r="AL427" s="628">
        <f t="shared" si="705"/>
        <v>0</v>
      </c>
      <c r="AM427" s="628">
        <f t="shared" si="705"/>
        <v>0</v>
      </c>
      <c r="AN427" s="628">
        <f t="shared" si="705"/>
        <v>0</v>
      </c>
      <c r="AO427" s="628">
        <f t="shared" si="705"/>
        <v>0</v>
      </c>
      <c r="AP427" s="628">
        <f t="shared" si="705"/>
        <v>0</v>
      </c>
      <c r="AQ427" s="628">
        <f t="shared" si="705"/>
        <v>0</v>
      </c>
      <c r="AR427" s="628">
        <f t="shared" si="705"/>
        <v>0</v>
      </c>
      <c r="AS427" s="628">
        <f t="shared" si="705"/>
        <v>0</v>
      </c>
      <c r="AT427" s="628">
        <f t="shared" si="705"/>
        <v>0</v>
      </c>
      <c r="AU427" s="628">
        <f t="shared" si="705"/>
        <v>0</v>
      </c>
      <c r="AV427" s="628">
        <f t="shared" si="705"/>
        <v>0</v>
      </c>
      <c r="AW427" s="628">
        <f t="shared" si="705"/>
        <v>0</v>
      </c>
      <c r="AX427" s="628">
        <f t="shared" si="705"/>
        <v>0</v>
      </c>
      <c r="AY427" s="628">
        <f t="shared" si="705"/>
        <v>0</v>
      </c>
      <c r="AZ427" s="628">
        <f t="shared" si="705"/>
        <v>0</v>
      </c>
      <c r="BA427" s="902">
        <f t="shared" si="705"/>
        <v>0</v>
      </c>
    </row>
    <row r="428" spans="18:54" ht="20.100000000000001" customHeight="1">
      <c r="S428" s="241" t="s">
        <v>3110</v>
      </c>
      <c r="T428" s="552"/>
      <c r="U428" s="280"/>
      <c r="V428" s="280"/>
      <c r="W428" s="280"/>
      <c r="X428" s="272">
        <f>IF(AND(X423&gt;(2020+TRANSPORT!$F$198),X423&lt;(2022+$G$198)),(TRANSPORT!$G$192-INDEX(TRANSPORT!$X$427:$BA$427,1,($F$198-1)))/($G$198-$F$198+1),0)</f>
        <v>0</v>
      </c>
      <c r="Y428" s="272">
        <f>IF(AND(Y423&gt;(2020+TRANSPORT!$F$198),Y423&lt;(2022+$G$198)),(TRANSPORT!$G$192-INDEX(TRANSPORT!$X$427:$BA$427,1,($F$198-1)))/($G$198-$F$198+1),0)</f>
        <v>0</v>
      </c>
      <c r="Z428" s="272">
        <f>IF(AND(Z423&gt;(2020+TRANSPORT!$F$198),Z423&lt;(2022+$G$198)),(TRANSPORT!$G$192-INDEX(TRANSPORT!$X$427:$BA$427,1,($F$198-1)))/($G$198-$F$198+1),0)</f>
        <v>0</v>
      </c>
      <c r="AA428" s="272">
        <f>IF(AND(AA423&gt;(2020+TRANSPORT!$F$198),AA423&lt;(2022+$G$198)),(TRANSPORT!$G$192-INDEX(TRANSPORT!$X$427:$BA$427,1,($F$198-1)))/($G$198-$F$198+1),0)</f>
        <v>0</v>
      </c>
      <c r="AB428" s="272">
        <f>IF(AND(AB423&gt;(2020+TRANSPORT!$F$198),AB423&lt;(2022+$G$198)),(TRANSPORT!$G$192-INDEX(TRANSPORT!$X$427:$BA$427,1,($F$198-1)))/($G$198-$F$198+1),0)</f>
        <v>0</v>
      </c>
      <c r="AC428" s="272">
        <f>IF(AND(AC423&gt;(2020+TRANSPORT!$F$198),AC423&lt;(2022+$G$198)),(TRANSPORT!$G$192-INDEX(TRANSPORT!$X$427:$BA$427,1,($F$198-1)))/($G$198-$F$198+1),0)</f>
        <v>0</v>
      </c>
      <c r="AD428" s="272">
        <f>IF(AND(AD423&gt;(2020+TRANSPORT!$F$198),AD423&lt;(2022+$G$198)),(TRANSPORT!$G$192-INDEX(TRANSPORT!$X$427:$BA$427,1,($F$198-1)))/($G$198-$F$198+1),0)</f>
        <v>0</v>
      </c>
      <c r="AE428" s="272">
        <f>IF(AND(AE423&gt;(2020+TRANSPORT!$F$198),AE423&lt;(2022+$G$198)),(TRANSPORT!$G$192-INDEX(TRANSPORT!$X$427:$BA$427,1,($F$198-1)))/($G$198-$F$198+1),0)</f>
        <v>0</v>
      </c>
      <c r="AF428" s="272">
        <f>IF(AND(AF423&gt;(2020+TRANSPORT!$F$198),AF423&lt;(2022+$G$198)),(TRANSPORT!$G$192-INDEX(TRANSPORT!$X$427:$BA$427,1,($F$198-1)))/($G$198-$F$198+1),0)</f>
        <v>0</v>
      </c>
      <c r="AG428" s="272">
        <f>IF(AND(AG423&gt;(2020+TRANSPORT!$F$198),AG423&lt;(2022+$G$198)),(TRANSPORT!$G$192-INDEX(TRANSPORT!$X$427:$BA$427,1,($F$198-1)))/($G$198-$F$198+1),0)</f>
        <v>0</v>
      </c>
      <c r="AH428" s="272">
        <f>IF(AND(AH423&gt;(2020+TRANSPORT!$F$198),AH423&lt;(2022+$G$198)),(TRANSPORT!$G$192-INDEX(TRANSPORT!$X$427:$BA$427,1,($F$198-1)))/($G$198-$F$198+1),0)</f>
        <v>0</v>
      </c>
      <c r="AI428" s="272">
        <f>IF(AND(AI423&gt;(2020+TRANSPORT!$F$198),AI423&lt;(2022+$G$198)),(TRANSPORT!$G$192-INDEX(TRANSPORT!$X$427:$BA$427,1,($F$198-1)))/($G$198-$F$198+1),0)</f>
        <v>0</v>
      </c>
      <c r="AJ428" s="272">
        <f>IF(AND(AJ423&gt;(2020+TRANSPORT!$F$198),AJ423&lt;(2022+$G$198)),(TRANSPORT!$G$192-INDEX(TRANSPORT!$X$427:$BA$427,1,($F$198-1)))/($G$198-$F$198+1),0)</f>
        <v>0</v>
      </c>
      <c r="AK428" s="272">
        <f>IF(AND(AK423&gt;(2020+TRANSPORT!$F$198),AK423&lt;(2022+$G$198)),(TRANSPORT!$G$192-INDEX(TRANSPORT!$X$427:$BA$427,1,($F$198-1)))/($G$198-$F$198+1),0)</f>
        <v>0</v>
      </c>
      <c r="AL428" s="272">
        <f>IF(AND(AL423&gt;(2020+TRANSPORT!$F$198),AL423&lt;(2022+$G$198)),(TRANSPORT!$G$192-INDEX(TRANSPORT!$X$427:$BA$427,1,($F$198-1)))/($G$198-$F$198+1),0)</f>
        <v>0</v>
      </c>
      <c r="AM428" s="272">
        <f>IF(AND(AM423&gt;(2020+TRANSPORT!$F$198),AM423&lt;(2022+$G$198)),(TRANSPORT!$G$192-INDEX(TRANSPORT!$X$427:$BA$427,1,($F$198-1)))/($G$198-$F$198+1),0)</f>
        <v>0</v>
      </c>
      <c r="AN428" s="272">
        <f>IF(AND(AN423&gt;(2020+TRANSPORT!$F$198),AN423&lt;(2022+$G$198)),(TRANSPORT!$G$192-INDEX(TRANSPORT!$X$427:$BA$427,1,($F$198-1)))/($G$198-$F$198+1),0)</f>
        <v>0</v>
      </c>
      <c r="AO428" s="272">
        <f>IF(AND(AO423&gt;(2020+TRANSPORT!$F$198),AO423&lt;(2022+$G$198)),(TRANSPORT!$G$192-INDEX(TRANSPORT!$X$427:$BA$427,1,($F$198-1)))/($G$198-$F$198+1),0)</f>
        <v>0</v>
      </c>
      <c r="AP428" s="272">
        <f>IF(AND(AP423&gt;(2020+TRANSPORT!$F$198),AP423&lt;(2022+$G$198)),(TRANSPORT!$G$192-INDEX(TRANSPORT!$X$427:$BA$427,1,($F$198-1)))/($G$198-$F$198+1),0)</f>
        <v>0</v>
      </c>
      <c r="AQ428" s="272">
        <f>IF(AND(AQ423&gt;(2020+TRANSPORT!$F$198),AQ423&lt;(2022+$G$198)),(TRANSPORT!$G$192-INDEX(TRANSPORT!$X$427:$BA$427,1,($F$198-1)))/($G$198-$F$198+1),0)</f>
        <v>0</v>
      </c>
      <c r="AR428" s="272">
        <f>IF(AND(AR423&gt;(2020+TRANSPORT!$F$198),AR423&lt;(2022+$G$198)),(TRANSPORT!$G$192-INDEX(TRANSPORT!$X$427:$BA$427,1,($F$198-1)))/($G$198-$F$198+1),0)</f>
        <v>0</v>
      </c>
      <c r="AS428" s="272">
        <f>IF(AND(AS423&gt;(2020+TRANSPORT!$F$198),AS423&lt;(2022+$G$198)),(TRANSPORT!$G$192-INDEX(TRANSPORT!$X$427:$BA$427,1,($F$198-1)))/($G$198-$F$198+1),0)</f>
        <v>0</v>
      </c>
      <c r="AT428" s="272">
        <f>IF(AND(AT423&gt;(2020+TRANSPORT!$F$198),AT423&lt;(2022+$G$198)),(TRANSPORT!$G$192-INDEX(TRANSPORT!$X$427:$BA$427,1,($F$198-1)))/($G$198-$F$198+1),0)</f>
        <v>0</v>
      </c>
      <c r="AU428" s="272">
        <f>IF(AND(AU423&gt;(2020+TRANSPORT!$F$198),AU423&lt;(2022+$G$198)),(TRANSPORT!$G$192-INDEX(TRANSPORT!$X$427:$BA$427,1,($F$198-1)))/($G$198-$F$198+1),0)</f>
        <v>0</v>
      </c>
      <c r="AV428" s="272">
        <f>IF(AND(AV423&gt;(2020+TRANSPORT!$F$198),AV423&lt;(2022+$G$198)),(TRANSPORT!$G$192-INDEX(TRANSPORT!$X$427:$BA$427,1,($F$198-1)))/($G$198-$F$198+1),0)</f>
        <v>0</v>
      </c>
      <c r="AW428" s="272">
        <f>IF(AND(AW423&gt;(2020+TRANSPORT!$F$198),AW423&lt;(2022+$G$198)),(TRANSPORT!$G$192-INDEX(TRANSPORT!$X$427:$BA$427,1,($F$198-1)))/($G$198-$F$198+1),0)</f>
        <v>0</v>
      </c>
      <c r="AX428" s="272">
        <f>IF(AND(AX423&gt;(2020+TRANSPORT!$F$198),AX423&lt;(2022+$G$198)),(TRANSPORT!$G$192-INDEX(TRANSPORT!$X$427:$BA$427,1,($F$198-1)))/($G$198-$F$198+1),0)</f>
        <v>0</v>
      </c>
      <c r="AY428" s="272">
        <f>IF(AND(AY423&gt;(2020+TRANSPORT!$F$198),AY423&lt;(2022+$G$198)),(TRANSPORT!$G$192-INDEX(TRANSPORT!$X$427:$BA$427,1,($F$198-1)))/($G$198-$F$198+1),0)</f>
        <v>0</v>
      </c>
      <c r="AZ428" s="272">
        <f>IF(AND(AZ423&gt;(2020+TRANSPORT!$F$198),AZ423&lt;(2022+$G$198)),(TRANSPORT!$G$192-INDEX(TRANSPORT!$X$427:$BA$427,1,($F$198-1)))/($G$198-$F$198+1),0)</f>
        <v>0</v>
      </c>
      <c r="BA428" s="324">
        <f>IF(AND(BA423&gt;(2020+TRANSPORT!$F$198),BA423&lt;(2022+$G$198)),(TRANSPORT!$G$192-INDEX(TRANSPORT!$X$427:$BA$427,1,($F$198-1)))/($G$198-$F$198+1),0)</f>
        <v>0</v>
      </c>
    </row>
    <row r="429" spans="18:54" ht="20.100000000000001" customHeight="1">
      <c r="S429" s="241" t="s">
        <v>3118</v>
      </c>
      <c r="T429" s="552" t="s">
        <v>3116</v>
      </c>
      <c r="U429" s="280"/>
      <c r="V429" s="280"/>
      <c r="W429" s="280"/>
      <c r="X429" s="1220">
        <f>SUM(X427:X428)</f>
        <v>0</v>
      </c>
      <c r="Y429" s="1220">
        <f>IF(Y428=0,X429*(IF(X427=0,1,Y427/X427)),X429+Y428)</f>
        <v>0</v>
      </c>
      <c r="Z429" s="1220">
        <f t="shared" ref="Z429:BA429" si="706">IF(Z428=0,Y429*(IF(Y427=0,1,Z427/Y427)),Y429+Z428)</f>
        <v>0</v>
      </c>
      <c r="AA429" s="1220">
        <f t="shared" si="706"/>
        <v>0</v>
      </c>
      <c r="AB429" s="1220">
        <f t="shared" si="706"/>
        <v>0</v>
      </c>
      <c r="AC429" s="1220">
        <f t="shared" si="706"/>
        <v>0</v>
      </c>
      <c r="AD429" s="1220">
        <f t="shared" si="706"/>
        <v>0</v>
      </c>
      <c r="AE429" s="1220">
        <f t="shared" si="706"/>
        <v>0</v>
      </c>
      <c r="AF429" s="1220">
        <f t="shared" si="706"/>
        <v>0</v>
      </c>
      <c r="AG429" s="1220">
        <f t="shared" si="706"/>
        <v>0</v>
      </c>
      <c r="AH429" s="1220">
        <f t="shared" si="706"/>
        <v>0</v>
      </c>
      <c r="AI429" s="1220">
        <f t="shared" si="706"/>
        <v>0</v>
      </c>
      <c r="AJ429" s="1220">
        <f t="shared" si="706"/>
        <v>0</v>
      </c>
      <c r="AK429" s="1220">
        <f t="shared" si="706"/>
        <v>0</v>
      </c>
      <c r="AL429" s="1220">
        <f t="shared" si="706"/>
        <v>0</v>
      </c>
      <c r="AM429" s="1220">
        <f t="shared" si="706"/>
        <v>0</v>
      </c>
      <c r="AN429" s="1220">
        <f t="shared" si="706"/>
        <v>0</v>
      </c>
      <c r="AO429" s="1220">
        <f t="shared" si="706"/>
        <v>0</v>
      </c>
      <c r="AP429" s="1220">
        <f t="shared" si="706"/>
        <v>0</v>
      </c>
      <c r="AQ429" s="1220">
        <f t="shared" si="706"/>
        <v>0</v>
      </c>
      <c r="AR429" s="1220">
        <f t="shared" si="706"/>
        <v>0</v>
      </c>
      <c r="AS429" s="1220">
        <f t="shared" si="706"/>
        <v>0</v>
      </c>
      <c r="AT429" s="1220">
        <f t="shared" si="706"/>
        <v>0</v>
      </c>
      <c r="AU429" s="1220">
        <f t="shared" si="706"/>
        <v>0</v>
      </c>
      <c r="AV429" s="1220">
        <f t="shared" si="706"/>
        <v>0</v>
      </c>
      <c r="AW429" s="1220">
        <f t="shared" si="706"/>
        <v>0</v>
      </c>
      <c r="AX429" s="1220">
        <f t="shared" si="706"/>
        <v>0</v>
      </c>
      <c r="AY429" s="1220">
        <f t="shared" si="706"/>
        <v>0</v>
      </c>
      <c r="AZ429" s="1220">
        <f t="shared" si="706"/>
        <v>0</v>
      </c>
      <c r="BA429" s="1221">
        <f t="shared" si="706"/>
        <v>0</v>
      </c>
    </row>
    <row r="430" spans="18:54" ht="20.100000000000001" customHeight="1">
      <c r="S430" s="881" t="s">
        <v>3127</v>
      </c>
      <c r="T430" s="552" t="s">
        <v>3125</v>
      </c>
      <c r="U430" s="559"/>
      <c r="V430" s="559"/>
      <c r="W430" s="559"/>
      <c r="X430" s="558">
        <f t="shared" ref="X430:BA430" si="707">X32</f>
        <v>0.5</v>
      </c>
      <c r="Y430" s="558">
        <f t="shared" si="707"/>
        <v>0.5</v>
      </c>
      <c r="Z430" s="558">
        <f t="shared" si="707"/>
        <v>0.5</v>
      </c>
      <c r="AA430" s="558">
        <f t="shared" si="707"/>
        <v>0.5</v>
      </c>
      <c r="AB430" s="558">
        <f t="shared" si="707"/>
        <v>0.5</v>
      </c>
      <c r="AC430" s="558">
        <f t="shared" si="707"/>
        <v>0.5</v>
      </c>
      <c r="AD430" s="558">
        <f t="shared" si="707"/>
        <v>0.5</v>
      </c>
      <c r="AE430" s="558">
        <f t="shared" si="707"/>
        <v>0.5</v>
      </c>
      <c r="AF430" s="558">
        <f t="shared" si="707"/>
        <v>0.5</v>
      </c>
      <c r="AG430" s="558">
        <f t="shared" si="707"/>
        <v>0.5</v>
      </c>
      <c r="AH430" s="558">
        <f t="shared" si="707"/>
        <v>0.5</v>
      </c>
      <c r="AI430" s="558">
        <f t="shared" si="707"/>
        <v>0.5</v>
      </c>
      <c r="AJ430" s="558">
        <f t="shared" si="707"/>
        <v>0.5</v>
      </c>
      <c r="AK430" s="558">
        <f t="shared" si="707"/>
        <v>0.5</v>
      </c>
      <c r="AL430" s="558">
        <f t="shared" si="707"/>
        <v>0.5</v>
      </c>
      <c r="AM430" s="558">
        <f t="shared" si="707"/>
        <v>0.5</v>
      </c>
      <c r="AN430" s="558">
        <f t="shared" si="707"/>
        <v>0.5</v>
      </c>
      <c r="AO430" s="558">
        <f t="shared" si="707"/>
        <v>0.5</v>
      </c>
      <c r="AP430" s="558">
        <f t="shared" si="707"/>
        <v>0.5</v>
      </c>
      <c r="AQ430" s="558">
        <f t="shared" si="707"/>
        <v>0.5</v>
      </c>
      <c r="AR430" s="558">
        <f t="shared" si="707"/>
        <v>0.5</v>
      </c>
      <c r="AS430" s="558">
        <f t="shared" si="707"/>
        <v>0.5</v>
      </c>
      <c r="AT430" s="558">
        <f t="shared" si="707"/>
        <v>0.5</v>
      </c>
      <c r="AU430" s="558">
        <f t="shared" si="707"/>
        <v>0.5</v>
      </c>
      <c r="AV430" s="558">
        <f t="shared" si="707"/>
        <v>0.5</v>
      </c>
      <c r="AW430" s="558">
        <f t="shared" si="707"/>
        <v>0.5</v>
      </c>
      <c r="AX430" s="558">
        <f t="shared" si="707"/>
        <v>0.5</v>
      </c>
      <c r="AY430" s="558">
        <f t="shared" si="707"/>
        <v>0.5</v>
      </c>
      <c r="AZ430" s="558">
        <f t="shared" si="707"/>
        <v>0.5</v>
      </c>
      <c r="BA430" s="882">
        <f t="shared" si="707"/>
        <v>0.5</v>
      </c>
    </row>
    <row r="431" spans="18:54" ht="20.100000000000001" customHeight="1">
      <c r="R431" s="1078"/>
      <c r="S431" s="241" t="s">
        <v>3110</v>
      </c>
      <c r="T431" s="552"/>
      <c r="U431" s="280"/>
      <c r="V431" s="280"/>
      <c r="W431" s="280"/>
      <c r="X431" s="272">
        <f>IF(AND(X423&gt;(2020+TRANSPORT!$F$198),X423&lt;(2022+$G$198)),(TRANSPORT!$G$193-INDEX(TRANSPORT!$Y$430:$BA$430,1,($F$198-1)))/($G$198-$F$198+1),0)</f>
        <v>0</v>
      </c>
      <c r="Y431" s="272">
        <f>IF(AND(Y423&gt;(2020+TRANSPORT!$F$198),Y423&lt;(2022+$G$198)),(TRANSPORT!$G$193-INDEX(TRANSPORT!$Y$430:$BA$430,1,($F$198-1)))/($G$198-$F$198+1),0)</f>
        <v>0</v>
      </c>
      <c r="Z431" s="272">
        <f>IF(AND(Z423&gt;(2020+TRANSPORT!$F$198),Z423&lt;(2022+$G$198)),(TRANSPORT!$G$193-INDEX(TRANSPORT!$Y$430:$BA$430,1,($F$198-1)))/($G$198-$F$198+1),0)</f>
        <v>0</v>
      </c>
      <c r="AA431" s="272">
        <f>IF(AND(AA423&gt;(2020+TRANSPORT!$F$198),AA423&lt;(2022+$G$198)),(TRANSPORT!$G$193-INDEX(TRANSPORT!$Y$430:$BA$430,1,($F$198-1)))/($G$198-$F$198+1),0)</f>
        <v>0</v>
      </c>
      <c r="AB431" s="272">
        <f>IF(AND(AB423&gt;(2020+TRANSPORT!$F$198),AB423&lt;(2022+$G$198)),(TRANSPORT!$G$193-INDEX(TRANSPORT!$Y$430:$BA$430,1,($F$198-1)))/($G$198-$F$198+1),0)</f>
        <v>0</v>
      </c>
      <c r="AC431" s="272">
        <f>IF(AND(AC423&gt;(2020+TRANSPORT!$F$198),AC423&lt;(2022+$G$198)),(TRANSPORT!$G$193-INDEX(TRANSPORT!$Y$430:$BA$430,1,($F$198-1)))/($G$198-$F$198+1),0)</f>
        <v>0</v>
      </c>
      <c r="AD431" s="272">
        <f>IF(AND(AD423&gt;(2020+TRANSPORT!$F$198),AD423&lt;(2022+$G$198)),(TRANSPORT!$G$193-INDEX(TRANSPORT!$Y$430:$BA$430,1,($F$198-1)))/($G$198-$F$198+1),0)</f>
        <v>0</v>
      </c>
      <c r="AE431" s="272">
        <f>IF(AND(AE423&gt;(2020+TRANSPORT!$F$198),AE423&lt;(2022+$G$198)),(TRANSPORT!$G$193-INDEX(TRANSPORT!$Y$430:$BA$430,1,($F$198-1)))/($G$198-$F$198+1),0)</f>
        <v>0</v>
      </c>
      <c r="AF431" s="272">
        <f>IF(AND(AF423&gt;(2020+TRANSPORT!$F$198),AF423&lt;(2022+$G$198)),(TRANSPORT!$G$193-INDEX(TRANSPORT!$Y$430:$BA$430,1,($F$198-1)))/($G$198-$F$198+1),0)</f>
        <v>0</v>
      </c>
      <c r="AG431" s="272">
        <f>IF(AND(AG423&gt;(2020+TRANSPORT!$F$198),AG423&lt;(2022+$G$198)),(TRANSPORT!$G$193-INDEX(TRANSPORT!$Y$430:$BA$430,1,($F$198-1)))/($G$198-$F$198+1),0)</f>
        <v>0</v>
      </c>
      <c r="AH431" s="272">
        <f>IF(AND(AH423&gt;(2020+TRANSPORT!$F$198),AH423&lt;(2022+$G$198)),(TRANSPORT!$G$193-INDEX(TRANSPORT!$Y$430:$BA$430,1,($F$198-1)))/($G$198-$F$198+1),0)</f>
        <v>0</v>
      </c>
      <c r="AI431" s="272">
        <f>IF(AND(AI423&gt;(2020+TRANSPORT!$F$198),AI423&lt;(2022+$G$198)),(TRANSPORT!$G$193-INDEX(TRANSPORT!$Y$430:$BA$430,1,($F$198-1)))/($G$198-$F$198+1),0)</f>
        <v>0</v>
      </c>
      <c r="AJ431" s="272">
        <f>IF(AND(AJ423&gt;(2020+TRANSPORT!$F$198),AJ423&lt;(2022+$G$198)),(TRANSPORT!$G$193-INDEX(TRANSPORT!$Y$430:$BA$430,1,($F$198-1)))/($G$198-$F$198+1),0)</f>
        <v>0</v>
      </c>
      <c r="AK431" s="272">
        <f>IF(AND(AK423&gt;(2020+TRANSPORT!$F$198),AK423&lt;(2022+$G$198)),(TRANSPORT!$G$193-INDEX(TRANSPORT!$Y$430:$BA$430,1,($F$198-1)))/($G$198-$F$198+1),0)</f>
        <v>0</v>
      </c>
      <c r="AL431" s="272">
        <f>IF(AND(AL423&gt;(2020+TRANSPORT!$F$198),AL423&lt;(2022+$G$198)),(TRANSPORT!$G$193-INDEX(TRANSPORT!$Y$430:$BA$430,1,($F$198-1)))/($G$198-$F$198+1),0)</f>
        <v>0</v>
      </c>
      <c r="AM431" s="272">
        <f>IF(AND(AM423&gt;(2020+TRANSPORT!$F$198),AM423&lt;(2022+$G$198)),(TRANSPORT!$G$193-INDEX(TRANSPORT!$Y$430:$BA$430,1,($F$198-1)))/($G$198-$F$198+1),0)</f>
        <v>0</v>
      </c>
      <c r="AN431" s="272">
        <f>IF(AND(AN423&gt;(2020+TRANSPORT!$F$198),AN423&lt;(2022+$G$198)),(TRANSPORT!$G$193-INDEX(TRANSPORT!$Y$430:$BA$430,1,($F$198-1)))/($G$198-$F$198+1),0)</f>
        <v>0</v>
      </c>
      <c r="AO431" s="272">
        <f>IF(AND(AO423&gt;(2020+TRANSPORT!$F$198),AO423&lt;(2022+$G$198)),(TRANSPORT!$G$193-INDEX(TRANSPORT!$Y$430:$BA$430,1,($F$198-1)))/($G$198-$F$198+1),0)</f>
        <v>0</v>
      </c>
      <c r="AP431" s="272">
        <f>IF(AND(AP423&gt;(2020+TRANSPORT!$F$198),AP423&lt;(2022+$G$198)),(TRANSPORT!$G$193-INDEX(TRANSPORT!$Y$430:$BA$430,1,($F$198-1)))/($G$198-$F$198+1),0)</f>
        <v>0</v>
      </c>
      <c r="AQ431" s="272">
        <f>IF(AND(AQ423&gt;(2020+TRANSPORT!$F$198),AQ423&lt;(2022+$G$198)),(TRANSPORT!$G$193-INDEX(TRANSPORT!$Y$430:$BA$430,1,($F$198-1)))/($G$198-$F$198+1),0)</f>
        <v>0</v>
      </c>
      <c r="AR431" s="272">
        <f>IF(AND(AR423&gt;(2020+TRANSPORT!$F$198),AR423&lt;(2022+$G$198)),(TRANSPORT!$G$193-INDEX(TRANSPORT!$Y$430:$BA$430,1,($F$198-1)))/($G$198-$F$198+1),0)</f>
        <v>0</v>
      </c>
      <c r="AS431" s="272">
        <f>IF(AND(AS423&gt;(2020+TRANSPORT!$F$198),AS423&lt;(2022+$G$198)),(TRANSPORT!$G$193-INDEX(TRANSPORT!$Y$430:$BA$430,1,($F$198-1)))/($G$198-$F$198+1),0)</f>
        <v>0</v>
      </c>
      <c r="AT431" s="272">
        <f>IF(AND(AT423&gt;(2020+TRANSPORT!$F$198),AT423&lt;(2022+$G$198)),(TRANSPORT!$G$193-INDEX(TRANSPORT!$Y$430:$BA$430,1,($F$198-1)))/($G$198-$F$198+1),0)</f>
        <v>0</v>
      </c>
      <c r="AU431" s="272">
        <f>IF(AND(AU423&gt;(2020+TRANSPORT!$F$198),AU423&lt;(2022+$G$198)),(TRANSPORT!$G$193-INDEX(TRANSPORT!$Y$430:$BA$430,1,($F$198-1)))/($G$198-$F$198+1),0)</f>
        <v>0</v>
      </c>
      <c r="AV431" s="272">
        <f>IF(AND(AV423&gt;(2020+TRANSPORT!$F$198),AV423&lt;(2022+$G$198)),(TRANSPORT!$G$193-INDEX(TRANSPORT!$Y$430:$BA$430,1,($F$198-1)))/($G$198-$F$198+1),0)</f>
        <v>0</v>
      </c>
      <c r="AW431" s="272">
        <f>IF(AND(AW423&gt;(2020+TRANSPORT!$F$198),AW423&lt;(2022+$G$198)),(TRANSPORT!$G$193-INDEX(TRANSPORT!$Y$430:$BA$430,1,($F$198-1)))/($G$198-$F$198+1),0)</f>
        <v>0</v>
      </c>
      <c r="AX431" s="272">
        <f>IF(AND(AX423&gt;(2020+TRANSPORT!$F$198),AX423&lt;(2022+$G$198)),(TRANSPORT!$G$193-INDEX(TRANSPORT!$Y$430:$BA$430,1,($F$198-1)))/($G$198-$F$198+1),0)</f>
        <v>0</v>
      </c>
      <c r="AY431" s="272">
        <f>IF(AND(AY423&gt;(2020+TRANSPORT!$F$198),AY423&lt;(2022+$G$198)),(TRANSPORT!$G$193-INDEX(TRANSPORT!$Y$430:$BA$430,1,($F$198-1)))/($G$198-$F$198+1),0)</f>
        <v>0</v>
      </c>
      <c r="AZ431" s="272">
        <f>IF(AND(AZ423&gt;(2020+TRANSPORT!$F$198),AZ423&lt;(2022+$G$198)),(TRANSPORT!$G$193-INDEX(TRANSPORT!$Y$430:$BA$430,1,($F$198-1)))/($G$198-$F$198+1),0)</f>
        <v>0</v>
      </c>
      <c r="BA431" s="324">
        <f>IF(AND(BA423&gt;(2020+TRANSPORT!$F$198),BA423&lt;(2022+$G$198)),(TRANSPORT!$G$193-INDEX(TRANSPORT!$Y$430:$BA$430,1,($F$198-1)))/($G$198-$F$198+1),0)</f>
        <v>0</v>
      </c>
      <c r="BB431" s="1078"/>
    </row>
    <row r="432" spans="18:54" ht="20.100000000000001" customHeight="1">
      <c r="S432" s="241" t="s">
        <v>3119</v>
      </c>
      <c r="T432" s="552" t="s">
        <v>3116</v>
      </c>
      <c r="U432" s="280"/>
      <c r="V432" s="280"/>
      <c r="W432" s="280"/>
      <c r="X432" s="1232">
        <f>SUM(X430:X431)</f>
        <v>0.5</v>
      </c>
      <c r="Y432" s="1220">
        <f>IF(Y431=0,X432*(IF(X430=0,1,Y430/X430)),X432+Y431)</f>
        <v>0.5</v>
      </c>
      <c r="Z432" s="1220">
        <f t="shared" ref="Z432:BA432" si="708">IF(Z431=0,Y432*(IF(Y430=0,1,Z430/Y430)),Y432+Z431)</f>
        <v>0.5</v>
      </c>
      <c r="AA432" s="1220">
        <f t="shared" si="708"/>
        <v>0.5</v>
      </c>
      <c r="AB432" s="1220">
        <f t="shared" si="708"/>
        <v>0.5</v>
      </c>
      <c r="AC432" s="1220">
        <f t="shared" si="708"/>
        <v>0.5</v>
      </c>
      <c r="AD432" s="1220">
        <f t="shared" si="708"/>
        <v>0.5</v>
      </c>
      <c r="AE432" s="1220">
        <f t="shared" si="708"/>
        <v>0.5</v>
      </c>
      <c r="AF432" s="1220">
        <f t="shared" si="708"/>
        <v>0.5</v>
      </c>
      <c r="AG432" s="1220">
        <f t="shared" si="708"/>
        <v>0.5</v>
      </c>
      <c r="AH432" s="1220">
        <f t="shared" si="708"/>
        <v>0.5</v>
      </c>
      <c r="AI432" s="1220">
        <f t="shared" si="708"/>
        <v>0.5</v>
      </c>
      <c r="AJ432" s="1220">
        <f t="shared" si="708"/>
        <v>0.5</v>
      </c>
      <c r="AK432" s="1220">
        <f t="shared" si="708"/>
        <v>0.5</v>
      </c>
      <c r="AL432" s="1220">
        <f t="shared" si="708"/>
        <v>0.5</v>
      </c>
      <c r="AM432" s="1220">
        <f t="shared" si="708"/>
        <v>0.5</v>
      </c>
      <c r="AN432" s="1220">
        <f t="shared" si="708"/>
        <v>0.5</v>
      </c>
      <c r="AO432" s="1220">
        <f t="shared" si="708"/>
        <v>0.5</v>
      </c>
      <c r="AP432" s="1220">
        <f t="shared" si="708"/>
        <v>0.5</v>
      </c>
      <c r="AQ432" s="1220">
        <f t="shared" si="708"/>
        <v>0.5</v>
      </c>
      <c r="AR432" s="1220">
        <f t="shared" si="708"/>
        <v>0.5</v>
      </c>
      <c r="AS432" s="1220">
        <f t="shared" si="708"/>
        <v>0.5</v>
      </c>
      <c r="AT432" s="1220">
        <f t="shared" si="708"/>
        <v>0.5</v>
      </c>
      <c r="AU432" s="1220">
        <f t="shared" si="708"/>
        <v>0.5</v>
      </c>
      <c r="AV432" s="1220">
        <f t="shared" si="708"/>
        <v>0.5</v>
      </c>
      <c r="AW432" s="1220">
        <f t="shared" si="708"/>
        <v>0.5</v>
      </c>
      <c r="AX432" s="1220">
        <f t="shared" si="708"/>
        <v>0.5</v>
      </c>
      <c r="AY432" s="1220">
        <f t="shared" si="708"/>
        <v>0.5</v>
      </c>
      <c r="AZ432" s="1220">
        <f t="shared" si="708"/>
        <v>0.5</v>
      </c>
      <c r="BA432" s="1221">
        <f t="shared" si="708"/>
        <v>0.5</v>
      </c>
    </row>
    <row r="433" spans="19:53" ht="20.100000000000001" customHeight="1">
      <c r="S433" s="881" t="s">
        <v>933</v>
      </c>
      <c r="T433" s="552" t="s">
        <v>3126</v>
      </c>
      <c r="U433" s="558"/>
      <c r="V433" s="1222"/>
      <c r="W433" s="1222"/>
      <c r="X433" s="558">
        <f t="shared" ref="X433:BA433" si="709">X33</f>
        <v>0.26</v>
      </c>
      <c r="Y433" s="558">
        <f t="shared" si="709"/>
        <v>0.32</v>
      </c>
      <c r="Z433" s="558">
        <f t="shared" si="709"/>
        <v>0.38</v>
      </c>
      <c r="AA433" s="558">
        <f t="shared" si="709"/>
        <v>0.44</v>
      </c>
      <c r="AB433" s="558">
        <f t="shared" si="709"/>
        <v>0.5</v>
      </c>
      <c r="AC433" s="558">
        <f t="shared" si="709"/>
        <v>0.67999999999999994</v>
      </c>
      <c r="AD433" s="558">
        <f t="shared" si="709"/>
        <v>0.85999999999999988</v>
      </c>
      <c r="AE433" s="558">
        <f t="shared" si="709"/>
        <v>1.0399999999999998</v>
      </c>
      <c r="AF433" s="558">
        <f t="shared" si="709"/>
        <v>1.2199999999999998</v>
      </c>
      <c r="AG433" s="558">
        <f t="shared" si="709"/>
        <v>1.3999999999999997</v>
      </c>
      <c r="AH433" s="558">
        <f t="shared" si="709"/>
        <v>1.4599999999999997</v>
      </c>
      <c r="AI433" s="558">
        <f t="shared" si="709"/>
        <v>1.5199999999999998</v>
      </c>
      <c r="AJ433" s="558">
        <f t="shared" si="709"/>
        <v>1.5799999999999998</v>
      </c>
      <c r="AK433" s="558">
        <f t="shared" si="709"/>
        <v>1.64</v>
      </c>
      <c r="AL433" s="558">
        <f t="shared" si="709"/>
        <v>1.7</v>
      </c>
      <c r="AM433" s="558">
        <f t="shared" si="709"/>
        <v>1.76</v>
      </c>
      <c r="AN433" s="558">
        <f t="shared" si="709"/>
        <v>1.82</v>
      </c>
      <c r="AO433" s="558">
        <f t="shared" si="709"/>
        <v>1.8800000000000001</v>
      </c>
      <c r="AP433" s="558">
        <f t="shared" si="709"/>
        <v>1.9400000000000002</v>
      </c>
      <c r="AQ433" s="558">
        <f t="shared" si="709"/>
        <v>2</v>
      </c>
      <c r="AR433" s="558">
        <f t="shared" si="709"/>
        <v>2.04</v>
      </c>
      <c r="AS433" s="558">
        <f t="shared" si="709"/>
        <v>2.08</v>
      </c>
      <c r="AT433" s="558">
        <f t="shared" si="709"/>
        <v>2.12</v>
      </c>
      <c r="AU433" s="558">
        <f t="shared" si="709"/>
        <v>2.16</v>
      </c>
      <c r="AV433" s="558">
        <f t="shared" si="709"/>
        <v>2.2000000000000002</v>
      </c>
      <c r="AW433" s="558">
        <f t="shared" si="709"/>
        <v>2.2600000000000002</v>
      </c>
      <c r="AX433" s="558">
        <f t="shared" si="709"/>
        <v>2.3200000000000003</v>
      </c>
      <c r="AY433" s="558">
        <f t="shared" si="709"/>
        <v>2.3800000000000003</v>
      </c>
      <c r="AZ433" s="558">
        <f t="shared" si="709"/>
        <v>2.4400000000000004</v>
      </c>
      <c r="BA433" s="882">
        <f t="shared" si="709"/>
        <v>2.5000000000000004</v>
      </c>
    </row>
    <row r="434" spans="19:53" ht="20.100000000000001" customHeight="1">
      <c r="S434" s="241" t="s">
        <v>3110</v>
      </c>
      <c r="T434" s="552"/>
      <c r="U434" s="280"/>
      <c r="V434" s="280"/>
      <c r="W434" s="280"/>
      <c r="X434" s="272">
        <f>IF(AND(X423&gt;(2020+TRANSPORT!$F$198),X423&lt;(2022+$G$198)),(TRANSPORT!$G$194-INDEX(TRANSPORT!$Y$433:$BA$433,1,($F$198-1)))/($G$198-$F$198+1),0)</f>
        <v>0</v>
      </c>
      <c r="Y434" s="272">
        <f>IF(AND(Y423&gt;(2020+TRANSPORT!$F$198),Y423&lt;(2022+$G$198)),(TRANSPORT!$G$194-INDEX(TRANSPORT!$Y$433:$BA$433,1,($F$198-1)))/($G$198-$F$198+1),0)</f>
        <v>0</v>
      </c>
      <c r="Z434" s="272">
        <f>IF(AND(Z423&gt;(2020+TRANSPORT!$F$198),Z423&lt;(2022+$G$198)),(TRANSPORT!$G$194-INDEX(TRANSPORT!$Y$433:$BA$433,1,($F$198-1)))/($G$198-$F$198+1),0)</f>
        <v>0</v>
      </c>
      <c r="AA434" s="272">
        <f>IF(AND(AA423&gt;(2020+TRANSPORT!$F$198),AA423&lt;(2022+$G$198)),(TRANSPORT!$G$194-INDEX(TRANSPORT!$Y$433:$BA$433,1,($F$198-1)))/($G$198-$F$198+1),0)</f>
        <v>0</v>
      </c>
      <c r="AB434" s="272">
        <f>IF(AND(AB423&gt;(2020+TRANSPORT!$F$198),AB423&lt;(2022+$G$198)),(TRANSPORT!$G$194-INDEX(TRANSPORT!$Y$433:$BA$433,1,($F$198-1)))/($G$198-$F$198+1),0)</f>
        <v>0.11600000000000002</v>
      </c>
      <c r="AC434" s="272">
        <f>IF(AND(AC423&gt;(2020+TRANSPORT!$F$198),AC423&lt;(2022+$G$198)),(TRANSPORT!$G$194-INDEX(TRANSPORT!$Y$433:$BA$433,1,($F$198-1)))/($G$198-$F$198+1),0)</f>
        <v>0.11600000000000002</v>
      </c>
      <c r="AD434" s="272">
        <f>IF(AND(AD423&gt;(2020+TRANSPORT!$F$198),AD423&lt;(2022+$G$198)),(TRANSPORT!$G$194-INDEX(TRANSPORT!$Y$433:$BA$433,1,($F$198-1)))/($G$198-$F$198+1),0)</f>
        <v>0.11600000000000002</v>
      </c>
      <c r="AE434" s="272">
        <f>IF(AND(AE423&gt;(2020+TRANSPORT!$F$198),AE423&lt;(2022+$G$198)),(TRANSPORT!$G$194-INDEX(TRANSPORT!$Y$433:$BA$433,1,($F$198-1)))/($G$198-$F$198+1),0)</f>
        <v>0.11600000000000002</v>
      </c>
      <c r="AF434" s="272">
        <f>IF(AND(AF423&gt;(2020+TRANSPORT!$F$198),AF423&lt;(2022+$G$198)),(TRANSPORT!$G$194-INDEX(TRANSPORT!$Y$433:$BA$433,1,($F$198-1)))/($G$198-$F$198+1),0)</f>
        <v>0.11600000000000002</v>
      </c>
      <c r="AG434" s="272">
        <f>IF(AND(AG423&gt;(2020+TRANSPORT!$F$198),AG423&lt;(2022+$G$198)),(TRANSPORT!$G$194-INDEX(TRANSPORT!$Y$433:$BA$433,1,($F$198-1)))/($G$198-$F$198+1),0)</f>
        <v>0.11600000000000002</v>
      </c>
      <c r="AH434" s="272">
        <f>IF(AND(AH423&gt;(2020+TRANSPORT!$F$198),AH423&lt;(2022+$G$198)),(TRANSPORT!$G$194-INDEX(TRANSPORT!$Y$433:$BA$433,1,($F$198-1)))/($G$198-$F$198+1),0)</f>
        <v>0.11600000000000002</v>
      </c>
      <c r="AI434" s="272">
        <f>IF(AND(AI423&gt;(2020+TRANSPORT!$F$198),AI423&lt;(2022+$G$198)),(TRANSPORT!$G$194-INDEX(TRANSPORT!$Y$433:$BA$433,1,($F$198-1)))/($G$198-$F$198+1),0)</f>
        <v>0.11600000000000002</v>
      </c>
      <c r="AJ434" s="272">
        <f>IF(AND(AJ423&gt;(2020+TRANSPORT!$F$198),AJ423&lt;(2022+$G$198)),(TRANSPORT!$G$194-INDEX(TRANSPORT!$Y$433:$BA$433,1,($F$198-1)))/($G$198-$F$198+1),0)</f>
        <v>0.11600000000000002</v>
      </c>
      <c r="AK434" s="272">
        <f>IF(AND(AK423&gt;(2020+TRANSPORT!$F$198),AK423&lt;(2022+$G$198)),(TRANSPORT!$G$194-INDEX(TRANSPORT!$Y$433:$BA$433,1,($F$198-1)))/($G$198-$F$198+1),0)</f>
        <v>0.11600000000000002</v>
      </c>
      <c r="AL434" s="272">
        <f>IF(AND(AL423&gt;(2020+TRANSPORT!$F$198),AL423&lt;(2022+$G$198)),(TRANSPORT!$G$194-INDEX(TRANSPORT!$Y$433:$BA$433,1,($F$198-1)))/($G$198-$F$198+1),0)</f>
        <v>0</v>
      </c>
      <c r="AM434" s="272">
        <f>IF(AND(AM423&gt;(2020+TRANSPORT!$F$198),AM423&lt;(2022+$G$198)),(TRANSPORT!$G$194-INDEX(TRANSPORT!$Y$433:$BA$433,1,($F$198-1)))/($G$198-$F$198+1),0)</f>
        <v>0</v>
      </c>
      <c r="AN434" s="272">
        <f>IF(AND(AN423&gt;(2020+TRANSPORT!$F$198),AN423&lt;(2022+$G$198)),(TRANSPORT!$G$194-INDEX(TRANSPORT!$Y$433:$BA$433,1,($F$198-1)))/($G$198-$F$198+1),0)</f>
        <v>0</v>
      </c>
      <c r="AO434" s="272">
        <f>IF(AND(AO423&gt;(2020+TRANSPORT!$F$198),AO423&lt;(2022+$G$198)),(TRANSPORT!$G$194-INDEX(TRANSPORT!$Y$433:$BA$433,1,($F$198-1)))/($G$198-$F$198+1),0)</f>
        <v>0</v>
      </c>
      <c r="AP434" s="272">
        <f>IF(AND(AP423&gt;(2020+TRANSPORT!$F$198),AP423&lt;(2022+$G$198)),(TRANSPORT!$G$194-INDEX(TRANSPORT!$Y$433:$BA$433,1,($F$198-1)))/($G$198-$F$198+1),0)</f>
        <v>0</v>
      </c>
      <c r="AQ434" s="272">
        <f>IF(AND(AQ423&gt;(2020+TRANSPORT!$F$198),AQ423&lt;(2022+$G$198)),(TRANSPORT!$G$194-INDEX(TRANSPORT!$Y$433:$BA$433,1,($F$198-1)))/($G$198-$F$198+1),0)</f>
        <v>0</v>
      </c>
      <c r="AR434" s="272">
        <f>IF(AND(AR423&gt;(2020+TRANSPORT!$F$198),AR423&lt;(2022+$G$198)),(TRANSPORT!$G$194-INDEX(TRANSPORT!$Y$433:$BA$433,1,($F$198-1)))/($G$198-$F$198+1),0)</f>
        <v>0</v>
      </c>
      <c r="AS434" s="272">
        <f>IF(AND(AS423&gt;(2020+TRANSPORT!$F$198),AS423&lt;(2022+$G$198)),(TRANSPORT!$G$194-INDEX(TRANSPORT!$Y$433:$BA$433,1,($F$198-1)))/($G$198-$F$198+1),0)</f>
        <v>0</v>
      </c>
      <c r="AT434" s="272">
        <f>IF(AND(AT423&gt;(2020+TRANSPORT!$F$198),AT423&lt;(2022+$G$198)),(TRANSPORT!$G$194-INDEX(TRANSPORT!$Y$433:$BA$433,1,($F$198-1)))/($G$198-$F$198+1),0)</f>
        <v>0</v>
      </c>
      <c r="AU434" s="272">
        <f>IF(AND(AU423&gt;(2020+TRANSPORT!$F$198),AU423&lt;(2022+$G$198)),(TRANSPORT!$G$194-INDEX(TRANSPORT!$Y$433:$BA$433,1,($F$198-1)))/($G$198-$F$198+1),0)</f>
        <v>0</v>
      </c>
      <c r="AV434" s="272">
        <f>IF(AND(AV423&gt;(2020+TRANSPORT!$F$198),AV423&lt;(2022+$G$198)),(TRANSPORT!$G$194-INDEX(TRANSPORT!$Y$433:$BA$433,1,($F$198-1)))/($G$198-$F$198+1),0)</f>
        <v>0</v>
      </c>
      <c r="AW434" s="272">
        <f>IF(AND(AW423&gt;(2020+TRANSPORT!$F$198),AW423&lt;(2022+$G$198)),(TRANSPORT!$G$194-INDEX(TRANSPORT!$Y$433:$BA$433,1,($F$198-1)))/($G$198-$F$198+1),0)</f>
        <v>0</v>
      </c>
      <c r="AX434" s="272">
        <f>IF(AND(AX423&gt;(2020+TRANSPORT!$F$198),AX423&lt;(2022+$G$198)),(TRANSPORT!$G$194-INDEX(TRANSPORT!$Y$433:$BA$433,1,($F$198-1)))/($G$198-$F$198+1),0)</f>
        <v>0</v>
      </c>
      <c r="AY434" s="272">
        <f>IF(AND(AY423&gt;(2020+TRANSPORT!$F$198),AY423&lt;(2022+$G$198)),(TRANSPORT!$G$194-INDEX(TRANSPORT!$Y$433:$BA$433,1,($F$198-1)))/($G$198-$F$198+1),0)</f>
        <v>0</v>
      </c>
      <c r="AZ434" s="272">
        <f>IF(AND(AZ423&gt;(2020+TRANSPORT!$F$198),AZ423&lt;(2022+$G$198)),(TRANSPORT!$G$194-INDEX(TRANSPORT!$Y$433:$BA$433,1,($F$198-1)))/($G$198-$F$198+1),0)</f>
        <v>0</v>
      </c>
      <c r="BA434" s="324">
        <f>IF(AND(BA423&gt;(2020+TRANSPORT!$F$198),BA423&lt;(2022+$G$198)),(TRANSPORT!$G$194-INDEX(TRANSPORT!$Y$433:$BA$433,1,($F$198-1)))/($G$198-$F$198+1),0)</f>
        <v>0</v>
      </c>
    </row>
    <row r="435" spans="19:53" ht="20.100000000000001" customHeight="1">
      <c r="S435" s="241" t="s">
        <v>3120</v>
      </c>
      <c r="T435" s="552" t="s">
        <v>3116</v>
      </c>
      <c r="U435" s="280"/>
      <c r="V435" s="280"/>
      <c r="W435" s="280"/>
      <c r="X435" s="1232">
        <f>SUM(X433:X434)</f>
        <v>0.26</v>
      </c>
      <c r="Y435" s="1220">
        <f>IF(Y434=0,X435*(IF(X433=0,1,Y433/X433)),X435+Y434)</f>
        <v>0.32</v>
      </c>
      <c r="Z435" s="1220">
        <f t="shared" ref="Z435:BA435" si="710">IF(Z434=0,Y435*(IF(Y433=0,1,Z433/Y433)),Y435+Z434)</f>
        <v>0.38</v>
      </c>
      <c r="AA435" s="1220">
        <f t="shared" si="710"/>
        <v>0.44</v>
      </c>
      <c r="AB435" s="1220">
        <f t="shared" si="710"/>
        <v>0.55600000000000005</v>
      </c>
      <c r="AC435" s="1220">
        <f t="shared" si="710"/>
        <v>0.67200000000000004</v>
      </c>
      <c r="AD435" s="1220">
        <f t="shared" si="710"/>
        <v>0.78800000000000003</v>
      </c>
      <c r="AE435" s="1220">
        <f t="shared" si="710"/>
        <v>0.90400000000000003</v>
      </c>
      <c r="AF435" s="1220">
        <f t="shared" si="710"/>
        <v>1.02</v>
      </c>
      <c r="AG435" s="1220">
        <f t="shared" si="710"/>
        <v>1.1360000000000001</v>
      </c>
      <c r="AH435" s="1220">
        <f t="shared" si="710"/>
        <v>1.2520000000000002</v>
      </c>
      <c r="AI435" s="1220">
        <f t="shared" si="710"/>
        <v>1.3680000000000003</v>
      </c>
      <c r="AJ435" s="1220">
        <f t="shared" si="710"/>
        <v>1.4840000000000004</v>
      </c>
      <c r="AK435" s="1220">
        <f t="shared" si="710"/>
        <v>1.6000000000000005</v>
      </c>
      <c r="AL435" s="1220">
        <f t="shared" si="710"/>
        <v>1.6585365853658542</v>
      </c>
      <c r="AM435" s="1220">
        <f t="shared" si="710"/>
        <v>1.7170731707317082</v>
      </c>
      <c r="AN435" s="1220">
        <f t="shared" si="710"/>
        <v>1.7756097560975621</v>
      </c>
      <c r="AO435" s="1220">
        <f t="shared" si="710"/>
        <v>1.834146341463416</v>
      </c>
      <c r="AP435" s="1220">
        <f t="shared" si="710"/>
        <v>1.8926829268292698</v>
      </c>
      <c r="AQ435" s="1220">
        <f t="shared" si="710"/>
        <v>1.9512195121951232</v>
      </c>
      <c r="AR435" s="1220">
        <f t="shared" si="710"/>
        <v>1.9902439024390257</v>
      </c>
      <c r="AS435" s="1220">
        <f t="shared" si="710"/>
        <v>2.0292682926829282</v>
      </c>
      <c r="AT435" s="1220">
        <f t="shared" si="710"/>
        <v>2.0682926829268307</v>
      </c>
      <c r="AU435" s="1220">
        <f t="shared" si="710"/>
        <v>2.1073170731707331</v>
      </c>
      <c r="AV435" s="1220">
        <f t="shared" si="710"/>
        <v>2.1463414634146356</v>
      </c>
      <c r="AW435" s="1220">
        <f t="shared" si="710"/>
        <v>2.2048780487804893</v>
      </c>
      <c r="AX435" s="1220">
        <f t="shared" si="710"/>
        <v>2.263414634146343</v>
      </c>
      <c r="AY435" s="1220">
        <f t="shared" si="710"/>
        <v>2.3219512195121972</v>
      </c>
      <c r="AZ435" s="1220">
        <f t="shared" si="710"/>
        <v>2.3804878048780509</v>
      </c>
      <c r="BA435" s="1221">
        <f t="shared" si="710"/>
        <v>2.4390243902439046</v>
      </c>
    </row>
    <row r="436" spans="19:53" ht="20.100000000000001" customHeight="1">
      <c r="S436" s="1219" t="s">
        <v>932</v>
      </c>
      <c r="T436" s="552" t="s">
        <v>3126</v>
      </c>
      <c r="U436" s="488"/>
      <c r="V436" s="488"/>
      <c r="W436" s="488"/>
      <c r="X436" s="1233">
        <f t="shared" ref="X436:BA436" si="711">X31</f>
        <v>99.04</v>
      </c>
      <c r="Y436" s="1233">
        <f t="shared" si="711"/>
        <v>98.98</v>
      </c>
      <c r="Z436" s="1233">
        <f t="shared" si="711"/>
        <v>98.92</v>
      </c>
      <c r="AA436" s="1233">
        <f t="shared" si="711"/>
        <v>98.86</v>
      </c>
      <c r="AB436" s="1233">
        <f t="shared" si="711"/>
        <v>98.8</v>
      </c>
      <c r="AC436" s="1233">
        <f t="shared" si="711"/>
        <v>98.62</v>
      </c>
      <c r="AD436" s="1233">
        <f t="shared" si="711"/>
        <v>98.44</v>
      </c>
      <c r="AE436" s="1233">
        <f t="shared" si="711"/>
        <v>98.26</v>
      </c>
      <c r="AF436" s="1233">
        <f t="shared" si="711"/>
        <v>98.08</v>
      </c>
      <c r="AG436" s="1233">
        <f t="shared" si="711"/>
        <v>97.9</v>
      </c>
      <c r="AH436" s="1233">
        <f t="shared" si="711"/>
        <v>97.84</v>
      </c>
      <c r="AI436" s="1233">
        <f t="shared" si="711"/>
        <v>97.78</v>
      </c>
      <c r="AJ436" s="1233">
        <f t="shared" si="711"/>
        <v>97.72</v>
      </c>
      <c r="AK436" s="1233">
        <f t="shared" si="711"/>
        <v>97.66</v>
      </c>
      <c r="AL436" s="1233">
        <f t="shared" si="711"/>
        <v>97.6</v>
      </c>
      <c r="AM436" s="1233">
        <f t="shared" si="711"/>
        <v>97.54</v>
      </c>
      <c r="AN436" s="1233">
        <f t="shared" si="711"/>
        <v>97.48</v>
      </c>
      <c r="AO436" s="1233">
        <f t="shared" si="711"/>
        <v>97.42</v>
      </c>
      <c r="AP436" s="1233">
        <f t="shared" si="711"/>
        <v>97.36</v>
      </c>
      <c r="AQ436" s="1233">
        <f t="shared" si="711"/>
        <v>97.3</v>
      </c>
      <c r="AR436" s="1233">
        <f t="shared" si="711"/>
        <v>97.26</v>
      </c>
      <c r="AS436" s="1233">
        <f t="shared" si="711"/>
        <v>97.22</v>
      </c>
      <c r="AT436" s="1233">
        <f t="shared" si="711"/>
        <v>97.18</v>
      </c>
      <c r="AU436" s="1233">
        <f t="shared" si="711"/>
        <v>97.14</v>
      </c>
      <c r="AV436" s="1233">
        <f t="shared" si="711"/>
        <v>97.1</v>
      </c>
      <c r="AW436" s="1233">
        <f t="shared" si="711"/>
        <v>97.04</v>
      </c>
      <c r="AX436" s="1233">
        <f t="shared" si="711"/>
        <v>96.98</v>
      </c>
      <c r="AY436" s="1233">
        <f t="shared" si="711"/>
        <v>96.92</v>
      </c>
      <c r="AZ436" s="1233">
        <f t="shared" si="711"/>
        <v>96.86</v>
      </c>
      <c r="BA436" s="1234">
        <f t="shared" si="711"/>
        <v>96.8</v>
      </c>
    </row>
    <row r="437" spans="19:53" ht="20.100000000000001" customHeight="1" thickBot="1">
      <c r="S437" s="883" t="s">
        <v>3121</v>
      </c>
      <c r="T437" s="552" t="s">
        <v>3116</v>
      </c>
      <c r="U437" s="1225"/>
      <c r="V437" s="1225"/>
      <c r="W437" s="1225"/>
      <c r="X437" s="1235">
        <f>100-X426-X429-X432-X435</f>
        <v>99.039999999999992</v>
      </c>
      <c r="Y437" s="1235">
        <f t="shared" ref="Y437:BA437" si="712">100-Y426-Y429-Y432-Y435</f>
        <v>98.98</v>
      </c>
      <c r="Z437" s="1235">
        <f t="shared" si="712"/>
        <v>98.92</v>
      </c>
      <c r="AA437" s="1235">
        <f t="shared" si="712"/>
        <v>98.86</v>
      </c>
      <c r="AB437" s="1235">
        <f t="shared" si="712"/>
        <v>98.744</v>
      </c>
      <c r="AC437" s="1235">
        <f t="shared" si="712"/>
        <v>98.628</v>
      </c>
      <c r="AD437" s="1235">
        <f t="shared" si="712"/>
        <v>98.512</v>
      </c>
      <c r="AE437" s="1235">
        <f t="shared" si="712"/>
        <v>98.396000000000001</v>
      </c>
      <c r="AF437" s="1235">
        <f t="shared" si="712"/>
        <v>98.28</v>
      </c>
      <c r="AG437" s="1235">
        <f t="shared" si="712"/>
        <v>98.164000000000001</v>
      </c>
      <c r="AH437" s="1235">
        <f t="shared" si="712"/>
        <v>98.048000000000002</v>
      </c>
      <c r="AI437" s="1235">
        <f t="shared" si="712"/>
        <v>97.932000000000002</v>
      </c>
      <c r="AJ437" s="1235">
        <f t="shared" si="712"/>
        <v>97.816000000000003</v>
      </c>
      <c r="AK437" s="1235">
        <f t="shared" si="712"/>
        <v>97.7</v>
      </c>
      <c r="AL437" s="1235">
        <f t="shared" si="712"/>
        <v>97.641463414634146</v>
      </c>
      <c r="AM437" s="1235">
        <f t="shared" si="712"/>
        <v>97.582926829268288</v>
      </c>
      <c r="AN437" s="1235">
        <f t="shared" si="712"/>
        <v>97.524390243902431</v>
      </c>
      <c r="AO437" s="1235">
        <f t="shared" si="712"/>
        <v>97.465853658536588</v>
      </c>
      <c r="AP437" s="1235">
        <f t="shared" si="712"/>
        <v>97.407317073170731</v>
      </c>
      <c r="AQ437" s="1235">
        <f t="shared" si="712"/>
        <v>97.348780487804873</v>
      </c>
      <c r="AR437" s="1235">
        <f t="shared" si="712"/>
        <v>97.309756097560978</v>
      </c>
      <c r="AS437" s="1235">
        <f t="shared" si="712"/>
        <v>97.270731707317069</v>
      </c>
      <c r="AT437" s="1235">
        <f t="shared" si="712"/>
        <v>97.231707317073173</v>
      </c>
      <c r="AU437" s="1235">
        <f t="shared" si="712"/>
        <v>97.192682926829264</v>
      </c>
      <c r="AV437" s="1235">
        <f t="shared" si="712"/>
        <v>97.153658536585368</v>
      </c>
      <c r="AW437" s="1235">
        <f t="shared" si="712"/>
        <v>97.095121951219511</v>
      </c>
      <c r="AX437" s="1235">
        <f t="shared" si="712"/>
        <v>97.036585365853654</v>
      </c>
      <c r="AY437" s="1235">
        <f t="shared" si="712"/>
        <v>96.978048780487796</v>
      </c>
      <c r="AZ437" s="1235">
        <f t="shared" si="712"/>
        <v>96.919512195121939</v>
      </c>
      <c r="BA437" s="1236">
        <f t="shared" si="712"/>
        <v>96.860975609756096</v>
      </c>
    </row>
    <row r="438" spans="19:53" ht="20.100000000000001" customHeight="1" thickBot="1"/>
    <row r="439" spans="19:53" ht="20.100000000000001" customHeight="1">
      <c r="S439" s="1285" t="s">
        <v>3153</v>
      </c>
      <c r="T439" s="880" t="s">
        <v>2411</v>
      </c>
      <c r="U439" s="1287" t="s">
        <v>2408</v>
      </c>
      <c r="V439" s="1287"/>
      <c r="W439" s="1287"/>
      <c r="X439" s="1290" t="s">
        <v>989</v>
      </c>
      <c r="Y439" s="1291"/>
      <c r="Z439" s="1291"/>
      <c r="AA439" s="1291"/>
      <c r="AB439" s="1291"/>
      <c r="AC439" s="1291"/>
      <c r="AD439" s="1291"/>
      <c r="AE439" s="1291"/>
      <c r="AF439" s="1291"/>
      <c r="AG439" s="1291"/>
      <c r="AH439" s="1291"/>
      <c r="AI439" s="1291"/>
      <c r="AJ439" s="1291"/>
      <c r="AK439" s="1291"/>
      <c r="AL439" s="1291"/>
      <c r="AM439" s="1291"/>
      <c r="AN439" s="1291"/>
      <c r="AO439" s="1291"/>
      <c r="AP439" s="1291"/>
      <c r="AQ439" s="1291"/>
      <c r="AR439" s="1291"/>
      <c r="AS439" s="1291"/>
      <c r="AT439" s="1291"/>
      <c r="AU439" s="1291"/>
      <c r="AV439" s="1291"/>
      <c r="AW439" s="1291"/>
      <c r="AX439" s="1291"/>
      <c r="AY439" s="1291"/>
      <c r="AZ439" s="1291"/>
      <c r="BA439" s="1292"/>
    </row>
    <row r="440" spans="19:53" ht="20.100000000000001" customHeight="1">
      <c r="S440" s="881" t="s">
        <v>934</v>
      </c>
      <c r="T440" s="552"/>
      <c r="U440" s="1315" t="s">
        <v>935</v>
      </c>
      <c r="V440" s="558" t="s">
        <v>936</v>
      </c>
      <c r="W440" s="558" t="s">
        <v>937</v>
      </c>
      <c r="X440" s="559">
        <v>2021</v>
      </c>
      <c r="Y440" s="262">
        <v>2022</v>
      </c>
      <c r="Z440" s="559">
        <v>2023</v>
      </c>
      <c r="AA440" s="262">
        <v>2024</v>
      </c>
      <c r="AB440" s="559">
        <v>2025</v>
      </c>
      <c r="AC440" s="262">
        <v>2026</v>
      </c>
      <c r="AD440" s="559">
        <v>2027</v>
      </c>
      <c r="AE440" s="262">
        <v>2028</v>
      </c>
      <c r="AF440" s="559">
        <v>2029</v>
      </c>
      <c r="AG440" s="262">
        <v>2030</v>
      </c>
      <c r="AH440" s="559">
        <v>2031</v>
      </c>
      <c r="AI440" s="262">
        <v>2032</v>
      </c>
      <c r="AJ440" s="559">
        <v>2033</v>
      </c>
      <c r="AK440" s="262">
        <v>2034</v>
      </c>
      <c r="AL440" s="559">
        <v>2035</v>
      </c>
      <c r="AM440" s="262">
        <v>2036</v>
      </c>
      <c r="AN440" s="559">
        <v>2037</v>
      </c>
      <c r="AO440" s="262">
        <v>2038</v>
      </c>
      <c r="AP440" s="559">
        <v>2039</v>
      </c>
      <c r="AQ440" s="262">
        <v>2040</v>
      </c>
      <c r="AR440" s="559">
        <v>2041</v>
      </c>
      <c r="AS440" s="262">
        <v>2042</v>
      </c>
      <c r="AT440" s="559">
        <v>2043</v>
      </c>
      <c r="AU440" s="262">
        <v>2044</v>
      </c>
      <c r="AV440" s="559">
        <v>2045</v>
      </c>
      <c r="AW440" s="262">
        <v>2046</v>
      </c>
      <c r="AX440" s="559">
        <v>2047</v>
      </c>
      <c r="AY440" s="262">
        <v>2048</v>
      </c>
      <c r="AZ440" s="559">
        <v>2049</v>
      </c>
      <c r="BA440" s="492">
        <v>2050</v>
      </c>
    </row>
    <row r="441" spans="19:53" ht="20.100000000000001" customHeight="1">
      <c r="S441" s="881" t="s">
        <v>938</v>
      </c>
      <c r="T441" s="552"/>
      <c r="U441" s="1316">
        <f>0.4*V441+0.6*W441</f>
        <v>364.57793568343214</v>
      </c>
      <c r="V441" s="215">
        <f>INDEX('DEFAULT DATA'!$AG$9:$AK$41,START!$C$3,1)</f>
        <v>261.91600618637949</v>
      </c>
      <c r="W441" s="215">
        <f>INDEX('DEFAULT DATA'!$AB$9:$AF$41,START!$C$3,1)</f>
        <v>433.01922201480062</v>
      </c>
      <c r="X441" s="207">
        <f>X426</f>
        <v>0.2</v>
      </c>
      <c r="Y441" s="207">
        <f t="shared" ref="Y441:BA441" si="713">Y426</f>
        <v>0.2</v>
      </c>
      <c r="Z441" s="207">
        <f t="shared" si="713"/>
        <v>0.2</v>
      </c>
      <c r="AA441" s="207">
        <f t="shared" si="713"/>
        <v>0.2</v>
      </c>
      <c r="AB441" s="207">
        <f t="shared" si="713"/>
        <v>0.2</v>
      </c>
      <c r="AC441" s="207">
        <f t="shared" si="713"/>
        <v>0.2</v>
      </c>
      <c r="AD441" s="207">
        <f t="shared" si="713"/>
        <v>0.2</v>
      </c>
      <c r="AE441" s="207">
        <f t="shared" si="713"/>
        <v>0.2</v>
      </c>
      <c r="AF441" s="207">
        <f t="shared" si="713"/>
        <v>0.2</v>
      </c>
      <c r="AG441" s="207">
        <f t="shared" si="713"/>
        <v>0.2</v>
      </c>
      <c r="AH441" s="207">
        <f t="shared" si="713"/>
        <v>0.2</v>
      </c>
      <c r="AI441" s="207">
        <f t="shared" si="713"/>
        <v>0.2</v>
      </c>
      <c r="AJ441" s="207">
        <f t="shared" si="713"/>
        <v>0.2</v>
      </c>
      <c r="AK441" s="207">
        <f t="shared" si="713"/>
        <v>0.2</v>
      </c>
      <c r="AL441" s="207">
        <f t="shared" si="713"/>
        <v>0.2</v>
      </c>
      <c r="AM441" s="207">
        <f t="shared" si="713"/>
        <v>0.2</v>
      </c>
      <c r="AN441" s="207">
        <f t="shared" si="713"/>
        <v>0.2</v>
      </c>
      <c r="AO441" s="207">
        <f t="shared" si="713"/>
        <v>0.2</v>
      </c>
      <c r="AP441" s="207">
        <f t="shared" si="713"/>
        <v>0.2</v>
      </c>
      <c r="AQ441" s="207">
        <f t="shared" si="713"/>
        <v>0.2</v>
      </c>
      <c r="AR441" s="207">
        <f t="shared" si="713"/>
        <v>0.2</v>
      </c>
      <c r="AS441" s="207">
        <f t="shared" si="713"/>
        <v>0.2</v>
      </c>
      <c r="AT441" s="207">
        <f t="shared" si="713"/>
        <v>0.2</v>
      </c>
      <c r="AU441" s="207">
        <f t="shared" si="713"/>
        <v>0.2</v>
      </c>
      <c r="AV441" s="207">
        <f t="shared" si="713"/>
        <v>0.2</v>
      </c>
      <c r="AW441" s="207">
        <f t="shared" si="713"/>
        <v>0.2</v>
      </c>
      <c r="AX441" s="207">
        <f t="shared" si="713"/>
        <v>0.2</v>
      </c>
      <c r="AY441" s="207">
        <f t="shared" si="713"/>
        <v>0.2</v>
      </c>
      <c r="AZ441" s="207">
        <f t="shared" si="713"/>
        <v>0.2</v>
      </c>
      <c r="BA441" s="1237">
        <f t="shared" si="713"/>
        <v>0.2</v>
      </c>
    </row>
    <row r="442" spans="19:53" ht="20.100000000000001" customHeight="1">
      <c r="S442" s="881" t="s">
        <v>939</v>
      </c>
      <c r="T442" s="552"/>
      <c r="U442" s="1316">
        <f t="shared" ref="U442:U444" si="714">0.4*V442+0.6*W442</f>
        <v>396.28036487329581</v>
      </c>
      <c r="V442" s="215">
        <f>INDEX('DEFAULT DATA'!$AG$9:$AK$41,START!$C$3,2)</f>
        <v>284.69131107215162</v>
      </c>
      <c r="W442" s="559">
        <f>INDEX('DEFAULT DATA'!$AB$9:$AF$41,START!$C$3,2)</f>
        <v>470.67306740739195</v>
      </c>
      <c r="X442" s="628">
        <f>X429</f>
        <v>0</v>
      </c>
      <c r="Y442" s="628">
        <f t="shared" ref="Y442:BA442" si="715">Y429</f>
        <v>0</v>
      </c>
      <c r="Z442" s="628">
        <f t="shared" si="715"/>
        <v>0</v>
      </c>
      <c r="AA442" s="628">
        <f t="shared" si="715"/>
        <v>0</v>
      </c>
      <c r="AB442" s="628">
        <f t="shared" si="715"/>
        <v>0</v>
      </c>
      <c r="AC442" s="628">
        <f t="shared" si="715"/>
        <v>0</v>
      </c>
      <c r="AD442" s="628">
        <f t="shared" si="715"/>
        <v>0</v>
      </c>
      <c r="AE442" s="628">
        <f t="shared" si="715"/>
        <v>0</v>
      </c>
      <c r="AF442" s="628">
        <f t="shared" si="715"/>
        <v>0</v>
      </c>
      <c r="AG442" s="628">
        <f t="shared" si="715"/>
        <v>0</v>
      </c>
      <c r="AH442" s="628">
        <f t="shared" si="715"/>
        <v>0</v>
      </c>
      <c r="AI442" s="628">
        <f t="shared" si="715"/>
        <v>0</v>
      </c>
      <c r="AJ442" s="628">
        <f t="shared" si="715"/>
        <v>0</v>
      </c>
      <c r="AK442" s="628">
        <f t="shared" si="715"/>
        <v>0</v>
      </c>
      <c r="AL442" s="628">
        <f t="shared" si="715"/>
        <v>0</v>
      </c>
      <c r="AM442" s="628">
        <f t="shared" si="715"/>
        <v>0</v>
      </c>
      <c r="AN442" s="628">
        <f t="shared" si="715"/>
        <v>0</v>
      </c>
      <c r="AO442" s="628">
        <f t="shared" si="715"/>
        <v>0</v>
      </c>
      <c r="AP442" s="628">
        <f t="shared" si="715"/>
        <v>0</v>
      </c>
      <c r="AQ442" s="628">
        <f t="shared" si="715"/>
        <v>0</v>
      </c>
      <c r="AR442" s="628">
        <f t="shared" si="715"/>
        <v>0</v>
      </c>
      <c r="AS442" s="628">
        <f t="shared" si="715"/>
        <v>0</v>
      </c>
      <c r="AT442" s="628">
        <f t="shared" si="715"/>
        <v>0</v>
      </c>
      <c r="AU442" s="628">
        <f t="shared" si="715"/>
        <v>0</v>
      </c>
      <c r="AV442" s="628">
        <f t="shared" si="715"/>
        <v>0</v>
      </c>
      <c r="AW442" s="628">
        <f t="shared" si="715"/>
        <v>0</v>
      </c>
      <c r="AX442" s="628">
        <f t="shared" si="715"/>
        <v>0</v>
      </c>
      <c r="AY442" s="628">
        <f t="shared" si="715"/>
        <v>0</v>
      </c>
      <c r="AZ442" s="628">
        <f t="shared" si="715"/>
        <v>0</v>
      </c>
      <c r="BA442" s="902">
        <f t="shared" si="715"/>
        <v>0</v>
      </c>
    </row>
    <row r="443" spans="19:53" ht="20.100000000000001" customHeight="1">
      <c r="S443" s="881" t="s">
        <v>932</v>
      </c>
      <c r="T443" s="552"/>
      <c r="U443" s="1316">
        <f t="shared" si="714"/>
        <v>364.87514595708711</v>
      </c>
      <c r="V443" s="215">
        <f>INDEX('DEFAULT DATA'!$AG$9:$AK$41,START!$C$3,3)</f>
        <v>262.12952466968363</v>
      </c>
      <c r="W443" s="559">
        <f>INDEX('DEFAULT DATA'!$AB$9:$AF$41,START!$C$3,3)</f>
        <v>433.37222681535616</v>
      </c>
      <c r="X443" s="628">
        <f>X437</f>
        <v>99.039999999999992</v>
      </c>
      <c r="Y443" s="628">
        <f t="shared" ref="Y443:BA443" si="716">Y437</f>
        <v>98.98</v>
      </c>
      <c r="Z443" s="628">
        <f t="shared" si="716"/>
        <v>98.92</v>
      </c>
      <c r="AA443" s="628">
        <f t="shared" si="716"/>
        <v>98.86</v>
      </c>
      <c r="AB443" s="628">
        <f t="shared" si="716"/>
        <v>98.744</v>
      </c>
      <c r="AC443" s="628">
        <f t="shared" si="716"/>
        <v>98.628</v>
      </c>
      <c r="AD443" s="628">
        <f t="shared" si="716"/>
        <v>98.512</v>
      </c>
      <c r="AE443" s="628">
        <f t="shared" si="716"/>
        <v>98.396000000000001</v>
      </c>
      <c r="AF443" s="628">
        <f t="shared" si="716"/>
        <v>98.28</v>
      </c>
      <c r="AG443" s="628">
        <f t="shared" si="716"/>
        <v>98.164000000000001</v>
      </c>
      <c r="AH443" s="628">
        <f t="shared" si="716"/>
        <v>98.048000000000002</v>
      </c>
      <c r="AI443" s="628">
        <f t="shared" si="716"/>
        <v>97.932000000000002</v>
      </c>
      <c r="AJ443" s="628">
        <f t="shared" si="716"/>
        <v>97.816000000000003</v>
      </c>
      <c r="AK443" s="628">
        <f t="shared" si="716"/>
        <v>97.7</v>
      </c>
      <c r="AL443" s="628">
        <f t="shared" si="716"/>
        <v>97.641463414634146</v>
      </c>
      <c r="AM443" s="628">
        <f t="shared" si="716"/>
        <v>97.582926829268288</v>
      </c>
      <c r="AN443" s="628">
        <f t="shared" si="716"/>
        <v>97.524390243902431</v>
      </c>
      <c r="AO443" s="628">
        <f t="shared" si="716"/>
        <v>97.465853658536588</v>
      </c>
      <c r="AP443" s="628">
        <f t="shared" si="716"/>
        <v>97.407317073170731</v>
      </c>
      <c r="AQ443" s="628">
        <f t="shared" si="716"/>
        <v>97.348780487804873</v>
      </c>
      <c r="AR443" s="628">
        <f t="shared" si="716"/>
        <v>97.309756097560978</v>
      </c>
      <c r="AS443" s="628">
        <f t="shared" si="716"/>
        <v>97.270731707317069</v>
      </c>
      <c r="AT443" s="628">
        <f t="shared" si="716"/>
        <v>97.231707317073173</v>
      </c>
      <c r="AU443" s="628">
        <f t="shared" si="716"/>
        <v>97.192682926829264</v>
      </c>
      <c r="AV443" s="628">
        <f t="shared" si="716"/>
        <v>97.153658536585368</v>
      </c>
      <c r="AW443" s="628">
        <f t="shared" si="716"/>
        <v>97.095121951219511</v>
      </c>
      <c r="AX443" s="628">
        <f t="shared" si="716"/>
        <v>97.036585365853654</v>
      </c>
      <c r="AY443" s="628">
        <f t="shared" si="716"/>
        <v>96.978048780487796</v>
      </c>
      <c r="AZ443" s="628">
        <f t="shared" si="716"/>
        <v>96.919512195121939</v>
      </c>
      <c r="BA443" s="902">
        <f t="shared" si="716"/>
        <v>96.860975609756096</v>
      </c>
    </row>
    <row r="444" spans="19:53" ht="20.100000000000001" customHeight="1">
      <c r="S444" s="881" t="s">
        <v>940</v>
      </c>
      <c r="T444" s="552"/>
      <c r="U444" s="1316">
        <f t="shared" si="714"/>
        <v>546.47062316027495</v>
      </c>
      <c r="V444" s="215">
        <f>INDEX('DEFAULT DATA'!$AG$9:$AK$41,START!$C$3,4)</f>
        <v>392.58931796849708</v>
      </c>
      <c r="W444" s="559">
        <f>INDEX('DEFAULT DATA'!$AB$9:$AF$41,START!$C$3,4)</f>
        <v>649.0581599547935</v>
      </c>
      <c r="X444" s="628">
        <f>X432</f>
        <v>0.5</v>
      </c>
      <c r="Y444" s="628">
        <f t="shared" ref="Y444:BA444" si="717">Y432</f>
        <v>0.5</v>
      </c>
      <c r="Z444" s="628">
        <f t="shared" si="717"/>
        <v>0.5</v>
      </c>
      <c r="AA444" s="628">
        <f t="shared" si="717"/>
        <v>0.5</v>
      </c>
      <c r="AB444" s="628">
        <f t="shared" si="717"/>
        <v>0.5</v>
      </c>
      <c r="AC444" s="628">
        <f t="shared" si="717"/>
        <v>0.5</v>
      </c>
      <c r="AD444" s="628">
        <f t="shared" si="717"/>
        <v>0.5</v>
      </c>
      <c r="AE444" s="628">
        <f t="shared" si="717"/>
        <v>0.5</v>
      </c>
      <c r="AF444" s="628">
        <f t="shared" si="717"/>
        <v>0.5</v>
      </c>
      <c r="AG444" s="628">
        <f t="shared" si="717"/>
        <v>0.5</v>
      </c>
      <c r="AH444" s="628">
        <f t="shared" si="717"/>
        <v>0.5</v>
      </c>
      <c r="AI444" s="628">
        <f t="shared" si="717"/>
        <v>0.5</v>
      </c>
      <c r="AJ444" s="628">
        <f t="shared" si="717"/>
        <v>0.5</v>
      </c>
      <c r="AK444" s="628">
        <f t="shared" si="717"/>
        <v>0.5</v>
      </c>
      <c r="AL444" s="628">
        <f t="shared" si="717"/>
        <v>0.5</v>
      </c>
      <c r="AM444" s="628">
        <f t="shared" si="717"/>
        <v>0.5</v>
      </c>
      <c r="AN444" s="628">
        <f t="shared" si="717"/>
        <v>0.5</v>
      </c>
      <c r="AO444" s="628">
        <f t="shared" si="717"/>
        <v>0.5</v>
      </c>
      <c r="AP444" s="628">
        <f t="shared" si="717"/>
        <v>0.5</v>
      </c>
      <c r="AQ444" s="628">
        <f t="shared" si="717"/>
        <v>0.5</v>
      </c>
      <c r="AR444" s="628">
        <f t="shared" si="717"/>
        <v>0.5</v>
      </c>
      <c r="AS444" s="628">
        <f t="shared" si="717"/>
        <v>0.5</v>
      </c>
      <c r="AT444" s="628">
        <f t="shared" si="717"/>
        <v>0.5</v>
      </c>
      <c r="AU444" s="628">
        <f t="shared" si="717"/>
        <v>0.5</v>
      </c>
      <c r="AV444" s="628">
        <f t="shared" si="717"/>
        <v>0.5</v>
      </c>
      <c r="AW444" s="628">
        <f t="shared" si="717"/>
        <v>0.5</v>
      </c>
      <c r="AX444" s="628">
        <f t="shared" si="717"/>
        <v>0.5</v>
      </c>
      <c r="AY444" s="628">
        <f t="shared" si="717"/>
        <v>0.5</v>
      </c>
      <c r="AZ444" s="628">
        <f t="shared" si="717"/>
        <v>0.5</v>
      </c>
      <c r="BA444" s="902">
        <f t="shared" si="717"/>
        <v>0.5</v>
      </c>
    </row>
    <row r="445" spans="19:53" ht="20.100000000000001" customHeight="1" thickBot="1">
      <c r="S445" s="883" t="s">
        <v>933</v>
      </c>
      <c r="T445" s="782"/>
      <c r="U445" s="1317">
        <v>0.92799999999999994</v>
      </c>
      <c r="V445" s="1028">
        <f>INDEX('DEFAULT DATA'!$AG$9:$AK$41,START!$C$3,5)</f>
        <v>0.96717040125065135</v>
      </c>
      <c r="W445" s="1028">
        <f>INDEX('DEFAULT DATA'!$AB$9:$AF$41,START!$C$3,5)</f>
        <v>0.82209484106305364</v>
      </c>
      <c r="X445" s="1154">
        <f>X435</f>
        <v>0.26</v>
      </c>
      <c r="Y445" s="1154">
        <f t="shared" ref="Y445:BA445" si="718">Y435</f>
        <v>0.32</v>
      </c>
      <c r="Z445" s="1154">
        <f t="shared" si="718"/>
        <v>0.38</v>
      </c>
      <c r="AA445" s="1154">
        <f t="shared" si="718"/>
        <v>0.44</v>
      </c>
      <c r="AB445" s="1154">
        <f t="shared" si="718"/>
        <v>0.55600000000000005</v>
      </c>
      <c r="AC445" s="1154">
        <f t="shared" si="718"/>
        <v>0.67200000000000004</v>
      </c>
      <c r="AD445" s="1154">
        <f t="shared" si="718"/>
        <v>0.78800000000000003</v>
      </c>
      <c r="AE445" s="1154">
        <f t="shared" si="718"/>
        <v>0.90400000000000003</v>
      </c>
      <c r="AF445" s="1154">
        <f t="shared" si="718"/>
        <v>1.02</v>
      </c>
      <c r="AG445" s="1154">
        <f t="shared" si="718"/>
        <v>1.1360000000000001</v>
      </c>
      <c r="AH445" s="1154">
        <f t="shared" si="718"/>
        <v>1.2520000000000002</v>
      </c>
      <c r="AI445" s="1154">
        <f t="shared" si="718"/>
        <v>1.3680000000000003</v>
      </c>
      <c r="AJ445" s="1154">
        <f t="shared" si="718"/>
        <v>1.4840000000000004</v>
      </c>
      <c r="AK445" s="1154">
        <f t="shared" si="718"/>
        <v>1.6000000000000005</v>
      </c>
      <c r="AL445" s="1154">
        <f t="shared" si="718"/>
        <v>1.6585365853658542</v>
      </c>
      <c r="AM445" s="1154">
        <f t="shared" si="718"/>
        <v>1.7170731707317082</v>
      </c>
      <c r="AN445" s="1154">
        <f t="shared" si="718"/>
        <v>1.7756097560975621</v>
      </c>
      <c r="AO445" s="1154">
        <f t="shared" si="718"/>
        <v>1.834146341463416</v>
      </c>
      <c r="AP445" s="1154">
        <f t="shared" si="718"/>
        <v>1.8926829268292698</v>
      </c>
      <c r="AQ445" s="1154">
        <f t="shared" si="718"/>
        <v>1.9512195121951232</v>
      </c>
      <c r="AR445" s="1154">
        <f t="shared" si="718"/>
        <v>1.9902439024390257</v>
      </c>
      <c r="AS445" s="1154">
        <f t="shared" si="718"/>
        <v>2.0292682926829282</v>
      </c>
      <c r="AT445" s="1154">
        <f t="shared" si="718"/>
        <v>2.0682926829268307</v>
      </c>
      <c r="AU445" s="1154">
        <f t="shared" si="718"/>
        <v>2.1073170731707331</v>
      </c>
      <c r="AV445" s="1154">
        <f t="shared" si="718"/>
        <v>2.1463414634146356</v>
      </c>
      <c r="AW445" s="1154">
        <f t="shared" si="718"/>
        <v>2.2048780487804893</v>
      </c>
      <c r="AX445" s="1154">
        <f t="shared" si="718"/>
        <v>2.263414634146343</v>
      </c>
      <c r="AY445" s="1154">
        <f t="shared" si="718"/>
        <v>2.3219512195121972</v>
      </c>
      <c r="AZ445" s="1154">
        <f t="shared" si="718"/>
        <v>2.3804878048780509</v>
      </c>
      <c r="BA445" s="1238">
        <f t="shared" si="718"/>
        <v>2.4390243902439046</v>
      </c>
    </row>
    <row r="446" spans="19:53" ht="20.100000000000001" customHeight="1">
      <c r="S446" s="674" t="s">
        <v>3128</v>
      </c>
      <c r="T446" s="784" t="s">
        <v>3203</v>
      </c>
      <c r="U446" s="1318"/>
      <c r="V446" s="1318"/>
      <c r="W446" s="1318"/>
      <c r="X446" s="344">
        <f>(X441/100*$U$441)+(X442/100*$U$442)+(X443/100*$U$443)+(X444/100*$U$444)+(X445*X588/100*$U$445)</f>
        <v>365.07526842008599</v>
      </c>
      <c r="Y446" s="344">
        <f t="shared" ref="Y446:BA446" si="719">(Y441/100*$U$441)+(Y442/100*$U$442)+(Y443/100*$U$443)+(Y444/100*$U$444)+(Y445*Y588/100*$U$445)</f>
        <v>364.90908319795273</v>
      </c>
      <c r="Z446" s="344">
        <f t="shared" si="719"/>
        <v>364.74181903702294</v>
      </c>
      <c r="AA446" s="344">
        <f t="shared" si="719"/>
        <v>364.57349224208599</v>
      </c>
      <c r="AB446" s="344">
        <f t="shared" si="719"/>
        <v>364.24973697717292</v>
      </c>
      <c r="AC446" s="344">
        <f t="shared" si="719"/>
        <v>363.92395207277565</v>
      </c>
      <c r="AD446" s="344">
        <f t="shared" si="719"/>
        <v>363.59616817169353</v>
      </c>
      <c r="AE446" s="344">
        <f t="shared" si="719"/>
        <v>363.26641550683382</v>
      </c>
      <c r="AF446" s="344">
        <f t="shared" si="719"/>
        <v>362.93472390634503</v>
      </c>
      <c r="AG446" s="344">
        <f t="shared" si="719"/>
        <v>362.60112279868952</v>
      </c>
      <c r="AH446" s="344">
        <f t="shared" si="719"/>
        <v>362.21785262117731</v>
      </c>
      <c r="AI446" s="344">
        <f t="shared" si="719"/>
        <v>361.82726927857624</v>
      </c>
      <c r="AJ446" s="344">
        <f t="shared" si="719"/>
        <v>361.43005626444608</v>
      </c>
      <c r="AK446" s="344">
        <f t="shared" si="719"/>
        <v>361.02684401037914</v>
      </c>
      <c r="AL446" s="344">
        <f t="shared" si="719"/>
        <v>360.79115024587065</v>
      </c>
      <c r="AM446" s="344">
        <f t="shared" si="719"/>
        <v>360.55461438561105</v>
      </c>
      <c r="AN446" s="344">
        <f t="shared" si="719"/>
        <v>360.31739593778025</v>
      </c>
      <c r="AO446" s="344">
        <f t="shared" si="719"/>
        <v>360.07963941199853</v>
      </c>
      <c r="AP446" s="344">
        <f t="shared" si="719"/>
        <v>359.8414754866547</v>
      </c>
      <c r="AQ446" s="344">
        <f t="shared" si="719"/>
        <v>359.6030220932011</v>
      </c>
      <c r="AR446" s="344">
        <f t="shared" si="719"/>
        <v>359.42669749582484</v>
      </c>
      <c r="AS446" s="344">
        <f t="shared" si="719"/>
        <v>359.25126214621878</v>
      </c>
      <c r="AT446" s="344">
        <f t="shared" si="719"/>
        <v>359.07672087837511</v>
      </c>
      <c r="AU446" s="344">
        <f t="shared" si="719"/>
        <v>358.90307530457244</v>
      </c>
      <c r="AV446" s="344">
        <f t="shared" si="719"/>
        <v>358.73032415514132</v>
      </c>
      <c r="AW446" s="344">
        <f t="shared" si="719"/>
        <v>358.49396300728068</v>
      </c>
      <c r="AX446" s="344">
        <f t="shared" si="719"/>
        <v>358.25774991915813</v>
      </c>
      <c r="AY446" s="344">
        <f t="shared" si="719"/>
        <v>358.02173750068471</v>
      </c>
      <c r="AZ446" s="344">
        <f t="shared" si="719"/>
        <v>357.7859721268004</v>
      </c>
      <c r="BA446" s="1334">
        <f t="shared" si="719"/>
        <v>357.55049446417621</v>
      </c>
    </row>
    <row r="447" spans="19:53" ht="20.100000000000001" customHeight="1">
      <c r="S447" s="241" t="s">
        <v>3129</v>
      </c>
      <c r="T447" s="784" t="s">
        <v>3202</v>
      </c>
      <c r="U447" s="561"/>
      <c r="V447" s="562"/>
      <c r="W447" s="562"/>
      <c r="X447" s="272">
        <f>(X441/100*$V$441)+(X442/100*$V$442)+(X443/100*$V$443)+(X444/100*$V$444)+(X445*X588/100*$V$445)</f>
        <v>262.35146470950303</v>
      </c>
      <c r="Y447" s="272">
        <f t="shared" ref="Y447:BA447" si="720">(Y441/100*$V$441)+(Y442/100*$V$442)+(Y443/100*$V$443)+(Y444/100*$V$444)+(Y445*Y588/100*$V$445)</f>
        <v>262.24915298265432</v>
      </c>
      <c r="Z447" s="272">
        <f t="shared" si="720"/>
        <v>262.14571677555915</v>
      </c>
      <c r="AA447" s="272">
        <f t="shared" si="720"/>
        <v>262.04117308122352</v>
      </c>
      <c r="AB447" s="272">
        <f t="shared" si="720"/>
        <v>261.84080257663703</v>
      </c>
      <c r="AC447" s="272">
        <f t="shared" si="720"/>
        <v>261.63831676253091</v>
      </c>
      <c r="AD447" s="272">
        <f t="shared" si="720"/>
        <v>261.43374757512106</v>
      </c>
      <c r="AE447" s="272">
        <f t="shared" si="720"/>
        <v>261.22712652343017</v>
      </c>
      <c r="AF447" s="272">
        <f t="shared" si="720"/>
        <v>261.01848469463766</v>
      </c>
      <c r="AG447" s="272">
        <f t="shared" si="720"/>
        <v>260.80785275936609</v>
      </c>
      <c r="AH447" s="272">
        <f t="shared" si="720"/>
        <v>260.54545524842297</v>
      </c>
      <c r="AI447" s="272">
        <f t="shared" si="720"/>
        <v>260.27543588746556</v>
      </c>
      <c r="AJ447" s="272">
        <f t="shared" si="720"/>
        <v>259.99850701996394</v>
      </c>
      <c r="AK447" s="272">
        <f t="shared" si="720"/>
        <v>259.71532568770277</v>
      </c>
      <c r="AL447" s="272">
        <f t="shared" si="720"/>
        <v>259.53884252101352</v>
      </c>
      <c r="AM447" s="272">
        <f t="shared" si="720"/>
        <v>259.36148171414595</v>
      </c>
      <c r="AN447" s="272">
        <f t="shared" si="720"/>
        <v>259.18340950803798</v>
      </c>
      <c r="AO447" s="272">
        <f t="shared" si="720"/>
        <v>259.00477651198628</v>
      </c>
      <c r="AP447" s="272">
        <f t="shared" si="720"/>
        <v>258.82571892024725</v>
      </c>
      <c r="AQ447" s="272">
        <f t="shared" si="720"/>
        <v>258.64635964209873</v>
      </c>
      <c r="AR447" s="272">
        <f t="shared" si="720"/>
        <v>258.50869854778284</v>
      </c>
      <c r="AS447" s="272">
        <f t="shared" si="720"/>
        <v>258.37196423592667</v>
      </c>
      <c r="AT447" s="272">
        <f t="shared" si="720"/>
        <v>258.23616174456288</v>
      </c>
      <c r="AU447" s="272">
        <f t="shared" si="720"/>
        <v>258.10129275402346</v>
      </c>
      <c r="AV447" s="272">
        <f t="shared" si="720"/>
        <v>257.96735594104695</v>
      </c>
      <c r="AW447" s="272">
        <f t="shared" si="720"/>
        <v>257.79017722109853</v>
      </c>
      <c r="AX447" s="272">
        <f t="shared" si="720"/>
        <v>257.6131528104134</v>
      </c>
      <c r="AY447" s="272">
        <f t="shared" si="720"/>
        <v>257.43633753953975</v>
      </c>
      <c r="AZ447" s="272">
        <f t="shared" si="720"/>
        <v>257.25977974087994</v>
      </c>
      <c r="BA447" s="324">
        <f t="shared" si="720"/>
        <v>257.08352179762403</v>
      </c>
    </row>
    <row r="448" spans="19:53" ht="20.100000000000001" customHeight="1" thickBot="1">
      <c r="S448" s="470" t="s">
        <v>3130</v>
      </c>
      <c r="T448" s="886" t="s">
        <v>3202</v>
      </c>
      <c r="U448" s="887"/>
      <c r="V448" s="888"/>
      <c r="W448" s="888"/>
      <c r="X448" s="325">
        <f>(X441/100*$W$441)+(X442/100*$W$442)+(X443/100*$W$443)+(X444/100*$W$444)+(X445*X588/100*$W$445)</f>
        <v>433.53704682500046</v>
      </c>
      <c r="Y448" s="325">
        <f t="shared" ref="Y448:BA448" si="721">(Y441/100*$W$441)+(Y442/100*$W$442)+(Y443/100*$W$443)+(Y444/100*$W$444)+(Y445*Y588/100*$W$445)</f>
        <v>433.32374457867138</v>
      </c>
      <c r="Z448" s="325">
        <f t="shared" si="721"/>
        <v>433.10948652413276</v>
      </c>
      <c r="AA448" s="325">
        <f t="shared" si="721"/>
        <v>432.89428710543984</v>
      </c>
      <c r="AB448" s="325">
        <f t="shared" si="721"/>
        <v>432.47972010475979</v>
      </c>
      <c r="AC448" s="325">
        <f t="shared" si="721"/>
        <v>432.06335509098807</v>
      </c>
      <c r="AD448" s="325">
        <f t="shared" si="721"/>
        <v>431.64521920990819</v>
      </c>
      <c r="AE448" s="325">
        <f t="shared" si="721"/>
        <v>431.22533924418946</v>
      </c>
      <c r="AF448" s="325">
        <f t="shared" si="721"/>
        <v>430.80374161793435</v>
      </c>
      <c r="AG448" s="325">
        <f t="shared" si="721"/>
        <v>430.38045240117196</v>
      </c>
      <c r="AH448" s="325">
        <f t="shared" si="721"/>
        <v>429.9131624450888</v>
      </c>
      <c r="AI448" s="325">
        <f t="shared" si="721"/>
        <v>429.43939391649349</v>
      </c>
      <c r="AJ448" s="325">
        <f t="shared" si="721"/>
        <v>428.95975230733563</v>
      </c>
      <c r="AK448" s="325">
        <f t="shared" si="721"/>
        <v>428.47479610313212</v>
      </c>
      <c r="AL448" s="325">
        <f t="shared" si="721"/>
        <v>428.2015295299754</v>
      </c>
      <c r="AM448" s="325">
        <f t="shared" si="721"/>
        <v>427.92751696266697</v>
      </c>
      <c r="AN448" s="325">
        <f t="shared" si="721"/>
        <v>427.65289970600435</v>
      </c>
      <c r="AO448" s="325">
        <f t="shared" si="721"/>
        <v>427.37780577788953</v>
      </c>
      <c r="AP448" s="325">
        <f t="shared" si="721"/>
        <v>427.1023509434404</v>
      </c>
      <c r="AQ448" s="325">
        <f t="shared" si="721"/>
        <v>426.82663967554333</v>
      </c>
      <c r="AR448" s="325">
        <f t="shared" si="721"/>
        <v>426.62745715772746</v>
      </c>
      <c r="AS448" s="325">
        <f t="shared" si="721"/>
        <v>426.42906240500247</v>
      </c>
      <c r="AT448" s="325">
        <f t="shared" si="721"/>
        <v>426.23145969969602</v>
      </c>
      <c r="AU448" s="325">
        <f t="shared" si="721"/>
        <v>426.03465047009024</v>
      </c>
      <c r="AV448" s="325">
        <f t="shared" si="721"/>
        <v>425.83863359141293</v>
      </c>
      <c r="AW448" s="325">
        <f t="shared" si="721"/>
        <v>425.56477579798587</v>
      </c>
      <c r="AX448" s="325">
        <f t="shared" si="721"/>
        <v>425.29104916743262</v>
      </c>
      <c r="AY448" s="325">
        <f t="shared" si="721"/>
        <v>425.01750030571907</v>
      </c>
      <c r="AZ448" s="325">
        <f t="shared" si="721"/>
        <v>424.74417029538733</v>
      </c>
      <c r="BA448" s="326">
        <f t="shared" si="721"/>
        <v>424.47109516214886</v>
      </c>
    </row>
    <row r="449" spans="19:53" ht="20.100000000000001" customHeight="1" thickBot="1"/>
    <row r="450" spans="19:53" ht="20.100000000000001" customHeight="1">
      <c r="S450" s="1240" t="s">
        <v>3194</v>
      </c>
      <c r="T450" s="1241"/>
      <c r="U450" s="1398" t="s">
        <v>988</v>
      </c>
      <c r="V450" s="1398"/>
      <c r="W450" s="1242"/>
      <c r="X450" s="1241"/>
      <c r="Y450" s="1241"/>
      <c r="Z450" s="1241"/>
      <c r="AA450" s="1241"/>
      <c r="AB450" s="1241"/>
      <c r="AC450" s="1241"/>
      <c r="AD450" s="1241"/>
      <c r="AE450" s="1241"/>
      <c r="AF450" s="1241"/>
      <c r="AG450" s="1241"/>
      <c r="AH450" s="1241"/>
      <c r="AI450" s="1241"/>
      <c r="AJ450" s="1241"/>
      <c r="AK450" s="1241"/>
      <c r="AL450" s="1241"/>
      <c r="AM450" s="1241"/>
      <c r="AN450" s="1241"/>
      <c r="AO450" s="1241"/>
      <c r="AP450" s="1241"/>
      <c r="AQ450" s="1241"/>
      <c r="AR450" s="1241"/>
      <c r="AS450" s="1241"/>
      <c r="AT450" s="1241"/>
      <c r="AU450" s="1241"/>
      <c r="AV450" s="1241"/>
      <c r="AW450" s="1241"/>
      <c r="AX450" s="1241"/>
      <c r="AY450" s="1241"/>
      <c r="AZ450" s="1241"/>
      <c r="BA450" s="1243"/>
    </row>
    <row r="451" spans="19:53" ht="20.100000000000001" customHeight="1">
      <c r="S451" s="1244" t="s">
        <v>941</v>
      </c>
      <c r="T451" s="1326"/>
      <c r="U451" s="1245" t="s">
        <v>936</v>
      </c>
      <c r="V451" s="1245" t="s">
        <v>937</v>
      </c>
      <c r="W451" s="1245" t="s">
        <v>943</v>
      </c>
      <c r="X451" s="1246">
        <f>X440</f>
        <v>2021</v>
      </c>
      <c r="Y451" s="1246">
        <f>Y440</f>
        <v>2022</v>
      </c>
      <c r="Z451" s="1246">
        <f t="shared" ref="Z451:BA451" si="722">Z440</f>
        <v>2023</v>
      </c>
      <c r="AA451" s="1246">
        <f t="shared" si="722"/>
        <v>2024</v>
      </c>
      <c r="AB451" s="1246">
        <f t="shared" si="722"/>
        <v>2025</v>
      </c>
      <c r="AC451" s="1246">
        <f t="shared" si="722"/>
        <v>2026</v>
      </c>
      <c r="AD451" s="1246">
        <f t="shared" si="722"/>
        <v>2027</v>
      </c>
      <c r="AE451" s="1246">
        <f t="shared" si="722"/>
        <v>2028</v>
      </c>
      <c r="AF451" s="1246">
        <f t="shared" si="722"/>
        <v>2029</v>
      </c>
      <c r="AG451" s="1246">
        <f t="shared" si="722"/>
        <v>2030</v>
      </c>
      <c r="AH451" s="1246">
        <f t="shared" si="722"/>
        <v>2031</v>
      </c>
      <c r="AI451" s="1246">
        <f t="shared" si="722"/>
        <v>2032</v>
      </c>
      <c r="AJ451" s="1246">
        <f t="shared" si="722"/>
        <v>2033</v>
      </c>
      <c r="AK451" s="1246">
        <f t="shared" si="722"/>
        <v>2034</v>
      </c>
      <c r="AL451" s="1246">
        <f t="shared" si="722"/>
        <v>2035</v>
      </c>
      <c r="AM451" s="1246">
        <f t="shared" si="722"/>
        <v>2036</v>
      </c>
      <c r="AN451" s="1246">
        <f t="shared" si="722"/>
        <v>2037</v>
      </c>
      <c r="AO451" s="1246">
        <f t="shared" si="722"/>
        <v>2038</v>
      </c>
      <c r="AP451" s="1246">
        <f t="shared" si="722"/>
        <v>2039</v>
      </c>
      <c r="AQ451" s="1246">
        <f t="shared" si="722"/>
        <v>2040</v>
      </c>
      <c r="AR451" s="1246">
        <f t="shared" si="722"/>
        <v>2041</v>
      </c>
      <c r="AS451" s="1246">
        <f t="shared" si="722"/>
        <v>2042</v>
      </c>
      <c r="AT451" s="1246">
        <f t="shared" si="722"/>
        <v>2043</v>
      </c>
      <c r="AU451" s="1246">
        <f t="shared" si="722"/>
        <v>2044</v>
      </c>
      <c r="AV451" s="1246">
        <f t="shared" si="722"/>
        <v>2045</v>
      </c>
      <c r="AW451" s="1246">
        <f t="shared" si="722"/>
        <v>2046</v>
      </c>
      <c r="AX451" s="1246">
        <f t="shared" si="722"/>
        <v>2047</v>
      </c>
      <c r="AY451" s="1246">
        <f t="shared" si="722"/>
        <v>2048</v>
      </c>
      <c r="AZ451" s="1246">
        <f t="shared" si="722"/>
        <v>2049</v>
      </c>
      <c r="BA451" s="1247">
        <f t="shared" si="722"/>
        <v>2050</v>
      </c>
    </row>
    <row r="452" spans="19:53" ht="20.100000000000001" customHeight="1">
      <c r="S452" s="1244" t="s">
        <v>84</v>
      </c>
      <c r="T452" s="1248" t="s">
        <v>942</v>
      </c>
      <c r="U452" s="1159">
        <f>INDEX('DEFAULT DATA'!$AS$9:$AW$41,START!$C$3,1)</f>
        <v>0</v>
      </c>
      <c r="V452" s="1159">
        <f>100-U452</f>
        <v>100</v>
      </c>
      <c r="W452" s="1249" t="s">
        <v>3147</v>
      </c>
      <c r="X452" s="1250">
        <f>($U452/100*X$447)+($V452/100*X$448)</f>
        <v>433.53704682500046</v>
      </c>
      <c r="Y452" s="1250">
        <f t="shared" ref="Y452:BA456" si="723">($U452/100*Y$447)+($V452/100*Y$448)</f>
        <v>433.32374457867138</v>
      </c>
      <c r="Z452" s="1250">
        <f t="shared" si="723"/>
        <v>433.10948652413276</v>
      </c>
      <c r="AA452" s="1250">
        <f t="shared" si="723"/>
        <v>432.89428710543984</v>
      </c>
      <c r="AB452" s="1250">
        <f t="shared" si="723"/>
        <v>432.47972010475979</v>
      </c>
      <c r="AC452" s="1250">
        <f t="shared" si="723"/>
        <v>432.06335509098807</v>
      </c>
      <c r="AD452" s="1250">
        <f t="shared" si="723"/>
        <v>431.64521920990819</v>
      </c>
      <c r="AE452" s="1250">
        <f t="shared" si="723"/>
        <v>431.22533924418946</v>
      </c>
      <c r="AF452" s="1250">
        <f t="shared" si="723"/>
        <v>430.80374161793435</v>
      </c>
      <c r="AG452" s="1250">
        <f t="shared" si="723"/>
        <v>430.38045240117196</v>
      </c>
      <c r="AH452" s="1250">
        <f t="shared" si="723"/>
        <v>429.9131624450888</v>
      </c>
      <c r="AI452" s="1250">
        <f t="shared" si="723"/>
        <v>429.43939391649349</v>
      </c>
      <c r="AJ452" s="1250">
        <f t="shared" si="723"/>
        <v>428.95975230733563</v>
      </c>
      <c r="AK452" s="1250">
        <f t="shared" si="723"/>
        <v>428.47479610313212</v>
      </c>
      <c r="AL452" s="1250">
        <f t="shared" si="723"/>
        <v>428.2015295299754</v>
      </c>
      <c r="AM452" s="1250">
        <f t="shared" si="723"/>
        <v>427.92751696266697</v>
      </c>
      <c r="AN452" s="1250">
        <f t="shared" si="723"/>
        <v>427.65289970600435</v>
      </c>
      <c r="AO452" s="1250">
        <f t="shared" si="723"/>
        <v>427.37780577788953</v>
      </c>
      <c r="AP452" s="1250">
        <f t="shared" si="723"/>
        <v>427.1023509434404</v>
      </c>
      <c r="AQ452" s="1250">
        <f t="shared" si="723"/>
        <v>426.82663967554333</v>
      </c>
      <c r="AR452" s="1250">
        <f t="shared" si="723"/>
        <v>426.62745715772746</v>
      </c>
      <c r="AS452" s="1250">
        <f t="shared" si="723"/>
        <v>426.42906240500247</v>
      </c>
      <c r="AT452" s="1250">
        <f t="shared" si="723"/>
        <v>426.23145969969602</v>
      </c>
      <c r="AU452" s="1250">
        <f t="shared" si="723"/>
        <v>426.03465047009024</v>
      </c>
      <c r="AV452" s="1250">
        <f t="shared" si="723"/>
        <v>425.83863359141293</v>
      </c>
      <c r="AW452" s="1250">
        <f t="shared" si="723"/>
        <v>425.56477579798587</v>
      </c>
      <c r="AX452" s="1250">
        <f t="shared" si="723"/>
        <v>425.29104916743262</v>
      </c>
      <c r="AY452" s="1250">
        <f t="shared" si="723"/>
        <v>425.01750030571907</v>
      </c>
      <c r="AZ452" s="1250">
        <f t="shared" si="723"/>
        <v>424.74417029538733</v>
      </c>
      <c r="BA452" s="1251">
        <f t="shared" si="723"/>
        <v>424.47109516214886</v>
      </c>
    </row>
    <row r="453" spans="19:53" ht="20.100000000000001" customHeight="1">
      <c r="S453" s="1244" t="s">
        <v>85</v>
      </c>
      <c r="T453" s="1248" t="s">
        <v>942</v>
      </c>
      <c r="U453" s="1159">
        <f>INDEX('DEFAULT DATA'!$AS$9:$AW$41,START!$C$3,2)</f>
        <v>10</v>
      </c>
      <c r="V453" s="1159">
        <f t="shared" ref="V453:V456" si="724">100-U453</f>
        <v>90</v>
      </c>
      <c r="W453" s="1249" t="s">
        <v>3148</v>
      </c>
      <c r="X453" s="1250">
        <f t="shared" ref="X453:AM456" si="725">($U453/100*X$447)+($V453/100*X$448)</f>
        <v>416.41848861345073</v>
      </c>
      <c r="Y453" s="1250">
        <f t="shared" si="725"/>
        <v>416.21628541906972</v>
      </c>
      <c r="Z453" s="1250">
        <f t="shared" si="725"/>
        <v>416.01310954927538</v>
      </c>
      <c r="AA453" s="1250">
        <f t="shared" si="725"/>
        <v>415.80897570301823</v>
      </c>
      <c r="AB453" s="1250">
        <f t="shared" si="725"/>
        <v>415.41582835194754</v>
      </c>
      <c r="AC453" s="1250">
        <f t="shared" si="725"/>
        <v>415.02085125814239</v>
      </c>
      <c r="AD453" s="1250">
        <f t="shared" si="725"/>
        <v>414.62407204642949</v>
      </c>
      <c r="AE453" s="1250">
        <f t="shared" si="725"/>
        <v>414.22551797211355</v>
      </c>
      <c r="AF453" s="1250">
        <f t="shared" si="725"/>
        <v>413.82521592560471</v>
      </c>
      <c r="AG453" s="1250">
        <f t="shared" si="725"/>
        <v>413.42319243699137</v>
      </c>
      <c r="AH453" s="1250">
        <f t="shared" si="725"/>
        <v>412.97639172542222</v>
      </c>
      <c r="AI453" s="1250">
        <f t="shared" si="725"/>
        <v>412.52299811359069</v>
      </c>
      <c r="AJ453" s="1250">
        <f t="shared" si="725"/>
        <v>412.06362777859852</v>
      </c>
      <c r="AK453" s="1250">
        <f t="shared" si="725"/>
        <v>411.59884906158919</v>
      </c>
      <c r="AL453" s="1250">
        <f t="shared" si="725"/>
        <v>411.33526082907923</v>
      </c>
      <c r="AM453" s="1250">
        <f t="shared" si="725"/>
        <v>411.07091343781485</v>
      </c>
      <c r="AN453" s="1250">
        <f t="shared" si="723"/>
        <v>410.80595068620772</v>
      </c>
      <c r="AO453" s="1250">
        <f t="shared" si="723"/>
        <v>410.54050285129921</v>
      </c>
      <c r="AP453" s="1250">
        <f t="shared" si="723"/>
        <v>410.27468774112106</v>
      </c>
      <c r="AQ453" s="1250">
        <f t="shared" si="723"/>
        <v>410.00861167219887</v>
      </c>
      <c r="AR453" s="1250">
        <f t="shared" si="723"/>
        <v>409.815581296733</v>
      </c>
      <c r="AS453" s="1250">
        <f t="shared" si="723"/>
        <v>409.62335258809492</v>
      </c>
      <c r="AT453" s="1250">
        <f t="shared" si="723"/>
        <v>409.43192990418271</v>
      </c>
      <c r="AU453" s="1250">
        <f t="shared" si="723"/>
        <v>409.24131469848356</v>
      </c>
      <c r="AV453" s="1250">
        <f t="shared" si="723"/>
        <v>409.05150582637634</v>
      </c>
      <c r="AW453" s="1250">
        <f t="shared" si="723"/>
        <v>408.78731594029716</v>
      </c>
      <c r="AX453" s="1250">
        <f t="shared" si="723"/>
        <v>408.52325953173067</v>
      </c>
      <c r="AY453" s="1250">
        <f t="shared" si="723"/>
        <v>408.25938402910117</v>
      </c>
      <c r="AZ453" s="1250">
        <f t="shared" si="723"/>
        <v>407.99573123993662</v>
      </c>
      <c r="BA453" s="1251">
        <f t="shared" si="723"/>
        <v>407.73233782569639</v>
      </c>
    </row>
    <row r="454" spans="19:53" ht="20.100000000000001" customHeight="1">
      <c r="S454" s="1244" t="s">
        <v>86</v>
      </c>
      <c r="T454" s="1248" t="s">
        <v>942</v>
      </c>
      <c r="U454" s="1159">
        <f>INDEX('DEFAULT DATA'!$AS$9:$AW$41,START!$C$3,3)</f>
        <v>20</v>
      </c>
      <c r="V454" s="1159">
        <f t="shared" si="724"/>
        <v>80</v>
      </c>
      <c r="W454" s="1249" t="s">
        <v>3149</v>
      </c>
      <c r="X454" s="1250">
        <f t="shared" si="725"/>
        <v>399.29993040190101</v>
      </c>
      <c r="Y454" s="1250">
        <f t="shared" si="723"/>
        <v>399.108826259468</v>
      </c>
      <c r="Z454" s="1250">
        <f t="shared" si="723"/>
        <v>398.91673257441806</v>
      </c>
      <c r="AA454" s="1250">
        <f t="shared" si="723"/>
        <v>398.72366430059662</v>
      </c>
      <c r="AB454" s="1250">
        <f t="shared" si="723"/>
        <v>398.35193659913529</v>
      </c>
      <c r="AC454" s="1250">
        <f t="shared" si="723"/>
        <v>397.97834742529665</v>
      </c>
      <c r="AD454" s="1250">
        <f t="shared" si="723"/>
        <v>397.60292488295079</v>
      </c>
      <c r="AE454" s="1250">
        <f t="shared" si="723"/>
        <v>397.22569670003759</v>
      </c>
      <c r="AF454" s="1250">
        <f t="shared" si="723"/>
        <v>396.84669023327501</v>
      </c>
      <c r="AG454" s="1250">
        <f t="shared" si="723"/>
        <v>396.46593247281083</v>
      </c>
      <c r="AH454" s="1250">
        <f t="shared" si="723"/>
        <v>396.03962100575563</v>
      </c>
      <c r="AI454" s="1250">
        <f t="shared" si="723"/>
        <v>395.60660231068795</v>
      </c>
      <c r="AJ454" s="1250">
        <f t="shared" si="723"/>
        <v>395.16750324986134</v>
      </c>
      <c r="AK454" s="1250">
        <f t="shared" si="723"/>
        <v>394.72290202004626</v>
      </c>
      <c r="AL454" s="1250">
        <f t="shared" si="723"/>
        <v>394.46899212818306</v>
      </c>
      <c r="AM454" s="1250">
        <f t="shared" si="723"/>
        <v>394.21430991296279</v>
      </c>
      <c r="AN454" s="1250">
        <f t="shared" si="723"/>
        <v>393.9590016664111</v>
      </c>
      <c r="AO454" s="1250">
        <f t="shared" si="723"/>
        <v>393.70319992470888</v>
      </c>
      <c r="AP454" s="1250">
        <f t="shared" si="723"/>
        <v>393.44702453880177</v>
      </c>
      <c r="AQ454" s="1250">
        <f t="shared" si="723"/>
        <v>393.1905836688544</v>
      </c>
      <c r="AR454" s="1250">
        <f t="shared" si="723"/>
        <v>393.0037054357386</v>
      </c>
      <c r="AS454" s="1250">
        <f t="shared" si="723"/>
        <v>392.81764277118737</v>
      </c>
      <c r="AT454" s="1250">
        <f t="shared" si="723"/>
        <v>392.63240010866946</v>
      </c>
      <c r="AU454" s="1250">
        <f t="shared" si="723"/>
        <v>392.44797892687689</v>
      </c>
      <c r="AV454" s="1250">
        <f t="shared" si="723"/>
        <v>392.26437806133976</v>
      </c>
      <c r="AW454" s="1250">
        <f t="shared" si="723"/>
        <v>392.00985608260839</v>
      </c>
      <c r="AX454" s="1250">
        <f t="shared" si="723"/>
        <v>391.75546989602879</v>
      </c>
      <c r="AY454" s="1250">
        <f t="shared" si="723"/>
        <v>391.50126775248327</v>
      </c>
      <c r="AZ454" s="1250">
        <f t="shared" si="723"/>
        <v>391.2472921844859</v>
      </c>
      <c r="BA454" s="1251">
        <f t="shared" si="723"/>
        <v>390.99358048924393</v>
      </c>
    </row>
    <row r="455" spans="19:53" ht="20.100000000000001" customHeight="1">
      <c r="S455" s="1244" t="s">
        <v>87</v>
      </c>
      <c r="T455" s="1248" t="s">
        <v>942</v>
      </c>
      <c r="U455" s="1159">
        <f>INDEX('DEFAULT DATA'!$AS$9:$AW$41,START!$C$3,4)</f>
        <v>70</v>
      </c>
      <c r="V455" s="1159">
        <f t="shared" si="724"/>
        <v>30</v>
      </c>
      <c r="W455" s="1249" t="s">
        <v>3150</v>
      </c>
      <c r="X455" s="1250">
        <f t="shared" si="725"/>
        <v>313.70713934415221</v>
      </c>
      <c r="Y455" s="1250">
        <f t="shared" si="723"/>
        <v>313.57153046145942</v>
      </c>
      <c r="Z455" s="1250">
        <f t="shared" si="723"/>
        <v>313.43484770013123</v>
      </c>
      <c r="AA455" s="1250">
        <f t="shared" si="723"/>
        <v>313.29710728848841</v>
      </c>
      <c r="AB455" s="1250">
        <f t="shared" si="723"/>
        <v>313.03247783507385</v>
      </c>
      <c r="AC455" s="1250">
        <f t="shared" si="723"/>
        <v>312.76582826106801</v>
      </c>
      <c r="AD455" s="1250">
        <f t="shared" si="723"/>
        <v>312.49718906555722</v>
      </c>
      <c r="AE455" s="1250">
        <f t="shared" si="723"/>
        <v>312.22659033965795</v>
      </c>
      <c r="AF455" s="1250">
        <f t="shared" si="723"/>
        <v>311.95406177162664</v>
      </c>
      <c r="AG455" s="1250">
        <f t="shared" si="723"/>
        <v>311.67963265190781</v>
      </c>
      <c r="AH455" s="1250">
        <f t="shared" si="723"/>
        <v>311.35576740742272</v>
      </c>
      <c r="AI455" s="1250">
        <f t="shared" si="723"/>
        <v>311.0246232961739</v>
      </c>
      <c r="AJ455" s="1250">
        <f t="shared" si="723"/>
        <v>310.68688060617546</v>
      </c>
      <c r="AK455" s="1250">
        <f t="shared" si="723"/>
        <v>310.34316681233156</v>
      </c>
      <c r="AL455" s="1250">
        <f t="shared" si="723"/>
        <v>310.13764862370203</v>
      </c>
      <c r="AM455" s="1250">
        <f t="shared" si="723"/>
        <v>309.93129228870225</v>
      </c>
      <c r="AN455" s="1250">
        <f t="shared" si="723"/>
        <v>309.72425656742791</v>
      </c>
      <c r="AO455" s="1250">
        <f t="shared" si="723"/>
        <v>309.51668529175726</v>
      </c>
      <c r="AP455" s="1250">
        <f t="shared" si="723"/>
        <v>309.30870852720517</v>
      </c>
      <c r="AQ455" s="1250">
        <f t="shared" si="723"/>
        <v>309.10044365213207</v>
      </c>
      <c r="AR455" s="1250">
        <f t="shared" si="723"/>
        <v>308.94432613076623</v>
      </c>
      <c r="AS455" s="1250">
        <f t="shared" si="723"/>
        <v>308.78909368664938</v>
      </c>
      <c r="AT455" s="1250">
        <f t="shared" si="723"/>
        <v>308.6347511311028</v>
      </c>
      <c r="AU455" s="1250">
        <f t="shared" si="723"/>
        <v>308.4813000688435</v>
      </c>
      <c r="AV455" s="1250">
        <f t="shared" si="723"/>
        <v>308.32873923615671</v>
      </c>
      <c r="AW455" s="1250">
        <f t="shared" si="723"/>
        <v>308.12255679416472</v>
      </c>
      <c r="AX455" s="1250">
        <f t="shared" si="723"/>
        <v>307.91652171751912</v>
      </c>
      <c r="AY455" s="1250">
        <f t="shared" si="723"/>
        <v>307.71068636939356</v>
      </c>
      <c r="AZ455" s="1250">
        <f t="shared" si="723"/>
        <v>307.50509690723214</v>
      </c>
      <c r="BA455" s="1251">
        <f t="shared" si="723"/>
        <v>307.29979380698148</v>
      </c>
    </row>
    <row r="456" spans="19:53" ht="20.100000000000001" customHeight="1">
      <c r="S456" s="1244" t="s">
        <v>88</v>
      </c>
      <c r="T456" s="1248" t="s">
        <v>942</v>
      </c>
      <c r="U456" s="1159">
        <f>INDEX('DEFAULT DATA'!$AS$9:$AW$41,START!$C$3,5)</f>
        <v>100</v>
      </c>
      <c r="V456" s="1159">
        <f t="shared" si="724"/>
        <v>0</v>
      </c>
      <c r="W456" s="1249" t="s">
        <v>3151</v>
      </c>
      <c r="X456" s="1250">
        <f t="shared" si="725"/>
        <v>262.35146470950303</v>
      </c>
      <c r="Y456" s="1250">
        <f t="shared" si="723"/>
        <v>262.24915298265432</v>
      </c>
      <c r="Z456" s="1250">
        <f t="shared" si="723"/>
        <v>262.14571677555915</v>
      </c>
      <c r="AA456" s="1250">
        <f t="shared" si="723"/>
        <v>262.04117308122352</v>
      </c>
      <c r="AB456" s="1250">
        <f t="shared" si="723"/>
        <v>261.84080257663703</v>
      </c>
      <c r="AC456" s="1250">
        <f t="shared" si="723"/>
        <v>261.63831676253091</v>
      </c>
      <c r="AD456" s="1250">
        <f t="shared" si="723"/>
        <v>261.43374757512106</v>
      </c>
      <c r="AE456" s="1250">
        <f t="shared" si="723"/>
        <v>261.22712652343017</v>
      </c>
      <c r="AF456" s="1250">
        <f t="shared" si="723"/>
        <v>261.01848469463766</v>
      </c>
      <c r="AG456" s="1250">
        <f t="shared" si="723"/>
        <v>260.80785275936609</v>
      </c>
      <c r="AH456" s="1250">
        <f t="shared" si="723"/>
        <v>260.54545524842297</v>
      </c>
      <c r="AI456" s="1250">
        <f t="shared" si="723"/>
        <v>260.27543588746556</v>
      </c>
      <c r="AJ456" s="1250">
        <f t="shared" si="723"/>
        <v>259.99850701996394</v>
      </c>
      <c r="AK456" s="1250">
        <f t="shared" si="723"/>
        <v>259.71532568770277</v>
      </c>
      <c r="AL456" s="1250">
        <f t="shared" si="723"/>
        <v>259.53884252101352</v>
      </c>
      <c r="AM456" s="1250">
        <f t="shared" si="723"/>
        <v>259.36148171414595</v>
      </c>
      <c r="AN456" s="1250">
        <f t="shared" si="723"/>
        <v>259.18340950803798</v>
      </c>
      <c r="AO456" s="1250">
        <f t="shared" si="723"/>
        <v>259.00477651198628</v>
      </c>
      <c r="AP456" s="1250">
        <f t="shared" si="723"/>
        <v>258.82571892024725</v>
      </c>
      <c r="AQ456" s="1250">
        <f t="shared" si="723"/>
        <v>258.64635964209873</v>
      </c>
      <c r="AR456" s="1250">
        <f t="shared" si="723"/>
        <v>258.50869854778284</v>
      </c>
      <c r="AS456" s="1250">
        <f t="shared" si="723"/>
        <v>258.37196423592667</v>
      </c>
      <c r="AT456" s="1250">
        <f t="shared" si="723"/>
        <v>258.23616174456288</v>
      </c>
      <c r="AU456" s="1250">
        <f t="shared" si="723"/>
        <v>258.10129275402346</v>
      </c>
      <c r="AV456" s="1250">
        <f t="shared" si="723"/>
        <v>257.96735594104695</v>
      </c>
      <c r="AW456" s="1250">
        <f t="shared" si="723"/>
        <v>257.79017722109853</v>
      </c>
      <c r="AX456" s="1250">
        <f t="shared" si="723"/>
        <v>257.6131528104134</v>
      </c>
      <c r="AY456" s="1250">
        <f t="shared" si="723"/>
        <v>257.43633753953975</v>
      </c>
      <c r="AZ456" s="1250">
        <f t="shared" si="723"/>
        <v>257.25977974087994</v>
      </c>
      <c r="BA456" s="1251">
        <f t="shared" si="723"/>
        <v>257.08352179762403</v>
      </c>
    </row>
    <row r="457" spans="19:53" ht="20.100000000000001" customHeight="1" thickBot="1">
      <c r="S457" s="1252" t="s">
        <v>3190</v>
      </c>
      <c r="T457" s="1327" t="s">
        <v>3189</v>
      </c>
      <c r="U457" s="1253"/>
      <c r="V457" s="1253"/>
      <c r="W457" s="1278" t="s">
        <v>1202</v>
      </c>
      <c r="X457" s="1254">
        <f>(X295/100*X452)+(X296/100*X453)+(X297/100*X454)+(X298/100*X455)+(X299/100*X456)</f>
        <v>0</v>
      </c>
      <c r="Y457" s="1254">
        <f t="shared" ref="Y457:BA457" si="726">(Y295/100*Y452)+(Y296/100*Y453)+(Y297/100*Y454)+(Y298/100*Y455)+(Y299/100*Y456)</f>
        <v>0</v>
      </c>
      <c r="Z457" s="1254">
        <f t="shared" si="726"/>
        <v>428.83539228041843</v>
      </c>
      <c r="AA457" s="1254">
        <f t="shared" si="726"/>
        <v>428.62295925483443</v>
      </c>
      <c r="AB457" s="1254">
        <f t="shared" si="726"/>
        <v>428.21374716655674</v>
      </c>
      <c r="AC457" s="1254">
        <f t="shared" si="726"/>
        <v>427.80272913277662</v>
      </c>
      <c r="AD457" s="1254">
        <f t="shared" si="726"/>
        <v>427.38993241903853</v>
      </c>
      <c r="AE457" s="1254">
        <f t="shared" si="726"/>
        <v>426.97538392617048</v>
      </c>
      <c r="AF457" s="1254">
        <f t="shared" si="726"/>
        <v>426.55911019485194</v>
      </c>
      <c r="AG457" s="1254">
        <f t="shared" si="726"/>
        <v>408.11686595418234</v>
      </c>
      <c r="AH457" s="1254">
        <f t="shared" si="726"/>
        <v>394.19057232944567</v>
      </c>
      <c r="AI457" s="1254">
        <f t="shared" si="726"/>
        <v>383.29293261784358</v>
      </c>
      <c r="AJ457" s="1254">
        <f t="shared" si="726"/>
        <v>374.51127543353363</v>
      </c>
      <c r="AK457" s="1254">
        <f t="shared" si="726"/>
        <v>367.26584086367677</v>
      </c>
      <c r="AL457" s="1254">
        <f t="shared" si="726"/>
        <v>361.34578343264252</v>
      </c>
      <c r="AM457" s="1254">
        <f t="shared" si="726"/>
        <v>361.10996141323591</v>
      </c>
      <c r="AN457" s="1254">
        <f t="shared" si="726"/>
        <v>360.87349002521347</v>
      </c>
      <c r="AO457" s="1254">
        <f t="shared" si="726"/>
        <v>360.63650626242759</v>
      </c>
      <c r="AP457" s="1254">
        <f t="shared" si="726"/>
        <v>360.39929049887104</v>
      </c>
      <c r="AQ457" s="1254">
        <f t="shared" si="726"/>
        <v>360.16179724222445</v>
      </c>
      <c r="AR457" s="1254">
        <f t="shared" si="726"/>
        <v>359.98687043201312</v>
      </c>
      <c r="AS457" s="1254">
        <f t="shared" si="726"/>
        <v>359.81278414586012</v>
      </c>
      <c r="AT457" s="1254">
        <f t="shared" si="726"/>
        <v>359.63954298519025</v>
      </c>
      <c r="AU457" s="1254">
        <f t="shared" si="726"/>
        <v>359.46730311622156</v>
      </c>
      <c r="AV457" s="1254">
        <f t="shared" si="726"/>
        <v>359.29590800465428</v>
      </c>
      <c r="AW457" s="1254">
        <f t="shared" si="726"/>
        <v>359.06023280129097</v>
      </c>
      <c r="AX457" s="1254">
        <f t="shared" si="726"/>
        <v>358.82469573073735</v>
      </c>
      <c r="AY457" s="1254">
        <f t="shared" si="726"/>
        <v>358.58934667947148</v>
      </c>
      <c r="AZ457" s="1254">
        <f t="shared" si="726"/>
        <v>358.35422962410496</v>
      </c>
      <c r="BA457" s="1255">
        <f t="shared" si="726"/>
        <v>358.119535410004</v>
      </c>
    </row>
    <row r="458" spans="19:53" ht="20.100000000000001" customHeight="1">
      <c r="S458" s="1240" t="s">
        <v>3195</v>
      </c>
      <c r="T458" s="1241"/>
      <c r="U458" s="1396" t="s">
        <v>988</v>
      </c>
      <c r="V458" s="1397"/>
      <c r="W458" s="1284"/>
      <c r="X458" s="1241"/>
      <c r="Y458" s="1241"/>
      <c r="Z458" s="1241"/>
      <c r="AA458" s="1241"/>
      <c r="AB458" s="1241"/>
      <c r="AC458" s="1241"/>
      <c r="AD458" s="1241"/>
      <c r="AE458" s="1241"/>
      <c r="AF458" s="1241"/>
      <c r="AG458" s="1241"/>
      <c r="AH458" s="1241"/>
      <c r="AI458" s="1241"/>
      <c r="AJ458" s="1241"/>
      <c r="AK458" s="1241"/>
      <c r="AL458" s="1241"/>
      <c r="AM458" s="1241"/>
      <c r="AN458" s="1241"/>
      <c r="AO458" s="1241"/>
      <c r="AP458" s="1241"/>
      <c r="AQ458" s="1241"/>
      <c r="AR458" s="1241"/>
      <c r="AS458" s="1241"/>
      <c r="AT458" s="1241"/>
      <c r="AU458" s="1241"/>
      <c r="AV458" s="1241"/>
      <c r="AW458" s="1241"/>
      <c r="AX458" s="1241"/>
      <c r="AY458" s="1241"/>
      <c r="AZ458" s="1241"/>
      <c r="BA458" s="1243"/>
    </row>
    <row r="459" spans="19:53" ht="20.100000000000001" customHeight="1">
      <c r="S459" s="1244" t="s">
        <v>941</v>
      </c>
      <c r="T459" s="1326"/>
      <c r="U459" s="1245" t="s">
        <v>936</v>
      </c>
      <c r="V459" s="1245" t="s">
        <v>937</v>
      </c>
      <c r="W459" s="1245" t="s">
        <v>943</v>
      </c>
      <c r="X459" s="1246">
        <v>2021</v>
      </c>
      <c r="Y459" s="1246">
        <v>2022</v>
      </c>
      <c r="Z459" s="1246">
        <v>2023</v>
      </c>
      <c r="AA459" s="1246">
        <v>2024</v>
      </c>
      <c r="AB459" s="1246">
        <v>2025</v>
      </c>
      <c r="AC459" s="1246">
        <v>2026</v>
      </c>
      <c r="AD459" s="1246">
        <v>2027</v>
      </c>
      <c r="AE459" s="1246">
        <v>2028</v>
      </c>
      <c r="AF459" s="1246">
        <v>2029</v>
      </c>
      <c r="AG459" s="1246">
        <v>2030</v>
      </c>
      <c r="AH459" s="1246">
        <v>2031</v>
      </c>
      <c r="AI459" s="1246">
        <v>2032</v>
      </c>
      <c r="AJ459" s="1246">
        <v>2033</v>
      </c>
      <c r="AK459" s="1246">
        <v>2034</v>
      </c>
      <c r="AL459" s="1246">
        <v>2035</v>
      </c>
      <c r="AM459" s="1246">
        <v>2036</v>
      </c>
      <c r="AN459" s="1246">
        <v>2037</v>
      </c>
      <c r="AO459" s="1246">
        <v>2038</v>
      </c>
      <c r="AP459" s="1246">
        <v>2039</v>
      </c>
      <c r="AQ459" s="1246">
        <v>2040</v>
      </c>
      <c r="AR459" s="1246">
        <v>2041</v>
      </c>
      <c r="AS459" s="1246">
        <v>2042</v>
      </c>
      <c r="AT459" s="1246">
        <v>2043</v>
      </c>
      <c r="AU459" s="1246">
        <v>2044</v>
      </c>
      <c r="AV459" s="1246">
        <v>2045</v>
      </c>
      <c r="AW459" s="1246">
        <v>2046</v>
      </c>
      <c r="AX459" s="1246">
        <v>2047</v>
      </c>
      <c r="AY459" s="1246">
        <v>2048</v>
      </c>
      <c r="AZ459" s="1246">
        <v>2049</v>
      </c>
      <c r="BA459" s="1247">
        <v>2050</v>
      </c>
    </row>
    <row r="460" spans="19:53" ht="20.100000000000001" customHeight="1">
      <c r="S460" s="1244" t="s">
        <v>84</v>
      </c>
      <c r="T460" s="1248" t="s">
        <v>942</v>
      </c>
      <c r="U460" s="1159">
        <f>INDEX('DEFAULT DATA'!$AS$9:$AW$41,START!$C$3,1)</f>
        <v>0</v>
      </c>
      <c r="V460" s="1159">
        <f>100-U460</f>
        <v>100</v>
      </c>
      <c r="W460" s="1249" t="s">
        <v>3147</v>
      </c>
      <c r="X460" s="1250">
        <f>($U460/100*X$35)+($V460/100*X$36)</f>
        <v>433.53704682500052</v>
      </c>
      <c r="Y460" s="1250">
        <f t="shared" ref="Y460:AN464" si="727">($U460/100*Y$35)+($V460/100*Y$36)</f>
        <v>433.32374457867138</v>
      </c>
      <c r="Z460" s="1250">
        <f t="shared" si="727"/>
        <v>433.10948652413276</v>
      </c>
      <c r="AA460" s="1250">
        <f t="shared" si="727"/>
        <v>432.89428710543984</v>
      </c>
      <c r="AB460" s="1250">
        <f t="shared" si="727"/>
        <v>432.67816057334755</v>
      </c>
      <c r="AC460" s="1250">
        <f t="shared" si="727"/>
        <v>432.03494324122067</v>
      </c>
      <c r="AD460" s="1250">
        <f t="shared" si="727"/>
        <v>431.38894934844728</v>
      </c>
      <c r="AE460" s="1250">
        <f t="shared" si="727"/>
        <v>430.74022074097297</v>
      </c>
      <c r="AF460" s="1250">
        <f t="shared" si="727"/>
        <v>430.08879870547986</v>
      </c>
      <c r="AG460" s="1250">
        <f t="shared" si="727"/>
        <v>429.43472397638857</v>
      </c>
      <c r="AH460" s="1250">
        <f t="shared" si="727"/>
        <v>429.15944686243427</v>
      </c>
      <c r="AI460" s="1250">
        <f t="shared" si="727"/>
        <v>428.88266541038701</v>
      </c>
      <c r="AJ460" s="1250">
        <f t="shared" si="727"/>
        <v>428.60459124011516</v>
      </c>
      <c r="AK460" s="1250">
        <f t="shared" si="727"/>
        <v>428.32541724392411</v>
      </c>
      <c r="AL460" s="1250">
        <f t="shared" si="727"/>
        <v>428.04531900643849</v>
      </c>
      <c r="AM460" s="1250">
        <f t="shared" si="727"/>
        <v>427.7644561249474</v>
      </c>
      <c r="AN460" s="1250">
        <f t="shared" si="727"/>
        <v>427.48297343686818</v>
      </c>
      <c r="AO460" s="1250">
        <f t="shared" ref="AH460:BA464" si="728">($U460/100*AO$35)+($V460/100*AO$36)</f>
        <v>427.2010021605505</v>
      </c>
      <c r="AP460" s="1250">
        <f t="shared" si="728"/>
        <v>426.91866095524011</v>
      </c>
      <c r="AQ460" s="1250">
        <f t="shared" si="728"/>
        <v>426.6360569056456</v>
      </c>
      <c r="AR460" s="1250">
        <f t="shared" si="728"/>
        <v>426.43189482488441</v>
      </c>
      <c r="AS460" s="1250">
        <f t="shared" si="728"/>
        <v>426.22854020334125</v>
      </c>
      <c r="AT460" s="1250">
        <f t="shared" si="728"/>
        <v>426.02599743040213</v>
      </c>
      <c r="AU460" s="1250">
        <f t="shared" si="728"/>
        <v>425.82426797005621</v>
      </c>
      <c r="AV460" s="1250">
        <f t="shared" si="728"/>
        <v>425.62335066941199</v>
      </c>
      <c r="AW460" s="1250">
        <f t="shared" si="728"/>
        <v>425.34264643114921</v>
      </c>
      <c r="AX460" s="1250">
        <f t="shared" si="728"/>
        <v>425.06207663483212</v>
      </c>
      <c r="AY460" s="1250">
        <f t="shared" si="728"/>
        <v>424.78168905157582</v>
      </c>
      <c r="AZ460" s="1250">
        <f t="shared" si="728"/>
        <v>424.50152579098574</v>
      </c>
      <c r="BA460" s="1251">
        <f t="shared" si="728"/>
        <v>424.22162377941635</v>
      </c>
    </row>
    <row r="461" spans="19:53" ht="20.100000000000001" customHeight="1">
      <c r="S461" s="1244" t="s">
        <v>85</v>
      </c>
      <c r="T461" s="1248" t="s">
        <v>942</v>
      </c>
      <c r="U461" s="1159">
        <f>INDEX('DEFAULT DATA'!$AS$9:$AW$41,START!$C$3,2)</f>
        <v>10</v>
      </c>
      <c r="V461" s="1159">
        <f t="shared" ref="V461:V464" si="729">100-U461</f>
        <v>90</v>
      </c>
      <c r="W461" s="1249" t="s">
        <v>3148</v>
      </c>
      <c r="X461" s="1250">
        <f>($U461/100*X$35)+($V461/100*X$36)</f>
        <v>416.41848861345079</v>
      </c>
      <c r="Y461" s="1250">
        <f t="shared" si="727"/>
        <v>416.21628541906972</v>
      </c>
      <c r="Z461" s="1250">
        <f t="shared" si="727"/>
        <v>416.01310954927538</v>
      </c>
      <c r="AA461" s="1250">
        <f t="shared" si="727"/>
        <v>415.80897570301823</v>
      </c>
      <c r="AB461" s="1250">
        <f t="shared" si="727"/>
        <v>415.60389838253695</v>
      </c>
      <c r="AC461" s="1250">
        <f t="shared" si="727"/>
        <v>414.9939197840223</v>
      </c>
      <c r="AD461" s="1250">
        <f t="shared" si="727"/>
        <v>414.38111562673214</v>
      </c>
      <c r="AE461" s="1250">
        <f t="shared" si="727"/>
        <v>413.76552849506982</v>
      </c>
      <c r="AF461" s="1250">
        <f t="shared" si="727"/>
        <v>413.14720040430598</v>
      </c>
      <c r="AG461" s="1250">
        <f t="shared" si="727"/>
        <v>412.52617280770403</v>
      </c>
      <c r="AH461" s="1250">
        <f t="shared" si="728"/>
        <v>412.26090107156324</v>
      </c>
      <c r="AI461" s="1250">
        <f t="shared" si="728"/>
        <v>411.99409845018658</v>
      </c>
      <c r="AJ461" s="1250">
        <f t="shared" si="728"/>
        <v>411.72598029791084</v>
      </c>
      <c r="AK461" s="1250">
        <f t="shared" si="728"/>
        <v>411.45674291102318</v>
      </c>
      <c r="AL461" s="1250">
        <f t="shared" si="728"/>
        <v>411.18656497270052</v>
      </c>
      <c r="AM461" s="1250">
        <f t="shared" si="728"/>
        <v>410.91560889665459</v>
      </c>
      <c r="AN461" s="1250">
        <f t="shared" si="728"/>
        <v>410.64402207625722</v>
      </c>
      <c r="AO461" s="1250">
        <f t="shared" si="728"/>
        <v>410.37193804547604</v>
      </c>
      <c r="AP461" s="1250">
        <f t="shared" si="728"/>
        <v>410.09947755754342</v>
      </c>
      <c r="AQ461" s="1250">
        <f t="shared" si="728"/>
        <v>409.82674958689813</v>
      </c>
      <c r="AR461" s="1250">
        <f t="shared" si="728"/>
        <v>409.6288934520457</v>
      </c>
      <c r="AS461" s="1250">
        <f t="shared" si="728"/>
        <v>409.43185902569161</v>
      </c>
      <c r="AT461" s="1250">
        <f t="shared" si="728"/>
        <v>409.23565077468157</v>
      </c>
      <c r="AU461" s="1250">
        <f t="shared" si="728"/>
        <v>409.04027018884</v>
      </c>
      <c r="AV461" s="1250">
        <f t="shared" si="728"/>
        <v>408.84571609493008</v>
      </c>
      <c r="AW461" s="1250">
        <f t="shared" si="728"/>
        <v>408.57492146169886</v>
      </c>
      <c r="AX461" s="1250">
        <f t="shared" si="728"/>
        <v>408.30426364291827</v>
      </c>
      <c r="AY461" s="1250">
        <f t="shared" si="728"/>
        <v>408.03379125272306</v>
      </c>
      <c r="AZ461" s="1250">
        <f t="shared" si="728"/>
        <v>407.76354714382933</v>
      </c>
      <c r="BA461" s="1251">
        <f t="shared" si="728"/>
        <v>407.49356889423314</v>
      </c>
    </row>
    <row r="462" spans="19:53" ht="20.100000000000001" customHeight="1">
      <c r="S462" s="1244" t="s">
        <v>86</v>
      </c>
      <c r="T462" s="1248" t="s">
        <v>942</v>
      </c>
      <c r="U462" s="1159">
        <f>INDEX('DEFAULT DATA'!$AS$9:$AW$41,START!$C$3,3)</f>
        <v>20</v>
      </c>
      <c r="V462" s="1159">
        <f t="shared" si="729"/>
        <v>80</v>
      </c>
      <c r="W462" s="1249" t="s">
        <v>3149</v>
      </c>
      <c r="X462" s="1250">
        <f>($U462/100*X$35)+($V462/100*X$36)</f>
        <v>399.29993040190107</v>
      </c>
      <c r="Y462" s="1250">
        <f t="shared" si="727"/>
        <v>399.108826259468</v>
      </c>
      <c r="Z462" s="1250">
        <f t="shared" si="727"/>
        <v>398.91673257441806</v>
      </c>
      <c r="AA462" s="1250">
        <f t="shared" si="727"/>
        <v>398.72366430059662</v>
      </c>
      <c r="AB462" s="1250">
        <f t="shared" si="727"/>
        <v>398.52963619172635</v>
      </c>
      <c r="AC462" s="1250">
        <f t="shared" si="727"/>
        <v>397.95289632682397</v>
      </c>
      <c r="AD462" s="1250">
        <f t="shared" si="727"/>
        <v>397.37328190501694</v>
      </c>
      <c r="AE462" s="1250">
        <f t="shared" si="727"/>
        <v>396.7908362491666</v>
      </c>
      <c r="AF462" s="1250">
        <f t="shared" si="727"/>
        <v>396.20560210313209</v>
      </c>
      <c r="AG462" s="1250">
        <f t="shared" si="727"/>
        <v>395.61762163901943</v>
      </c>
      <c r="AH462" s="1250">
        <f t="shared" si="728"/>
        <v>395.3623552806921</v>
      </c>
      <c r="AI462" s="1250">
        <f t="shared" si="728"/>
        <v>395.10553148998616</v>
      </c>
      <c r="AJ462" s="1250">
        <f t="shared" si="728"/>
        <v>394.84736935570652</v>
      </c>
      <c r="AK462" s="1250">
        <f t="shared" si="728"/>
        <v>394.58806857812232</v>
      </c>
      <c r="AL462" s="1250">
        <f t="shared" si="728"/>
        <v>394.32781093896256</v>
      </c>
      <c r="AM462" s="1250">
        <f t="shared" si="728"/>
        <v>394.06676166836178</v>
      </c>
      <c r="AN462" s="1250">
        <f t="shared" si="728"/>
        <v>393.80507071564631</v>
      </c>
      <c r="AO462" s="1250">
        <f t="shared" si="728"/>
        <v>393.54287393040158</v>
      </c>
      <c r="AP462" s="1250">
        <f t="shared" si="728"/>
        <v>393.28029415984673</v>
      </c>
      <c r="AQ462" s="1250">
        <f t="shared" si="728"/>
        <v>393.01744226815072</v>
      </c>
      <c r="AR462" s="1250">
        <f t="shared" si="728"/>
        <v>392.82589207920699</v>
      </c>
      <c r="AS462" s="1250">
        <f t="shared" si="728"/>
        <v>392.63517784804196</v>
      </c>
      <c r="AT462" s="1250">
        <f t="shared" si="728"/>
        <v>392.44530411896108</v>
      </c>
      <c r="AU462" s="1250">
        <f t="shared" si="728"/>
        <v>392.25627240762378</v>
      </c>
      <c r="AV462" s="1250">
        <f t="shared" si="728"/>
        <v>392.06808152044817</v>
      </c>
      <c r="AW462" s="1250">
        <f t="shared" si="728"/>
        <v>391.80719649224852</v>
      </c>
      <c r="AX462" s="1250">
        <f t="shared" si="728"/>
        <v>391.54645065100442</v>
      </c>
      <c r="AY462" s="1250">
        <f t="shared" si="728"/>
        <v>391.2858934538703</v>
      </c>
      <c r="AZ462" s="1250">
        <f t="shared" si="728"/>
        <v>391.02556849667297</v>
      </c>
      <c r="BA462" s="1251">
        <f t="shared" si="728"/>
        <v>390.76551400904998</v>
      </c>
    </row>
    <row r="463" spans="19:53" ht="20.100000000000001" customHeight="1">
      <c r="S463" s="1244" t="s">
        <v>87</v>
      </c>
      <c r="T463" s="1248" t="s">
        <v>942</v>
      </c>
      <c r="U463" s="1159">
        <f>INDEX('DEFAULT DATA'!$AS$9:$AW$41,START!$C$3,4)</f>
        <v>70</v>
      </c>
      <c r="V463" s="1159">
        <f t="shared" si="729"/>
        <v>30</v>
      </c>
      <c r="W463" s="1249" t="s">
        <v>3150</v>
      </c>
      <c r="X463" s="1250">
        <f>($U463/100*X$35)+($V463/100*X$36)</f>
        <v>313.70713934415232</v>
      </c>
      <c r="Y463" s="1250">
        <f t="shared" si="727"/>
        <v>313.57153046145942</v>
      </c>
      <c r="Z463" s="1250">
        <f t="shared" si="727"/>
        <v>313.43484770013123</v>
      </c>
      <c r="AA463" s="1250">
        <f t="shared" si="727"/>
        <v>313.29710728848841</v>
      </c>
      <c r="AB463" s="1250">
        <f t="shared" si="727"/>
        <v>313.15832523767335</v>
      </c>
      <c r="AC463" s="1250">
        <f t="shared" si="727"/>
        <v>312.74777904083214</v>
      </c>
      <c r="AD463" s="1250">
        <f t="shared" si="727"/>
        <v>312.33411329644105</v>
      </c>
      <c r="AE463" s="1250">
        <f t="shared" si="727"/>
        <v>311.91737501965059</v>
      </c>
      <c r="AF463" s="1250">
        <f t="shared" si="727"/>
        <v>311.49761059726262</v>
      </c>
      <c r="AG463" s="1250">
        <f t="shared" si="727"/>
        <v>311.07486579559662</v>
      </c>
      <c r="AH463" s="1250">
        <f t="shared" si="728"/>
        <v>310.86962632633663</v>
      </c>
      <c r="AI463" s="1250">
        <f t="shared" si="728"/>
        <v>310.66269668898394</v>
      </c>
      <c r="AJ463" s="1250">
        <f t="shared" si="728"/>
        <v>310.45431464468487</v>
      </c>
      <c r="AK463" s="1250">
        <f t="shared" si="728"/>
        <v>310.24469691361776</v>
      </c>
      <c r="AL463" s="1250">
        <f t="shared" si="728"/>
        <v>310.03404077027255</v>
      </c>
      <c r="AM463" s="1250">
        <f t="shared" si="728"/>
        <v>309.82252552689772</v>
      </c>
      <c r="AN463" s="1250">
        <f t="shared" si="728"/>
        <v>309.61031391259155</v>
      </c>
      <c r="AO463" s="1250">
        <f t="shared" si="728"/>
        <v>309.39755335502912</v>
      </c>
      <c r="AP463" s="1250">
        <f t="shared" si="728"/>
        <v>309.18437717136317</v>
      </c>
      <c r="AQ463" s="1250">
        <f t="shared" si="728"/>
        <v>308.9709056744133</v>
      </c>
      <c r="AR463" s="1250">
        <f t="shared" si="728"/>
        <v>308.81088521501329</v>
      </c>
      <c r="AS463" s="1250">
        <f t="shared" si="728"/>
        <v>308.65177195979356</v>
      </c>
      <c r="AT463" s="1250">
        <f t="shared" si="728"/>
        <v>308.49357084035836</v>
      </c>
      <c r="AU463" s="1250">
        <f t="shared" si="728"/>
        <v>308.33628350154248</v>
      </c>
      <c r="AV463" s="1250">
        <f t="shared" si="728"/>
        <v>308.17990864803858</v>
      </c>
      <c r="AW463" s="1250">
        <f t="shared" si="728"/>
        <v>307.96857164499676</v>
      </c>
      <c r="AX463" s="1250">
        <f t="shared" si="728"/>
        <v>307.75738569143505</v>
      </c>
      <c r="AY463" s="1250">
        <f t="shared" si="728"/>
        <v>307.54640445960638</v>
      </c>
      <c r="AZ463" s="1250">
        <f t="shared" si="728"/>
        <v>307.33567526089087</v>
      </c>
      <c r="BA463" s="1251">
        <f t="shared" si="728"/>
        <v>307.12523958313392</v>
      </c>
    </row>
    <row r="464" spans="19:53" ht="20.100000000000001" customHeight="1">
      <c r="S464" s="1244" t="s">
        <v>88</v>
      </c>
      <c r="T464" s="1248" t="s">
        <v>942</v>
      </c>
      <c r="U464" s="1159">
        <f>INDEX('DEFAULT DATA'!$AS$9:$AW$41,START!$C$3,5)</f>
        <v>100</v>
      </c>
      <c r="V464" s="1159">
        <f t="shared" si="729"/>
        <v>0</v>
      </c>
      <c r="W464" s="1249" t="s">
        <v>3151</v>
      </c>
      <c r="X464" s="1250">
        <f>($U464/100*X$35)+($V464/100*X$36)</f>
        <v>262.35146470950309</v>
      </c>
      <c r="Y464" s="1250">
        <f t="shared" si="727"/>
        <v>262.24915298265432</v>
      </c>
      <c r="Z464" s="1250">
        <f t="shared" si="727"/>
        <v>262.14571677555915</v>
      </c>
      <c r="AA464" s="1250">
        <f t="shared" si="727"/>
        <v>262.04117308122352</v>
      </c>
      <c r="AB464" s="1250">
        <f t="shared" si="727"/>
        <v>261.93553866524161</v>
      </c>
      <c r="AC464" s="1250">
        <f t="shared" si="727"/>
        <v>261.62470866923707</v>
      </c>
      <c r="AD464" s="1250">
        <f t="shared" si="727"/>
        <v>261.31061213129556</v>
      </c>
      <c r="AE464" s="1250">
        <f t="shared" si="727"/>
        <v>260.99329828194101</v>
      </c>
      <c r="AF464" s="1250">
        <f t="shared" si="727"/>
        <v>260.67281569374097</v>
      </c>
      <c r="AG464" s="1250">
        <f t="shared" si="727"/>
        <v>260.34921228954295</v>
      </c>
      <c r="AH464" s="1250">
        <f t="shared" si="728"/>
        <v>260.17398895372338</v>
      </c>
      <c r="AI464" s="1250">
        <f t="shared" si="728"/>
        <v>259.99699580838268</v>
      </c>
      <c r="AJ464" s="1250">
        <f t="shared" si="728"/>
        <v>259.81848181807192</v>
      </c>
      <c r="AK464" s="1250">
        <f t="shared" si="728"/>
        <v>259.63867391491505</v>
      </c>
      <c r="AL464" s="1250">
        <f t="shared" si="728"/>
        <v>259.4577786690586</v>
      </c>
      <c r="AM464" s="1250">
        <f t="shared" si="728"/>
        <v>259.27598384201934</v>
      </c>
      <c r="AN464" s="1250">
        <f t="shared" si="728"/>
        <v>259.09345983075872</v>
      </c>
      <c r="AO464" s="1250">
        <f t="shared" si="728"/>
        <v>258.91036100980568</v>
      </c>
      <c r="AP464" s="1250">
        <f t="shared" si="728"/>
        <v>258.7268269782731</v>
      </c>
      <c r="AQ464" s="1250">
        <f t="shared" si="728"/>
        <v>258.54298371817094</v>
      </c>
      <c r="AR464" s="1250">
        <f t="shared" si="728"/>
        <v>258.40188109649711</v>
      </c>
      <c r="AS464" s="1250">
        <f t="shared" si="728"/>
        <v>258.26172842684457</v>
      </c>
      <c r="AT464" s="1250">
        <f t="shared" si="728"/>
        <v>258.12253087319675</v>
      </c>
      <c r="AU464" s="1250">
        <f t="shared" si="728"/>
        <v>257.98429015789378</v>
      </c>
      <c r="AV464" s="1250">
        <f t="shared" si="728"/>
        <v>257.84700492459285</v>
      </c>
      <c r="AW464" s="1250">
        <f t="shared" si="728"/>
        <v>257.66539673664573</v>
      </c>
      <c r="AX464" s="1250">
        <f t="shared" si="728"/>
        <v>257.48394671569343</v>
      </c>
      <c r="AY464" s="1250">
        <f t="shared" si="728"/>
        <v>257.30271106304804</v>
      </c>
      <c r="AZ464" s="1250">
        <f t="shared" si="728"/>
        <v>257.12173931942164</v>
      </c>
      <c r="BA464" s="1251">
        <f t="shared" si="728"/>
        <v>256.94107492758434</v>
      </c>
    </row>
    <row r="465" spans="19:53" ht="20.100000000000001" customHeight="1" thickBot="1">
      <c r="S465" s="1252" t="s">
        <v>3192</v>
      </c>
      <c r="T465" s="1327" t="s">
        <v>3191</v>
      </c>
      <c r="U465" s="1253"/>
      <c r="V465" s="1253"/>
      <c r="W465" s="1278" t="s">
        <v>1202</v>
      </c>
      <c r="X465" s="1254">
        <f>(X295/100*X460)+(X296/100*X461)+(X297/100*X462)+(X298/100*X463)+(X299/100*X464)</f>
        <v>0</v>
      </c>
      <c r="Y465" s="1254">
        <f t="shared" ref="Y465:BA465" si="730">(Y295/100*Y460)+(Y296/100*Y461)+(Y297/100*Y462)+(Y298/100*Y463)+(Y299/100*Y464)</f>
        <v>0</v>
      </c>
      <c r="Z465" s="1254">
        <f t="shared" si="730"/>
        <v>428.83539228041843</v>
      </c>
      <c r="AA465" s="1254">
        <f t="shared" si="730"/>
        <v>428.62295925483443</v>
      </c>
      <c r="AB465" s="1254">
        <f t="shared" si="730"/>
        <v>428.40959502564488</v>
      </c>
      <c r="AC465" s="1254">
        <f t="shared" si="730"/>
        <v>427.77468737692107</v>
      </c>
      <c r="AD465" s="1254">
        <f t="shared" si="730"/>
        <v>427.13699091801845</v>
      </c>
      <c r="AE465" s="1254">
        <f t="shared" si="730"/>
        <v>426.49654767949721</v>
      </c>
      <c r="AF465" s="1254">
        <f t="shared" si="730"/>
        <v>425.8533991301864</v>
      </c>
      <c r="AG465" s="1254">
        <f t="shared" si="730"/>
        <v>407.23508845552414</v>
      </c>
      <c r="AH465" s="1254">
        <f t="shared" si="730"/>
        <v>393.51747975847161</v>
      </c>
      <c r="AI465" s="1254">
        <f t="shared" si="730"/>
        <v>382.81211878219722</v>
      </c>
      <c r="AJ465" s="1254">
        <f t="shared" si="730"/>
        <v>374.2125526406457</v>
      </c>
      <c r="AK465" s="1254">
        <f t="shared" si="730"/>
        <v>367.14284007360135</v>
      </c>
      <c r="AL465" s="1254">
        <f t="shared" si="730"/>
        <v>361.21936009490491</v>
      </c>
      <c r="AM465" s="1254">
        <f t="shared" si="730"/>
        <v>360.97764560522796</v>
      </c>
      <c r="AN465" s="1254">
        <f t="shared" si="730"/>
        <v>360.73526557690082</v>
      </c>
      <c r="AO465" s="1254">
        <f t="shared" si="730"/>
        <v>360.49236042819234</v>
      </c>
      <c r="AP465" s="1254">
        <f t="shared" si="730"/>
        <v>360.24921355090692</v>
      </c>
      <c r="AQ465" s="1254">
        <f t="shared" si="730"/>
        <v>360.00578232204447</v>
      </c>
      <c r="AR465" s="1254">
        <f t="shared" si="730"/>
        <v>359.82648567854778</v>
      </c>
      <c r="AS465" s="1254">
        <f t="shared" si="730"/>
        <v>359.64805063457021</v>
      </c>
      <c r="AT465" s="1254">
        <f t="shared" si="730"/>
        <v>359.47048190615004</v>
      </c>
      <c r="AU465" s="1254">
        <f t="shared" si="730"/>
        <v>359.29393561180012</v>
      </c>
      <c r="AV465" s="1254">
        <f t="shared" si="730"/>
        <v>359.11825527066793</v>
      </c>
      <c r="AW465" s="1254">
        <f t="shared" si="730"/>
        <v>358.87669177255248</v>
      </c>
      <c r="AX465" s="1254">
        <f t="shared" si="730"/>
        <v>358.63526992114191</v>
      </c>
      <c r="AY465" s="1254">
        <f t="shared" si="730"/>
        <v>358.39404084966145</v>
      </c>
      <c r="AZ465" s="1254">
        <f t="shared" si="730"/>
        <v>358.15304963372512</v>
      </c>
      <c r="BA465" s="1254">
        <f t="shared" si="730"/>
        <v>357.9124879850728</v>
      </c>
    </row>
    <row r="466" spans="19:53" ht="20.100000000000001" customHeight="1">
      <c r="S466" s="1240" t="s">
        <v>3193</v>
      </c>
      <c r="T466" s="1241"/>
      <c r="U466" s="1398"/>
      <c r="V466" s="1398"/>
      <c r="W466" s="1284"/>
      <c r="X466" s="1241"/>
      <c r="Y466" s="1241"/>
      <c r="Z466" s="1241"/>
      <c r="AA466" s="1241"/>
      <c r="AB466" s="1241"/>
      <c r="AC466" s="1241"/>
      <c r="AD466" s="1241"/>
      <c r="AE466" s="1241"/>
      <c r="AF466" s="1241"/>
      <c r="AG466" s="1241"/>
      <c r="AH466" s="1241"/>
      <c r="AI466" s="1241"/>
      <c r="AJ466" s="1241"/>
      <c r="AK466" s="1241"/>
      <c r="AL466" s="1241"/>
      <c r="AM466" s="1241"/>
      <c r="AN466" s="1241"/>
      <c r="AO466" s="1241"/>
      <c r="AP466" s="1241"/>
      <c r="AQ466" s="1241"/>
      <c r="AR466" s="1241"/>
      <c r="AS466" s="1241"/>
      <c r="AT466" s="1241"/>
      <c r="AU466" s="1241"/>
      <c r="AV466" s="1241"/>
      <c r="AW466" s="1241"/>
      <c r="AX466" s="1241"/>
      <c r="AY466" s="1241"/>
      <c r="AZ466" s="1241"/>
      <c r="BA466" s="1243"/>
    </row>
    <row r="467" spans="19:53" ht="20.100000000000001" customHeight="1">
      <c r="S467" s="1244" t="s">
        <v>941</v>
      </c>
      <c r="T467" s="1160" t="s">
        <v>3035</v>
      </c>
      <c r="U467" s="1245"/>
      <c r="V467" s="1245"/>
      <c r="W467" s="1245" t="s">
        <v>943</v>
      </c>
      <c r="X467" s="1246">
        <v>2021</v>
      </c>
      <c r="Y467" s="1246">
        <v>2022</v>
      </c>
      <c r="Z467" s="1246">
        <v>2023</v>
      </c>
      <c r="AA467" s="1246">
        <v>2024</v>
      </c>
      <c r="AB467" s="1246">
        <v>2025</v>
      </c>
      <c r="AC467" s="1246">
        <v>2026</v>
      </c>
      <c r="AD467" s="1246">
        <v>2027</v>
      </c>
      <c r="AE467" s="1246">
        <v>2028</v>
      </c>
      <c r="AF467" s="1246">
        <v>2029</v>
      </c>
      <c r="AG467" s="1246">
        <v>2030</v>
      </c>
      <c r="AH467" s="1246">
        <v>2031</v>
      </c>
      <c r="AI467" s="1246">
        <v>2032</v>
      </c>
      <c r="AJ467" s="1246">
        <v>2033</v>
      </c>
      <c r="AK467" s="1246">
        <v>2034</v>
      </c>
      <c r="AL467" s="1246">
        <v>2035</v>
      </c>
      <c r="AM467" s="1246">
        <v>2036</v>
      </c>
      <c r="AN467" s="1246">
        <v>2037</v>
      </c>
      <c r="AO467" s="1246">
        <v>2038</v>
      </c>
      <c r="AP467" s="1246">
        <v>2039</v>
      </c>
      <c r="AQ467" s="1246">
        <v>2040</v>
      </c>
      <c r="AR467" s="1246">
        <v>2041</v>
      </c>
      <c r="AS467" s="1246">
        <v>2042</v>
      </c>
      <c r="AT467" s="1246">
        <v>2043</v>
      </c>
      <c r="AU467" s="1246">
        <v>2044</v>
      </c>
      <c r="AV467" s="1246">
        <v>2045</v>
      </c>
      <c r="AW467" s="1246">
        <v>2046</v>
      </c>
      <c r="AX467" s="1246">
        <v>2047</v>
      </c>
      <c r="AY467" s="1246">
        <v>2048</v>
      </c>
      <c r="AZ467" s="1246">
        <v>2049</v>
      </c>
      <c r="BA467" s="1247">
        <v>2050</v>
      </c>
    </row>
    <row r="468" spans="19:53" ht="20.100000000000001" customHeight="1">
      <c r="S468" s="1244" t="s">
        <v>84</v>
      </c>
      <c r="T468" s="1248" t="s">
        <v>942</v>
      </c>
      <c r="U468" s="1159"/>
      <c r="V468" s="1159"/>
      <c r="W468" s="1249" t="s">
        <v>3147</v>
      </c>
      <c r="X468" s="1250">
        <f>($H$191/100*X452)+((100-$H$191)/100*X460)</f>
        <v>433.53704682500052</v>
      </c>
      <c r="Y468" s="1250">
        <f t="shared" ref="Y468:BA472" si="731">($H$191/100*Y452)+((100-$H$191)/100*Y460)</f>
        <v>433.32374457867138</v>
      </c>
      <c r="Z468" s="1250">
        <f t="shared" si="731"/>
        <v>433.10948652413276</v>
      </c>
      <c r="AA468" s="1250">
        <f t="shared" si="731"/>
        <v>432.89428710543984</v>
      </c>
      <c r="AB468" s="1250">
        <f t="shared" si="731"/>
        <v>432.67816057334755</v>
      </c>
      <c r="AC468" s="1250">
        <f t="shared" si="731"/>
        <v>432.03494324122067</v>
      </c>
      <c r="AD468" s="1250">
        <f t="shared" si="731"/>
        <v>431.38894934844728</v>
      </c>
      <c r="AE468" s="1250">
        <f t="shared" si="731"/>
        <v>430.74022074097297</v>
      </c>
      <c r="AF468" s="1250">
        <f t="shared" si="731"/>
        <v>430.08879870547986</v>
      </c>
      <c r="AG468" s="1250">
        <f t="shared" si="731"/>
        <v>429.43472397638857</v>
      </c>
      <c r="AH468" s="1250">
        <f t="shared" si="731"/>
        <v>429.15944686243427</v>
      </c>
      <c r="AI468" s="1250">
        <f t="shared" si="731"/>
        <v>428.88266541038701</v>
      </c>
      <c r="AJ468" s="1250">
        <f t="shared" si="731"/>
        <v>428.60459124011516</v>
      </c>
      <c r="AK468" s="1250">
        <f t="shared" si="731"/>
        <v>428.32541724392411</v>
      </c>
      <c r="AL468" s="1250">
        <f t="shared" si="731"/>
        <v>428.04531900643849</v>
      </c>
      <c r="AM468" s="1250">
        <f t="shared" si="731"/>
        <v>427.7644561249474</v>
      </c>
      <c r="AN468" s="1250">
        <f t="shared" si="731"/>
        <v>427.48297343686818</v>
      </c>
      <c r="AO468" s="1250">
        <f t="shared" si="731"/>
        <v>427.2010021605505</v>
      </c>
      <c r="AP468" s="1250">
        <f t="shared" si="731"/>
        <v>426.91866095524011</v>
      </c>
      <c r="AQ468" s="1250">
        <f t="shared" si="731"/>
        <v>426.6360569056456</v>
      </c>
      <c r="AR468" s="1250">
        <f t="shared" si="731"/>
        <v>426.43189482488441</v>
      </c>
      <c r="AS468" s="1250">
        <f t="shared" si="731"/>
        <v>426.22854020334125</v>
      </c>
      <c r="AT468" s="1250">
        <f t="shared" si="731"/>
        <v>426.02599743040213</v>
      </c>
      <c r="AU468" s="1250">
        <f t="shared" si="731"/>
        <v>425.82426797005621</v>
      </c>
      <c r="AV468" s="1250">
        <f t="shared" si="731"/>
        <v>425.62335066941199</v>
      </c>
      <c r="AW468" s="1250">
        <f t="shared" si="731"/>
        <v>425.34264643114921</v>
      </c>
      <c r="AX468" s="1250">
        <f t="shared" si="731"/>
        <v>425.06207663483212</v>
      </c>
      <c r="AY468" s="1250">
        <f t="shared" si="731"/>
        <v>424.78168905157582</v>
      </c>
      <c r="AZ468" s="1250">
        <f t="shared" si="731"/>
        <v>424.50152579098574</v>
      </c>
      <c r="BA468" s="1251">
        <f t="shared" si="731"/>
        <v>424.22162377941635</v>
      </c>
    </row>
    <row r="469" spans="19:53" ht="20.100000000000001" customHeight="1">
      <c r="S469" s="1244" t="s">
        <v>85</v>
      </c>
      <c r="T469" s="1248" t="s">
        <v>942</v>
      </c>
      <c r="U469" s="1159"/>
      <c r="V469" s="1159"/>
      <c r="W469" s="1249" t="s">
        <v>3148</v>
      </c>
      <c r="X469" s="1250">
        <f t="shared" ref="X469:AM472" si="732">($H$191/100*X453)+((100-$H$191)/100*X461)</f>
        <v>416.41848861345079</v>
      </c>
      <c r="Y469" s="1250">
        <f t="shared" si="732"/>
        <v>416.21628541906972</v>
      </c>
      <c r="Z469" s="1250">
        <f t="shared" si="732"/>
        <v>416.01310954927538</v>
      </c>
      <c r="AA469" s="1250">
        <f t="shared" si="732"/>
        <v>415.80897570301823</v>
      </c>
      <c r="AB469" s="1250">
        <f t="shared" si="732"/>
        <v>415.60389838253695</v>
      </c>
      <c r="AC469" s="1250">
        <f t="shared" si="732"/>
        <v>414.9939197840223</v>
      </c>
      <c r="AD469" s="1250">
        <f t="shared" si="732"/>
        <v>414.38111562673214</v>
      </c>
      <c r="AE469" s="1250">
        <f t="shared" si="732"/>
        <v>413.76552849506982</v>
      </c>
      <c r="AF469" s="1250">
        <f t="shared" si="732"/>
        <v>413.14720040430598</v>
      </c>
      <c r="AG469" s="1250">
        <f t="shared" si="732"/>
        <v>412.52617280770403</v>
      </c>
      <c r="AH469" s="1250">
        <f t="shared" si="732"/>
        <v>412.26090107156324</v>
      </c>
      <c r="AI469" s="1250">
        <f t="shared" si="732"/>
        <v>411.99409845018658</v>
      </c>
      <c r="AJ469" s="1250">
        <f t="shared" si="732"/>
        <v>411.72598029791084</v>
      </c>
      <c r="AK469" s="1250">
        <f t="shared" si="732"/>
        <v>411.45674291102318</v>
      </c>
      <c r="AL469" s="1250">
        <f t="shared" si="732"/>
        <v>411.18656497270052</v>
      </c>
      <c r="AM469" s="1250">
        <f t="shared" si="732"/>
        <v>410.91560889665459</v>
      </c>
      <c r="AN469" s="1250">
        <f t="shared" si="731"/>
        <v>410.64402207625722</v>
      </c>
      <c r="AO469" s="1250">
        <f t="shared" si="731"/>
        <v>410.37193804547604</v>
      </c>
      <c r="AP469" s="1250">
        <f t="shared" si="731"/>
        <v>410.09947755754342</v>
      </c>
      <c r="AQ469" s="1250">
        <f t="shared" si="731"/>
        <v>409.82674958689813</v>
      </c>
      <c r="AR469" s="1250">
        <f t="shared" si="731"/>
        <v>409.6288934520457</v>
      </c>
      <c r="AS469" s="1250">
        <f t="shared" si="731"/>
        <v>409.43185902569161</v>
      </c>
      <c r="AT469" s="1250">
        <f t="shared" si="731"/>
        <v>409.23565077468157</v>
      </c>
      <c r="AU469" s="1250">
        <f t="shared" si="731"/>
        <v>409.04027018884</v>
      </c>
      <c r="AV469" s="1250">
        <f t="shared" si="731"/>
        <v>408.84571609493008</v>
      </c>
      <c r="AW469" s="1250">
        <f t="shared" si="731"/>
        <v>408.57492146169886</v>
      </c>
      <c r="AX469" s="1250">
        <f t="shared" si="731"/>
        <v>408.30426364291827</v>
      </c>
      <c r="AY469" s="1250">
        <f t="shared" si="731"/>
        <v>408.03379125272306</v>
      </c>
      <c r="AZ469" s="1250">
        <f t="shared" si="731"/>
        <v>407.76354714382933</v>
      </c>
      <c r="BA469" s="1251">
        <f t="shared" si="731"/>
        <v>407.49356889423314</v>
      </c>
    </row>
    <row r="470" spans="19:53" ht="20.100000000000001" customHeight="1">
      <c r="S470" s="1244" t="s">
        <v>86</v>
      </c>
      <c r="T470" s="1248" t="s">
        <v>942</v>
      </c>
      <c r="U470" s="1159"/>
      <c r="V470" s="1159"/>
      <c r="W470" s="1249" t="s">
        <v>3149</v>
      </c>
      <c r="X470" s="1250">
        <f t="shared" si="732"/>
        <v>399.29993040190107</v>
      </c>
      <c r="Y470" s="1250">
        <f t="shared" si="731"/>
        <v>399.108826259468</v>
      </c>
      <c r="Z470" s="1250">
        <f t="shared" si="731"/>
        <v>398.91673257441806</v>
      </c>
      <c r="AA470" s="1250">
        <f t="shared" si="731"/>
        <v>398.72366430059662</v>
      </c>
      <c r="AB470" s="1250">
        <f t="shared" si="731"/>
        <v>398.52963619172635</v>
      </c>
      <c r="AC470" s="1250">
        <f t="shared" si="731"/>
        <v>397.95289632682397</v>
      </c>
      <c r="AD470" s="1250">
        <f t="shared" si="731"/>
        <v>397.37328190501694</v>
      </c>
      <c r="AE470" s="1250">
        <f t="shared" si="731"/>
        <v>396.7908362491666</v>
      </c>
      <c r="AF470" s="1250">
        <f t="shared" si="731"/>
        <v>396.20560210313209</v>
      </c>
      <c r="AG470" s="1250">
        <f t="shared" si="731"/>
        <v>395.61762163901943</v>
      </c>
      <c r="AH470" s="1250">
        <f t="shared" si="731"/>
        <v>395.3623552806921</v>
      </c>
      <c r="AI470" s="1250">
        <f t="shared" si="731"/>
        <v>395.10553148998616</v>
      </c>
      <c r="AJ470" s="1250">
        <f t="shared" si="731"/>
        <v>394.84736935570652</v>
      </c>
      <c r="AK470" s="1250">
        <f t="shared" si="731"/>
        <v>394.58806857812232</v>
      </c>
      <c r="AL470" s="1250">
        <f t="shared" si="731"/>
        <v>394.32781093896256</v>
      </c>
      <c r="AM470" s="1250">
        <f t="shared" si="731"/>
        <v>394.06676166836178</v>
      </c>
      <c r="AN470" s="1250">
        <f t="shared" si="731"/>
        <v>393.80507071564631</v>
      </c>
      <c r="AO470" s="1250">
        <f t="shared" si="731"/>
        <v>393.54287393040158</v>
      </c>
      <c r="AP470" s="1250">
        <f t="shared" si="731"/>
        <v>393.28029415984673</v>
      </c>
      <c r="AQ470" s="1250">
        <f t="shared" si="731"/>
        <v>393.01744226815072</v>
      </c>
      <c r="AR470" s="1250">
        <f t="shared" si="731"/>
        <v>392.82589207920699</v>
      </c>
      <c r="AS470" s="1250">
        <f t="shared" si="731"/>
        <v>392.63517784804196</v>
      </c>
      <c r="AT470" s="1250">
        <f t="shared" si="731"/>
        <v>392.44530411896108</v>
      </c>
      <c r="AU470" s="1250">
        <f t="shared" si="731"/>
        <v>392.25627240762378</v>
      </c>
      <c r="AV470" s="1250">
        <f t="shared" si="731"/>
        <v>392.06808152044817</v>
      </c>
      <c r="AW470" s="1250">
        <f t="shared" si="731"/>
        <v>391.80719649224852</v>
      </c>
      <c r="AX470" s="1250">
        <f t="shared" si="731"/>
        <v>391.54645065100442</v>
      </c>
      <c r="AY470" s="1250">
        <f t="shared" si="731"/>
        <v>391.2858934538703</v>
      </c>
      <c r="AZ470" s="1250">
        <f t="shared" si="731"/>
        <v>391.02556849667297</v>
      </c>
      <c r="BA470" s="1251">
        <f t="shared" si="731"/>
        <v>390.76551400904998</v>
      </c>
    </row>
    <row r="471" spans="19:53" ht="20.100000000000001" customHeight="1">
      <c r="S471" s="1244" t="s">
        <v>87</v>
      </c>
      <c r="T471" s="1248" t="s">
        <v>942</v>
      </c>
      <c r="U471" s="1159"/>
      <c r="V471" s="1159"/>
      <c r="W471" s="1249" t="s">
        <v>3150</v>
      </c>
      <c r="X471" s="1250">
        <f t="shared" si="732"/>
        <v>313.70713934415232</v>
      </c>
      <c r="Y471" s="1250">
        <f t="shared" si="731"/>
        <v>313.57153046145942</v>
      </c>
      <c r="Z471" s="1250">
        <f t="shared" si="731"/>
        <v>313.43484770013123</v>
      </c>
      <c r="AA471" s="1250">
        <f t="shared" si="731"/>
        <v>313.29710728848841</v>
      </c>
      <c r="AB471" s="1250">
        <f t="shared" si="731"/>
        <v>313.15832523767335</v>
      </c>
      <c r="AC471" s="1250">
        <f t="shared" si="731"/>
        <v>312.74777904083214</v>
      </c>
      <c r="AD471" s="1250">
        <f t="shared" si="731"/>
        <v>312.33411329644105</v>
      </c>
      <c r="AE471" s="1250">
        <f t="shared" si="731"/>
        <v>311.91737501965059</v>
      </c>
      <c r="AF471" s="1250">
        <f t="shared" si="731"/>
        <v>311.49761059726262</v>
      </c>
      <c r="AG471" s="1250">
        <f t="shared" si="731"/>
        <v>311.07486579559662</v>
      </c>
      <c r="AH471" s="1250">
        <f t="shared" si="731"/>
        <v>310.86962632633663</v>
      </c>
      <c r="AI471" s="1250">
        <f t="shared" si="731"/>
        <v>310.66269668898394</v>
      </c>
      <c r="AJ471" s="1250">
        <f t="shared" si="731"/>
        <v>310.45431464468487</v>
      </c>
      <c r="AK471" s="1250">
        <f t="shared" si="731"/>
        <v>310.24469691361776</v>
      </c>
      <c r="AL471" s="1250">
        <f t="shared" si="731"/>
        <v>310.03404077027255</v>
      </c>
      <c r="AM471" s="1250">
        <f t="shared" si="731"/>
        <v>309.82252552689772</v>
      </c>
      <c r="AN471" s="1250">
        <f t="shared" si="731"/>
        <v>309.61031391259155</v>
      </c>
      <c r="AO471" s="1250">
        <f t="shared" si="731"/>
        <v>309.39755335502912</v>
      </c>
      <c r="AP471" s="1250">
        <f t="shared" si="731"/>
        <v>309.18437717136317</v>
      </c>
      <c r="AQ471" s="1250">
        <f t="shared" si="731"/>
        <v>308.9709056744133</v>
      </c>
      <c r="AR471" s="1250">
        <f t="shared" si="731"/>
        <v>308.81088521501329</v>
      </c>
      <c r="AS471" s="1250">
        <f t="shared" si="731"/>
        <v>308.65177195979356</v>
      </c>
      <c r="AT471" s="1250">
        <f t="shared" si="731"/>
        <v>308.49357084035836</v>
      </c>
      <c r="AU471" s="1250">
        <f t="shared" si="731"/>
        <v>308.33628350154248</v>
      </c>
      <c r="AV471" s="1250">
        <f t="shared" si="731"/>
        <v>308.17990864803858</v>
      </c>
      <c r="AW471" s="1250">
        <f t="shared" si="731"/>
        <v>307.96857164499676</v>
      </c>
      <c r="AX471" s="1250">
        <f t="shared" si="731"/>
        <v>307.75738569143505</v>
      </c>
      <c r="AY471" s="1250">
        <f t="shared" si="731"/>
        <v>307.54640445960638</v>
      </c>
      <c r="AZ471" s="1250">
        <f t="shared" si="731"/>
        <v>307.33567526089087</v>
      </c>
      <c r="BA471" s="1251">
        <f t="shared" si="731"/>
        <v>307.12523958313392</v>
      </c>
    </row>
    <row r="472" spans="19:53" ht="20.100000000000001" customHeight="1">
      <c r="S472" s="1244" t="s">
        <v>88</v>
      </c>
      <c r="T472" s="1248" t="s">
        <v>942</v>
      </c>
      <c r="U472" s="1159"/>
      <c r="V472" s="1159"/>
      <c r="W472" s="1249" t="s">
        <v>3151</v>
      </c>
      <c r="X472" s="1250">
        <f t="shared" si="732"/>
        <v>262.35146470950309</v>
      </c>
      <c r="Y472" s="1250">
        <f t="shared" si="731"/>
        <v>262.24915298265432</v>
      </c>
      <c r="Z472" s="1250">
        <f t="shared" si="731"/>
        <v>262.14571677555915</v>
      </c>
      <c r="AA472" s="1250">
        <f t="shared" si="731"/>
        <v>262.04117308122352</v>
      </c>
      <c r="AB472" s="1250">
        <f t="shared" si="731"/>
        <v>261.93553866524161</v>
      </c>
      <c r="AC472" s="1250">
        <f t="shared" si="731"/>
        <v>261.62470866923707</v>
      </c>
      <c r="AD472" s="1250">
        <f t="shared" si="731"/>
        <v>261.31061213129556</v>
      </c>
      <c r="AE472" s="1250">
        <f t="shared" si="731"/>
        <v>260.99329828194101</v>
      </c>
      <c r="AF472" s="1250">
        <f t="shared" si="731"/>
        <v>260.67281569374097</v>
      </c>
      <c r="AG472" s="1250">
        <f t="shared" si="731"/>
        <v>260.34921228954295</v>
      </c>
      <c r="AH472" s="1250">
        <f t="shared" si="731"/>
        <v>260.17398895372338</v>
      </c>
      <c r="AI472" s="1250">
        <f t="shared" si="731"/>
        <v>259.99699580838268</v>
      </c>
      <c r="AJ472" s="1250">
        <f t="shared" si="731"/>
        <v>259.81848181807192</v>
      </c>
      <c r="AK472" s="1250">
        <f t="shared" si="731"/>
        <v>259.63867391491505</v>
      </c>
      <c r="AL472" s="1250">
        <f t="shared" si="731"/>
        <v>259.4577786690586</v>
      </c>
      <c r="AM472" s="1250">
        <f t="shared" si="731"/>
        <v>259.27598384201934</v>
      </c>
      <c r="AN472" s="1250">
        <f t="shared" si="731"/>
        <v>259.09345983075872</v>
      </c>
      <c r="AO472" s="1250">
        <f t="shared" si="731"/>
        <v>258.91036100980568</v>
      </c>
      <c r="AP472" s="1250">
        <f t="shared" si="731"/>
        <v>258.7268269782731</v>
      </c>
      <c r="AQ472" s="1250">
        <f t="shared" si="731"/>
        <v>258.54298371817094</v>
      </c>
      <c r="AR472" s="1250">
        <f t="shared" si="731"/>
        <v>258.40188109649711</v>
      </c>
      <c r="AS472" s="1250">
        <f t="shared" si="731"/>
        <v>258.26172842684457</v>
      </c>
      <c r="AT472" s="1250">
        <f t="shared" si="731"/>
        <v>258.12253087319675</v>
      </c>
      <c r="AU472" s="1250">
        <f t="shared" si="731"/>
        <v>257.98429015789378</v>
      </c>
      <c r="AV472" s="1250">
        <f t="shared" si="731"/>
        <v>257.84700492459285</v>
      </c>
      <c r="AW472" s="1250">
        <f t="shared" si="731"/>
        <v>257.66539673664573</v>
      </c>
      <c r="AX472" s="1250">
        <f t="shared" si="731"/>
        <v>257.48394671569343</v>
      </c>
      <c r="AY472" s="1250">
        <f t="shared" si="731"/>
        <v>257.30271106304804</v>
      </c>
      <c r="AZ472" s="1250">
        <f t="shared" si="731"/>
        <v>257.12173931942164</v>
      </c>
      <c r="BA472" s="1251">
        <f t="shared" si="731"/>
        <v>256.94107492758434</v>
      </c>
    </row>
    <row r="473" spans="19:53" ht="20.100000000000001" customHeight="1" thickBot="1">
      <c r="S473" s="1252" t="s">
        <v>2417</v>
      </c>
      <c r="T473" s="1253" t="s">
        <v>3156</v>
      </c>
      <c r="U473" s="1253"/>
      <c r="V473" s="1253"/>
      <c r="W473" s="1278" t="s">
        <v>1202</v>
      </c>
      <c r="X473" s="1254">
        <f>(X295/100*X468)+(X296/100*X469)+(X297/100*X470)+(X298/100*X471)+(X299/100*X472)</f>
        <v>0</v>
      </c>
      <c r="Y473" s="1254">
        <f t="shared" ref="Y473:BA473" si="733">(Y295/100*Y468)+(Y296/100*Y469)+(Y297/100*Y470)+(Y298/100*Y471)+(Y299/100*Y472)</f>
        <v>0</v>
      </c>
      <c r="Z473" s="1254">
        <f t="shared" si="733"/>
        <v>428.83539228041843</v>
      </c>
      <c r="AA473" s="1254">
        <f t="shared" si="733"/>
        <v>428.62295925483443</v>
      </c>
      <c r="AB473" s="1254">
        <f t="shared" si="733"/>
        <v>428.40959502564488</v>
      </c>
      <c r="AC473" s="1254">
        <f t="shared" si="733"/>
        <v>427.77468737692107</v>
      </c>
      <c r="AD473" s="1254">
        <f t="shared" si="733"/>
        <v>427.13699091801845</v>
      </c>
      <c r="AE473" s="1254">
        <f t="shared" si="733"/>
        <v>426.49654767949721</v>
      </c>
      <c r="AF473" s="1254">
        <f t="shared" si="733"/>
        <v>425.8533991301864</v>
      </c>
      <c r="AG473" s="1254">
        <f t="shared" si="733"/>
        <v>407.23508845552414</v>
      </c>
      <c r="AH473" s="1254">
        <f t="shared" si="733"/>
        <v>393.51747975847161</v>
      </c>
      <c r="AI473" s="1254">
        <f t="shared" si="733"/>
        <v>382.81211878219722</v>
      </c>
      <c r="AJ473" s="1254">
        <f t="shared" si="733"/>
        <v>374.2125526406457</v>
      </c>
      <c r="AK473" s="1254">
        <f t="shared" si="733"/>
        <v>367.14284007360135</v>
      </c>
      <c r="AL473" s="1254">
        <f t="shared" si="733"/>
        <v>361.21936009490491</v>
      </c>
      <c r="AM473" s="1254">
        <f t="shared" si="733"/>
        <v>360.97764560522796</v>
      </c>
      <c r="AN473" s="1254">
        <f t="shared" si="733"/>
        <v>360.73526557690082</v>
      </c>
      <c r="AO473" s="1254">
        <f t="shared" si="733"/>
        <v>360.49236042819234</v>
      </c>
      <c r="AP473" s="1254">
        <f t="shared" si="733"/>
        <v>360.24921355090692</v>
      </c>
      <c r="AQ473" s="1254">
        <f t="shared" si="733"/>
        <v>360.00578232204447</v>
      </c>
      <c r="AR473" s="1254">
        <f t="shared" si="733"/>
        <v>359.82648567854778</v>
      </c>
      <c r="AS473" s="1254">
        <f t="shared" si="733"/>
        <v>359.64805063457021</v>
      </c>
      <c r="AT473" s="1254">
        <f t="shared" si="733"/>
        <v>359.47048190615004</v>
      </c>
      <c r="AU473" s="1254">
        <f t="shared" si="733"/>
        <v>359.29393561180012</v>
      </c>
      <c r="AV473" s="1254">
        <f t="shared" si="733"/>
        <v>359.11825527066793</v>
      </c>
      <c r="AW473" s="1254">
        <f t="shared" si="733"/>
        <v>358.87669177255248</v>
      </c>
      <c r="AX473" s="1254">
        <f t="shared" si="733"/>
        <v>358.63526992114191</v>
      </c>
      <c r="AY473" s="1254">
        <f t="shared" si="733"/>
        <v>358.39404084966145</v>
      </c>
      <c r="AZ473" s="1254">
        <f t="shared" si="733"/>
        <v>358.15304963372512</v>
      </c>
      <c r="BA473" s="1255">
        <f t="shared" si="733"/>
        <v>357.9124879850728</v>
      </c>
    </row>
    <row r="474" spans="19:53" ht="20.100000000000001" customHeight="1" thickBot="1"/>
    <row r="475" spans="19:53" ht="20.100000000000001" customHeight="1">
      <c r="S475" s="1240" t="s">
        <v>3155</v>
      </c>
      <c r="T475" s="1324" t="s">
        <v>2416</v>
      </c>
      <c r="U475" s="1241"/>
      <c r="V475" s="1284">
        <v>2019</v>
      </c>
      <c r="W475" s="1284">
        <v>2020</v>
      </c>
      <c r="X475" s="1284">
        <v>2021</v>
      </c>
      <c r="Y475" s="1284">
        <f>X475+1</f>
        <v>2022</v>
      </c>
      <c r="Z475" s="1284">
        <f t="shared" ref="Z475" si="734">Y475+1</f>
        <v>2023</v>
      </c>
      <c r="AA475" s="1284">
        <f t="shared" ref="AA475" si="735">Z475+1</f>
        <v>2024</v>
      </c>
      <c r="AB475" s="1284">
        <f t="shared" ref="AB475" si="736">AA475+1</f>
        <v>2025</v>
      </c>
      <c r="AC475" s="1284">
        <f t="shared" ref="AC475" si="737">AB475+1</f>
        <v>2026</v>
      </c>
      <c r="AD475" s="1284">
        <f t="shared" ref="AD475" si="738">AC475+1</f>
        <v>2027</v>
      </c>
      <c r="AE475" s="1284">
        <f t="shared" ref="AE475" si="739">AD475+1</f>
        <v>2028</v>
      </c>
      <c r="AF475" s="1284">
        <f t="shared" ref="AF475" si="740">AE475+1</f>
        <v>2029</v>
      </c>
      <c r="AG475" s="1284">
        <f t="shared" ref="AG475" si="741">AF475+1</f>
        <v>2030</v>
      </c>
      <c r="AH475" s="1284">
        <f t="shared" ref="AH475" si="742">AG475+1</f>
        <v>2031</v>
      </c>
      <c r="AI475" s="1284">
        <f t="shared" ref="AI475" si="743">AH475+1</f>
        <v>2032</v>
      </c>
      <c r="AJ475" s="1284">
        <f t="shared" ref="AJ475" si="744">AI475+1</f>
        <v>2033</v>
      </c>
      <c r="AK475" s="1284">
        <f t="shared" ref="AK475" si="745">AJ475+1</f>
        <v>2034</v>
      </c>
      <c r="AL475" s="1284">
        <f t="shared" ref="AL475" si="746">AK475+1</f>
        <v>2035</v>
      </c>
      <c r="AM475" s="1284">
        <f t="shared" ref="AM475" si="747">AL475+1</f>
        <v>2036</v>
      </c>
      <c r="AN475" s="1284">
        <f t="shared" ref="AN475" si="748">AM475+1</f>
        <v>2037</v>
      </c>
      <c r="AO475" s="1284">
        <f t="shared" ref="AO475" si="749">AN475+1</f>
        <v>2038</v>
      </c>
      <c r="AP475" s="1284">
        <f t="shared" ref="AP475" si="750">AO475+1</f>
        <v>2039</v>
      </c>
      <c r="AQ475" s="1284">
        <f t="shared" ref="AQ475" si="751">AP475+1</f>
        <v>2040</v>
      </c>
      <c r="AR475" s="1284">
        <f t="shared" ref="AR475" si="752">AQ475+1</f>
        <v>2041</v>
      </c>
      <c r="AS475" s="1284">
        <f t="shared" ref="AS475" si="753">AR475+1</f>
        <v>2042</v>
      </c>
      <c r="AT475" s="1284">
        <f t="shared" ref="AT475" si="754">AS475+1</f>
        <v>2043</v>
      </c>
      <c r="AU475" s="1284">
        <f t="shared" ref="AU475" si="755">AT475+1</f>
        <v>2044</v>
      </c>
      <c r="AV475" s="1284">
        <f t="shared" ref="AV475" si="756">AU475+1</f>
        <v>2045</v>
      </c>
      <c r="AW475" s="1284">
        <f t="shared" ref="AW475" si="757">AV475+1</f>
        <v>2046</v>
      </c>
      <c r="AX475" s="1284">
        <f t="shared" ref="AX475" si="758">AW475+1</f>
        <v>2047</v>
      </c>
      <c r="AY475" s="1284">
        <f t="shared" ref="AY475" si="759">AX475+1</f>
        <v>2048</v>
      </c>
      <c r="AZ475" s="1284">
        <f t="shared" ref="AZ475" si="760">AY475+1</f>
        <v>2049</v>
      </c>
      <c r="BA475" s="1279">
        <f t="shared" ref="BA475" si="761">AZ475+1</f>
        <v>2050</v>
      </c>
    </row>
    <row r="476" spans="19:53" ht="20.100000000000001" customHeight="1" thickBot="1">
      <c r="S476" s="1252" t="s">
        <v>3188</v>
      </c>
      <c r="T476" s="1325" t="s">
        <v>3154</v>
      </c>
      <c r="U476" s="1280" t="s">
        <v>1204</v>
      </c>
      <c r="V476" s="1253"/>
      <c r="W476" s="1253"/>
      <c r="X476" s="1254">
        <f>X378/INDEX('DEFAULT DATA'!$N$9:$N$41,START!$C$3,1)*X473/1000</f>
        <v>0</v>
      </c>
      <c r="Y476" s="1254">
        <f>Y378/INDEX('DEFAULT DATA'!$N$9:$N$41,START!$C$3,1)*Y473/1000</f>
        <v>0</v>
      </c>
      <c r="Z476" s="1254">
        <f>Z378/INDEX('DEFAULT DATA'!$N$9:$N$41,START!$C$3,1)*Z473/1000</f>
        <v>98.329173658390388</v>
      </c>
      <c r="AA476" s="1254">
        <f>AA378/INDEX('DEFAULT DATA'!$N$9:$N$41,START!$C$3,1)*AA473/1000</f>
        <v>98.575305536076399</v>
      </c>
      <c r="AB476" s="1254">
        <f>AB378/INDEX('DEFAULT DATA'!$N$9:$N$41,START!$C$3,1)*AB473/1000</f>
        <v>90.586663237110386</v>
      </c>
      <c r="AC476" s="1254">
        <f>AC378/INDEX('DEFAULT DATA'!$N$9:$N$41,START!$C$3,1)*AC473/1000</f>
        <v>82.476154601717383</v>
      </c>
      <c r="AD476" s="1254">
        <f>AD378/INDEX('DEFAULT DATA'!$N$9:$N$41,START!$C$3,1)*AD473/1000</f>
        <v>74.340238102230771</v>
      </c>
      <c r="AE476" s="1254">
        <f>AE378/INDEX('DEFAULT DATA'!$N$9:$N$41,START!$C$3,1)*AE473/1000</f>
        <v>66.179075295702077</v>
      </c>
      <c r="AF476" s="1254">
        <f>AF378/INDEX('DEFAULT DATA'!$N$9:$N$41,START!$C$3,1)*AF473/1000</f>
        <v>57.992826819418696</v>
      </c>
      <c r="AG476" s="1254">
        <f>AG378/INDEX('DEFAULT DATA'!$N$9:$N$41,START!$C$3,1)*AG473/1000</f>
        <v>43.533205487479215</v>
      </c>
      <c r="AH476" s="1254">
        <f>AH378/INDEX('DEFAULT DATA'!$N$9:$N$41,START!$C$3,1)*AH473/1000</f>
        <v>39.18402984540031</v>
      </c>
      <c r="AI476" s="1254">
        <f>AI378/INDEX('DEFAULT DATA'!$N$9:$N$41,START!$C$3,1)*AI473/1000</f>
        <v>35.951022714515126</v>
      </c>
      <c r="AJ476" s="1254">
        <f>AJ378/INDEX('DEFAULT DATA'!$N$9:$N$41,START!$C$3,1)*AJ473/1000</f>
        <v>33.460690419773215</v>
      </c>
      <c r="AK476" s="1254">
        <f>AK378/INDEX('DEFAULT DATA'!$N$9:$N$41,START!$C$3,1)*AK473/1000</f>
        <v>31.488201006956754</v>
      </c>
      <c r="AL476" s="1254">
        <f>AL378/INDEX('DEFAULT DATA'!$N$9:$N$41,START!$C$3,1)*AL473/1000</f>
        <v>29.890468786599151</v>
      </c>
      <c r="AM476" s="1254">
        <f>AM378/INDEX('DEFAULT DATA'!$N$9:$N$41,START!$C$3,1)*AM473/1000</f>
        <v>29.960053349550783</v>
      </c>
      <c r="AN476" s="1254">
        <f>AN378/INDEX('DEFAULT DATA'!$N$9:$N$41,START!$C$3,1)*AN473/1000</f>
        <v>30.029730508779299</v>
      </c>
      <c r="AO476" s="1254">
        <f>AO378/INDEX('DEFAULT DATA'!$N$9:$N$41,START!$C$3,1)*AO473/1000</f>
        <v>30.099511754962901</v>
      </c>
      <c r="AP476" s="1254">
        <f>AP378/INDEX('DEFAULT DATA'!$N$9:$N$41,START!$C$3,1)*AP473/1000</f>
        <v>30.169453641874004</v>
      </c>
      <c r="AQ476" s="1254">
        <f>AQ378/INDEX('DEFAULT DATA'!$N$9:$N$41,START!$C$3,1)*AQ473/1000</f>
        <v>30.239519739247363</v>
      </c>
      <c r="AR476" s="1254">
        <f>AR378/INDEX('DEFAULT DATA'!$N$9:$N$41,START!$C$3,1)*AR473/1000</f>
        <v>30.315104996213506</v>
      </c>
      <c r="AS476" s="1254">
        <f>AS378/INDEX('DEFAULT DATA'!$N$9:$N$41,START!$C$3,1)*AS473/1000</f>
        <v>30.39094392487717</v>
      </c>
      <c r="AT476" s="1254">
        <f>AT378/INDEX('DEFAULT DATA'!$N$9:$N$41,START!$C$3,1)*AT473/1000</f>
        <v>30.467037987748164</v>
      </c>
      <c r="AU476" s="1254">
        <f>AU378/INDEX('DEFAULT DATA'!$N$9:$N$41,START!$C$3,1)*AU473/1000</f>
        <v>30.543434556201493</v>
      </c>
      <c r="AV476" s="1254">
        <f>AV378/INDEX('DEFAULT DATA'!$N$9:$N$41,START!$C$3,1)*AV473/1000</f>
        <v>30.620088488147335</v>
      </c>
      <c r="AW476" s="1254">
        <f>AW378/INDEX('DEFAULT DATA'!$N$9:$N$41,START!$C$3,1)*AW473/1000</f>
        <v>30.691260025030818</v>
      </c>
      <c r="AX476" s="1254">
        <f>AX378/INDEX('DEFAULT DATA'!$N$9:$N$41,START!$C$3,1)*AX473/1000</f>
        <v>30.762594691048339</v>
      </c>
      <c r="AY476" s="1254">
        <f>AY378/INDEX('DEFAULT DATA'!$N$9:$N$41,START!$C$3,1)*AY473/1000</f>
        <v>30.834097263166175</v>
      </c>
      <c r="AZ476" s="1254">
        <f>AZ378/INDEX('DEFAULT DATA'!$N$9:$N$41,START!$C$3,1)*AZ473/1000</f>
        <v>30.905772049305611</v>
      </c>
      <c r="BA476" s="1255">
        <f>BA378/INDEX('DEFAULT DATA'!$N$9:$N$41,START!$C$3,1)*BA473/1000</f>
        <v>30.977669195842413</v>
      </c>
    </row>
    <row r="484" spans="19:53" ht="20.100000000000001" customHeight="1" thickBot="1">
      <c r="S484" s="1321" t="s">
        <v>3181</v>
      </c>
    </row>
    <row r="485" spans="19:53" ht="20.100000000000001" customHeight="1">
      <c r="S485" s="1258" t="s">
        <v>3122</v>
      </c>
      <c r="T485" s="1298"/>
      <c r="U485" s="1257" t="s">
        <v>2408</v>
      </c>
      <c r="V485" s="1257"/>
      <c r="W485" s="1257"/>
      <c r="X485" s="1223" t="s">
        <v>989</v>
      </c>
      <c r="Y485" s="1223"/>
      <c r="Z485" s="1223"/>
      <c r="AA485" s="1223"/>
      <c r="AB485" s="1223"/>
      <c r="AC485" s="1223"/>
      <c r="AD485" s="1223"/>
      <c r="AE485" s="1223"/>
      <c r="AF485" s="1223"/>
      <c r="AG485" s="1223"/>
      <c r="AH485" s="1223"/>
      <c r="AI485" s="1223"/>
      <c r="AJ485" s="1223"/>
      <c r="AK485" s="1223"/>
      <c r="AL485" s="1223"/>
      <c r="AM485" s="1223"/>
      <c r="AN485" s="1223"/>
      <c r="AO485" s="1223"/>
      <c r="AP485" s="1223"/>
      <c r="AQ485" s="1223"/>
      <c r="AR485" s="1223"/>
      <c r="AS485" s="1223"/>
      <c r="AT485" s="1223"/>
      <c r="AU485" s="1223"/>
      <c r="AV485" s="1223"/>
      <c r="AW485" s="1223"/>
      <c r="AX485" s="1223"/>
      <c r="AY485" s="1223"/>
      <c r="AZ485" s="1223"/>
      <c r="BA485" s="1224"/>
    </row>
    <row r="486" spans="19:53" ht="20.100000000000001" customHeight="1">
      <c r="S486" s="881"/>
      <c r="T486" s="280"/>
      <c r="U486" s="558"/>
      <c r="V486" s="558"/>
      <c r="W486" s="558"/>
      <c r="X486" s="559">
        <v>2021</v>
      </c>
      <c r="Y486" s="262">
        <v>2022</v>
      </c>
      <c r="Z486" s="559">
        <v>2023</v>
      </c>
      <c r="AA486" s="262">
        <v>2024</v>
      </c>
      <c r="AB486" s="559">
        <v>2025</v>
      </c>
      <c r="AC486" s="262">
        <v>2026</v>
      </c>
      <c r="AD486" s="559">
        <v>2027</v>
      </c>
      <c r="AE486" s="262">
        <v>2028</v>
      </c>
      <c r="AF486" s="559">
        <v>2029</v>
      </c>
      <c r="AG486" s="262">
        <v>2030</v>
      </c>
      <c r="AH486" s="559">
        <v>2031</v>
      </c>
      <c r="AI486" s="262">
        <v>2032</v>
      </c>
      <c r="AJ486" s="559">
        <v>2033</v>
      </c>
      <c r="AK486" s="262">
        <v>2034</v>
      </c>
      <c r="AL486" s="559">
        <v>2035</v>
      </c>
      <c r="AM486" s="262">
        <v>2036</v>
      </c>
      <c r="AN486" s="559">
        <v>2037</v>
      </c>
      <c r="AO486" s="262">
        <v>2038</v>
      </c>
      <c r="AP486" s="559">
        <v>2039</v>
      </c>
      <c r="AQ486" s="262">
        <v>2040</v>
      </c>
      <c r="AR486" s="559">
        <v>2041</v>
      </c>
      <c r="AS486" s="262">
        <v>2042</v>
      </c>
      <c r="AT486" s="559">
        <v>2043</v>
      </c>
      <c r="AU486" s="262">
        <v>2044</v>
      </c>
      <c r="AV486" s="559">
        <v>2045</v>
      </c>
      <c r="AW486" s="262">
        <v>2046</v>
      </c>
      <c r="AX486" s="559">
        <v>2047</v>
      </c>
      <c r="AY486" s="262">
        <v>2048</v>
      </c>
      <c r="AZ486" s="559">
        <v>2049</v>
      </c>
      <c r="BA486" s="492">
        <v>2050</v>
      </c>
    </row>
    <row r="487" spans="19:53" ht="20.100000000000001" customHeight="1">
      <c r="S487" s="1301" t="s">
        <v>939</v>
      </c>
      <c r="T487" s="1297"/>
      <c r="U487" s="1297"/>
      <c r="V487" s="1297"/>
      <c r="W487" s="1297"/>
      <c r="X487" s="345">
        <f t="shared" ref="X487:BA487" si="762">X56</f>
        <v>5.6039534770990237E-5</v>
      </c>
      <c r="Y487" s="345">
        <f t="shared" si="762"/>
        <v>5.6039534770990237E-5</v>
      </c>
      <c r="Z487" s="345">
        <f t="shared" si="762"/>
        <v>5.6039534770990237E-5</v>
      </c>
      <c r="AA487" s="345">
        <f t="shared" si="762"/>
        <v>5.6039534770990237E-5</v>
      </c>
      <c r="AB487" s="345">
        <f t="shared" si="762"/>
        <v>5.6039534770990237E-5</v>
      </c>
      <c r="AC487" s="345">
        <f t="shared" si="762"/>
        <v>5.6039534770990237E-5</v>
      </c>
      <c r="AD487" s="345">
        <f t="shared" si="762"/>
        <v>5.6039534770990237E-5</v>
      </c>
      <c r="AE487" s="345">
        <f t="shared" si="762"/>
        <v>5.6039534770990237E-5</v>
      </c>
      <c r="AF487" s="345">
        <f t="shared" si="762"/>
        <v>5.6039534770990237E-5</v>
      </c>
      <c r="AG487" s="345">
        <f t="shared" si="762"/>
        <v>5.6039534770990237E-5</v>
      </c>
      <c r="AH487" s="345">
        <f t="shared" si="762"/>
        <v>5.6039534770990237E-5</v>
      </c>
      <c r="AI487" s="345">
        <f t="shared" si="762"/>
        <v>5.6039534770990237E-5</v>
      </c>
      <c r="AJ487" s="345">
        <f t="shared" si="762"/>
        <v>5.6039534770990237E-5</v>
      </c>
      <c r="AK487" s="345">
        <f t="shared" si="762"/>
        <v>5.6039534770990237E-5</v>
      </c>
      <c r="AL487" s="345">
        <f t="shared" si="762"/>
        <v>5.6039534770990237E-5</v>
      </c>
      <c r="AM487" s="345">
        <f t="shared" si="762"/>
        <v>5.6039534770990237E-5</v>
      </c>
      <c r="AN487" s="345">
        <f t="shared" si="762"/>
        <v>5.6039534770990237E-5</v>
      </c>
      <c r="AO487" s="345">
        <f t="shared" si="762"/>
        <v>5.6039534770990237E-5</v>
      </c>
      <c r="AP487" s="345">
        <f t="shared" si="762"/>
        <v>5.6039534770990237E-5</v>
      </c>
      <c r="AQ487" s="345">
        <f t="shared" si="762"/>
        <v>5.6039534770990237E-5</v>
      </c>
      <c r="AR487" s="345">
        <f t="shared" si="762"/>
        <v>5.6039534770990237E-5</v>
      </c>
      <c r="AS487" s="345">
        <f t="shared" si="762"/>
        <v>5.6039534770990237E-5</v>
      </c>
      <c r="AT487" s="345">
        <f t="shared" si="762"/>
        <v>5.6039534770990237E-5</v>
      </c>
      <c r="AU487" s="345">
        <f t="shared" si="762"/>
        <v>5.6039534770990237E-5</v>
      </c>
      <c r="AV487" s="345">
        <f t="shared" si="762"/>
        <v>5.6039534770990237E-5</v>
      </c>
      <c r="AW487" s="345">
        <f t="shared" si="762"/>
        <v>5.6039534770990237E-5</v>
      </c>
      <c r="AX487" s="345">
        <f t="shared" si="762"/>
        <v>5.6039534770990237E-5</v>
      </c>
      <c r="AY487" s="345">
        <f t="shared" si="762"/>
        <v>5.6039534770990237E-5</v>
      </c>
      <c r="AZ487" s="345">
        <f t="shared" si="762"/>
        <v>5.6039534770990237E-5</v>
      </c>
      <c r="BA487" s="1302">
        <f t="shared" si="762"/>
        <v>5.6039534770990237E-5</v>
      </c>
    </row>
    <row r="488" spans="19:53" ht="20.100000000000001" customHeight="1">
      <c r="S488" s="1303" t="s">
        <v>3110</v>
      </c>
      <c r="T488" s="1297"/>
      <c r="U488" s="1297"/>
      <c r="V488" s="1297"/>
      <c r="W488" s="1297"/>
      <c r="X488" s="345">
        <f>IF(AND(X486&gt;(2020+TRANSPORT!$F$220),X486&lt;(2022+$G$220)),(TRANSPORT!$G$203-INDEX(TRANSPORT!$Y$487:$BA$487,1,($F$220-1)))/($G$220-$F$220+1),0)</f>
        <v>0</v>
      </c>
      <c r="Y488" s="345">
        <f>IF(AND(Y486&gt;(2020+TRANSPORT!$F$220),Y486&lt;(2022+$G$220)),(TRANSPORT!$G$203-INDEX(TRANSPORT!$Y$487:$BA$487,1,($F$220-1)))/($G$220-$F$220+1),0)</f>
        <v>0</v>
      </c>
      <c r="Z488" s="345">
        <f>IF(AND(Z486&gt;(2020+TRANSPORT!$F$220),Z486&lt;(2022+$G$220)),(TRANSPORT!$G$203-INDEX(TRANSPORT!$Y$487:$BA$487,1,($F$220-1)))/($G$220-$F$220+1),0)</f>
        <v>0</v>
      </c>
      <c r="AA488" s="345">
        <f>IF(AND(AA486&gt;(2020+TRANSPORT!$F$220),AA486&lt;(2022+$G$220)),(TRANSPORT!$G$203-INDEX(TRANSPORT!$Y$487:$BA$487,1,($F$220-1)))/($G$220-$F$220+1),0)</f>
        <v>0</v>
      </c>
      <c r="AB488" s="345">
        <f>IF(AND(AB486&gt;(2020+TRANSPORT!$F$220),AB486&lt;(2022+$G$220)),(TRANSPORT!$G$203-INDEX(TRANSPORT!$Y$487:$BA$487,1,($F$220-1)))/($G$220-$F$220+1),0)</f>
        <v>-9.3399224618317061E-6</v>
      </c>
      <c r="AC488" s="345">
        <f>IF(AND(AC486&gt;(2020+TRANSPORT!$F$220),AC486&lt;(2022+$G$220)),(TRANSPORT!$G$203-INDEX(TRANSPORT!$Y$487:$BA$487,1,($F$220-1)))/($G$220-$F$220+1),0)</f>
        <v>-9.3399224618317061E-6</v>
      </c>
      <c r="AD488" s="345">
        <f>IF(AND(AD486&gt;(2020+TRANSPORT!$F$220),AD486&lt;(2022+$G$220)),(TRANSPORT!$G$203-INDEX(TRANSPORT!$Y$487:$BA$487,1,($F$220-1)))/($G$220-$F$220+1),0)</f>
        <v>-9.3399224618317061E-6</v>
      </c>
      <c r="AE488" s="345">
        <f>IF(AND(AE486&gt;(2020+TRANSPORT!$F$220),AE486&lt;(2022+$G$220)),(TRANSPORT!$G$203-INDEX(TRANSPORT!$Y$487:$BA$487,1,($F$220-1)))/($G$220-$F$220+1),0)</f>
        <v>-9.3399224618317061E-6</v>
      </c>
      <c r="AF488" s="345">
        <f>IF(AND(AF486&gt;(2020+TRANSPORT!$F$220),AF486&lt;(2022+$G$220)),(TRANSPORT!$G$203-INDEX(TRANSPORT!$Y$487:$BA$487,1,($F$220-1)))/($G$220-$F$220+1),0)</f>
        <v>-9.3399224618317061E-6</v>
      </c>
      <c r="AG488" s="345">
        <f>IF(AND(AG486&gt;(2020+TRANSPORT!$F$220),AG486&lt;(2022+$G$220)),(TRANSPORT!$G$203-INDEX(TRANSPORT!$Y$487:$BA$487,1,($F$220-1)))/($G$220-$F$220+1),0)</f>
        <v>-9.3399224618317061E-6</v>
      </c>
      <c r="AH488" s="345">
        <f>IF(AND(AH486&gt;(2020+TRANSPORT!$F$220),AH486&lt;(2022+$G$220)),(TRANSPORT!$G$203-INDEX(TRANSPORT!$Y$487:$BA$487,1,($F$220-1)))/($G$220-$F$220+1),0)</f>
        <v>0</v>
      </c>
      <c r="AI488" s="345">
        <f>IF(AND(AI486&gt;(2020+TRANSPORT!$F$220),AI486&lt;(2022+$G$220)),(TRANSPORT!$G$203-INDEX(TRANSPORT!$Y$487:$BA$487,1,($F$220-1)))/($G$220-$F$220+1),0)</f>
        <v>0</v>
      </c>
      <c r="AJ488" s="345">
        <f>IF(AND(AJ486&gt;(2020+TRANSPORT!$F$220),AJ486&lt;(2022+$G$220)),(TRANSPORT!$G$203-INDEX(TRANSPORT!$Y$487:$BA$487,1,($F$220-1)))/($G$220-$F$220+1),0)</f>
        <v>0</v>
      </c>
      <c r="AK488" s="345">
        <f>IF(AND(AK486&gt;(2020+TRANSPORT!$F$220),AK486&lt;(2022+$G$220)),(TRANSPORT!$G$203-INDEX(TRANSPORT!$Y$487:$BA$487,1,($F$220-1)))/($G$220-$F$220+1),0)</f>
        <v>0</v>
      </c>
      <c r="AL488" s="345">
        <f>IF(AND(AL486&gt;(2020+TRANSPORT!$F$220),AL486&lt;(2022+$G$220)),(TRANSPORT!$G$203-INDEX(TRANSPORT!$Y$487:$BA$487,1,($F$220-1)))/($G$220-$F$220+1),0)</f>
        <v>0</v>
      </c>
      <c r="AM488" s="345">
        <f>IF(AND(AM486&gt;(2020+TRANSPORT!$F$220),AM486&lt;(2022+$G$220)),(TRANSPORT!$G$203-INDEX(TRANSPORT!$Y$487:$BA$487,1,($F$220-1)))/($G$220-$F$220+1),0)</f>
        <v>0</v>
      </c>
      <c r="AN488" s="345">
        <f>IF(AND(AN486&gt;(2020+TRANSPORT!$F$220),AN486&lt;(2022+$G$220)),(TRANSPORT!$G$203-INDEX(TRANSPORT!$Y$487:$BA$487,1,($F$220-1)))/($G$220-$F$220+1),0)</f>
        <v>0</v>
      </c>
      <c r="AO488" s="345">
        <f>IF(AND(AO486&gt;(2020+TRANSPORT!$F$220),AO486&lt;(2022+$G$220)),(TRANSPORT!$G$203-INDEX(TRANSPORT!$Y$487:$BA$487,1,($F$220-1)))/($G$220-$F$220+1),0)</f>
        <v>0</v>
      </c>
      <c r="AP488" s="345">
        <f>IF(AND(AP486&gt;(2020+TRANSPORT!$F$220),AP486&lt;(2022+$G$220)),(TRANSPORT!$G$203-INDEX(TRANSPORT!$Y$487:$BA$487,1,($F$220-1)))/($G$220-$F$220+1),0)</f>
        <v>0</v>
      </c>
      <c r="AQ488" s="345">
        <f>IF(AND(AQ486&gt;(2020+TRANSPORT!$F$220),AQ486&lt;(2022+$G$220)),(TRANSPORT!$G$203-INDEX(TRANSPORT!$Y$487:$BA$487,1,($F$220-1)))/($G$220-$F$220+1),0)</f>
        <v>0</v>
      </c>
      <c r="AR488" s="345">
        <f>IF(AND(AR486&gt;(2020+TRANSPORT!$F$220),AR486&lt;(2022+$G$220)),(TRANSPORT!$G$203-INDEX(TRANSPORT!$Y$487:$BA$487,1,($F$220-1)))/($G$220-$F$220+1),0)</f>
        <v>0</v>
      </c>
      <c r="AS488" s="345">
        <f>IF(AND(AS486&gt;(2020+TRANSPORT!$F$220),AS486&lt;(2022+$G$220)),(TRANSPORT!$G$203-INDEX(TRANSPORT!$Y$487:$BA$487,1,($F$220-1)))/($G$220-$F$220+1),0)</f>
        <v>0</v>
      </c>
      <c r="AT488" s="345">
        <f>IF(AND(AT486&gt;(2020+TRANSPORT!$F$220),AT486&lt;(2022+$G$220)),(TRANSPORT!$G$203-INDEX(TRANSPORT!$Y$487:$BA$487,1,($F$220-1)))/($G$220-$F$220+1),0)</f>
        <v>0</v>
      </c>
      <c r="AU488" s="345">
        <f>IF(AND(AU486&gt;(2020+TRANSPORT!$F$220),AU486&lt;(2022+$G$220)),(TRANSPORT!$G$203-INDEX(TRANSPORT!$Y$487:$BA$487,1,($F$220-1)))/($G$220-$F$220+1),0)</f>
        <v>0</v>
      </c>
      <c r="AV488" s="345">
        <f>IF(AND(AV486&gt;(2020+TRANSPORT!$F$220),AV486&lt;(2022+$G$220)),(TRANSPORT!$G$203-INDEX(TRANSPORT!$Y$487:$BA$487,1,($F$220-1)))/($G$220-$F$220+1),0)</f>
        <v>0</v>
      </c>
      <c r="AW488" s="345">
        <f>IF(AND(AW486&gt;(2020+TRANSPORT!$F$220),AW486&lt;(2022+$G$220)),(TRANSPORT!$G$203-INDEX(TRANSPORT!$Y$487:$BA$487,1,($F$220-1)))/($G$220-$F$220+1),0)</f>
        <v>0</v>
      </c>
      <c r="AX488" s="345">
        <f>IF(AND(AX486&gt;(2020+TRANSPORT!$F$220),AX486&lt;(2022+$G$220)),(TRANSPORT!$G$203-INDEX(TRANSPORT!$Y$487:$BA$487,1,($F$220-1)))/($G$220-$F$220+1),0)</f>
        <v>0</v>
      </c>
      <c r="AY488" s="345">
        <f>IF(AND(AY486&gt;(2020+TRANSPORT!$F$220),AY486&lt;(2022+$G$220)),(TRANSPORT!$G$203-INDEX(TRANSPORT!$Y$487:$BA$487,1,($F$220-1)))/($G$220-$F$220+1),0)</f>
        <v>0</v>
      </c>
      <c r="AZ488" s="345">
        <f>IF(AND(AZ486&gt;(2020+TRANSPORT!$F$220),AZ486&lt;(2022+$G$220)),(TRANSPORT!$G$203-INDEX(TRANSPORT!$Y$487:$BA$487,1,($F$220-1)))/($G$220-$F$220+1),0)</f>
        <v>0</v>
      </c>
      <c r="BA488" s="1302">
        <f>IF(AND(BA486&gt;(2020+TRANSPORT!$F$220),BA486&lt;(2022+$G$220)),(TRANSPORT!$G$203-INDEX(TRANSPORT!$Y$487:$BA$487,1,($F$220-1)))/($G$220-$F$220+1),0)</f>
        <v>0</v>
      </c>
    </row>
    <row r="489" spans="19:53" ht="20.100000000000001" customHeight="1">
      <c r="S489" s="1304" t="s">
        <v>3118</v>
      </c>
      <c r="T489" s="1305" t="s">
        <v>3161</v>
      </c>
      <c r="U489" s="1297"/>
      <c r="V489" s="1297"/>
      <c r="W489" s="1297"/>
      <c r="X489" s="1306">
        <f>X487+X488</f>
        <v>5.6039534770990237E-5</v>
      </c>
      <c r="Y489" s="1306">
        <f>IF(Y488=0,X489*(IF(X487=0,1,Y487/X487)),X489+Y488)</f>
        <v>5.6039534770990237E-5</v>
      </c>
      <c r="Z489" s="1306">
        <f t="shared" ref="Z489:BA489" si="763">IF(Z488=0,Y489*(IF(Y487=0,1,Z487/Y487)),Y489+Z488)</f>
        <v>5.6039534770990237E-5</v>
      </c>
      <c r="AA489" s="1306">
        <f t="shared" si="763"/>
        <v>5.6039534770990237E-5</v>
      </c>
      <c r="AB489" s="1306">
        <f t="shared" si="763"/>
        <v>4.669961230915853E-5</v>
      </c>
      <c r="AC489" s="1306">
        <f t="shared" si="763"/>
        <v>3.7359689847326824E-5</v>
      </c>
      <c r="AD489" s="1306">
        <f t="shared" si="763"/>
        <v>2.8019767385495118E-5</v>
      </c>
      <c r="AE489" s="1306">
        <f t="shared" si="763"/>
        <v>1.8679844923663412E-5</v>
      </c>
      <c r="AF489" s="1306">
        <f t="shared" si="763"/>
        <v>9.3399224618317061E-6</v>
      </c>
      <c r="AG489" s="1306">
        <f t="shared" si="763"/>
        <v>0</v>
      </c>
      <c r="AH489" s="1306">
        <f t="shared" si="763"/>
        <v>0</v>
      </c>
      <c r="AI489" s="1306">
        <f t="shared" si="763"/>
        <v>0</v>
      </c>
      <c r="AJ489" s="1306">
        <f t="shared" si="763"/>
        <v>0</v>
      </c>
      <c r="AK489" s="1306">
        <f t="shared" si="763"/>
        <v>0</v>
      </c>
      <c r="AL489" s="1306">
        <f t="shared" si="763"/>
        <v>0</v>
      </c>
      <c r="AM489" s="1306">
        <f t="shared" si="763"/>
        <v>0</v>
      </c>
      <c r="AN489" s="1306">
        <f t="shared" si="763"/>
        <v>0</v>
      </c>
      <c r="AO489" s="1306">
        <f t="shared" si="763"/>
        <v>0</v>
      </c>
      <c r="AP489" s="1306">
        <f t="shared" si="763"/>
        <v>0</v>
      </c>
      <c r="AQ489" s="1306">
        <f t="shared" si="763"/>
        <v>0</v>
      </c>
      <c r="AR489" s="1306">
        <f t="shared" si="763"/>
        <v>0</v>
      </c>
      <c r="AS489" s="1306">
        <f t="shared" si="763"/>
        <v>0</v>
      </c>
      <c r="AT489" s="1306">
        <f t="shared" si="763"/>
        <v>0</v>
      </c>
      <c r="AU489" s="1306">
        <f t="shared" si="763"/>
        <v>0</v>
      </c>
      <c r="AV489" s="1306">
        <f t="shared" si="763"/>
        <v>0</v>
      </c>
      <c r="AW489" s="1306">
        <f t="shared" si="763"/>
        <v>0</v>
      </c>
      <c r="AX489" s="1306">
        <f t="shared" si="763"/>
        <v>0</v>
      </c>
      <c r="AY489" s="1306">
        <f t="shared" si="763"/>
        <v>0</v>
      </c>
      <c r="AZ489" s="1306">
        <f t="shared" si="763"/>
        <v>0</v>
      </c>
      <c r="BA489" s="1307">
        <f t="shared" si="763"/>
        <v>0</v>
      </c>
    </row>
    <row r="490" spans="19:53" ht="20.100000000000001" customHeight="1">
      <c r="S490" s="881" t="s">
        <v>940</v>
      </c>
      <c r="T490" s="280"/>
      <c r="U490" s="280"/>
      <c r="V490" s="280"/>
      <c r="W490" s="280"/>
      <c r="X490" s="272">
        <f t="shared" ref="X490:BA490" si="764">X57</f>
        <v>8.8962761448946992E-2</v>
      </c>
      <c r="Y490" s="272">
        <f t="shared" si="764"/>
        <v>8.8962761448946992E-2</v>
      </c>
      <c r="Z490" s="272">
        <f t="shared" si="764"/>
        <v>8.8962761448946992E-2</v>
      </c>
      <c r="AA490" s="272">
        <f t="shared" si="764"/>
        <v>8.8962761448946992E-2</v>
      </c>
      <c r="AB490" s="272">
        <f t="shared" si="764"/>
        <v>8.8962761448946992E-2</v>
      </c>
      <c r="AC490" s="272">
        <f t="shared" si="764"/>
        <v>8.8962761448946992E-2</v>
      </c>
      <c r="AD490" s="272">
        <f t="shared" si="764"/>
        <v>8.8962761448946992E-2</v>
      </c>
      <c r="AE490" s="272">
        <f t="shared" si="764"/>
        <v>8.8962761448946992E-2</v>
      </c>
      <c r="AF490" s="272">
        <f t="shared" si="764"/>
        <v>8.8962761448946992E-2</v>
      </c>
      <c r="AG490" s="272">
        <f t="shared" si="764"/>
        <v>8.8962761448946992E-2</v>
      </c>
      <c r="AH490" s="272">
        <f t="shared" si="764"/>
        <v>8.8962761448946992E-2</v>
      </c>
      <c r="AI490" s="272">
        <f t="shared" si="764"/>
        <v>8.8962761448946992E-2</v>
      </c>
      <c r="AJ490" s="272">
        <f t="shared" si="764"/>
        <v>8.8962761448946992E-2</v>
      </c>
      <c r="AK490" s="272">
        <f t="shared" si="764"/>
        <v>8.8962761448946992E-2</v>
      </c>
      <c r="AL490" s="272">
        <f t="shared" si="764"/>
        <v>8.8962761448946992E-2</v>
      </c>
      <c r="AM490" s="272">
        <f t="shared" si="764"/>
        <v>8.8962761448946992E-2</v>
      </c>
      <c r="AN490" s="272">
        <f t="shared" si="764"/>
        <v>8.8962761448946992E-2</v>
      </c>
      <c r="AO490" s="272">
        <f t="shared" si="764"/>
        <v>8.8962761448946992E-2</v>
      </c>
      <c r="AP490" s="272">
        <f t="shared" si="764"/>
        <v>8.8962761448946992E-2</v>
      </c>
      <c r="AQ490" s="272">
        <f t="shared" si="764"/>
        <v>8.8962761448946992E-2</v>
      </c>
      <c r="AR490" s="272">
        <f t="shared" si="764"/>
        <v>8.8962761448946992E-2</v>
      </c>
      <c r="AS490" s="272">
        <f t="shared" si="764"/>
        <v>8.8962761448946992E-2</v>
      </c>
      <c r="AT490" s="272">
        <f t="shared" si="764"/>
        <v>8.8962761448946992E-2</v>
      </c>
      <c r="AU490" s="272">
        <f t="shared" si="764"/>
        <v>8.8962761448946992E-2</v>
      </c>
      <c r="AV490" s="272">
        <f t="shared" si="764"/>
        <v>8.8962761448946992E-2</v>
      </c>
      <c r="AW490" s="272">
        <f t="shared" si="764"/>
        <v>8.8962761448946992E-2</v>
      </c>
      <c r="AX490" s="272">
        <f t="shared" si="764"/>
        <v>8.8962761448946992E-2</v>
      </c>
      <c r="AY490" s="272">
        <f t="shared" si="764"/>
        <v>8.8962761448946992E-2</v>
      </c>
      <c r="AZ490" s="272">
        <f t="shared" si="764"/>
        <v>8.8962761448946992E-2</v>
      </c>
      <c r="BA490" s="324">
        <f t="shared" si="764"/>
        <v>8.8962761448946992E-2</v>
      </c>
    </row>
    <row r="491" spans="19:53" ht="20.100000000000001" customHeight="1">
      <c r="S491" s="241" t="s">
        <v>3110</v>
      </c>
      <c r="T491" s="280"/>
      <c r="U491" s="280"/>
      <c r="V491" s="280"/>
      <c r="W491" s="280"/>
      <c r="X491" s="272">
        <f>IF(AND(X486&gt;(2020+TRANSPORT!$F$220),X486&lt;(2022+$G$220)),(TRANSPORT!$G$204-INDEX(TRANSPORT!$Y$490:$BA$490,1,($F$220-1)))/($G$220-$F$220+1),0)</f>
        <v>0</v>
      </c>
      <c r="Y491" s="272">
        <f>IF(AND(Y486&gt;(2020+TRANSPORT!$F$220),Y486&lt;(2022+$G$220)),(TRANSPORT!$G$204-INDEX(TRANSPORT!$Y$490:$BA$490,1,($F$220-1)))/($G$220-$F$220+1),0)</f>
        <v>0</v>
      </c>
      <c r="Z491" s="272">
        <f>IF(AND(Z486&gt;(2020+TRANSPORT!$F$220),Z486&lt;(2022+$G$220)),(TRANSPORT!$G$204-INDEX(TRANSPORT!$Y$490:$BA$490,1,($F$220-1)))/($G$220-$F$220+1),0)</f>
        <v>0</v>
      </c>
      <c r="AA491" s="272">
        <f>IF(AND(AA486&gt;(2020+TRANSPORT!$F$220),AA486&lt;(2022+$G$220)),(TRANSPORT!$G$204-INDEX(TRANSPORT!$Y$490:$BA$490,1,($F$220-1)))/($G$220-$F$220+1),0)</f>
        <v>0</v>
      </c>
      <c r="AB491" s="272">
        <f>IF(AND(AB486&gt;(2020+TRANSPORT!$F$220),AB486&lt;(2022+$G$220)),(TRANSPORT!$G$204-INDEX(TRANSPORT!$Y$490:$BA$490,1,($F$220-1)))/($G$220-$F$220+1),0)</f>
        <v>4.9851728730918419</v>
      </c>
      <c r="AC491" s="272">
        <f>IF(AND(AC486&gt;(2020+TRANSPORT!$F$220),AC486&lt;(2022+$G$220)),(TRANSPORT!$G$204-INDEX(TRANSPORT!$Y$490:$BA$490,1,($F$220-1)))/($G$220-$F$220+1),0)</f>
        <v>4.9851728730918419</v>
      </c>
      <c r="AD491" s="272">
        <f>IF(AND(AD486&gt;(2020+TRANSPORT!$F$220),AD486&lt;(2022+$G$220)),(TRANSPORT!$G$204-INDEX(TRANSPORT!$Y$490:$BA$490,1,($F$220-1)))/($G$220-$F$220+1),0)</f>
        <v>4.9851728730918419</v>
      </c>
      <c r="AE491" s="272">
        <f>IF(AND(AE486&gt;(2020+TRANSPORT!$F$220),AE486&lt;(2022+$G$220)),(TRANSPORT!$G$204-INDEX(TRANSPORT!$Y$490:$BA$490,1,($F$220-1)))/($G$220-$F$220+1),0)</f>
        <v>4.9851728730918419</v>
      </c>
      <c r="AF491" s="272">
        <f>IF(AND(AF486&gt;(2020+TRANSPORT!$F$220),AF486&lt;(2022+$G$220)),(TRANSPORT!$G$204-INDEX(TRANSPORT!$Y$490:$BA$490,1,($F$220-1)))/($G$220-$F$220+1),0)</f>
        <v>4.9851728730918419</v>
      </c>
      <c r="AG491" s="272">
        <f>IF(AND(AG486&gt;(2020+TRANSPORT!$F$220),AG486&lt;(2022+$G$220)),(TRANSPORT!$G$204-INDEX(TRANSPORT!$Y$490:$BA$490,1,($F$220-1)))/($G$220-$F$220+1),0)</f>
        <v>4.9851728730918419</v>
      </c>
      <c r="AH491" s="272">
        <f>IF(AND(AH486&gt;(2020+TRANSPORT!$F$220),AH486&lt;(2022+$G$220)),(TRANSPORT!$G$204-INDEX(TRANSPORT!$Y$490:$BA$490,1,($F$220-1)))/($G$220-$F$220+1),0)</f>
        <v>0</v>
      </c>
      <c r="AI491" s="272">
        <f>IF(AND(AI486&gt;(2020+TRANSPORT!$F$220),AI486&lt;(2022+$G$220)),(TRANSPORT!$G$204-INDEX(TRANSPORT!$Y$490:$BA$490,1,($F$220-1)))/($G$220-$F$220+1),0)</f>
        <v>0</v>
      </c>
      <c r="AJ491" s="272">
        <f>IF(AND(AJ486&gt;(2020+TRANSPORT!$F$220),AJ486&lt;(2022+$G$220)),(TRANSPORT!$G$204-INDEX(TRANSPORT!$Y$490:$BA$490,1,($F$220-1)))/($G$220-$F$220+1),0)</f>
        <v>0</v>
      </c>
      <c r="AK491" s="272">
        <f>IF(AND(AK486&gt;(2020+TRANSPORT!$F$220),AK486&lt;(2022+$G$220)),(TRANSPORT!$G$204-INDEX(TRANSPORT!$Y$490:$BA$490,1,($F$220-1)))/($G$220-$F$220+1),0)</f>
        <v>0</v>
      </c>
      <c r="AL491" s="272">
        <f>IF(AND(AL486&gt;(2020+TRANSPORT!$F$220),AL486&lt;(2022+$G$220)),(TRANSPORT!$G$204-INDEX(TRANSPORT!$Y$490:$BA$490,1,($F$220-1)))/($G$220-$F$220+1),0)</f>
        <v>0</v>
      </c>
      <c r="AM491" s="272">
        <f>IF(AND(AM486&gt;(2020+TRANSPORT!$F$220),AM486&lt;(2022+$G$220)),(TRANSPORT!$G$204-INDEX(TRANSPORT!$Y$490:$BA$490,1,($F$220-1)))/($G$220-$F$220+1),0)</f>
        <v>0</v>
      </c>
      <c r="AN491" s="272">
        <f>IF(AND(AN486&gt;(2020+TRANSPORT!$F$220),AN486&lt;(2022+$G$220)),(TRANSPORT!$G$204-INDEX(TRANSPORT!$Y$490:$BA$490,1,($F$220-1)))/($G$220-$F$220+1),0)</f>
        <v>0</v>
      </c>
      <c r="AO491" s="272">
        <f>IF(AND(AO486&gt;(2020+TRANSPORT!$F$220),AO486&lt;(2022+$G$220)),(TRANSPORT!$G$204-INDEX(TRANSPORT!$Y$490:$BA$490,1,($F$220-1)))/($G$220-$F$220+1),0)</f>
        <v>0</v>
      </c>
      <c r="AP491" s="272">
        <f>IF(AND(AP486&gt;(2020+TRANSPORT!$F$220),AP486&lt;(2022+$G$220)),(TRANSPORT!$G$204-INDEX(TRANSPORT!$Y$490:$BA$490,1,($F$220-1)))/($G$220-$F$220+1),0)</f>
        <v>0</v>
      </c>
      <c r="AQ491" s="272">
        <f>IF(AND(AQ486&gt;(2020+TRANSPORT!$F$220),AQ486&lt;(2022+$G$220)),(TRANSPORT!$G$204-INDEX(TRANSPORT!$Y$490:$BA$490,1,($F$220-1)))/($G$220-$F$220+1),0)</f>
        <v>0</v>
      </c>
      <c r="AR491" s="272">
        <f>IF(AND(AR486&gt;(2020+TRANSPORT!$F$220),AR486&lt;(2022+$G$220)),(TRANSPORT!$G$204-INDEX(TRANSPORT!$Y$490:$BA$490,1,($F$220-1)))/($G$220-$F$220+1),0)</f>
        <v>0</v>
      </c>
      <c r="AS491" s="272">
        <f>IF(AND(AS486&gt;(2020+TRANSPORT!$F$220),AS486&lt;(2022+$G$220)),(TRANSPORT!$G$204-INDEX(TRANSPORT!$Y$490:$BA$490,1,($F$220-1)))/($G$220-$F$220+1),0)</f>
        <v>0</v>
      </c>
      <c r="AT491" s="272">
        <f>IF(AND(AT486&gt;(2020+TRANSPORT!$F$220),AT486&lt;(2022+$G$220)),(TRANSPORT!$G$204-INDEX(TRANSPORT!$Y$490:$BA$490,1,($F$220-1)))/($G$220-$F$220+1),0)</f>
        <v>0</v>
      </c>
      <c r="AU491" s="272">
        <f>IF(AND(AU486&gt;(2020+TRANSPORT!$F$220),AU486&lt;(2022+$G$220)),(TRANSPORT!$G$204-INDEX(TRANSPORT!$Y$490:$BA$490,1,($F$220-1)))/($G$220-$F$220+1),0)</f>
        <v>0</v>
      </c>
      <c r="AV491" s="272">
        <f>IF(AND(AV486&gt;(2020+TRANSPORT!$F$220),AV486&lt;(2022+$G$220)),(TRANSPORT!$G$204-INDEX(TRANSPORT!$Y$490:$BA$490,1,($F$220-1)))/($G$220-$F$220+1),0)</f>
        <v>0</v>
      </c>
      <c r="AW491" s="272">
        <f>IF(AND(AW486&gt;(2020+TRANSPORT!$F$220),AW486&lt;(2022+$G$220)),(TRANSPORT!$G$204-INDEX(TRANSPORT!$Y$490:$BA$490,1,($F$220-1)))/($G$220-$F$220+1),0)</f>
        <v>0</v>
      </c>
      <c r="AX491" s="272">
        <f>IF(AND(AX486&gt;(2020+TRANSPORT!$F$220),AX486&lt;(2022+$G$220)),(TRANSPORT!$G$204-INDEX(TRANSPORT!$Y$490:$BA$490,1,($F$220-1)))/($G$220-$F$220+1),0)</f>
        <v>0</v>
      </c>
      <c r="AY491" s="272">
        <f>IF(AND(AY486&gt;(2020+TRANSPORT!$F$220),AY486&lt;(2022+$G$220)),(TRANSPORT!$G$204-INDEX(TRANSPORT!$Y$490:$BA$490,1,($F$220-1)))/($G$220-$F$220+1),0)</f>
        <v>0</v>
      </c>
      <c r="AZ491" s="272">
        <f>IF(AND(AZ486&gt;(2020+TRANSPORT!$F$220),AZ486&lt;(2022+$G$220)),(TRANSPORT!$G$204-INDEX(TRANSPORT!$Y$490:$BA$490,1,($F$220-1)))/($G$220-$F$220+1),0)</f>
        <v>0</v>
      </c>
      <c r="BA491" s="324">
        <f>IF(AND(BA486&gt;(2020+TRANSPORT!$F$220),BA486&lt;(2022+$G$220)),(TRANSPORT!$G$204-INDEX(TRANSPORT!$Y$490:$BA$490,1,($F$220-1)))/($G$220-$F$220+1),0)</f>
        <v>0</v>
      </c>
    </row>
    <row r="492" spans="19:53" ht="20.100000000000001" customHeight="1">
      <c r="S492" s="1299" t="s">
        <v>3119</v>
      </c>
      <c r="T492" s="561" t="s">
        <v>3161</v>
      </c>
      <c r="U492" s="280"/>
      <c r="V492" s="280"/>
      <c r="W492" s="280"/>
      <c r="X492" s="1220">
        <f>SUM(X490:X491)</f>
        <v>8.8962761448946992E-2</v>
      </c>
      <c r="Y492" s="1220">
        <f>IF(Y491=0,X492*(IF(X490=0,1,Y490/X490)),X492+Y491)</f>
        <v>8.8962761448946992E-2</v>
      </c>
      <c r="Z492" s="1220">
        <f t="shared" ref="Z492:AL492" si="765">IF(Z491=0,Y492*(IF(Y490=0,1,Z490/Y490)),Y492+Z491)</f>
        <v>8.8962761448946992E-2</v>
      </c>
      <c r="AA492" s="1220">
        <f t="shared" si="765"/>
        <v>8.8962761448946992E-2</v>
      </c>
      <c r="AB492" s="1220">
        <f t="shared" si="765"/>
        <v>5.0741356345407889</v>
      </c>
      <c r="AC492" s="1220">
        <f t="shared" si="765"/>
        <v>10.059308507632631</v>
      </c>
      <c r="AD492" s="1220">
        <f t="shared" si="765"/>
        <v>15.044481380724473</v>
      </c>
      <c r="AE492" s="1220">
        <f t="shared" si="765"/>
        <v>20.029654253816314</v>
      </c>
      <c r="AF492" s="1220">
        <f t="shared" si="765"/>
        <v>25.014827126908155</v>
      </c>
      <c r="AG492" s="1220">
        <f t="shared" si="765"/>
        <v>29.999999999999996</v>
      </c>
      <c r="AH492" s="1220">
        <f t="shared" si="765"/>
        <v>29.999999999999996</v>
      </c>
      <c r="AI492" s="1220">
        <f t="shared" si="765"/>
        <v>29.999999999999996</v>
      </c>
      <c r="AJ492" s="1220">
        <f t="shared" si="765"/>
        <v>29.999999999999996</v>
      </c>
      <c r="AK492" s="1220">
        <f t="shared" si="765"/>
        <v>29.999999999999996</v>
      </c>
      <c r="AL492" s="1220">
        <f t="shared" si="765"/>
        <v>29.999999999999996</v>
      </c>
      <c r="AM492" s="1220">
        <f t="shared" ref="AM492" si="766">IF(AM491=0,AL492*(IF(AL490=0,1,AM490/AL490)),AL492+AM491)</f>
        <v>29.999999999999996</v>
      </c>
      <c r="AN492" s="1220">
        <f t="shared" ref="AN492" si="767">IF(AN491=0,AM492*(IF(AM490=0,1,AN490/AM490)),AM492+AN491)</f>
        <v>29.999999999999996</v>
      </c>
      <c r="AO492" s="1220">
        <f t="shared" ref="AO492" si="768">IF(AO491=0,AN492*(IF(AN490=0,1,AO490/AN490)),AN492+AO491)</f>
        <v>29.999999999999996</v>
      </c>
      <c r="AP492" s="1220">
        <f t="shared" ref="AP492" si="769">IF(AP491=0,AO492*(IF(AO490=0,1,AP490/AO490)),AO492+AP491)</f>
        <v>29.999999999999996</v>
      </c>
      <c r="AQ492" s="1220">
        <f t="shared" ref="AQ492" si="770">IF(AQ491=0,AP492*(IF(AP490=0,1,AQ490/AP490)),AP492+AQ491)</f>
        <v>29.999999999999996</v>
      </c>
      <c r="AR492" s="1220">
        <f t="shared" ref="AR492" si="771">IF(AR491=0,AQ492*(IF(AQ490=0,1,AR490/AQ490)),AQ492+AR491)</f>
        <v>29.999999999999996</v>
      </c>
      <c r="AS492" s="1220">
        <f t="shared" ref="AS492" si="772">IF(AS491=0,AR492*(IF(AR490=0,1,AS490/AR490)),AR492+AS491)</f>
        <v>29.999999999999996</v>
      </c>
      <c r="AT492" s="1220">
        <f t="shared" ref="AT492" si="773">IF(AT491=0,AS492*(IF(AS490=0,1,AT490/AS490)),AS492+AT491)</f>
        <v>29.999999999999996</v>
      </c>
      <c r="AU492" s="1220">
        <f t="shared" ref="AU492" si="774">IF(AU491=0,AT492*(IF(AT490=0,1,AU490/AT490)),AT492+AU491)</f>
        <v>29.999999999999996</v>
      </c>
      <c r="AV492" s="1220">
        <f t="shared" ref="AV492" si="775">IF(AV491=0,AU492*(IF(AU490=0,1,AV490/AU490)),AU492+AV491)</f>
        <v>29.999999999999996</v>
      </c>
      <c r="AW492" s="1220">
        <f t="shared" ref="AW492" si="776">IF(AW491=0,AV492*(IF(AV490=0,1,AW490/AV490)),AV492+AW491)</f>
        <v>29.999999999999996</v>
      </c>
      <c r="AX492" s="1220">
        <f t="shared" ref="AX492:AY492" si="777">IF(AX491=0,AW492*(IF(AW490=0,1,AX490/AW490)),AW492+AX491)</f>
        <v>29.999999999999996</v>
      </c>
      <c r="AY492" s="1220">
        <f t="shared" si="777"/>
        <v>29.999999999999996</v>
      </c>
      <c r="AZ492" s="1220">
        <f t="shared" ref="AZ492" si="778">IF(AZ491=0,AY492*(IF(AY490=0,1,AZ490/AY490)),AY492+AZ491)</f>
        <v>29.999999999999996</v>
      </c>
      <c r="BA492" s="1221">
        <f t="shared" ref="BA492" si="779">IF(BA491=0,AZ492*(IF(AZ490=0,1,BA490/AZ490)),AZ492+BA491)</f>
        <v>29.999999999999996</v>
      </c>
    </row>
    <row r="493" spans="19:53" ht="20.100000000000001" customHeight="1">
      <c r="S493" s="1301" t="s">
        <v>994</v>
      </c>
      <c r="T493" s="1297"/>
      <c r="U493" s="1297"/>
      <c r="V493" s="1297"/>
      <c r="W493" s="1297"/>
      <c r="X493" s="345">
        <f t="shared" ref="X493:BA493" si="780">X58</f>
        <v>0.53534567566726976</v>
      </c>
      <c r="Y493" s="345">
        <f t="shared" si="780"/>
        <v>0.53534567566726976</v>
      </c>
      <c r="Z493" s="345">
        <f t="shared" si="780"/>
        <v>0.53534567566726976</v>
      </c>
      <c r="AA493" s="345">
        <f t="shared" si="780"/>
        <v>0.53534567566726976</v>
      </c>
      <c r="AB493" s="345">
        <f t="shared" si="780"/>
        <v>0.53534567566726976</v>
      </c>
      <c r="AC493" s="345">
        <f t="shared" si="780"/>
        <v>0.53534567566726976</v>
      </c>
      <c r="AD493" s="345">
        <f t="shared" si="780"/>
        <v>0.53534567566726976</v>
      </c>
      <c r="AE493" s="345">
        <f t="shared" si="780"/>
        <v>0.53534567566726976</v>
      </c>
      <c r="AF493" s="345">
        <f t="shared" si="780"/>
        <v>0.53534567566726976</v>
      </c>
      <c r="AG493" s="345">
        <f t="shared" si="780"/>
        <v>0.53534567566726976</v>
      </c>
      <c r="AH493" s="345">
        <f t="shared" si="780"/>
        <v>0.53534567566726976</v>
      </c>
      <c r="AI493" s="345">
        <f t="shared" si="780"/>
        <v>0.53534567566726976</v>
      </c>
      <c r="AJ493" s="345">
        <f t="shared" si="780"/>
        <v>0.53534567566726976</v>
      </c>
      <c r="AK493" s="345">
        <f t="shared" si="780"/>
        <v>0.53534567566726976</v>
      </c>
      <c r="AL493" s="345">
        <f t="shared" si="780"/>
        <v>0.53534567566726976</v>
      </c>
      <c r="AM493" s="345">
        <f t="shared" si="780"/>
        <v>0.53534567566726976</v>
      </c>
      <c r="AN493" s="345">
        <f t="shared" si="780"/>
        <v>0.53534567566726976</v>
      </c>
      <c r="AO493" s="345">
        <f t="shared" si="780"/>
        <v>0.53534567566726976</v>
      </c>
      <c r="AP493" s="345">
        <f t="shared" si="780"/>
        <v>0.53534567566726976</v>
      </c>
      <c r="AQ493" s="345">
        <f t="shared" si="780"/>
        <v>0.53534567566726976</v>
      </c>
      <c r="AR493" s="345">
        <f t="shared" si="780"/>
        <v>0.53534567566726976</v>
      </c>
      <c r="AS493" s="345">
        <f t="shared" si="780"/>
        <v>0.53534567566726976</v>
      </c>
      <c r="AT493" s="345">
        <f t="shared" si="780"/>
        <v>0.53534567566726976</v>
      </c>
      <c r="AU493" s="345">
        <f t="shared" si="780"/>
        <v>0.53534567566726976</v>
      </c>
      <c r="AV493" s="345">
        <f t="shared" si="780"/>
        <v>0.53534567566726976</v>
      </c>
      <c r="AW493" s="345">
        <f t="shared" si="780"/>
        <v>0.53534567566726976</v>
      </c>
      <c r="AX493" s="345">
        <f t="shared" si="780"/>
        <v>0.53534567566726976</v>
      </c>
      <c r="AY493" s="345">
        <f t="shared" si="780"/>
        <v>0.53534567566726976</v>
      </c>
      <c r="AZ493" s="345">
        <f t="shared" si="780"/>
        <v>0.53534567566726976</v>
      </c>
      <c r="BA493" s="1302">
        <f t="shared" si="780"/>
        <v>0.53534567566726976</v>
      </c>
    </row>
    <row r="494" spans="19:53" ht="20.100000000000001" customHeight="1">
      <c r="S494" s="1303" t="s">
        <v>3110</v>
      </c>
      <c r="T494" s="1297"/>
      <c r="U494" s="1297"/>
      <c r="V494" s="1297"/>
      <c r="W494" s="1297"/>
      <c r="X494" s="345">
        <f>IF(AND(X486&gt;(2020+TRANSPORT!$F$220),X486&lt;(2022+$G$220)),(TRANSPORT!$G$205-INDEX(TRANSPORT!$Y$493:$BA$493,1,($F$220-1)))/($G$220-$F$220+1),0)</f>
        <v>0</v>
      </c>
      <c r="Y494" s="345">
        <f>IF(AND(Y486&gt;(2020+TRANSPORT!$F$220),Y486&lt;(2022+$G$220)),(TRANSPORT!$G$205-INDEX(TRANSPORT!$Y$493:$BA$493,1,($F$220-1)))/($G$220-$F$220+1),0)</f>
        <v>0</v>
      </c>
      <c r="Z494" s="345">
        <f>IF(AND(Z486&gt;(2020+TRANSPORT!$F$220),Z486&lt;(2022+$G$220)),(TRANSPORT!$G$205-INDEX(TRANSPORT!$Y$493:$BA$493,1,($F$220-1)))/($G$220-$F$220+1),0)</f>
        <v>0</v>
      </c>
      <c r="AA494" s="345">
        <f>IF(AND(AA486&gt;(2020+TRANSPORT!$F$220),AA486&lt;(2022+$G$220)),(TRANSPORT!$G$205-INDEX(TRANSPORT!$Y$493:$BA$493,1,($F$220-1)))/($G$220-$F$220+1),0)</f>
        <v>0</v>
      </c>
      <c r="AB494" s="345">
        <f>IF(AND(AB486&gt;(2020+TRANSPORT!$F$220),AB486&lt;(2022+$G$220)),(TRANSPORT!$G$205-INDEX(TRANSPORT!$Y$493:$BA$493,1,($F$220-1)))/($G$220-$F$220+1),0)</f>
        <v>3.2441090540554551</v>
      </c>
      <c r="AC494" s="345">
        <f>IF(AND(AC486&gt;(2020+TRANSPORT!$F$220),AC486&lt;(2022+$G$220)),(TRANSPORT!$G$205-INDEX(TRANSPORT!$Y$493:$BA$493,1,($F$220-1)))/($G$220-$F$220+1),0)</f>
        <v>3.2441090540554551</v>
      </c>
      <c r="AD494" s="345">
        <f>IF(AND(AD486&gt;(2020+TRANSPORT!$F$220),AD486&lt;(2022+$G$220)),(TRANSPORT!$G$205-INDEX(TRANSPORT!$Y$493:$BA$493,1,($F$220-1)))/($G$220-$F$220+1),0)</f>
        <v>3.2441090540554551</v>
      </c>
      <c r="AE494" s="345">
        <f>IF(AND(AE486&gt;(2020+TRANSPORT!$F$220),AE486&lt;(2022+$G$220)),(TRANSPORT!$G$205-INDEX(TRANSPORT!$Y$493:$BA$493,1,($F$220-1)))/($G$220-$F$220+1),0)</f>
        <v>3.2441090540554551</v>
      </c>
      <c r="AF494" s="345">
        <f>IF(AND(AF486&gt;(2020+TRANSPORT!$F$220),AF486&lt;(2022+$G$220)),(TRANSPORT!$G$205-INDEX(TRANSPORT!$Y$493:$BA$493,1,($F$220-1)))/($G$220-$F$220+1),0)</f>
        <v>3.2441090540554551</v>
      </c>
      <c r="AG494" s="345">
        <f>IF(AND(AG486&gt;(2020+TRANSPORT!$F$220),AG486&lt;(2022+$G$220)),(TRANSPORT!$G$205-INDEX(TRANSPORT!$Y$493:$BA$493,1,($F$220-1)))/($G$220-$F$220+1),0)</f>
        <v>3.2441090540554551</v>
      </c>
      <c r="AH494" s="345">
        <f>IF(AND(AH486&gt;(2020+TRANSPORT!$F$220),AH486&lt;(2022+$G$220)),(TRANSPORT!$G$205-INDEX(TRANSPORT!$Y$493:$BA$493,1,($F$220-1)))/($G$220-$F$220+1),0)</f>
        <v>0</v>
      </c>
      <c r="AI494" s="345">
        <f>IF(AND(AI486&gt;(2020+TRANSPORT!$F$220),AI486&lt;(2022+$G$220)),(TRANSPORT!$G$205-INDEX(TRANSPORT!$Y$493:$BA$493,1,($F$220-1)))/($G$220-$F$220+1),0)</f>
        <v>0</v>
      </c>
      <c r="AJ494" s="345">
        <f>IF(AND(AJ486&gt;(2020+TRANSPORT!$F$220),AJ486&lt;(2022+$G$220)),(TRANSPORT!$G$205-INDEX(TRANSPORT!$Y$493:$BA$493,1,($F$220-1)))/($G$220-$F$220+1),0)</f>
        <v>0</v>
      </c>
      <c r="AK494" s="345">
        <f>IF(AND(AK486&gt;(2020+TRANSPORT!$F$220),AK486&lt;(2022+$G$220)),(TRANSPORT!$G$205-INDEX(TRANSPORT!$Y$493:$BA$493,1,($F$220-1)))/($G$220-$F$220+1),0)</f>
        <v>0</v>
      </c>
      <c r="AL494" s="345">
        <f>IF(AND(AL486&gt;(2020+TRANSPORT!$F$220),AL486&lt;(2022+$G$220)),(TRANSPORT!$G$205-INDEX(TRANSPORT!$Y$493:$BA$493,1,($F$220-1)))/($G$220-$F$220+1),0)</f>
        <v>0</v>
      </c>
      <c r="AM494" s="345">
        <f>IF(AND(AM486&gt;(2020+TRANSPORT!$F$220),AM486&lt;(2022+$G$220)),(TRANSPORT!$G$205-INDEX(TRANSPORT!$Y$493:$BA$493,1,($F$220-1)))/($G$220-$F$220+1),0)</f>
        <v>0</v>
      </c>
      <c r="AN494" s="345">
        <f>IF(AND(AN486&gt;(2020+TRANSPORT!$F$220),AN486&lt;(2022+$G$220)),(TRANSPORT!$G$205-INDEX(TRANSPORT!$Y$493:$BA$493,1,($F$220-1)))/($G$220-$F$220+1),0)</f>
        <v>0</v>
      </c>
      <c r="AO494" s="345">
        <f>IF(AND(AO486&gt;(2020+TRANSPORT!$F$220),AO486&lt;(2022+$G$220)),(TRANSPORT!$G$205-INDEX(TRANSPORT!$Y$493:$BA$493,1,($F$220-1)))/($G$220-$F$220+1),0)</f>
        <v>0</v>
      </c>
      <c r="AP494" s="345">
        <f>IF(AND(AP486&gt;(2020+TRANSPORT!$F$220),AP486&lt;(2022+$G$220)),(TRANSPORT!$G$205-INDEX(TRANSPORT!$Y$493:$BA$493,1,($F$220-1)))/($G$220-$F$220+1),0)</f>
        <v>0</v>
      </c>
      <c r="AQ494" s="345">
        <f>IF(AND(AQ486&gt;(2020+TRANSPORT!$F$220),AQ486&lt;(2022+$G$220)),(TRANSPORT!$G$205-INDEX(TRANSPORT!$Y$493:$BA$493,1,($F$220-1)))/($G$220-$F$220+1),0)</f>
        <v>0</v>
      </c>
      <c r="AR494" s="345">
        <f>IF(AND(AR486&gt;(2020+TRANSPORT!$F$220),AR486&lt;(2022+$G$220)),(TRANSPORT!$G$205-INDEX(TRANSPORT!$Y$493:$BA$493,1,($F$220-1)))/($G$220-$F$220+1),0)</f>
        <v>0</v>
      </c>
      <c r="AS494" s="345">
        <f>IF(AND(AS486&gt;(2020+TRANSPORT!$F$220),AS486&lt;(2022+$G$220)),(TRANSPORT!$G$205-INDEX(TRANSPORT!$Y$493:$BA$493,1,($F$220-1)))/($G$220-$F$220+1),0)</f>
        <v>0</v>
      </c>
      <c r="AT494" s="345">
        <f>IF(AND(AT486&gt;(2020+TRANSPORT!$F$220),AT486&lt;(2022+$G$220)),(TRANSPORT!$G$205-INDEX(TRANSPORT!$Y$493:$BA$493,1,($F$220-1)))/($G$220-$F$220+1),0)</f>
        <v>0</v>
      </c>
      <c r="AU494" s="345">
        <f>IF(AND(AU486&gt;(2020+TRANSPORT!$F$220),AU486&lt;(2022+$G$220)),(TRANSPORT!$G$205-INDEX(TRANSPORT!$Y$493:$BA$493,1,($F$220-1)))/($G$220-$F$220+1),0)</f>
        <v>0</v>
      </c>
      <c r="AV494" s="345">
        <f>IF(AND(AV486&gt;(2020+TRANSPORT!$F$220),AV486&lt;(2022+$G$220)),(TRANSPORT!$G$205-INDEX(TRANSPORT!$Y$493:$BA$493,1,($F$220-1)))/($G$220-$F$220+1),0)</f>
        <v>0</v>
      </c>
      <c r="AW494" s="345">
        <f>IF(AND(AW486&gt;(2020+TRANSPORT!$F$220),AW486&lt;(2022+$G$220)),(TRANSPORT!$G$205-INDEX(TRANSPORT!$Y$493:$BA$493,1,($F$220-1)))/($G$220-$F$220+1),0)</f>
        <v>0</v>
      </c>
      <c r="AX494" s="345">
        <f>IF(AND(AX486&gt;(2020+TRANSPORT!$F$220),AX486&lt;(2022+$G$220)),(TRANSPORT!$G$205-INDEX(TRANSPORT!$Y$493:$BA$493,1,($F$220-1)))/($G$220-$F$220+1),0)</f>
        <v>0</v>
      </c>
      <c r="AY494" s="345">
        <f>IF(AND(AY486&gt;(2020+TRANSPORT!$F$220),AY486&lt;(2022+$G$220)),(TRANSPORT!$G$205-INDEX(TRANSPORT!$Y$493:$BA$493,1,($F$220-1)))/($G$220-$F$220+1),0)</f>
        <v>0</v>
      </c>
      <c r="AZ494" s="345">
        <f>IF(AND(AZ486&gt;(2020+TRANSPORT!$F$220),AZ486&lt;(2022+$G$220)),(TRANSPORT!$G$205-INDEX(TRANSPORT!$Y$493:$BA$493,1,($F$220-1)))/($G$220-$F$220+1),0)</f>
        <v>0</v>
      </c>
      <c r="BA494" s="1302">
        <f>IF(AND(BA486&gt;(2020+TRANSPORT!$F$220),BA486&lt;(2022+$G$220)),(TRANSPORT!$G$205-INDEX(TRANSPORT!$Y$493:$BA$493,1,($F$220-1)))/($G$220-$F$220+1),0)</f>
        <v>0</v>
      </c>
    </row>
    <row r="495" spans="19:53" ht="20.100000000000001" customHeight="1">
      <c r="S495" s="1308" t="s">
        <v>3162</v>
      </c>
      <c r="T495" s="1305" t="s">
        <v>3161</v>
      </c>
      <c r="U495" s="1297"/>
      <c r="V495" s="1297"/>
      <c r="W495" s="1297"/>
      <c r="X495" s="1306">
        <f>SUM(X493:X494)</f>
        <v>0.53534567566726976</v>
      </c>
      <c r="Y495" s="1306">
        <f>IF(Y494=0,X495*(IF(X493=0,1,Y493/X493)),X495+Y494)</f>
        <v>0.53534567566726976</v>
      </c>
      <c r="Z495" s="1306">
        <f t="shared" ref="Z495:BA495" si="781">IF(Z494=0,Y495*(IF(Y493=0,1,Z493/Y493)),Y495+Z494)</f>
        <v>0.53534567566726976</v>
      </c>
      <c r="AA495" s="1306">
        <f t="shared" si="781"/>
        <v>0.53534567566726976</v>
      </c>
      <c r="AB495" s="1306">
        <f t="shared" si="781"/>
        <v>3.7794547297227248</v>
      </c>
      <c r="AC495" s="1306">
        <f t="shared" si="781"/>
        <v>7.0235637837781795</v>
      </c>
      <c r="AD495" s="1306">
        <f t="shared" si="781"/>
        <v>10.267672837833635</v>
      </c>
      <c r="AE495" s="1306">
        <f t="shared" si="781"/>
        <v>13.51178189188909</v>
      </c>
      <c r="AF495" s="1306">
        <f t="shared" si="781"/>
        <v>16.755890945944543</v>
      </c>
      <c r="AG495" s="1306">
        <f t="shared" si="781"/>
        <v>20</v>
      </c>
      <c r="AH495" s="1306">
        <f t="shared" si="781"/>
        <v>20</v>
      </c>
      <c r="AI495" s="1306">
        <f t="shared" si="781"/>
        <v>20</v>
      </c>
      <c r="AJ495" s="1306">
        <f t="shared" si="781"/>
        <v>20</v>
      </c>
      <c r="AK495" s="1306">
        <f t="shared" si="781"/>
        <v>20</v>
      </c>
      <c r="AL495" s="1306">
        <f t="shared" si="781"/>
        <v>20</v>
      </c>
      <c r="AM495" s="1306">
        <f t="shared" si="781"/>
        <v>20</v>
      </c>
      <c r="AN495" s="1306">
        <f t="shared" si="781"/>
        <v>20</v>
      </c>
      <c r="AO495" s="1306">
        <f t="shared" si="781"/>
        <v>20</v>
      </c>
      <c r="AP495" s="1306">
        <f t="shared" si="781"/>
        <v>20</v>
      </c>
      <c r="AQ495" s="1306">
        <f t="shared" si="781"/>
        <v>20</v>
      </c>
      <c r="AR495" s="1306">
        <f t="shared" si="781"/>
        <v>20</v>
      </c>
      <c r="AS495" s="1306">
        <f t="shared" si="781"/>
        <v>20</v>
      </c>
      <c r="AT495" s="1306">
        <f t="shared" si="781"/>
        <v>20</v>
      </c>
      <c r="AU495" s="1306">
        <f t="shared" si="781"/>
        <v>20</v>
      </c>
      <c r="AV495" s="1306">
        <f t="shared" si="781"/>
        <v>20</v>
      </c>
      <c r="AW495" s="1306">
        <f t="shared" si="781"/>
        <v>20</v>
      </c>
      <c r="AX495" s="1306">
        <f t="shared" si="781"/>
        <v>20</v>
      </c>
      <c r="AY495" s="1306">
        <f t="shared" si="781"/>
        <v>20</v>
      </c>
      <c r="AZ495" s="1306">
        <f t="shared" si="781"/>
        <v>20</v>
      </c>
      <c r="BA495" s="1307">
        <f t="shared" si="781"/>
        <v>20</v>
      </c>
    </row>
    <row r="496" spans="19:53" ht="20.100000000000001" customHeight="1">
      <c r="S496" s="881" t="s">
        <v>980</v>
      </c>
      <c r="T496" s="280"/>
      <c r="U496" s="280"/>
      <c r="V496" s="280"/>
      <c r="W496" s="280"/>
      <c r="X496" s="272">
        <f t="shared" ref="X496:BA496" si="782">X59</f>
        <v>70.801132783155865</v>
      </c>
      <c r="Y496" s="272">
        <f t="shared" si="782"/>
        <v>71.058734777197103</v>
      </c>
      <c r="Z496" s="272">
        <f t="shared" si="782"/>
        <v>71.058734777197103</v>
      </c>
      <c r="AA496" s="272">
        <f t="shared" si="782"/>
        <v>71.058734777197103</v>
      </c>
      <c r="AB496" s="272">
        <f t="shared" si="782"/>
        <v>71.058734777197103</v>
      </c>
      <c r="AC496" s="272">
        <f t="shared" si="782"/>
        <v>71.058734777197103</v>
      </c>
      <c r="AD496" s="272">
        <f t="shared" si="782"/>
        <v>71.058734777197103</v>
      </c>
      <c r="AE496" s="272">
        <f t="shared" si="782"/>
        <v>71.058734777197103</v>
      </c>
      <c r="AF496" s="272">
        <f t="shared" si="782"/>
        <v>71.058734777197103</v>
      </c>
      <c r="AG496" s="272">
        <f t="shared" si="782"/>
        <v>71.058734777197103</v>
      </c>
      <c r="AH496" s="272">
        <f t="shared" si="782"/>
        <v>71.058734777197103</v>
      </c>
      <c r="AI496" s="272">
        <f t="shared" si="782"/>
        <v>71.058734777197103</v>
      </c>
      <c r="AJ496" s="272">
        <f t="shared" si="782"/>
        <v>71.058734777197103</v>
      </c>
      <c r="AK496" s="272">
        <f t="shared" si="782"/>
        <v>71.058734777197103</v>
      </c>
      <c r="AL496" s="272">
        <f t="shared" si="782"/>
        <v>71.058734777197103</v>
      </c>
      <c r="AM496" s="272">
        <f t="shared" si="782"/>
        <v>71.058734777197103</v>
      </c>
      <c r="AN496" s="272">
        <f t="shared" si="782"/>
        <v>71.058734777197103</v>
      </c>
      <c r="AO496" s="272">
        <f t="shared" si="782"/>
        <v>71.058734777197103</v>
      </c>
      <c r="AP496" s="272">
        <f t="shared" si="782"/>
        <v>71.058734777197103</v>
      </c>
      <c r="AQ496" s="272">
        <f t="shared" si="782"/>
        <v>71.058734777197103</v>
      </c>
      <c r="AR496" s="272">
        <f t="shared" si="782"/>
        <v>71.058734777197103</v>
      </c>
      <c r="AS496" s="272">
        <f t="shared" si="782"/>
        <v>71.058734777197103</v>
      </c>
      <c r="AT496" s="272">
        <f t="shared" si="782"/>
        <v>71.058734777197103</v>
      </c>
      <c r="AU496" s="272">
        <f t="shared" si="782"/>
        <v>71.058734777197103</v>
      </c>
      <c r="AV496" s="272">
        <f t="shared" si="782"/>
        <v>71.058734777197103</v>
      </c>
      <c r="AW496" s="272">
        <f t="shared" si="782"/>
        <v>71.058734777197103</v>
      </c>
      <c r="AX496" s="272">
        <f t="shared" si="782"/>
        <v>71.058734777197103</v>
      </c>
      <c r="AY496" s="272">
        <f t="shared" si="782"/>
        <v>71.058734777197103</v>
      </c>
      <c r="AZ496" s="272">
        <f t="shared" si="782"/>
        <v>71.058734777197103</v>
      </c>
      <c r="BA496" s="324">
        <f t="shared" si="782"/>
        <v>71.058734777197103</v>
      </c>
    </row>
    <row r="497" spans="19:53" ht="20.100000000000001" customHeight="1">
      <c r="S497" s="1300" t="s">
        <v>3163</v>
      </c>
      <c r="T497" s="561" t="s">
        <v>3161</v>
      </c>
      <c r="U497" s="280"/>
      <c r="V497" s="280"/>
      <c r="W497" s="280"/>
      <c r="X497" s="1220">
        <f t="shared" ref="X497:BA497" si="783">(100-X489-X492-X495-X500-X503-X508-X511-X514-X517-X520-X523-X526-X529)*($X$496/($X$496+$X$504))</f>
        <v>71.058734777197103</v>
      </c>
      <c r="Y497" s="1220">
        <f t="shared" si="783"/>
        <v>71.058734777197103</v>
      </c>
      <c r="Z497" s="1220">
        <f t="shared" si="783"/>
        <v>71.058734777197103</v>
      </c>
      <c r="AA497" s="1220">
        <f t="shared" si="783"/>
        <v>71.058734777197103</v>
      </c>
      <c r="AB497" s="1220">
        <f t="shared" si="783"/>
        <v>65.31951805568778</v>
      </c>
      <c r="AC497" s="1220">
        <f t="shared" si="783"/>
        <v>59.580301334178493</v>
      </c>
      <c r="AD497" s="1220">
        <f t="shared" si="783"/>
        <v>53.841084612669214</v>
      </c>
      <c r="AE497" s="1220">
        <f t="shared" si="783"/>
        <v>48.101867891159912</v>
      </c>
      <c r="AF497" s="1220">
        <f t="shared" si="783"/>
        <v>42.362651169650633</v>
      </c>
      <c r="AG497" s="1220">
        <f t="shared" si="783"/>
        <v>36.623434448141339</v>
      </c>
      <c r="AH497" s="1220">
        <f t="shared" si="783"/>
        <v>36.623434448141339</v>
      </c>
      <c r="AI497" s="1220">
        <f t="shared" si="783"/>
        <v>36.623434448141339</v>
      </c>
      <c r="AJ497" s="1220">
        <f t="shared" si="783"/>
        <v>36.623434448141339</v>
      </c>
      <c r="AK497" s="1220">
        <f t="shared" si="783"/>
        <v>36.623434448141339</v>
      </c>
      <c r="AL497" s="1220">
        <f t="shared" si="783"/>
        <v>36.623434448141339</v>
      </c>
      <c r="AM497" s="1220">
        <f t="shared" si="783"/>
        <v>36.623434448141339</v>
      </c>
      <c r="AN497" s="1220">
        <f t="shared" si="783"/>
        <v>36.623434448141339</v>
      </c>
      <c r="AO497" s="1220">
        <f t="shared" si="783"/>
        <v>36.623434448141339</v>
      </c>
      <c r="AP497" s="1220">
        <f t="shared" si="783"/>
        <v>36.623434448141339</v>
      </c>
      <c r="AQ497" s="1220">
        <f t="shared" si="783"/>
        <v>36.623434448141339</v>
      </c>
      <c r="AR497" s="1220">
        <f t="shared" si="783"/>
        <v>36.623434448141339</v>
      </c>
      <c r="AS497" s="1220">
        <f t="shared" si="783"/>
        <v>36.623434448141339</v>
      </c>
      <c r="AT497" s="1220">
        <f t="shared" si="783"/>
        <v>36.623434448141339</v>
      </c>
      <c r="AU497" s="1220">
        <f t="shared" si="783"/>
        <v>36.623434448141339</v>
      </c>
      <c r="AV497" s="1220">
        <f t="shared" si="783"/>
        <v>36.623434448141339</v>
      </c>
      <c r="AW497" s="1220">
        <f t="shared" si="783"/>
        <v>36.623434448141339</v>
      </c>
      <c r="AX497" s="1220">
        <f t="shared" si="783"/>
        <v>36.623434448141339</v>
      </c>
      <c r="AY497" s="1220">
        <f t="shared" si="783"/>
        <v>36.623434448141339</v>
      </c>
      <c r="AZ497" s="1220">
        <f t="shared" si="783"/>
        <v>36.623434448141339</v>
      </c>
      <c r="BA497" s="1221">
        <f t="shared" si="783"/>
        <v>36.623434448141339</v>
      </c>
    </row>
    <row r="498" spans="19:53" ht="20.100000000000001" customHeight="1">
      <c r="S498" s="1301" t="s">
        <v>981</v>
      </c>
      <c r="T498" s="1297"/>
      <c r="U498" s="1297"/>
      <c r="V498" s="1297"/>
      <c r="W498" s="1297"/>
      <c r="X498" s="345">
        <f t="shared" ref="X498:BA498" si="784">X60</f>
        <v>1.5043813109272328</v>
      </c>
      <c r="Y498" s="345">
        <f t="shared" si="784"/>
        <v>1.5043813109272328</v>
      </c>
      <c r="Z498" s="345">
        <f t="shared" si="784"/>
        <v>1.5043813109272328</v>
      </c>
      <c r="AA498" s="345">
        <f t="shared" si="784"/>
        <v>1.5043813109272328</v>
      </c>
      <c r="AB498" s="345">
        <f t="shared" si="784"/>
        <v>1.5043813109272328</v>
      </c>
      <c r="AC498" s="345">
        <f t="shared" si="784"/>
        <v>1.5043813109272328</v>
      </c>
      <c r="AD498" s="345">
        <f t="shared" si="784"/>
        <v>1.5043813109272328</v>
      </c>
      <c r="AE498" s="345">
        <f t="shared" si="784"/>
        <v>1.5043813109272328</v>
      </c>
      <c r="AF498" s="345">
        <f t="shared" si="784"/>
        <v>1.5043813109272328</v>
      </c>
      <c r="AG498" s="345">
        <f t="shared" si="784"/>
        <v>1.5043813109272328</v>
      </c>
      <c r="AH498" s="345">
        <f t="shared" si="784"/>
        <v>1.5043813109272328</v>
      </c>
      <c r="AI498" s="345">
        <f t="shared" si="784"/>
        <v>1.5043813109272328</v>
      </c>
      <c r="AJ498" s="345">
        <f t="shared" si="784"/>
        <v>1.5043813109272328</v>
      </c>
      <c r="AK498" s="345">
        <f t="shared" si="784"/>
        <v>1.5043813109272328</v>
      </c>
      <c r="AL498" s="345">
        <f t="shared" si="784"/>
        <v>1.5043813109272328</v>
      </c>
      <c r="AM498" s="345">
        <f t="shared" si="784"/>
        <v>1.5043813109272328</v>
      </c>
      <c r="AN498" s="345">
        <f t="shared" si="784"/>
        <v>1.5043813109272328</v>
      </c>
      <c r="AO498" s="345">
        <f t="shared" si="784"/>
        <v>1.5043813109272328</v>
      </c>
      <c r="AP498" s="345">
        <f t="shared" si="784"/>
        <v>1.5043813109272328</v>
      </c>
      <c r="AQ498" s="345">
        <f t="shared" si="784"/>
        <v>1.5043813109272328</v>
      </c>
      <c r="AR498" s="345">
        <f t="shared" si="784"/>
        <v>1.5043813109272328</v>
      </c>
      <c r="AS498" s="345">
        <f t="shared" si="784"/>
        <v>1.5043813109272328</v>
      </c>
      <c r="AT498" s="345">
        <f t="shared" si="784"/>
        <v>1.5043813109272328</v>
      </c>
      <c r="AU498" s="345">
        <f t="shared" si="784"/>
        <v>1.5043813109272328</v>
      </c>
      <c r="AV498" s="345">
        <f t="shared" si="784"/>
        <v>1.5043813109272328</v>
      </c>
      <c r="AW498" s="345">
        <f t="shared" si="784"/>
        <v>1.5043813109272328</v>
      </c>
      <c r="AX498" s="345">
        <f t="shared" si="784"/>
        <v>1.5043813109272328</v>
      </c>
      <c r="AY498" s="345">
        <f t="shared" si="784"/>
        <v>1.5043813109272328</v>
      </c>
      <c r="AZ498" s="345">
        <f t="shared" si="784"/>
        <v>1.5043813109272328</v>
      </c>
      <c r="BA498" s="1302">
        <f t="shared" si="784"/>
        <v>1.5043813109272328</v>
      </c>
    </row>
    <row r="499" spans="19:53" ht="20.100000000000001" customHeight="1">
      <c r="S499" s="1301" t="s">
        <v>3110</v>
      </c>
      <c r="T499" s="1297"/>
      <c r="U499" s="1297"/>
      <c r="V499" s="1297"/>
      <c r="W499" s="1297"/>
      <c r="X499" s="345">
        <f>IF(AND(X486&gt;(2020+TRANSPORT!$F$220),X486&lt;(2022+$G$220)),(TRANSPORT!$G$206-INDEX(TRANSPORT!$Y$498:$BA$498,1,($F$220-1)))/($G$220-$F$220+1),0)</f>
        <v>0</v>
      </c>
      <c r="Y499" s="345">
        <f>IF(AND(Y486&gt;(2020+TRANSPORT!$F$220),Y486&lt;(2022+$G$220)),(TRANSPORT!$G$206-INDEX(TRANSPORT!$Y$498:$BA$498,1,($F$220-1)))/($G$220-$F$220+1),0)</f>
        <v>0</v>
      </c>
      <c r="Z499" s="345">
        <f>IF(AND(Z486&gt;(2020+TRANSPORT!$F$220),Z486&lt;(2022+$G$220)),(TRANSPORT!$G$206-INDEX(TRANSPORT!$Y$498:$BA$498,1,($F$220-1)))/($G$220-$F$220+1),0)</f>
        <v>0</v>
      </c>
      <c r="AA499" s="345">
        <f>IF(AND(AA486&gt;(2020+TRANSPORT!$F$220),AA486&lt;(2022+$G$220)),(TRANSPORT!$G$206-INDEX(TRANSPORT!$Y$498:$BA$498,1,($F$220-1)))/($G$220-$F$220+1),0)</f>
        <v>0</v>
      </c>
      <c r="AB499" s="345">
        <f>IF(AND(AB486&gt;(2020+TRANSPORT!$F$220),AB486&lt;(2022+$G$220)),(TRANSPORT!$G$206-INDEX(TRANSPORT!$Y$498:$BA$498,1,($F$220-1)))/($G$220-$F$220+1),0)</f>
        <v>-0.25073021848787214</v>
      </c>
      <c r="AC499" s="345">
        <f>IF(AND(AC486&gt;(2020+TRANSPORT!$F$220),AC486&lt;(2022+$G$220)),(TRANSPORT!$G$206-INDEX(TRANSPORT!$Y$498:$BA$498,1,($F$220-1)))/($G$220-$F$220+1),0)</f>
        <v>-0.25073021848787214</v>
      </c>
      <c r="AD499" s="345">
        <f>IF(AND(AD486&gt;(2020+TRANSPORT!$F$220),AD486&lt;(2022+$G$220)),(TRANSPORT!$G$206-INDEX(TRANSPORT!$Y$498:$BA$498,1,($F$220-1)))/($G$220-$F$220+1),0)</f>
        <v>-0.25073021848787214</v>
      </c>
      <c r="AE499" s="345">
        <f>IF(AND(AE486&gt;(2020+TRANSPORT!$F$220),AE486&lt;(2022+$G$220)),(TRANSPORT!$G$206-INDEX(TRANSPORT!$Y$498:$BA$498,1,($F$220-1)))/($G$220-$F$220+1),0)</f>
        <v>-0.25073021848787214</v>
      </c>
      <c r="AF499" s="345">
        <f>IF(AND(AF486&gt;(2020+TRANSPORT!$F$220),AF486&lt;(2022+$G$220)),(TRANSPORT!$G$206-INDEX(TRANSPORT!$Y$498:$BA$498,1,($F$220-1)))/($G$220-$F$220+1),0)</f>
        <v>-0.25073021848787214</v>
      </c>
      <c r="AG499" s="345">
        <f>IF(AND(AG486&gt;(2020+TRANSPORT!$F$220),AG486&lt;(2022+$G$220)),(TRANSPORT!$G$206-INDEX(TRANSPORT!$Y$498:$BA$498,1,($F$220-1)))/($G$220-$F$220+1),0)</f>
        <v>-0.25073021848787214</v>
      </c>
      <c r="AH499" s="345">
        <f>IF(AND(AH486&gt;(2020+TRANSPORT!$F$220),AH486&lt;(2022+$G$220)),(TRANSPORT!$G$206-INDEX(TRANSPORT!$Y$498:$BA$498,1,($F$220-1)))/($G$220-$F$220+1),0)</f>
        <v>0</v>
      </c>
      <c r="AI499" s="345">
        <f>IF(AND(AI486&gt;(2020+TRANSPORT!$F$220),AI486&lt;(2022+$G$220)),(TRANSPORT!$G$206-INDEX(TRANSPORT!$Y$498:$BA$498,1,($F$220-1)))/($G$220-$F$220+1),0)</f>
        <v>0</v>
      </c>
      <c r="AJ499" s="345">
        <f>IF(AND(AJ486&gt;(2020+TRANSPORT!$F$220),AJ486&lt;(2022+$G$220)),(TRANSPORT!$G$206-INDEX(TRANSPORT!$Y$498:$BA$498,1,($F$220-1)))/($G$220-$F$220+1),0)</f>
        <v>0</v>
      </c>
      <c r="AK499" s="345">
        <f>IF(AND(AK486&gt;(2020+TRANSPORT!$F$220),AK486&lt;(2022+$G$220)),(TRANSPORT!$G$206-INDEX(TRANSPORT!$Y$498:$BA$498,1,($F$220-1)))/($G$220-$F$220+1),0)</f>
        <v>0</v>
      </c>
      <c r="AL499" s="345">
        <f>IF(AND(AL486&gt;(2020+TRANSPORT!$F$220),AL486&lt;(2022+$G$220)),(TRANSPORT!$G$206-INDEX(TRANSPORT!$Y$498:$BA$498,1,($F$220-1)))/($G$220-$F$220+1),0)</f>
        <v>0</v>
      </c>
      <c r="AM499" s="345">
        <f>IF(AND(AM486&gt;(2020+TRANSPORT!$F$220),AM486&lt;(2022+$G$220)),(TRANSPORT!$G$206-INDEX(TRANSPORT!$Y$498:$BA$498,1,($F$220-1)))/($G$220-$F$220+1),0)</f>
        <v>0</v>
      </c>
      <c r="AN499" s="345">
        <f>IF(AND(AN486&gt;(2020+TRANSPORT!$F$220),AN486&lt;(2022+$G$220)),(TRANSPORT!$G$206-INDEX(TRANSPORT!$Y$498:$BA$498,1,($F$220-1)))/($G$220-$F$220+1),0)</f>
        <v>0</v>
      </c>
      <c r="AO499" s="345">
        <f>IF(AND(AO486&gt;(2020+TRANSPORT!$F$220),AO486&lt;(2022+$G$220)),(TRANSPORT!$G$206-INDEX(TRANSPORT!$Y$498:$BA$498,1,($F$220-1)))/($G$220-$F$220+1),0)</f>
        <v>0</v>
      </c>
      <c r="AP499" s="345">
        <f>IF(AND(AP486&gt;(2020+TRANSPORT!$F$220),AP486&lt;(2022+$G$220)),(TRANSPORT!$G$206-INDEX(TRANSPORT!$Y$498:$BA$498,1,($F$220-1)))/($G$220-$F$220+1),0)</f>
        <v>0</v>
      </c>
      <c r="AQ499" s="345">
        <f>IF(AND(AQ486&gt;(2020+TRANSPORT!$F$220),AQ486&lt;(2022+$G$220)),(TRANSPORT!$G$206-INDEX(TRANSPORT!$Y$498:$BA$498,1,($F$220-1)))/($G$220-$F$220+1),0)</f>
        <v>0</v>
      </c>
      <c r="AR499" s="345">
        <f>IF(AND(AR486&gt;(2020+TRANSPORT!$F$220),AR486&lt;(2022+$G$220)),(TRANSPORT!$G$206-INDEX(TRANSPORT!$Y$498:$BA$498,1,($F$220-1)))/($G$220-$F$220+1),0)</f>
        <v>0</v>
      </c>
      <c r="AS499" s="345">
        <f>IF(AND(AS486&gt;(2020+TRANSPORT!$F$220),AS486&lt;(2022+$G$220)),(TRANSPORT!$G$206-INDEX(TRANSPORT!$Y$498:$BA$498,1,($F$220-1)))/($G$220-$F$220+1),0)</f>
        <v>0</v>
      </c>
      <c r="AT499" s="345">
        <f>IF(AND(AT486&gt;(2020+TRANSPORT!$F$220),AT486&lt;(2022+$G$220)),(TRANSPORT!$G$206-INDEX(TRANSPORT!$Y$498:$BA$498,1,($F$220-1)))/($G$220-$F$220+1),0)</f>
        <v>0</v>
      </c>
      <c r="AU499" s="345">
        <f>IF(AND(AU486&gt;(2020+TRANSPORT!$F$220),AU486&lt;(2022+$G$220)),(TRANSPORT!$G$206-INDEX(TRANSPORT!$Y$498:$BA$498,1,($F$220-1)))/($G$220-$F$220+1),0)</f>
        <v>0</v>
      </c>
      <c r="AV499" s="345">
        <f>IF(AND(AV486&gt;(2020+TRANSPORT!$F$220),AV486&lt;(2022+$G$220)),(TRANSPORT!$G$206-INDEX(TRANSPORT!$Y$498:$BA$498,1,($F$220-1)))/($G$220-$F$220+1),0)</f>
        <v>0</v>
      </c>
      <c r="AW499" s="345">
        <f>IF(AND(AW486&gt;(2020+TRANSPORT!$F$220),AW486&lt;(2022+$G$220)),(TRANSPORT!$G$206-INDEX(TRANSPORT!$Y$498:$BA$498,1,($F$220-1)))/($G$220-$F$220+1),0)</f>
        <v>0</v>
      </c>
      <c r="AX499" s="345">
        <f>IF(AND(AX486&gt;(2020+TRANSPORT!$F$220),AX486&lt;(2022+$G$220)),(TRANSPORT!$G$206-INDEX(TRANSPORT!$Y$498:$BA$498,1,($F$220-1)))/($G$220-$F$220+1),0)</f>
        <v>0</v>
      </c>
      <c r="AY499" s="345">
        <f>IF(AND(AY486&gt;(2020+TRANSPORT!$F$220),AY486&lt;(2022+$G$220)),(TRANSPORT!$G$206-INDEX(TRANSPORT!$Y$498:$BA$498,1,($F$220-1)))/($G$220-$F$220+1),0)</f>
        <v>0</v>
      </c>
      <c r="AZ499" s="345">
        <f>IF(AND(AZ486&gt;(2020+TRANSPORT!$F$220),AZ486&lt;(2022+$G$220)),(TRANSPORT!$G$206-INDEX(TRANSPORT!$Y$498:$BA$498,1,($F$220-1)))/($G$220-$F$220+1),0)</f>
        <v>0</v>
      </c>
      <c r="BA499" s="1302">
        <f>IF(AND(BA486&gt;(2020+TRANSPORT!$F$220),BA486&lt;(2022+$G$220)),(TRANSPORT!$G$206-INDEX(TRANSPORT!$Y$498:$BA$498,1,($F$220-1)))/($G$220-$F$220+1),0)</f>
        <v>0</v>
      </c>
    </row>
    <row r="500" spans="19:53" ht="20.100000000000001" customHeight="1">
      <c r="S500" s="1308" t="s">
        <v>3164</v>
      </c>
      <c r="T500" s="1305" t="s">
        <v>3161</v>
      </c>
      <c r="U500" s="1297"/>
      <c r="V500" s="1297"/>
      <c r="W500" s="1297"/>
      <c r="X500" s="1306">
        <f>SUM(X498:X499)</f>
        <v>1.5043813109272328</v>
      </c>
      <c r="Y500" s="1306">
        <f>IF(Y499=0,X500*(IF(X498=0,1,Y498/X498)),X500+Y499)</f>
        <v>1.5043813109272328</v>
      </c>
      <c r="Z500" s="1306">
        <f t="shared" ref="Z500:BA500" si="785">IF(Z499=0,Y500*(IF(Y498=0,1,Z498/Y498)),Y500+Z499)</f>
        <v>1.5043813109272328</v>
      </c>
      <c r="AA500" s="1306">
        <f t="shared" si="785"/>
        <v>1.5043813109272328</v>
      </c>
      <c r="AB500" s="1306">
        <f t="shared" si="785"/>
        <v>1.2536510924393607</v>
      </c>
      <c r="AC500" s="1306">
        <f t="shared" si="785"/>
        <v>1.0029208739514885</v>
      </c>
      <c r="AD500" s="1306">
        <f t="shared" si="785"/>
        <v>0.75219065546361641</v>
      </c>
      <c r="AE500" s="1306">
        <f t="shared" si="785"/>
        <v>0.50146043697574427</v>
      </c>
      <c r="AF500" s="1306">
        <f t="shared" si="785"/>
        <v>0.25073021848787214</v>
      </c>
      <c r="AG500" s="1306">
        <f t="shared" si="785"/>
        <v>0</v>
      </c>
      <c r="AH500" s="1306">
        <f t="shared" si="785"/>
        <v>0</v>
      </c>
      <c r="AI500" s="1306">
        <f t="shared" si="785"/>
        <v>0</v>
      </c>
      <c r="AJ500" s="1306">
        <f t="shared" si="785"/>
        <v>0</v>
      </c>
      <c r="AK500" s="1306">
        <f t="shared" si="785"/>
        <v>0</v>
      </c>
      <c r="AL500" s="1306">
        <f t="shared" si="785"/>
        <v>0</v>
      </c>
      <c r="AM500" s="1306">
        <f t="shared" si="785"/>
        <v>0</v>
      </c>
      <c r="AN500" s="1306">
        <f t="shared" si="785"/>
        <v>0</v>
      </c>
      <c r="AO500" s="1306">
        <f t="shared" si="785"/>
        <v>0</v>
      </c>
      <c r="AP500" s="1306">
        <f t="shared" si="785"/>
        <v>0</v>
      </c>
      <c r="AQ500" s="1306">
        <f t="shared" si="785"/>
        <v>0</v>
      </c>
      <c r="AR500" s="1306">
        <f t="shared" si="785"/>
        <v>0</v>
      </c>
      <c r="AS500" s="1306">
        <f t="shared" si="785"/>
        <v>0</v>
      </c>
      <c r="AT500" s="1306">
        <f t="shared" si="785"/>
        <v>0</v>
      </c>
      <c r="AU500" s="1306">
        <f t="shared" si="785"/>
        <v>0</v>
      </c>
      <c r="AV500" s="1306">
        <f t="shared" si="785"/>
        <v>0</v>
      </c>
      <c r="AW500" s="1306">
        <f t="shared" si="785"/>
        <v>0</v>
      </c>
      <c r="AX500" s="1306">
        <f t="shared" si="785"/>
        <v>0</v>
      </c>
      <c r="AY500" s="1306">
        <f t="shared" si="785"/>
        <v>0</v>
      </c>
      <c r="AZ500" s="1306">
        <f t="shared" si="785"/>
        <v>0</v>
      </c>
      <c r="BA500" s="1307">
        <f t="shared" si="785"/>
        <v>0</v>
      </c>
    </row>
    <row r="501" spans="19:53" ht="20.100000000000001" customHeight="1">
      <c r="S501" s="881" t="s">
        <v>982</v>
      </c>
      <c r="T501" s="280"/>
      <c r="U501" s="280"/>
      <c r="V501" s="280"/>
      <c r="W501" s="280"/>
      <c r="X501" s="272">
        <f t="shared" ref="X501:BA501" si="786">X61</f>
        <v>0.32226935458427214</v>
      </c>
      <c r="Y501" s="272">
        <f t="shared" si="786"/>
        <v>0.32226935458427214</v>
      </c>
      <c r="Z501" s="272">
        <f t="shared" si="786"/>
        <v>0.32226935458427214</v>
      </c>
      <c r="AA501" s="272">
        <f t="shared" si="786"/>
        <v>0.32226935458427214</v>
      </c>
      <c r="AB501" s="272">
        <f t="shared" si="786"/>
        <v>0.32226935458427214</v>
      </c>
      <c r="AC501" s="272">
        <f t="shared" si="786"/>
        <v>0.32226935458427214</v>
      </c>
      <c r="AD501" s="272">
        <f t="shared" si="786"/>
        <v>0.32226935458427214</v>
      </c>
      <c r="AE501" s="272">
        <f t="shared" si="786"/>
        <v>0.32226935458427214</v>
      </c>
      <c r="AF501" s="272">
        <f t="shared" si="786"/>
        <v>0.32226935458427214</v>
      </c>
      <c r="AG501" s="272">
        <f t="shared" si="786"/>
        <v>0.32226935458427214</v>
      </c>
      <c r="AH501" s="272">
        <f t="shared" si="786"/>
        <v>0.32226935458427214</v>
      </c>
      <c r="AI501" s="272">
        <f t="shared" si="786"/>
        <v>0.32226935458427214</v>
      </c>
      <c r="AJ501" s="272">
        <f t="shared" si="786"/>
        <v>0.32226935458427214</v>
      </c>
      <c r="AK501" s="272">
        <f t="shared" si="786"/>
        <v>0.32226935458427214</v>
      </c>
      <c r="AL501" s="272">
        <f t="shared" si="786"/>
        <v>0.32226935458427214</v>
      </c>
      <c r="AM501" s="272">
        <f t="shared" si="786"/>
        <v>0.32226935458427214</v>
      </c>
      <c r="AN501" s="272">
        <f t="shared" si="786"/>
        <v>0.32226935458427214</v>
      </c>
      <c r="AO501" s="272">
        <f t="shared" si="786"/>
        <v>0.32226935458427214</v>
      </c>
      <c r="AP501" s="272">
        <f t="shared" si="786"/>
        <v>0.32226935458427214</v>
      </c>
      <c r="AQ501" s="272">
        <f t="shared" si="786"/>
        <v>0.32226935458427214</v>
      </c>
      <c r="AR501" s="272">
        <f t="shared" si="786"/>
        <v>0.32226935458427214</v>
      </c>
      <c r="AS501" s="272">
        <f t="shared" si="786"/>
        <v>0.32226935458427214</v>
      </c>
      <c r="AT501" s="272">
        <f t="shared" si="786"/>
        <v>0.32226935458427214</v>
      </c>
      <c r="AU501" s="272">
        <f t="shared" si="786"/>
        <v>0.32226935458427214</v>
      </c>
      <c r="AV501" s="272">
        <f t="shared" si="786"/>
        <v>0.32226935458427214</v>
      </c>
      <c r="AW501" s="272">
        <f t="shared" si="786"/>
        <v>0.32226935458427214</v>
      </c>
      <c r="AX501" s="272">
        <f t="shared" si="786"/>
        <v>0.32226935458427214</v>
      </c>
      <c r="AY501" s="272">
        <f t="shared" si="786"/>
        <v>0.32226935458427214</v>
      </c>
      <c r="AZ501" s="272">
        <f t="shared" si="786"/>
        <v>0.32226935458427214</v>
      </c>
      <c r="BA501" s="324">
        <f t="shared" si="786"/>
        <v>0.32226935458427214</v>
      </c>
    </row>
    <row r="502" spans="19:53" ht="20.100000000000001" customHeight="1">
      <c r="S502" s="881" t="s">
        <v>3110</v>
      </c>
      <c r="T502" s="280"/>
      <c r="U502" s="280"/>
      <c r="V502" s="280"/>
      <c r="W502" s="280"/>
      <c r="X502" s="272">
        <f>IF(AND(X486&gt;(2020+TRANSPORT!$F$220),X486&lt;(2022+$G$220)),(TRANSPORT!$G$207-INDEX(TRANSPORT!$Y$501:$BA$501,1,($F$220-1)))/($G$220-$F$220+1),0)</f>
        <v>0</v>
      </c>
      <c r="Y502" s="272">
        <f>IF(AND(Y486&gt;(2020+TRANSPORT!$F$220),Y486&lt;(2022+$G$220)),(TRANSPORT!$G$207-INDEX(TRANSPORT!$Y$501:$BA$501,1,($F$220-1)))/($G$220-$F$220+1),0)</f>
        <v>0</v>
      </c>
      <c r="Z502" s="272">
        <f>IF(AND(Z486&gt;(2020+TRANSPORT!$F$220),Z486&lt;(2022+$G$220)),(TRANSPORT!$G$207-INDEX(TRANSPORT!$Y$501:$BA$501,1,($F$220-1)))/($G$220-$F$220+1),0)</f>
        <v>0</v>
      </c>
      <c r="AA502" s="272">
        <f>IF(AND(AA486&gt;(2020+TRANSPORT!$F$220),AA486&lt;(2022+$G$220)),(TRANSPORT!$G$207-INDEX(TRANSPORT!$Y$501:$BA$501,1,($F$220-1)))/($G$220-$F$220+1),0)</f>
        <v>0</v>
      </c>
      <c r="AB502" s="272">
        <f>IF(AND(AB486&gt;(2020+TRANSPORT!$F$220),AB486&lt;(2022+$G$220)),(TRANSPORT!$G$207-INDEX(TRANSPORT!$Y$501:$BA$501,1,($F$220-1)))/($G$220-$F$220+1),0)</f>
        <v>-5.3711559097378687E-2</v>
      </c>
      <c r="AC502" s="272">
        <f>IF(AND(AC486&gt;(2020+TRANSPORT!$F$220),AC486&lt;(2022+$G$220)),(TRANSPORT!$G$207-INDEX(TRANSPORT!$Y$501:$BA$501,1,($F$220-1)))/($G$220-$F$220+1),0)</f>
        <v>-5.3711559097378687E-2</v>
      </c>
      <c r="AD502" s="272">
        <f>IF(AND(AD486&gt;(2020+TRANSPORT!$F$220),AD486&lt;(2022+$G$220)),(TRANSPORT!$G$207-INDEX(TRANSPORT!$Y$501:$BA$501,1,($F$220-1)))/($G$220-$F$220+1),0)</f>
        <v>-5.3711559097378687E-2</v>
      </c>
      <c r="AE502" s="272">
        <f>IF(AND(AE486&gt;(2020+TRANSPORT!$F$220),AE486&lt;(2022+$G$220)),(TRANSPORT!$G$207-INDEX(TRANSPORT!$Y$501:$BA$501,1,($F$220-1)))/($G$220-$F$220+1),0)</f>
        <v>-5.3711559097378687E-2</v>
      </c>
      <c r="AF502" s="272">
        <f>IF(AND(AF486&gt;(2020+TRANSPORT!$F$220),AF486&lt;(2022+$G$220)),(TRANSPORT!$G$207-INDEX(TRANSPORT!$Y$501:$BA$501,1,($F$220-1)))/($G$220-$F$220+1),0)</f>
        <v>-5.3711559097378687E-2</v>
      </c>
      <c r="AG502" s="272">
        <f>IF(AND(AG486&gt;(2020+TRANSPORT!$F$220),AG486&lt;(2022+$G$220)),(TRANSPORT!$G$207-INDEX(TRANSPORT!$Y$501:$BA$501,1,($F$220-1)))/($G$220-$F$220+1),0)</f>
        <v>-5.3711559097378687E-2</v>
      </c>
      <c r="AH502" s="272">
        <f>IF(AND(AH486&gt;(2020+TRANSPORT!$F$220),AH486&lt;(2022+$G$220)),(TRANSPORT!$G$207-INDEX(TRANSPORT!$Y$501:$BA$501,1,($F$220-1)))/($G$220-$F$220+1),0)</f>
        <v>0</v>
      </c>
      <c r="AI502" s="272">
        <f>IF(AND(AI486&gt;(2020+TRANSPORT!$F$220),AI486&lt;(2022+$G$220)),(TRANSPORT!$G$207-INDEX(TRANSPORT!$Y$501:$BA$501,1,($F$220-1)))/($G$220-$F$220+1),0)</f>
        <v>0</v>
      </c>
      <c r="AJ502" s="272">
        <f>IF(AND(AJ486&gt;(2020+TRANSPORT!$F$220),AJ486&lt;(2022+$G$220)),(TRANSPORT!$G$207-INDEX(TRANSPORT!$Y$501:$BA$501,1,($F$220-1)))/($G$220-$F$220+1),0)</f>
        <v>0</v>
      </c>
      <c r="AK502" s="272">
        <f>IF(AND(AK486&gt;(2020+TRANSPORT!$F$220),AK486&lt;(2022+$G$220)),(TRANSPORT!$G$207-INDEX(TRANSPORT!$Y$501:$BA$501,1,($F$220-1)))/($G$220-$F$220+1),0)</f>
        <v>0</v>
      </c>
      <c r="AL502" s="272">
        <f>IF(AND(AL486&gt;(2020+TRANSPORT!$F$220),AL486&lt;(2022+$G$220)),(TRANSPORT!$G$207-INDEX(TRANSPORT!$Y$501:$BA$501,1,($F$220-1)))/($G$220-$F$220+1),0)</f>
        <v>0</v>
      </c>
      <c r="AM502" s="272">
        <f>IF(AND(AM486&gt;(2020+TRANSPORT!$F$220),AM486&lt;(2022+$G$220)),(TRANSPORT!$G$207-INDEX(TRANSPORT!$Y$501:$BA$501,1,($F$220-1)))/($G$220-$F$220+1),0)</f>
        <v>0</v>
      </c>
      <c r="AN502" s="272">
        <f>IF(AND(AN486&gt;(2020+TRANSPORT!$F$220),AN486&lt;(2022+$G$220)),(TRANSPORT!$G$207-INDEX(TRANSPORT!$Y$501:$BA$501,1,($F$220-1)))/($G$220-$F$220+1),0)</f>
        <v>0</v>
      </c>
      <c r="AO502" s="272">
        <f>IF(AND(AO486&gt;(2020+TRANSPORT!$F$220),AO486&lt;(2022+$G$220)),(TRANSPORT!$G$207-INDEX(TRANSPORT!$Y$501:$BA$501,1,($F$220-1)))/($G$220-$F$220+1),0)</f>
        <v>0</v>
      </c>
      <c r="AP502" s="272">
        <f>IF(AND(AP486&gt;(2020+TRANSPORT!$F$220),AP486&lt;(2022+$G$220)),(TRANSPORT!$G$207-INDEX(TRANSPORT!$Y$501:$BA$501,1,($F$220-1)))/($G$220-$F$220+1),0)</f>
        <v>0</v>
      </c>
      <c r="AQ502" s="272">
        <f>IF(AND(AQ486&gt;(2020+TRANSPORT!$F$220),AQ486&lt;(2022+$G$220)),(TRANSPORT!$G$207-INDEX(TRANSPORT!$Y$501:$BA$501,1,($F$220-1)))/($G$220-$F$220+1),0)</f>
        <v>0</v>
      </c>
      <c r="AR502" s="272">
        <f>IF(AND(AR486&gt;(2020+TRANSPORT!$F$220),AR486&lt;(2022+$G$220)),(TRANSPORT!$G$207-INDEX(TRANSPORT!$Y$501:$BA$501,1,($F$220-1)))/($G$220-$F$220+1),0)</f>
        <v>0</v>
      </c>
      <c r="AS502" s="272">
        <f>IF(AND(AS486&gt;(2020+TRANSPORT!$F$220),AS486&lt;(2022+$G$220)),(TRANSPORT!$G$207-INDEX(TRANSPORT!$Y$501:$BA$501,1,($F$220-1)))/($G$220-$F$220+1),0)</f>
        <v>0</v>
      </c>
      <c r="AT502" s="272">
        <f>IF(AND(AT486&gt;(2020+TRANSPORT!$F$220),AT486&lt;(2022+$G$220)),(TRANSPORT!$G$207-INDEX(TRANSPORT!$Y$501:$BA$501,1,($F$220-1)))/($G$220-$F$220+1),0)</f>
        <v>0</v>
      </c>
      <c r="AU502" s="272">
        <f>IF(AND(AU486&gt;(2020+TRANSPORT!$F$220),AU486&lt;(2022+$G$220)),(TRANSPORT!$G$207-INDEX(TRANSPORT!$Y$501:$BA$501,1,($F$220-1)))/($G$220-$F$220+1),0)</f>
        <v>0</v>
      </c>
      <c r="AV502" s="272">
        <f>IF(AND(AV486&gt;(2020+TRANSPORT!$F$220),AV486&lt;(2022+$G$220)),(TRANSPORT!$G$207-INDEX(TRANSPORT!$Y$501:$BA$501,1,($F$220-1)))/($G$220-$F$220+1),0)</f>
        <v>0</v>
      </c>
      <c r="AW502" s="272">
        <f>IF(AND(AW486&gt;(2020+TRANSPORT!$F$220),AW486&lt;(2022+$G$220)),(TRANSPORT!$G$207-INDEX(TRANSPORT!$Y$501:$BA$501,1,($F$220-1)))/($G$220-$F$220+1),0)</f>
        <v>0</v>
      </c>
      <c r="AX502" s="272">
        <f>IF(AND(AX486&gt;(2020+TRANSPORT!$F$220),AX486&lt;(2022+$G$220)),(TRANSPORT!$G$207-INDEX(TRANSPORT!$Y$501:$BA$501,1,($F$220-1)))/($G$220-$F$220+1),0)</f>
        <v>0</v>
      </c>
      <c r="AY502" s="272">
        <f>IF(AND(AY486&gt;(2020+TRANSPORT!$F$220),AY486&lt;(2022+$G$220)),(TRANSPORT!$G$207-INDEX(TRANSPORT!$Y$501:$BA$501,1,($F$220-1)))/($G$220-$F$220+1),0)</f>
        <v>0</v>
      </c>
      <c r="AZ502" s="272">
        <f>IF(AND(AZ486&gt;(2020+TRANSPORT!$F$220),AZ486&lt;(2022+$G$220)),(TRANSPORT!$G$207-INDEX(TRANSPORT!$Y$501:$BA$501,1,($F$220-1)))/($G$220-$F$220+1),0)</f>
        <v>0</v>
      </c>
      <c r="BA502" s="324">
        <f>IF(AND(BA486&gt;(2020+TRANSPORT!$F$220),BA486&lt;(2022+$G$220)),(TRANSPORT!$G$207-INDEX(TRANSPORT!$Y$501:$BA$501,1,($F$220-1)))/($G$220-$F$220+1),0)</f>
        <v>0</v>
      </c>
    </row>
    <row r="503" spans="19:53" ht="20.100000000000001" customHeight="1">
      <c r="S503" s="1300" t="s">
        <v>3165</v>
      </c>
      <c r="T503" s="561" t="s">
        <v>3161</v>
      </c>
      <c r="U503" s="280"/>
      <c r="V503" s="280"/>
      <c r="W503" s="280"/>
      <c r="X503" s="1220">
        <f>SUM(X501:X502)</f>
        <v>0.32226935458427214</v>
      </c>
      <c r="Y503" s="1220">
        <f>IF(Y502=0,X503*(IF(X501=0,1,Y501/X501)),X503+Y502)</f>
        <v>0.32226935458427214</v>
      </c>
      <c r="Z503" s="1220">
        <f t="shared" ref="Z503:BA503" si="787">IF(Z502=0,Y503*(IF(Y501=0,1,Z501/Y501)),Y503+Z502)</f>
        <v>0.32226935458427214</v>
      </c>
      <c r="AA503" s="1220">
        <f t="shared" si="787"/>
        <v>0.32226935458427214</v>
      </c>
      <c r="AB503" s="1220">
        <f t="shared" si="787"/>
        <v>0.26855779548689346</v>
      </c>
      <c r="AC503" s="1220">
        <f t="shared" si="787"/>
        <v>0.21484623638951478</v>
      </c>
      <c r="AD503" s="1220">
        <f t="shared" si="787"/>
        <v>0.1611346772921361</v>
      </c>
      <c r="AE503" s="1220">
        <f t="shared" si="787"/>
        <v>0.10742311819475742</v>
      </c>
      <c r="AF503" s="1220">
        <f t="shared" si="787"/>
        <v>5.3711559097378729E-2</v>
      </c>
      <c r="AG503" s="1220">
        <f t="shared" si="787"/>
        <v>4.163336342344337E-17</v>
      </c>
      <c r="AH503" s="1220">
        <f t="shared" si="787"/>
        <v>4.163336342344337E-17</v>
      </c>
      <c r="AI503" s="1220">
        <f t="shared" si="787"/>
        <v>4.163336342344337E-17</v>
      </c>
      <c r="AJ503" s="1220">
        <f t="shared" si="787"/>
        <v>4.163336342344337E-17</v>
      </c>
      <c r="AK503" s="1220">
        <f t="shared" si="787"/>
        <v>4.163336342344337E-17</v>
      </c>
      <c r="AL503" s="1220">
        <f t="shared" si="787"/>
        <v>4.163336342344337E-17</v>
      </c>
      <c r="AM503" s="1220">
        <f t="shared" si="787"/>
        <v>4.163336342344337E-17</v>
      </c>
      <c r="AN503" s="1220">
        <f t="shared" si="787"/>
        <v>4.163336342344337E-17</v>
      </c>
      <c r="AO503" s="1220">
        <f t="shared" si="787"/>
        <v>4.163336342344337E-17</v>
      </c>
      <c r="AP503" s="1220">
        <f t="shared" si="787"/>
        <v>4.163336342344337E-17</v>
      </c>
      <c r="AQ503" s="1220">
        <f t="shared" si="787"/>
        <v>4.163336342344337E-17</v>
      </c>
      <c r="AR503" s="1220">
        <f t="shared" si="787"/>
        <v>4.163336342344337E-17</v>
      </c>
      <c r="AS503" s="1220">
        <f t="shared" si="787"/>
        <v>4.163336342344337E-17</v>
      </c>
      <c r="AT503" s="1220">
        <f t="shared" si="787"/>
        <v>4.163336342344337E-17</v>
      </c>
      <c r="AU503" s="1220">
        <f t="shared" si="787"/>
        <v>4.163336342344337E-17</v>
      </c>
      <c r="AV503" s="1220">
        <f t="shared" si="787"/>
        <v>4.163336342344337E-17</v>
      </c>
      <c r="AW503" s="1220">
        <f t="shared" si="787"/>
        <v>4.163336342344337E-17</v>
      </c>
      <c r="AX503" s="1220">
        <f t="shared" si="787"/>
        <v>4.163336342344337E-17</v>
      </c>
      <c r="AY503" s="1220">
        <f t="shared" si="787"/>
        <v>4.163336342344337E-17</v>
      </c>
      <c r="AZ503" s="1220">
        <f t="shared" si="787"/>
        <v>4.163336342344337E-17</v>
      </c>
      <c r="BA503" s="1221">
        <f t="shared" si="787"/>
        <v>4.163336342344337E-17</v>
      </c>
    </row>
    <row r="504" spans="19:53" ht="20.100000000000001" customHeight="1">
      <c r="S504" s="1301" t="s">
        <v>932</v>
      </c>
      <c r="T504" s="1297"/>
      <c r="U504" s="1297"/>
      <c r="V504" s="1297"/>
      <c r="W504" s="1297"/>
      <c r="X504" s="345">
        <f t="shared" ref="X504:BA504" si="788">X62</f>
        <v>25.859835596816843</v>
      </c>
      <c r="Y504" s="345">
        <f t="shared" si="788"/>
        <v>25.953923713114659</v>
      </c>
      <c r="Z504" s="345">
        <f t="shared" si="788"/>
        <v>25.953923713114659</v>
      </c>
      <c r="AA504" s="345">
        <f t="shared" si="788"/>
        <v>25.953923713114659</v>
      </c>
      <c r="AB504" s="345">
        <f t="shared" si="788"/>
        <v>25.953923713114659</v>
      </c>
      <c r="AC504" s="345">
        <f t="shared" si="788"/>
        <v>25.953923713114659</v>
      </c>
      <c r="AD504" s="345">
        <f t="shared" si="788"/>
        <v>25.953923713114659</v>
      </c>
      <c r="AE504" s="345">
        <f t="shared" si="788"/>
        <v>25.953923713114659</v>
      </c>
      <c r="AF504" s="345">
        <f t="shared" si="788"/>
        <v>25.953923713114659</v>
      </c>
      <c r="AG504" s="345">
        <f t="shared" si="788"/>
        <v>25.953923713114659</v>
      </c>
      <c r="AH504" s="345">
        <f t="shared" si="788"/>
        <v>25.953923713114659</v>
      </c>
      <c r="AI504" s="345">
        <f t="shared" si="788"/>
        <v>25.953923713114659</v>
      </c>
      <c r="AJ504" s="345">
        <f t="shared" si="788"/>
        <v>25.953923713114659</v>
      </c>
      <c r="AK504" s="345">
        <f t="shared" si="788"/>
        <v>25.953923713114659</v>
      </c>
      <c r="AL504" s="345">
        <f t="shared" si="788"/>
        <v>25.953923713114659</v>
      </c>
      <c r="AM504" s="345">
        <f t="shared" si="788"/>
        <v>25.953923713114659</v>
      </c>
      <c r="AN504" s="345">
        <f t="shared" si="788"/>
        <v>25.953923713114659</v>
      </c>
      <c r="AO504" s="345">
        <f t="shared" si="788"/>
        <v>25.953923713114659</v>
      </c>
      <c r="AP504" s="345">
        <f t="shared" si="788"/>
        <v>25.953923713114659</v>
      </c>
      <c r="AQ504" s="345">
        <f t="shared" si="788"/>
        <v>25.953923713114659</v>
      </c>
      <c r="AR504" s="345">
        <f t="shared" si="788"/>
        <v>25.953923713114659</v>
      </c>
      <c r="AS504" s="345">
        <f t="shared" si="788"/>
        <v>25.953923713114659</v>
      </c>
      <c r="AT504" s="345">
        <f t="shared" si="788"/>
        <v>25.953923713114659</v>
      </c>
      <c r="AU504" s="345">
        <f t="shared" si="788"/>
        <v>25.953923713114659</v>
      </c>
      <c r="AV504" s="345">
        <f t="shared" si="788"/>
        <v>25.953923713114659</v>
      </c>
      <c r="AW504" s="345">
        <f t="shared" si="788"/>
        <v>25.953923713114659</v>
      </c>
      <c r="AX504" s="345">
        <f t="shared" si="788"/>
        <v>25.953923713114659</v>
      </c>
      <c r="AY504" s="345">
        <f t="shared" si="788"/>
        <v>25.953923713114659</v>
      </c>
      <c r="AZ504" s="345">
        <f t="shared" si="788"/>
        <v>25.953923713114659</v>
      </c>
      <c r="BA504" s="1302">
        <f t="shared" si="788"/>
        <v>25.953923713114659</v>
      </c>
    </row>
    <row r="505" spans="19:53" ht="20.100000000000001" customHeight="1">
      <c r="S505" s="1308" t="s">
        <v>3166</v>
      </c>
      <c r="T505" s="1305" t="s">
        <v>3161</v>
      </c>
      <c r="U505" s="1297"/>
      <c r="V505" s="1297"/>
      <c r="W505" s="1297"/>
      <c r="X505" s="1306">
        <f t="shared" ref="X505:BA505" si="789">(100-X489-X492-X495-X500-X503-X508-X511-X514-X517-X520-X523-X526-X529)*($X$504/($X$496+$X$504))</f>
        <v>25.953923713114659</v>
      </c>
      <c r="Y505" s="1306">
        <f t="shared" si="789"/>
        <v>25.953923713114659</v>
      </c>
      <c r="Z505" s="1306">
        <f t="shared" si="789"/>
        <v>25.953923713114659</v>
      </c>
      <c r="AA505" s="1306">
        <f t="shared" si="789"/>
        <v>25.953923713114659</v>
      </c>
      <c r="AB505" s="1306">
        <f t="shared" si="789"/>
        <v>23.857697352905319</v>
      </c>
      <c r="AC505" s="1306">
        <f t="shared" si="789"/>
        <v>21.761470992695987</v>
      </c>
      <c r="AD505" s="1306">
        <f t="shared" si="789"/>
        <v>19.665244632486658</v>
      </c>
      <c r="AE505" s="1306">
        <f t="shared" si="789"/>
        <v>17.569018272277322</v>
      </c>
      <c r="AF505" s="1306">
        <f t="shared" si="789"/>
        <v>15.472791912067995</v>
      </c>
      <c r="AG505" s="1306">
        <f t="shared" si="789"/>
        <v>13.376565551858663</v>
      </c>
      <c r="AH505" s="1306">
        <f t="shared" si="789"/>
        <v>13.376565551858663</v>
      </c>
      <c r="AI505" s="1306">
        <f t="shared" si="789"/>
        <v>13.376565551858663</v>
      </c>
      <c r="AJ505" s="1306">
        <f t="shared" si="789"/>
        <v>13.376565551858663</v>
      </c>
      <c r="AK505" s="1306">
        <f t="shared" si="789"/>
        <v>13.376565551858663</v>
      </c>
      <c r="AL505" s="1306">
        <f t="shared" si="789"/>
        <v>13.376565551858663</v>
      </c>
      <c r="AM505" s="1306">
        <f t="shared" si="789"/>
        <v>13.376565551858663</v>
      </c>
      <c r="AN505" s="1306">
        <f t="shared" si="789"/>
        <v>13.376565551858663</v>
      </c>
      <c r="AO505" s="1306">
        <f t="shared" si="789"/>
        <v>13.376565551858663</v>
      </c>
      <c r="AP505" s="1306">
        <f t="shared" si="789"/>
        <v>13.376565551858663</v>
      </c>
      <c r="AQ505" s="1306">
        <f t="shared" si="789"/>
        <v>13.376565551858663</v>
      </c>
      <c r="AR505" s="1306">
        <f t="shared" si="789"/>
        <v>13.376565551858663</v>
      </c>
      <c r="AS505" s="1306">
        <f t="shared" si="789"/>
        <v>13.376565551858663</v>
      </c>
      <c r="AT505" s="1306">
        <f t="shared" si="789"/>
        <v>13.376565551858663</v>
      </c>
      <c r="AU505" s="1306">
        <f t="shared" si="789"/>
        <v>13.376565551858663</v>
      </c>
      <c r="AV505" s="1306">
        <f t="shared" si="789"/>
        <v>13.376565551858663</v>
      </c>
      <c r="AW505" s="1306">
        <f t="shared" si="789"/>
        <v>13.376565551858663</v>
      </c>
      <c r="AX505" s="1306">
        <f t="shared" si="789"/>
        <v>13.376565551858663</v>
      </c>
      <c r="AY505" s="1306">
        <f t="shared" si="789"/>
        <v>13.376565551858663</v>
      </c>
      <c r="AZ505" s="1306">
        <f t="shared" si="789"/>
        <v>13.376565551858663</v>
      </c>
      <c r="BA505" s="1307">
        <f t="shared" si="789"/>
        <v>13.376565551858663</v>
      </c>
    </row>
    <row r="506" spans="19:53" ht="20.100000000000001" customHeight="1">
      <c r="S506" s="881" t="s">
        <v>983</v>
      </c>
      <c r="T506" s="280"/>
      <c r="U506" s="280"/>
      <c r="V506" s="280"/>
      <c r="W506" s="280"/>
      <c r="X506" s="272">
        <f t="shared" ref="X506:BA506" si="790">X63</f>
        <v>5.5955475468833754E-2</v>
      </c>
      <c r="Y506" s="272">
        <f t="shared" si="790"/>
        <v>5.5955475468833754E-2</v>
      </c>
      <c r="Z506" s="272">
        <f t="shared" si="790"/>
        <v>5.5955475468833754E-2</v>
      </c>
      <c r="AA506" s="272">
        <f t="shared" si="790"/>
        <v>5.5955475468833754E-2</v>
      </c>
      <c r="AB506" s="272">
        <f t="shared" si="790"/>
        <v>5.5955475468833754E-2</v>
      </c>
      <c r="AC506" s="272">
        <f t="shared" si="790"/>
        <v>5.5955475468833754E-2</v>
      </c>
      <c r="AD506" s="272">
        <f t="shared" si="790"/>
        <v>5.5955475468833754E-2</v>
      </c>
      <c r="AE506" s="272">
        <f t="shared" si="790"/>
        <v>5.5955475468833754E-2</v>
      </c>
      <c r="AF506" s="272">
        <f t="shared" si="790"/>
        <v>5.5955475468833754E-2</v>
      </c>
      <c r="AG506" s="272">
        <f t="shared" si="790"/>
        <v>5.5955475468833754E-2</v>
      </c>
      <c r="AH506" s="272">
        <f t="shared" si="790"/>
        <v>5.5955475468833754E-2</v>
      </c>
      <c r="AI506" s="272">
        <f t="shared" si="790"/>
        <v>5.5955475468833754E-2</v>
      </c>
      <c r="AJ506" s="272">
        <f t="shared" si="790"/>
        <v>5.5955475468833754E-2</v>
      </c>
      <c r="AK506" s="272">
        <f t="shared" si="790"/>
        <v>5.5955475468833754E-2</v>
      </c>
      <c r="AL506" s="272">
        <f t="shared" si="790"/>
        <v>5.5955475468833754E-2</v>
      </c>
      <c r="AM506" s="272">
        <f t="shared" si="790"/>
        <v>5.5955475468833754E-2</v>
      </c>
      <c r="AN506" s="272">
        <f t="shared" si="790"/>
        <v>5.5955475468833754E-2</v>
      </c>
      <c r="AO506" s="272">
        <f t="shared" si="790"/>
        <v>5.5955475468833754E-2</v>
      </c>
      <c r="AP506" s="272">
        <f t="shared" si="790"/>
        <v>5.5955475468833754E-2</v>
      </c>
      <c r="AQ506" s="272">
        <f t="shared" si="790"/>
        <v>5.5955475468833754E-2</v>
      </c>
      <c r="AR506" s="272">
        <f t="shared" si="790"/>
        <v>5.5955475468833754E-2</v>
      </c>
      <c r="AS506" s="272">
        <f t="shared" si="790"/>
        <v>5.5955475468833754E-2</v>
      </c>
      <c r="AT506" s="272">
        <f t="shared" si="790"/>
        <v>5.5955475468833754E-2</v>
      </c>
      <c r="AU506" s="272">
        <f t="shared" si="790"/>
        <v>5.5955475468833754E-2</v>
      </c>
      <c r="AV506" s="272">
        <f t="shared" si="790"/>
        <v>5.5955475468833754E-2</v>
      </c>
      <c r="AW506" s="272">
        <f t="shared" si="790"/>
        <v>5.5955475468833754E-2</v>
      </c>
      <c r="AX506" s="272">
        <f t="shared" si="790"/>
        <v>5.5955475468833754E-2</v>
      </c>
      <c r="AY506" s="272">
        <f t="shared" si="790"/>
        <v>5.5955475468833754E-2</v>
      </c>
      <c r="AZ506" s="272">
        <f t="shared" si="790"/>
        <v>5.5955475468833754E-2</v>
      </c>
      <c r="BA506" s="324">
        <f t="shared" si="790"/>
        <v>5.5955475468833754E-2</v>
      </c>
    </row>
    <row r="507" spans="19:53" ht="20.100000000000001" customHeight="1">
      <c r="S507" s="881" t="s">
        <v>3110</v>
      </c>
      <c r="T507" s="280"/>
      <c r="U507" s="280"/>
      <c r="V507" s="280"/>
      <c r="W507" s="280"/>
      <c r="X507" s="272">
        <f>IF(AND(X486&gt;(2020+TRANSPORT!$F$220),X486&lt;(2022+$G$220)),(TRANSPORT!$G$208-INDEX(TRANSPORT!$Y$506:$BA$506,1,($F$220-1)))/($G$220-$F$220+1),0)</f>
        <v>0</v>
      </c>
      <c r="Y507" s="272">
        <f>IF(AND(Y486&gt;(2020+TRANSPORT!$F$220),Y486&lt;(2022+$G$220)),(TRANSPORT!$G$208-INDEX(TRANSPORT!$Y$506:$BA$506,1,($F$220-1)))/($G$220-$F$220+1),0)</f>
        <v>0</v>
      </c>
      <c r="Z507" s="272">
        <f>IF(AND(Z486&gt;(2020+TRANSPORT!$F$220),Z486&lt;(2022+$G$220)),(TRANSPORT!$G$208-INDEX(TRANSPORT!$Y$506:$BA$506,1,($F$220-1)))/($G$220-$F$220+1),0)</f>
        <v>0</v>
      </c>
      <c r="AA507" s="272">
        <f>IF(AND(AA486&gt;(2020+TRANSPORT!$F$220),AA486&lt;(2022+$G$220)),(TRANSPORT!$G$208-INDEX(TRANSPORT!$Y$506:$BA$506,1,($F$220-1)))/($G$220-$F$220+1),0)</f>
        <v>0</v>
      </c>
      <c r="AB507" s="272">
        <f>IF(AND(AB486&gt;(2020+TRANSPORT!$F$220),AB486&lt;(2022+$G$220)),(TRANSPORT!$G$208-INDEX(TRANSPORT!$Y$506:$BA$506,1,($F$220-1)))/($G$220-$F$220+1),0)</f>
        <v>-9.325912578138959E-3</v>
      </c>
      <c r="AC507" s="272">
        <f>IF(AND(AC486&gt;(2020+TRANSPORT!$F$220),AC486&lt;(2022+$G$220)),(TRANSPORT!$G$208-INDEX(TRANSPORT!$Y$506:$BA$506,1,($F$220-1)))/($G$220-$F$220+1),0)</f>
        <v>-9.325912578138959E-3</v>
      </c>
      <c r="AD507" s="272">
        <f>IF(AND(AD486&gt;(2020+TRANSPORT!$F$220),AD486&lt;(2022+$G$220)),(TRANSPORT!$G$208-INDEX(TRANSPORT!$Y$506:$BA$506,1,($F$220-1)))/($G$220-$F$220+1),0)</f>
        <v>-9.325912578138959E-3</v>
      </c>
      <c r="AE507" s="272">
        <f>IF(AND(AE486&gt;(2020+TRANSPORT!$F$220),AE486&lt;(2022+$G$220)),(TRANSPORT!$G$208-INDEX(TRANSPORT!$Y$506:$BA$506,1,($F$220-1)))/($G$220-$F$220+1),0)</f>
        <v>-9.325912578138959E-3</v>
      </c>
      <c r="AF507" s="272">
        <f>IF(AND(AF486&gt;(2020+TRANSPORT!$F$220),AF486&lt;(2022+$G$220)),(TRANSPORT!$G$208-INDEX(TRANSPORT!$Y$506:$BA$506,1,($F$220-1)))/($G$220-$F$220+1),0)</f>
        <v>-9.325912578138959E-3</v>
      </c>
      <c r="AG507" s="272">
        <f>IF(AND(AG486&gt;(2020+TRANSPORT!$F$220),AG486&lt;(2022+$G$220)),(TRANSPORT!$G$208-INDEX(TRANSPORT!$Y$506:$BA$506,1,($F$220-1)))/($G$220-$F$220+1),0)</f>
        <v>-9.325912578138959E-3</v>
      </c>
      <c r="AH507" s="272">
        <f>IF(AND(AH486&gt;(2020+TRANSPORT!$F$220),AH486&lt;(2022+$G$220)),(TRANSPORT!$G$208-INDEX(TRANSPORT!$Y$506:$BA$506,1,($F$220-1)))/($G$220-$F$220+1),0)</f>
        <v>0</v>
      </c>
      <c r="AI507" s="272">
        <f>IF(AND(AI486&gt;(2020+TRANSPORT!$F$220),AI486&lt;(2022+$G$220)),(TRANSPORT!$G$208-INDEX(TRANSPORT!$Y$506:$BA$506,1,($F$220-1)))/($G$220-$F$220+1),0)</f>
        <v>0</v>
      </c>
      <c r="AJ507" s="272">
        <f>IF(AND(AJ486&gt;(2020+TRANSPORT!$F$220),AJ486&lt;(2022+$G$220)),(TRANSPORT!$G$208-INDEX(TRANSPORT!$Y$506:$BA$506,1,($F$220-1)))/($G$220-$F$220+1),0)</f>
        <v>0</v>
      </c>
      <c r="AK507" s="272">
        <f>IF(AND(AK486&gt;(2020+TRANSPORT!$F$220),AK486&lt;(2022+$G$220)),(TRANSPORT!$G$208-INDEX(TRANSPORT!$Y$506:$BA$506,1,($F$220-1)))/($G$220-$F$220+1),0)</f>
        <v>0</v>
      </c>
      <c r="AL507" s="272">
        <f>IF(AND(AL486&gt;(2020+TRANSPORT!$F$220),AL486&lt;(2022+$G$220)),(TRANSPORT!$G$208-INDEX(TRANSPORT!$Y$506:$BA$506,1,($F$220-1)))/($G$220-$F$220+1),0)</f>
        <v>0</v>
      </c>
      <c r="AM507" s="272">
        <f>IF(AND(AM486&gt;(2020+TRANSPORT!$F$220),AM486&lt;(2022+$G$220)),(TRANSPORT!$G$208-INDEX(TRANSPORT!$Y$506:$BA$506,1,($F$220-1)))/($G$220-$F$220+1),0)</f>
        <v>0</v>
      </c>
      <c r="AN507" s="272">
        <f>IF(AND(AN486&gt;(2020+TRANSPORT!$F$220),AN486&lt;(2022+$G$220)),(TRANSPORT!$G$208-INDEX(TRANSPORT!$Y$506:$BA$506,1,($F$220-1)))/($G$220-$F$220+1),0)</f>
        <v>0</v>
      </c>
      <c r="AO507" s="272">
        <f>IF(AND(AO486&gt;(2020+TRANSPORT!$F$220),AO486&lt;(2022+$G$220)),(TRANSPORT!$G$208-INDEX(TRANSPORT!$Y$506:$BA$506,1,($F$220-1)))/($G$220-$F$220+1),0)</f>
        <v>0</v>
      </c>
      <c r="AP507" s="272">
        <f>IF(AND(AP486&gt;(2020+TRANSPORT!$F$220),AP486&lt;(2022+$G$220)),(TRANSPORT!$G$208-INDEX(TRANSPORT!$Y$506:$BA$506,1,($F$220-1)))/($G$220-$F$220+1),0)</f>
        <v>0</v>
      </c>
      <c r="AQ507" s="272">
        <f>IF(AND(AQ486&gt;(2020+TRANSPORT!$F$220),AQ486&lt;(2022+$G$220)),(TRANSPORT!$G$208-INDEX(TRANSPORT!$Y$506:$BA$506,1,($F$220-1)))/($G$220-$F$220+1),0)</f>
        <v>0</v>
      </c>
      <c r="AR507" s="272">
        <f>IF(AND(AR486&gt;(2020+TRANSPORT!$F$220),AR486&lt;(2022+$G$220)),(TRANSPORT!$G$208-INDEX(TRANSPORT!$Y$506:$BA$506,1,($F$220-1)))/($G$220-$F$220+1),0)</f>
        <v>0</v>
      </c>
      <c r="AS507" s="272">
        <f>IF(AND(AS486&gt;(2020+TRANSPORT!$F$220),AS486&lt;(2022+$G$220)),(TRANSPORT!$G$208-INDEX(TRANSPORT!$Y$506:$BA$506,1,($F$220-1)))/($G$220-$F$220+1),0)</f>
        <v>0</v>
      </c>
      <c r="AT507" s="272">
        <f>IF(AND(AT486&gt;(2020+TRANSPORT!$F$220),AT486&lt;(2022+$G$220)),(TRANSPORT!$G$208-INDEX(TRANSPORT!$Y$506:$BA$506,1,($F$220-1)))/($G$220-$F$220+1),0)</f>
        <v>0</v>
      </c>
      <c r="AU507" s="272">
        <f>IF(AND(AU486&gt;(2020+TRANSPORT!$F$220),AU486&lt;(2022+$G$220)),(TRANSPORT!$G$208-INDEX(TRANSPORT!$Y$506:$BA$506,1,($F$220-1)))/($G$220-$F$220+1),0)</f>
        <v>0</v>
      </c>
      <c r="AV507" s="272">
        <f>IF(AND(AV486&gt;(2020+TRANSPORT!$F$220),AV486&lt;(2022+$G$220)),(TRANSPORT!$G$208-INDEX(TRANSPORT!$Y$506:$BA$506,1,($F$220-1)))/($G$220-$F$220+1),0)</f>
        <v>0</v>
      </c>
      <c r="AW507" s="272">
        <f>IF(AND(AW486&gt;(2020+TRANSPORT!$F$220),AW486&lt;(2022+$G$220)),(TRANSPORT!$G$208-INDEX(TRANSPORT!$Y$506:$BA$506,1,($F$220-1)))/($G$220-$F$220+1),0)</f>
        <v>0</v>
      </c>
      <c r="AX507" s="272">
        <f>IF(AND(AX486&gt;(2020+TRANSPORT!$F$220),AX486&lt;(2022+$G$220)),(TRANSPORT!$G$208-INDEX(TRANSPORT!$Y$506:$BA$506,1,($F$220-1)))/($G$220-$F$220+1),0)</f>
        <v>0</v>
      </c>
      <c r="AY507" s="272">
        <f>IF(AND(AY486&gt;(2020+TRANSPORT!$F$220),AY486&lt;(2022+$G$220)),(TRANSPORT!$G$208-INDEX(TRANSPORT!$Y$506:$BA$506,1,($F$220-1)))/($G$220-$F$220+1),0)</f>
        <v>0</v>
      </c>
      <c r="AZ507" s="272">
        <f>IF(AND(AZ486&gt;(2020+TRANSPORT!$F$220),AZ486&lt;(2022+$G$220)),(TRANSPORT!$G$208-INDEX(TRANSPORT!$Y$506:$BA$506,1,($F$220-1)))/($G$220-$F$220+1),0)</f>
        <v>0</v>
      </c>
      <c r="BA507" s="324">
        <f>IF(AND(BA486&gt;(2020+TRANSPORT!$F$220),BA486&lt;(2022+$G$220)),(TRANSPORT!$G$208-INDEX(TRANSPORT!$Y$506:$BA$506,1,($F$220-1)))/($G$220-$F$220+1),0)</f>
        <v>0</v>
      </c>
    </row>
    <row r="508" spans="19:53" ht="20.100000000000001" customHeight="1">
      <c r="S508" s="1300" t="s">
        <v>3167</v>
      </c>
      <c r="T508" s="561" t="s">
        <v>3161</v>
      </c>
      <c r="U508" s="280"/>
      <c r="V508" s="280"/>
      <c r="W508" s="280"/>
      <c r="X508" s="1220">
        <f>SUM(X506:X507)</f>
        <v>5.5955475468833754E-2</v>
      </c>
      <c r="Y508" s="1220">
        <f>IF(Y507=0,X508*(IF(X506=0,1,Y506/X506)),X508+Y507)</f>
        <v>5.5955475468833754E-2</v>
      </c>
      <c r="Z508" s="1220">
        <f t="shared" ref="Z508:BA508" si="791">IF(Z507=0,Y508*(IF(Y506=0,1,Z506/Y506)),Y508+Z507)</f>
        <v>5.5955475468833754E-2</v>
      </c>
      <c r="AA508" s="1220">
        <f t="shared" si="791"/>
        <v>5.5955475468833754E-2</v>
      </c>
      <c r="AB508" s="1220">
        <f t="shared" si="791"/>
        <v>4.6629562890694795E-2</v>
      </c>
      <c r="AC508" s="1220">
        <f t="shared" si="791"/>
        <v>3.7303650312555836E-2</v>
      </c>
      <c r="AD508" s="1220">
        <f t="shared" si="791"/>
        <v>2.7977737734416877E-2</v>
      </c>
      <c r="AE508" s="1220">
        <f t="shared" si="791"/>
        <v>1.8651825156277918E-2</v>
      </c>
      <c r="AF508" s="1220">
        <f t="shared" si="791"/>
        <v>9.325912578138959E-3</v>
      </c>
      <c r="AG508" s="1220">
        <f t="shared" si="791"/>
        <v>0</v>
      </c>
      <c r="AH508" s="1220">
        <f t="shared" si="791"/>
        <v>0</v>
      </c>
      <c r="AI508" s="1220">
        <f t="shared" si="791"/>
        <v>0</v>
      </c>
      <c r="AJ508" s="1220">
        <f t="shared" si="791"/>
        <v>0</v>
      </c>
      <c r="AK508" s="1220">
        <f t="shared" si="791"/>
        <v>0</v>
      </c>
      <c r="AL508" s="1220">
        <f t="shared" si="791"/>
        <v>0</v>
      </c>
      <c r="AM508" s="1220">
        <f t="shared" si="791"/>
        <v>0</v>
      </c>
      <c r="AN508" s="1220">
        <f t="shared" si="791"/>
        <v>0</v>
      </c>
      <c r="AO508" s="1220">
        <f t="shared" si="791"/>
        <v>0</v>
      </c>
      <c r="AP508" s="1220">
        <f t="shared" si="791"/>
        <v>0</v>
      </c>
      <c r="AQ508" s="1220">
        <f t="shared" si="791"/>
        <v>0</v>
      </c>
      <c r="AR508" s="1220">
        <f t="shared" si="791"/>
        <v>0</v>
      </c>
      <c r="AS508" s="1220">
        <f t="shared" si="791"/>
        <v>0</v>
      </c>
      <c r="AT508" s="1220">
        <f t="shared" si="791"/>
        <v>0</v>
      </c>
      <c r="AU508" s="1220">
        <f t="shared" si="791"/>
        <v>0</v>
      </c>
      <c r="AV508" s="1220">
        <f t="shared" si="791"/>
        <v>0</v>
      </c>
      <c r="AW508" s="1220">
        <f t="shared" si="791"/>
        <v>0</v>
      </c>
      <c r="AX508" s="1220">
        <f t="shared" si="791"/>
        <v>0</v>
      </c>
      <c r="AY508" s="1220">
        <f t="shared" si="791"/>
        <v>0</v>
      </c>
      <c r="AZ508" s="1220">
        <f t="shared" si="791"/>
        <v>0</v>
      </c>
      <c r="BA508" s="1221">
        <f t="shared" si="791"/>
        <v>0</v>
      </c>
    </row>
    <row r="509" spans="19:53" ht="20.100000000000001" customHeight="1">
      <c r="S509" s="1301" t="s">
        <v>984</v>
      </c>
      <c r="T509" s="1297"/>
      <c r="U509" s="1297"/>
      <c r="V509" s="1297"/>
      <c r="W509" s="1297"/>
      <c r="X509" s="345">
        <f t="shared" ref="X509:BA509" si="792">X64</f>
        <v>2.9420755754769875E-2</v>
      </c>
      <c r="Y509" s="345">
        <f t="shared" si="792"/>
        <v>2.9420755754769875E-2</v>
      </c>
      <c r="Z509" s="345">
        <f t="shared" si="792"/>
        <v>2.9420755754769875E-2</v>
      </c>
      <c r="AA509" s="345">
        <f t="shared" si="792"/>
        <v>2.9420755754769875E-2</v>
      </c>
      <c r="AB509" s="345">
        <f t="shared" si="792"/>
        <v>2.9420755754769875E-2</v>
      </c>
      <c r="AC509" s="345">
        <f t="shared" si="792"/>
        <v>2.9420755754769875E-2</v>
      </c>
      <c r="AD509" s="345">
        <f t="shared" si="792"/>
        <v>2.9420755754769875E-2</v>
      </c>
      <c r="AE509" s="345">
        <f t="shared" si="792"/>
        <v>2.9420755754769875E-2</v>
      </c>
      <c r="AF509" s="345">
        <f t="shared" si="792"/>
        <v>2.9420755754769875E-2</v>
      </c>
      <c r="AG509" s="345">
        <f t="shared" si="792"/>
        <v>2.9420755754769875E-2</v>
      </c>
      <c r="AH509" s="345">
        <f t="shared" si="792"/>
        <v>2.9420755754769875E-2</v>
      </c>
      <c r="AI509" s="345">
        <f t="shared" si="792"/>
        <v>2.9420755754769875E-2</v>
      </c>
      <c r="AJ509" s="345">
        <f t="shared" si="792"/>
        <v>2.9420755754769875E-2</v>
      </c>
      <c r="AK509" s="345">
        <f t="shared" si="792"/>
        <v>2.9420755754769875E-2</v>
      </c>
      <c r="AL509" s="345">
        <f t="shared" si="792"/>
        <v>2.9420755754769875E-2</v>
      </c>
      <c r="AM509" s="345">
        <f t="shared" si="792"/>
        <v>2.9420755754769875E-2</v>
      </c>
      <c r="AN509" s="345">
        <f t="shared" si="792"/>
        <v>2.9420755754769875E-2</v>
      </c>
      <c r="AO509" s="345">
        <f t="shared" si="792"/>
        <v>2.9420755754769875E-2</v>
      </c>
      <c r="AP509" s="345">
        <f t="shared" si="792"/>
        <v>2.9420755754769875E-2</v>
      </c>
      <c r="AQ509" s="345">
        <f t="shared" si="792"/>
        <v>2.9420755754769875E-2</v>
      </c>
      <c r="AR509" s="345">
        <f t="shared" si="792"/>
        <v>2.9420755754769875E-2</v>
      </c>
      <c r="AS509" s="345">
        <f t="shared" si="792"/>
        <v>2.9420755754769875E-2</v>
      </c>
      <c r="AT509" s="345">
        <f t="shared" si="792"/>
        <v>2.9420755754769875E-2</v>
      </c>
      <c r="AU509" s="345">
        <f t="shared" si="792"/>
        <v>2.9420755754769875E-2</v>
      </c>
      <c r="AV509" s="345">
        <f t="shared" si="792"/>
        <v>2.9420755754769875E-2</v>
      </c>
      <c r="AW509" s="345">
        <f t="shared" si="792"/>
        <v>2.9420755754769875E-2</v>
      </c>
      <c r="AX509" s="345">
        <f t="shared" si="792"/>
        <v>2.9420755754769875E-2</v>
      </c>
      <c r="AY509" s="345">
        <f t="shared" si="792"/>
        <v>2.9420755754769875E-2</v>
      </c>
      <c r="AZ509" s="345">
        <f t="shared" si="792"/>
        <v>2.9420755754769875E-2</v>
      </c>
      <c r="BA509" s="1302">
        <f t="shared" si="792"/>
        <v>2.9420755754769875E-2</v>
      </c>
    </row>
    <row r="510" spans="19:53" ht="19.5" customHeight="1">
      <c r="S510" s="1301" t="s">
        <v>3110</v>
      </c>
      <c r="T510" s="1297"/>
      <c r="U510" s="1297"/>
      <c r="V510" s="1297"/>
      <c r="W510" s="1297"/>
      <c r="X510" s="345">
        <f>IF(AND(X486&gt;(2020+TRANSPORT!$F$220),X486&lt;(2022+$G$220)),(TRANSPORT!$G$209-INDEX(TRANSPORT!$Y$509:$BA$509,1,($F$220-1)))/($G$220-$F$220+1),0)</f>
        <v>0</v>
      </c>
      <c r="Y510" s="345">
        <f>IF(AND(Y486&gt;(2020+TRANSPORT!$F$220),Y486&lt;(2022+$G$220)),(TRANSPORT!$G$209-INDEX(TRANSPORT!$Y$509:$BA$509,1,($F$220-1)))/($G$220-$F$220+1),0)</f>
        <v>0</v>
      </c>
      <c r="Z510" s="345">
        <f>IF(AND(Z486&gt;(2020+TRANSPORT!$F$220),Z486&lt;(2022+$G$220)),(TRANSPORT!$G$209-INDEX(TRANSPORT!$Y$509:$BA$509,1,($F$220-1)))/($G$220-$F$220+1),0)</f>
        <v>0</v>
      </c>
      <c r="AA510" s="345">
        <f>IF(AND(AA486&gt;(2020+TRANSPORT!$F$220),AA486&lt;(2022+$G$220)),(TRANSPORT!$G$209-INDEX(TRANSPORT!$Y$509:$BA$509,1,($F$220-1)))/($G$220-$F$220+1),0)</f>
        <v>0</v>
      </c>
      <c r="AB510" s="345">
        <f>IF(AND(AB486&gt;(2020+TRANSPORT!$F$220),AB486&lt;(2022+$G$220)),(TRANSPORT!$G$209-INDEX(TRANSPORT!$Y$509:$BA$509,1,($F$220-1)))/($G$220-$F$220+1),0)</f>
        <v>-4.9034592924616458E-3</v>
      </c>
      <c r="AC510" s="345">
        <f>IF(AND(AC486&gt;(2020+TRANSPORT!$F$220),AC486&lt;(2022+$G$220)),(TRANSPORT!$G$209-INDEX(TRANSPORT!$Y$509:$BA$509,1,($F$220-1)))/($G$220-$F$220+1),0)</f>
        <v>-4.9034592924616458E-3</v>
      </c>
      <c r="AD510" s="345">
        <f>IF(AND(AD486&gt;(2020+TRANSPORT!$F$220),AD486&lt;(2022+$G$220)),(TRANSPORT!$G$209-INDEX(TRANSPORT!$Y$509:$BA$509,1,($F$220-1)))/($G$220-$F$220+1),0)</f>
        <v>-4.9034592924616458E-3</v>
      </c>
      <c r="AE510" s="345">
        <f>IF(AND(AE486&gt;(2020+TRANSPORT!$F$220),AE486&lt;(2022+$G$220)),(TRANSPORT!$G$209-INDEX(TRANSPORT!$Y$509:$BA$509,1,($F$220-1)))/($G$220-$F$220+1),0)</f>
        <v>-4.9034592924616458E-3</v>
      </c>
      <c r="AF510" s="345">
        <f>IF(AND(AF486&gt;(2020+TRANSPORT!$F$220),AF486&lt;(2022+$G$220)),(TRANSPORT!$G$209-INDEX(TRANSPORT!$Y$509:$BA$509,1,($F$220-1)))/($G$220-$F$220+1),0)</f>
        <v>-4.9034592924616458E-3</v>
      </c>
      <c r="AG510" s="345">
        <f>IF(AND(AG486&gt;(2020+TRANSPORT!$F$220),AG486&lt;(2022+$G$220)),(TRANSPORT!$G$209-INDEX(TRANSPORT!$Y$509:$BA$509,1,($F$220-1)))/($G$220-$F$220+1),0)</f>
        <v>-4.9034592924616458E-3</v>
      </c>
      <c r="AH510" s="345">
        <f>IF(AND(AH486&gt;(2020+TRANSPORT!$F$220),AH486&lt;(2022+$G$220)),(TRANSPORT!$G$209-INDEX(TRANSPORT!$Y$509:$BA$509,1,($F$220-1)))/($G$220-$F$220+1),0)</f>
        <v>0</v>
      </c>
      <c r="AI510" s="345">
        <f>IF(AND(AI486&gt;(2020+TRANSPORT!$F$220),AI486&lt;(2022+$G$220)),(TRANSPORT!$G$209-INDEX(TRANSPORT!$Y$509:$BA$509,1,($F$220-1)))/($G$220-$F$220+1),0)</f>
        <v>0</v>
      </c>
      <c r="AJ510" s="345">
        <f>IF(AND(AJ486&gt;(2020+TRANSPORT!$F$220),AJ486&lt;(2022+$G$220)),(TRANSPORT!$G$209-INDEX(TRANSPORT!$Y$509:$BA$509,1,($F$220-1)))/($G$220-$F$220+1),0)</f>
        <v>0</v>
      </c>
      <c r="AK510" s="345">
        <f>IF(AND(AK486&gt;(2020+TRANSPORT!$F$220),AK486&lt;(2022+$G$220)),(TRANSPORT!$G$209-INDEX(TRANSPORT!$Y$509:$BA$509,1,($F$220-1)))/($G$220-$F$220+1),0)</f>
        <v>0</v>
      </c>
      <c r="AL510" s="345">
        <f>IF(AND(AL486&gt;(2020+TRANSPORT!$F$220),AL486&lt;(2022+$G$220)),(TRANSPORT!$G$209-INDEX(TRANSPORT!$Y$509:$BA$509,1,($F$220-1)))/($G$220-$F$220+1),0)</f>
        <v>0</v>
      </c>
      <c r="AM510" s="345">
        <f>IF(AND(AM486&gt;(2020+TRANSPORT!$F$220),AM486&lt;(2022+$G$220)),(TRANSPORT!$G$209-INDEX(TRANSPORT!$Y$509:$BA$509,1,($F$220-1)))/($G$220-$F$220+1),0)</f>
        <v>0</v>
      </c>
      <c r="AN510" s="345">
        <f>IF(AND(AN486&gt;(2020+TRANSPORT!$F$220),AN486&lt;(2022+$G$220)),(TRANSPORT!$G$209-INDEX(TRANSPORT!$Y$509:$BA$509,1,($F$220-1)))/($G$220-$F$220+1),0)</f>
        <v>0</v>
      </c>
      <c r="AO510" s="345">
        <f>IF(AND(AO486&gt;(2020+TRANSPORT!$F$220),AO486&lt;(2022+$G$220)),(TRANSPORT!$G$209-INDEX(TRANSPORT!$Y$509:$BA$509,1,($F$220-1)))/($G$220-$F$220+1),0)</f>
        <v>0</v>
      </c>
      <c r="AP510" s="345">
        <f>IF(AND(AP486&gt;(2020+TRANSPORT!$F$220),AP486&lt;(2022+$G$220)),(TRANSPORT!$G$209-INDEX(TRANSPORT!$Y$509:$BA$509,1,($F$220-1)))/($G$220-$F$220+1),0)</f>
        <v>0</v>
      </c>
      <c r="AQ510" s="345">
        <f>IF(AND(AQ486&gt;(2020+TRANSPORT!$F$220),AQ486&lt;(2022+$G$220)),(TRANSPORT!$G$209-INDEX(TRANSPORT!$Y$509:$BA$509,1,($F$220-1)))/($G$220-$F$220+1),0)</f>
        <v>0</v>
      </c>
      <c r="AR510" s="345">
        <f>IF(AND(AR486&gt;(2020+TRANSPORT!$F$220),AR486&lt;(2022+$G$220)),(TRANSPORT!$G$209-INDEX(TRANSPORT!$Y$509:$BA$509,1,($F$220-1)))/($G$220-$F$220+1),0)</f>
        <v>0</v>
      </c>
      <c r="AS510" s="345">
        <f>IF(AND(AS486&gt;(2020+TRANSPORT!$F$220),AS486&lt;(2022+$G$220)),(TRANSPORT!$G$209-INDEX(TRANSPORT!$Y$509:$BA$509,1,($F$220-1)))/($G$220-$F$220+1),0)</f>
        <v>0</v>
      </c>
      <c r="AT510" s="345">
        <f>IF(AND(AT486&gt;(2020+TRANSPORT!$F$220),AT486&lt;(2022+$G$220)),(TRANSPORT!$G$209-INDEX(TRANSPORT!$Y$509:$BA$509,1,($F$220-1)))/($G$220-$F$220+1),0)</f>
        <v>0</v>
      </c>
      <c r="AU510" s="345">
        <f>IF(AND(AU486&gt;(2020+TRANSPORT!$F$220),AU486&lt;(2022+$G$220)),(TRANSPORT!$G$209-INDEX(TRANSPORT!$Y$509:$BA$509,1,($F$220-1)))/($G$220-$F$220+1),0)</f>
        <v>0</v>
      </c>
      <c r="AV510" s="345">
        <f>IF(AND(AV486&gt;(2020+TRANSPORT!$F$220),AV486&lt;(2022+$G$220)),(TRANSPORT!$G$209-INDEX(TRANSPORT!$Y$509:$BA$509,1,($F$220-1)))/($G$220-$F$220+1),0)</f>
        <v>0</v>
      </c>
      <c r="AW510" s="345">
        <f>IF(AND(AW486&gt;(2020+TRANSPORT!$F$220),AW486&lt;(2022+$G$220)),(TRANSPORT!$G$209-INDEX(TRANSPORT!$Y$509:$BA$509,1,($F$220-1)))/($G$220-$F$220+1),0)</f>
        <v>0</v>
      </c>
      <c r="AX510" s="345">
        <f>IF(AND(AX486&gt;(2020+TRANSPORT!$F$220),AX486&lt;(2022+$G$220)),(TRANSPORT!$G$209-INDEX(TRANSPORT!$Y$509:$BA$509,1,($F$220-1)))/($G$220-$F$220+1),0)</f>
        <v>0</v>
      </c>
      <c r="AY510" s="345">
        <f>IF(AND(AY486&gt;(2020+TRANSPORT!$F$220),AY486&lt;(2022+$G$220)),(TRANSPORT!$G$209-INDEX(TRANSPORT!$Y$509:$BA$509,1,($F$220-1)))/($G$220-$F$220+1),0)</f>
        <v>0</v>
      </c>
      <c r="AZ510" s="345">
        <f>IF(AND(AZ486&gt;(2020+TRANSPORT!$F$220),AZ486&lt;(2022+$G$220)),(TRANSPORT!$G$209-INDEX(TRANSPORT!$Y$509:$BA$509,1,($F$220-1)))/($G$220-$F$220+1),0)</f>
        <v>0</v>
      </c>
      <c r="BA510" s="1302">
        <f>IF(AND(BA486&gt;(2020+TRANSPORT!$F$220),BA486&lt;(2022+$G$220)),(TRANSPORT!$G$209-INDEX(TRANSPORT!$Y$509:$BA$509,1,($F$220-1)))/($G$220-$F$220+1),0)</f>
        <v>0</v>
      </c>
    </row>
    <row r="511" spans="19:53" ht="19.5" customHeight="1">
      <c r="S511" s="1308" t="s">
        <v>3168</v>
      </c>
      <c r="T511" s="1305" t="s">
        <v>3161</v>
      </c>
      <c r="U511" s="1297"/>
      <c r="V511" s="1297"/>
      <c r="W511" s="1297"/>
      <c r="X511" s="1306">
        <f>SUM(X509:X510)</f>
        <v>2.9420755754769875E-2</v>
      </c>
      <c r="Y511" s="1306">
        <f>IF(Y510=0,X511*(IF(X509=0,1,Y509/X509)),X511+Y510)</f>
        <v>2.9420755754769875E-2</v>
      </c>
      <c r="Z511" s="1306">
        <f t="shared" ref="Z511:BA511" si="793">IF(Z510=0,Y511*(IF(Y509=0,1,Z509/Y509)),Y511+Z510)</f>
        <v>2.9420755754769875E-2</v>
      </c>
      <c r="AA511" s="1306">
        <f t="shared" si="793"/>
        <v>2.9420755754769875E-2</v>
      </c>
      <c r="AB511" s="1306">
        <f t="shared" si="793"/>
        <v>2.4517296462308227E-2</v>
      </c>
      <c r="AC511" s="1306">
        <f t="shared" si="793"/>
        <v>1.9613837169846583E-2</v>
      </c>
      <c r="AD511" s="1306">
        <f t="shared" si="793"/>
        <v>1.4710377877384937E-2</v>
      </c>
      <c r="AE511" s="1306">
        <f t="shared" si="793"/>
        <v>9.8069185849232916E-3</v>
      </c>
      <c r="AF511" s="1306">
        <f t="shared" si="793"/>
        <v>4.9034592924616458E-3</v>
      </c>
      <c r="AG511" s="1306">
        <f t="shared" si="793"/>
        <v>0</v>
      </c>
      <c r="AH511" s="1306">
        <f t="shared" si="793"/>
        <v>0</v>
      </c>
      <c r="AI511" s="1306">
        <f t="shared" si="793"/>
        <v>0</v>
      </c>
      <c r="AJ511" s="1306">
        <f t="shared" si="793"/>
        <v>0</v>
      </c>
      <c r="AK511" s="1306">
        <f t="shared" si="793"/>
        <v>0</v>
      </c>
      <c r="AL511" s="1306">
        <f t="shared" si="793"/>
        <v>0</v>
      </c>
      <c r="AM511" s="1306">
        <f t="shared" si="793"/>
        <v>0</v>
      </c>
      <c r="AN511" s="1306">
        <f t="shared" si="793"/>
        <v>0</v>
      </c>
      <c r="AO511" s="1306">
        <f t="shared" si="793"/>
        <v>0</v>
      </c>
      <c r="AP511" s="1306">
        <f t="shared" si="793"/>
        <v>0</v>
      </c>
      <c r="AQ511" s="1306">
        <f t="shared" si="793"/>
        <v>0</v>
      </c>
      <c r="AR511" s="1306">
        <f t="shared" si="793"/>
        <v>0</v>
      </c>
      <c r="AS511" s="1306">
        <f t="shared" si="793"/>
        <v>0</v>
      </c>
      <c r="AT511" s="1306">
        <f t="shared" si="793"/>
        <v>0</v>
      </c>
      <c r="AU511" s="1306">
        <f t="shared" si="793"/>
        <v>0</v>
      </c>
      <c r="AV511" s="1306">
        <f t="shared" si="793"/>
        <v>0</v>
      </c>
      <c r="AW511" s="1306">
        <f t="shared" si="793"/>
        <v>0</v>
      </c>
      <c r="AX511" s="1306">
        <f t="shared" si="793"/>
        <v>0</v>
      </c>
      <c r="AY511" s="1306">
        <f t="shared" si="793"/>
        <v>0</v>
      </c>
      <c r="AZ511" s="1306">
        <f t="shared" si="793"/>
        <v>0</v>
      </c>
      <c r="BA511" s="1307">
        <f t="shared" si="793"/>
        <v>0</v>
      </c>
    </row>
    <row r="512" spans="19:53" ht="19.5" customHeight="1">
      <c r="S512" s="881" t="s">
        <v>985</v>
      </c>
      <c r="T512" s="280"/>
      <c r="U512" s="280"/>
      <c r="V512" s="280"/>
      <c r="W512" s="280"/>
      <c r="X512" s="272">
        <f t="shared" ref="X512:BA512" si="794">X65</f>
        <v>2.8019767385495118E-5</v>
      </c>
      <c r="Y512" s="272">
        <f t="shared" si="794"/>
        <v>2.8019767385495118E-5</v>
      </c>
      <c r="Z512" s="272">
        <f t="shared" si="794"/>
        <v>2.8019767385495118E-5</v>
      </c>
      <c r="AA512" s="272">
        <f t="shared" si="794"/>
        <v>2.8019767385495118E-5</v>
      </c>
      <c r="AB512" s="272">
        <f t="shared" si="794"/>
        <v>2.8019767385495118E-5</v>
      </c>
      <c r="AC512" s="272">
        <f t="shared" si="794"/>
        <v>2.8019767385495118E-5</v>
      </c>
      <c r="AD512" s="272">
        <f t="shared" si="794"/>
        <v>2.8019767385495118E-5</v>
      </c>
      <c r="AE512" s="272">
        <f t="shared" si="794"/>
        <v>2.8019767385495118E-5</v>
      </c>
      <c r="AF512" s="272">
        <f t="shared" si="794"/>
        <v>2.8019767385495118E-5</v>
      </c>
      <c r="AG512" s="272">
        <f t="shared" si="794"/>
        <v>2.8019767385495118E-5</v>
      </c>
      <c r="AH512" s="272">
        <f t="shared" si="794"/>
        <v>2.8019767385495118E-5</v>
      </c>
      <c r="AI512" s="272">
        <f t="shared" si="794"/>
        <v>2.8019767385495118E-5</v>
      </c>
      <c r="AJ512" s="272">
        <f t="shared" si="794"/>
        <v>2.8019767385495118E-5</v>
      </c>
      <c r="AK512" s="272">
        <f t="shared" si="794"/>
        <v>2.8019767385495118E-5</v>
      </c>
      <c r="AL512" s="272">
        <f t="shared" si="794"/>
        <v>2.8019767385495118E-5</v>
      </c>
      <c r="AM512" s="272">
        <f t="shared" si="794"/>
        <v>2.8019767385495118E-5</v>
      </c>
      <c r="AN512" s="272">
        <f t="shared" si="794"/>
        <v>2.8019767385495118E-5</v>
      </c>
      <c r="AO512" s="272">
        <f t="shared" si="794"/>
        <v>2.8019767385495118E-5</v>
      </c>
      <c r="AP512" s="272">
        <f t="shared" si="794"/>
        <v>2.8019767385495118E-5</v>
      </c>
      <c r="AQ512" s="272">
        <f t="shared" si="794"/>
        <v>2.8019767385495118E-5</v>
      </c>
      <c r="AR512" s="272">
        <f t="shared" si="794"/>
        <v>2.8019767385495118E-5</v>
      </c>
      <c r="AS512" s="272">
        <f t="shared" si="794"/>
        <v>2.8019767385495118E-5</v>
      </c>
      <c r="AT512" s="272">
        <f t="shared" si="794"/>
        <v>2.8019767385495118E-5</v>
      </c>
      <c r="AU512" s="272">
        <f t="shared" si="794"/>
        <v>2.8019767385495118E-5</v>
      </c>
      <c r="AV512" s="272">
        <f t="shared" si="794"/>
        <v>2.8019767385495118E-5</v>
      </c>
      <c r="AW512" s="272">
        <f t="shared" si="794"/>
        <v>2.8019767385495118E-5</v>
      </c>
      <c r="AX512" s="272">
        <f t="shared" si="794"/>
        <v>2.8019767385495118E-5</v>
      </c>
      <c r="AY512" s="272">
        <f t="shared" si="794"/>
        <v>2.8019767385495118E-5</v>
      </c>
      <c r="AZ512" s="272">
        <f t="shared" si="794"/>
        <v>2.8019767385495118E-5</v>
      </c>
      <c r="BA512" s="324">
        <f t="shared" si="794"/>
        <v>2.8019767385495118E-5</v>
      </c>
    </row>
    <row r="513" spans="19:53" ht="20.100000000000001" customHeight="1">
      <c r="S513" s="881" t="s">
        <v>3110</v>
      </c>
      <c r="T513" s="280"/>
      <c r="U513" s="280"/>
      <c r="V513" s="280"/>
      <c r="W513" s="280"/>
      <c r="X513" s="272">
        <f>IF(AND(X486&gt;(2020+TRANSPORT!$F$220),X486&lt;(2022+$G$220)),(TRANSPORT!$G$210-INDEX(TRANSPORT!$Y$512:$BA$512,1,($F$220-1)))/($G$220-$F$220+1),0)</f>
        <v>0</v>
      </c>
      <c r="Y513" s="272">
        <f>IF(AND(Y486&gt;(2020+TRANSPORT!$F$220),Y486&lt;(2022+$G$220)),(TRANSPORT!$G$210-INDEX(TRANSPORT!$Y$512:$BA$512,1,($F$220-1)))/($G$220-$F$220+1),0)</f>
        <v>0</v>
      </c>
      <c r="Z513" s="272">
        <f>IF(AND(Z486&gt;(2020+TRANSPORT!$F$220),Z486&lt;(2022+$G$220)),(TRANSPORT!$G$210-INDEX(TRANSPORT!$Y$512:$BA$512,1,($F$220-1)))/($G$220-$F$220+1),0)</f>
        <v>0</v>
      </c>
      <c r="AA513" s="272">
        <f>IF(AND(AA486&gt;(2020+TRANSPORT!$F$220),AA486&lt;(2022+$G$220)),(TRANSPORT!$G$210-INDEX(TRANSPORT!$Y$512:$BA$512,1,($F$220-1)))/($G$220-$F$220+1),0)</f>
        <v>0</v>
      </c>
      <c r="AB513" s="272">
        <f>IF(AND(AB486&gt;(2020+TRANSPORT!$F$220),AB486&lt;(2022+$G$220)),(TRANSPORT!$G$210-INDEX(TRANSPORT!$Y$512:$BA$512,1,($F$220-1)))/($G$220-$F$220+1),0)</f>
        <v>-4.669961230915853E-6</v>
      </c>
      <c r="AC513" s="272">
        <f>IF(AND(AC486&gt;(2020+TRANSPORT!$F$220),AC486&lt;(2022+$G$220)),(TRANSPORT!$G$210-INDEX(TRANSPORT!$Y$512:$BA$512,1,($F$220-1)))/($G$220-$F$220+1),0)</f>
        <v>-4.669961230915853E-6</v>
      </c>
      <c r="AD513" s="272">
        <f>IF(AND(AD486&gt;(2020+TRANSPORT!$F$220),AD486&lt;(2022+$G$220)),(TRANSPORT!$G$210-INDEX(TRANSPORT!$Y$512:$BA$512,1,($F$220-1)))/($G$220-$F$220+1),0)</f>
        <v>-4.669961230915853E-6</v>
      </c>
      <c r="AE513" s="272">
        <f>IF(AND(AE486&gt;(2020+TRANSPORT!$F$220),AE486&lt;(2022+$G$220)),(TRANSPORT!$G$210-INDEX(TRANSPORT!$Y$512:$BA$512,1,($F$220-1)))/($G$220-$F$220+1),0)</f>
        <v>-4.669961230915853E-6</v>
      </c>
      <c r="AF513" s="272">
        <f>IF(AND(AF486&gt;(2020+TRANSPORT!$F$220),AF486&lt;(2022+$G$220)),(TRANSPORT!$G$210-INDEX(TRANSPORT!$Y$512:$BA$512,1,($F$220-1)))/($G$220-$F$220+1),0)</f>
        <v>-4.669961230915853E-6</v>
      </c>
      <c r="AG513" s="272">
        <f>IF(AND(AG486&gt;(2020+TRANSPORT!$F$220),AG486&lt;(2022+$G$220)),(TRANSPORT!$G$210-INDEX(TRANSPORT!$Y$512:$BA$512,1,($F$220-1)))/($G$220-$F$220+1),0)</f>
        <v>-4.669961230915853E-6</v>
      </c>
      <c r="AH513" s="272">
        <f>IF(AND(AH486&gt;(2020+TRANSPORT!$F$220),AH486&lt;(2022+$G$220)),(TRANSPORT!$G$210-INDEX(TRANSPORT!$Y$512:$BA$512,1,($F$220-1)))/($G$220-$F$220+1),0)</f>
        <v>0</v>
      </c>
      <c r="AI513" s="272">
        <f>IF(AND(AI486&gt;(2020+TRANSPORT!$F$220),AI486&lt;(2022+$G$220)),(TRANSPORT!$G$210-INDEX(TRANSPORT!$Y$512:$BA$512,1,($F$220-1)))/($G$220-$F$220+1),0)</f>
        <v>0</v>
      </c>
      <c r="AJ513" s="272">
        <f>IF(AND(AJ486&gt;(2020+TRANSPORT!$F$220),AJ486&lt;(2022+$G$220)),(TRANSPORT!$G$210-INDEX(TRANSPORT!$Y$512:$BA$512,1,($F$220-1)))/($G$220-$F$220+1),0)</f>
        <v>0</v>
      </c>
      <c r="AK513" s="272">
        <f>IF(AND(AK486&gt;(2020+TRANSPORT!$F$220),AK486&lt;(2022+$G$220)),(TRANSPORT!$G$210-INDEX(TRANSPORT!$Y$512:$BA$512,1,($F$220-1)))/($G$220-$F$220+1),0)</f>
        <v>0</v>
      </c>
      <c r="AL513" s="272">
        <f>IF(AND(AL486&gt;(2020+TRANSPORT!$F$220),AL486&lt;(2022+$G$220)),(TRANSPORT!$G$210-INDEX(TRANSPORT!$Y$512:$BA$512,1,($F$220-1)))/($G$220-$F$220+1),0)</f>
        <v>0</v>
      </c>
      <c r="AM513" s="272">
        <f>IF(AND(AM486&gt;(2020+TRANSPORT!$F$220),AM486&lt;(2022+$G$220)),(TRANSPORT!$G$210-INDEX(TRANSPORT!$Y$512:$BA$512,1,($F$220-1)))/($G$220-$F$220+1),0)</f>
        <v>0</v>
      </c>
      <c r="AN513" s="272">
        <f>IF(AND(AN486&gt;(2020+TRANSPORT!$F$220),AN486&lt;(2022+$G$220)),(TRANSPORT!$G$210-INDEX(TRANSPORT!$Y$512:$BA$512,1,($F$220-1)))/($G$220-$F$220+1),0)</f>
        <v>0</v>
      </c>
      <c r="AO513" s="272">
        <f>IF(AND(AO486&gt;(2020+TRANSPORT!$F$220),AO486&lt;(2022+$G$220)),(TRANSPORT!$G$210-INDEX(TRANSPORT!$Y$512:$BA$512,1,($F$220-1)))/($G$220-$F$220+1),0)</f>
        <v>0</v>
      </c>
      <c r="AP513" s="272">
        <f>IF(AND(AP486&gt;(2020+TRANSPORT!$F$220),AP486&lt;(2022+$G$220)),(TRANSPORT!$G$210-INDEX(TRANSPORT!$Y$512:$BA$512,1,($F$220-1)))/($G$220-$F$220+1),0)</f>
        <v>0</v>
      </c>
      <c r="AQ513" s="272">
        <f>IF(AND(AQ486&gt;(2020+TRANSPORT!$F$220),AQ486&lt;(2022+$G$220)),(TRANSPORT!$G$210-INDEX(TRANSPORT!$Y$512:$BA$512,1,($F$220-1)))/($G$220-$F$220+1),0)</f>
        <v>0</v>
      </c>
      <c r="AR513" s="272">
        <f>IF(AND(AR486&gt;(2020+TRANSPORT!$F$220),AR486&lt;(2022+$G$220)),(TRANSPORT!$G$210-INDEX(TRANSPORT!$Y$512:$BA$512,1,($F$220-1)))/($G$220-$F$220+1),0)</f>
        <v>0</v>
      </c>
      <c r="AS513" s="272">
        <f>IF(AND(AS486&gt;(2020+TRANSPORT!$F$220),AS486&lt;(2022+$G$220)),(TRANSPORT!$G$210-INDEX(TRANSPORT!$Y$512:$BA$512,1,($F$220-1)))/($G$220-$F$220+1),0)</f>
        <v>0</v>
      </c>
      <c r="AT513" s="272">
        <f>IF(AND(AT486&gt;(2020+TRANSPORT!$F$220),AT486&lt;(2022+$G$220)),(TRANSPORT!$G$210-INDEX(TRANSPORT!$Y$512:$BA$512,1,($F$220-1)))/($G$220-$F$220+1),0)</f>
        <v>0</v>
      </c>
      <c r="AU513" s="272">
        <f>IF(AND(AU486&gt;(2020+TRANSPORT!$F$220),AU486&lt;(2022+$G$220)),(TRANSPORT!$G$210-INDEX(TRANSPORT!$Y$512:$BA$512,1,($F$220-1)))/($G$220-$F$220+1),0)</f>
        <v>0</v>
      </c>
      <c r="AV513" s="272">
        <f>IF(AND(AV486&gt;(2020+TRANSPORT!$F$220),AV486&lt;(2022+$G$220)),(TRANSPORT!$G$210-INDEX(TRANSPORT!$Y$512:$BA$512,1,($F$220-1)))/($G$220-$F$220+1),0)</f>
        <v>0</v>
      </c>
      <c r="AW513" s="272">
        <f>IF(AND(AW486&gt;(2020+TRANSPORT!$F$220),AW486&lt;(2022+$G$220)),(TRANSPORT!$G$210-INDEX(TRANSPORT!$Y$512:$BA$512,1,($F$220-1)))/($G$220-$F$220+1),0)</f>
        <v>0</v>
      </c>
      <c r="AX513" s="272">
        <f>IF(AND(AX486&gt;(2020+TRANSPORT!$F$220),AX486&lt;(2022+$G$220)),(TRANSPORT!$G$210-INDEX(TRANSPORT!$Y$512:$BA$512,1,($F$220-1)))/($G$220-$F$220+1),0)</f>
        <v>0</v>
      </c>
      <c r="AY513" s="272">
        <f>IF(AND(AY486&gt;(2020+TRANSPORT!$F$220),AY486&lt;(2022+$G$220)),(TRANSPORT!$G$210-INDEX(TRANSPORT!$Y$512:$BA$512,1,($F$220-1)))/($G$220-$F$220+1),0)</f>
        <v>0</v>
      </c>
      <c r="AZ513" s="272">
        <f>IF(AND(AZ486&gt;(2020+TRANSPORT!$F$220),AZ486&lt;(2022+$G$220)),(TRANSPORT!$G$210-INDEX(TRANSPORT!$Y$512:$BA$512,1,($F$220-1)))/($G$220-$F$220+1),0)</f>
        <v>0</v>
      </c>
      <c r="BA513" s="324">
        <f>IF(AND(BA486&gt;(2020+TRANSPORT!$F$220),BA486&lt;(2022+$G$220)),(TRANSPORT!$G$210-INDEX(TRANSPORT!$Y$512:$BA$512,1,($F$220-1)))/($G$220-$F$220+1),0)</f>
        <v>0</v>
      </c>
    </row>
    <row r="514" spans="19:53" ht="20.100000000000001" customHeight="1">
      <c r="S514" s="1300" t="s">
        <v>3169</v>
      </c>
      <c r="T514" s="561" t="s">
        <v>3161</v>
      </c>
      <c r="U514" s="280"/>
      <c r="V514" s="280"/>
      <c r="W514" s="280"/>
      <c r="X514" s="1220">
        <f>SUM(X512:X513)</f>
        <v>2.8019767385495118E-5</v>
      </c>
      <c r="Y514" s="1220">
        <f>IF(Y513=0,X514*(IF(X512=0,1,Y512/X512)),X514+Y513)</f>
        <v>2.8019767385495118E-5</v>
      </c>
      <c r="Z514" s="1220">
        <f t="shared" ref="Z514:BA514" si="795">IF(Z513=0,Y514*(IF(Y512=0,1,Z512/Y512)),Y514+Z513)</f>
        <v>2.8019767385495118E-5</v>
      </c>
      <c r="AA514" s="1220">
        <f t="shared" si="795"/>
        <v>2.8019767385495118E-5</v>
      </c>
      <c r="AB514" s="1220">
        <f t="shared" si="795"/>
        <v>2.3349806154579265E-5</v>
      </c>
      <c r="AC514" s="1220">
        <f t="shared" si="795"/>
        <v>1.8679844923663412E-5</v>
      </c>
      <c r="AD514" s="1220">
        <f t="shared" si="795"/>
        <v>1.4009883692747559E-5</v>
      </c>
      <c r="AE514" s="1220">
        <f t="shared" si="795"/>
        <v>9.3399224618317061E-6</v>
      </c>
      <c r="AF514" s="1220">
        <f t="shared" si="795"/>
        <v>4.669961230915853E-6</v>
      </c>
      <c r="AG514" s="1220">
        <f t="shared" si="795"/>
        <v>0</v>
      </c>
      <c r="AH514" s="1220">
        <f t="shared" si="795"/>
        <v>0</v>
      </c>
      <c r="AI514" s="1220">
        <f t="shared" si="795"/>
        <v>0</v>
      </c>
      <c r="AJ514" s="1220">
        <f t="shared" si="795"/>
        <v>0</v>
      </c>
      <c r="AK514" s="1220">
        <f t="shared" si="795"/>
        <v>0</v>
      </c>
      <c r="AL514" s="1220">
        <f t="shared" si="795"/>
        <v>0</v>
      </c>
      <c r="AM514" s="1220">
        <f t="shared" si="795"/>
        <v>0</v>
      </c>
      <c r="AN514" s="1220">
        <f t="shared" si="795"/>
        <v>0</v>
      </c>
      <c r="AO514" s="1220">
        <f t="shared" si="795"/>
        <v>0</v>
      </c>
      <c r="AP514" s="1220">
        <f t="shared" si="795"/>
        <v>0</v>
      </c>
      <c r="AQ514" s="1220">
        <f t="shared" si="795"/>
        <v>0</v>
      </c>
      <c r="AR514" s="1220">
        <f t="shared" si="795"/>
        <v>0</v>
      </c>
      <c r="AS514" s="1220">
        <f t="shared" si="795"/>
        <v>0</v>
      </c>
      <c r="AT514" s="1220">
        <f t="shared" si="795"/>
        <v>0</v>
      </c>
      <c r="AU514" s="1220">
        <f t="shared" si="795"/>
        <v>0</v>
      </c>
      <c r="AV514" s="1220">
        <f t="shared" si="795"/>
        <v>0</v>
      </c>
      <c r="AW514" s="1220">
        <f t="shared" si="795"/>
        <v>0</v>
      </c>
      <c r="AX514" s="1220">
        <f t="shared" si="795"/>
        <v>0</v>
      </c>
      <c r="AY514" s="1220">
        <f t="shared" si="795"/>
        <v>0</v>
      </c>
      <c r="AZ514" s="1220">
        <f t="shared" si="795"/>
        <v>0</v>
      </c>
      <c r="BA514" s="1221">
        <f t="shared" si="795"/>
        <v>0</v>
      </c>
    </row>
    <row r="515" spans="19:53" ht="20.100000000000001" customHeight="1">
      <c r="S515" s="1301" t="s">
        <v>986</v>
      </c>
      <c r="T515" s="1297"/>
      <c r="U515" s="1297"/>
      <c r="V515" s="1297"/>
      <c r="W515" s="1297"/>
      <c r="X515" s="345">
        <f t="shared" ref="X515:BA515" si="796">X66</f>
        <v>0.12541647881747614</v>
      </c>
      <c r="Y515" s="345">
        <f t="shared" si="796"/>
        <v>0.12541647881747614</v>
      </c>
      <c r="Z515" s="345">
        <f t="shared" si="796"/>
        <v>0.12541647881747614</v>
      </c>
      <c r="AA515" s="345">
        <f t="shared" si="796"/>
        <v>0.12541647881747614</v>
      </c>
      <c r="AB515" s="345">
        <f t="shared" si="796"/>
        <v>0.12541647881747614</v>
      </c>
      <c r="AC515" s="345">
        <f t="shared" si="796"/>
        <v>0.12541647881747614</v>
      </c>
      <c r="AD515" s="345">
        <f t="shared" si="796"/>
        <v>0.12541647881747614</v>
      </c>
      <c r="AE515" s="345">
        <f t="shared" si="796"/>
        <v>0.12541647881747614</v>
      </c>
      <c r="AF515" s="345">
        <f t="shared" si="796"/>
        <v>0.12541647881747614</v>
      </c>
      <c r="AG515" s="345">
        <f t="shared" si="796"/>
        <v>0.12541647881747614</v>
      </c>
      <c r="AH515" s="345">
        <f t="shared" si="796"/>
        <v>0.12541647881747614</v>
      </c>
      <c r="AI515" s="345">
        <f t="shared" si="796"/>
        <v>0.12541647881747614</v>
      </c>
      <c r="AJ515" s="345">
        <f t="shared" si="796"/>
        <v>0.12541647881747614</v>
      </c>
      <c r="AK515" s="345">
        <f t="shared" si="796"/>
        <v>0.12541647881747614</v>
      </c>
      <c r="AL515" s="345">
        <f t="shared" si="796"/>
        <v>0.12541647881747614</v>
      </c>
      <c r="AM515" s="345">
        <f t="shared" si="796"/>
        <v>0.12541647881747614</v>
      </c>
      <c r="AN515" s="345">
        <f t="shared" si="796"/>
        <v>0.12541647881747614</v>
      </c>
      <c r="AO515" s="345">
        <f t="shared" si="796"/>
        <v>0.12541647881747614</v>
      </c>
      <c r="AP515" s="345">
        <f t="shared" si="796"/>
        <v>0.12541647881747614</v>
      </c>
      <c r="AQ515" s="345">
        <f t="shared" si="796"/>
        <v>0.12541647881747614</v>
      </c>
      <c r="AR515" s="345">
        <f t="shared" si="796"/>
        <v>0.12541647881747614</v>
      </c>
      <c r="AS515" s="345">
        <f t="shared" si="796"/>
        <v>0.12541647881747614</v>
      </c>
      <c r="AT515" s="345">
        <f t="shared" si="796"/>
        <v>0.12541647881747614</v>
      </c>
      <c r="AU515" s="345">
        <f t="shared" si="796"/>
        <v>0.12541647881747614</v>
      </c>
      <c r="AV515" s="345">
        <f t="shared" si="796"/>
        <v>0.12541647881747614</v>
      </c>
      <c r="AW515" s="345">
        <f t="shared" si="796"/>
        <v>0.12541647881747614</v>
      </c>
      <c r="AX515" s="345">
        <f t="shared" si="796"/>
        <v>0.12541647881747614</v>
      </c>
      <c r="AY515" s="345">
        <f t="shared" si="796"/>
        <v>0.12541647881747614</v>
      </c>
      <c r="AZ515" s="345">
        <f t="shared" si="796"/>
        <v>0.12541647881747614</v>
      </c>
      <c r="BA515" s="1302">
        <f t="shared" si="796"/>
        <v>0.12541647881747614</v>
      </c>
    </row>
    <row r="516" spans="19:53" ht="20.100000000000001" customHeight="1">
      <c r="S516" s="1301" t="s">
        <v>3110</v>
      </c>
      <c r="T516" s="1297"/>
      <c r="U516" s="1297"/>
      <c r="V516" s="1297"/>
      <c r="W516" s="1297"/>
      <c r="X516" s="345">
        <f>IF(AND(X486&gt;(2020+TRANSPORT!$F$220),X486&lt;(2022+$G$220)),(TRANSPORT!$G$211-INDEX(TRANSPORT!$Y$515:$BA$515,1,($F$220-1)))/($G$220-$F$220+1),0)</f>
        <v>0</v>
      </c>
      <c r="Y516" s="345">
        <f>IF(AND(Y486&gt;(2020+TRANSPORT!$F$220),Y486&lt;(2022+$G$220)),(TRANSPORT!$G$211-INDEX(TRANSPORT!$Y$515:$BA$515,1,($F$220-1)))/($G$220-$F$220+1),0)</f>
        <v>0</v>
      </c>
      <c r="Z516" s="345">
        <f>IF(AND(Z486&gt;(2020+TRANSPORT!$F$220),Z486&lt;(2022+$G$220)),(TRANSPORT!$G$211-INDEX(TRANSPORT!$Y$515:$BA$515,1,($F$220-1)))/($G$220-$F$220+1),0)</f>
        <v>0</v>
      </c>
      <c r="AA516" s="345">
        <f>IF(AND(AA486&gt;(2020+TRANSPORT!$F$220),AA486&lt;(2022+$G$220)),(TRANSPORT!$G$211-INDEX(TRANSPORT!$Y$515:$BA$515,1,($F$220-1)))/($G$220-$F$220+1),0)</f>
        <v>0</v>
      </c>
      <c r="AB516" s="345">
        <f>IF(AND(AB486&gt;(2020+TRANSPORT!$F$220),AB486&lt;(2022+$G$220)),(TRANSPORT!$G$211-INDEX(TRANSPORT!$Y$515:$BA$515,1,($F$220-1)))/($G$220-$F$220+1),0)</f>
        <v>-2.0902746469579358E-2</v>
      </c>
      <c r="AC516" s="345">
        <f>IF(AND(AC486&gt;(2020+TRANSPORT!$F$220),AC486&lt;(2022+$G$220)),(TRANSPORT!$G$211-INDEX(TRANSPORT!$Y$515:$BA$515,1,($F$220-1)))/($G$220-$F$220+1),0)</f>
        <v>-2.0902746469579358E-2</v>
      </c>
      <c r="AD516" s="345">
        <f>IF(AND(AD486&gt;(2020+TRANSPORT!$F$220),AD486&lt;(2022+$G$220)),(TRANSPORT!$G$211-INDEX(TRANSPORT!$Y$515:$BA$515,1,($F$220-1)))/($G$220-$F$220+1),0)</f>
        <v>-2.0902746469579358E-2</v>
      </c>
      <c r="AE516" s="345">
        <f>IF(AND(AE486&gt;(2020+TRANSPORT!$F$220),AE486&lt;(2022+$G$220)),(TRANSPORT!$G$211-INDEX(TRANSPORT!$Y$515:$BA$515,1,($F$220-1)))/($G$220-$F$220+1),0)</f>
        <v>-2.0902746469579358E-2</v>
      </c>
      <c r="AF516" s="345">
        <f>IF(AND(AF486&gt;(2020+TRANSPORT!$F$220),AF486&lt;(2022+$G$220)),(TRANSPORT!$G$211-INDEX(TRANSPORT!$Y$515:$BA$515,1,($F$220-1)))/($G$220-$F$220+1),0)</f>
        <v>-2.0902746469579358E-2</v>
      </c>
      <c r="AG516" s="345">
        <f>IF(AND(AG486&gt;(2020+TRANSPORT!$F$220),AG486&lt;(2022+$G$220)),(TRANSPORT!$G$211-INDEX(TRANSPORT!$Y$515:$BA$515,1,($F$220-1)))/($G$220-$F$220+1),0)</f>
        <v>-2.0902746469579358E-2</v>
      </c>
      <c r="AH516" s="345">
        <f>IF(AND(AH486&gt;(2020+TRANSPORT!$F$220),AH486&lt;(2022+$G$220)),(TRANSPORT!$G$211-INDEX(TRANSPORT!$Y$515:$BA$515,1,($F$220-1)))/($G$220-$F$220+1),0)</f>
        <v>0</v>
      </c>
      <c r="AI516" s="345">
        <f>IF(AND(AI486&gt;(2020+TRANSPORT!$F$220),AI486&lt;(2022+$G$220)),(TRANSPORT!$G$211-INDEX(TRANSPORT!$Y$515:$BA$515,1,($F$220-1)))/($G$220-$F$220+1),0)</f>
        <v>0</v>
      </c>
      <c r="AJ516" s="345">
        <f>IF(AND(AJ486&gt;(2020+TRANSPORT!$F$220),AJ486&lt;(2022+$G$220)),(TRANSPORT!$G$211-INDEX(TRANSPORT!$Y$515:$BA$515,1,($F$220-1)))/($G$220-$F$220+1),0)</f>
        <v>0</v>
      </c>
      <c r="AK516" s="345">
        <f>IF(AND(AK486&gt;(2020+TRANSPORT!$F$220),AK486&lt;(2022+$G$220)),(TRANSPORT!$G$211-INDEX(TRANSPORT!$Y$515:$BA$515,1,($F$220-1)))/($G$220-$F$220+1),0)</f>
        <v>0</v>
      </c>
      <c r="AL516" s="345">
        <f>IF(AND(AL486&gt;(2020+TRANSPORT!$F$220),AL486&lt;(2022+$G$220)),(TRANSPORT!$G$211-INDEX(TRANSPORT!$Y$515:$BA$515,1,($F$220-1)))/($G$220-$F$220+1),0)</f>
        <v>0</v>
      </c>
      <c r="AM516" s="345">
        <f>IF(AND(AM486&gt;(2020+TRANSPORT!$F$220),AM486&lt;(2022+$G$220)),(TRANSPORT!$G$211-INDEX(TRANSPORT!$Y$515:$BA$515,1,($F$220-1)))/($G$220-$F$220+1),0)</f>
        <v>0</v>
      </c>
      <c r="AN516" s="345">
        <f>IF(AND(AN486&gt;(2020+TRANSPORT!$F$220),AN486&lt;(2022+$G$220)),(TRANSPORT!$G$211-INDEX(TRANSPORT!$Y$515:$BA$515,1,($F$220-1)))/($G$220-$F$220+1),0)</f>
        <v>0</v>
      </c>
      <c r="AO516" s="345">
        <f>IF(AND(AO486&gt;(2020+TRANSPORT!$F$220),AO486&lt;(2022+$G$220)),(TRANSPORT!$G$211-INDEX(TRANSPORT!$Y$515:$BA$515,1,($F$220-1)))/($G$220-$F$220+1),0)</f>
        <v>0</v>
      </c>
      <c r="AP516" s="345">
        <f>IF(AND(AP486&gt;(2020+TRANSPORT!$F$220),AP486&lt;(2022+$G$220)),(TRANSPORT!$G$211-INDEX(TRANSPORT!$Y$515:$BA$515,1,($F$220-1)))/($G$220-$F$220+1),0)</f>
        <v>0</v>
      </c>
      <c r="AQ516" s="345">
        <f>IF(AND(AQ486&gt;(2020+TRANSPORT!$F$220),AQ486&lt;(2022+$G$220)),(TRANSPORT!$G$211-INDEX(TRANSPORT!$Y$515:$BA$515,1,($F$220-1)))/($G$220-$F$220+1),0)</f>
        <v>0</v>
      </c>
      <c r="AR516" s="345">
        <f>IF(AND(AR486&gt;(2020+TRANSPORT!$F$220),AR486&lt;(2022+$G$220)),(TRANSPORT!$G$211-INDEX(TRANSPORT!$Y$515:$BA$515,1,($F$220-1)))/($G$220-$F$220+1),0)</f>
        <v>0</v>
      </c>
      <c r="AS516" s="345">
        <f>IF(AND(AS486&gt;(2020+TRANSPORT!$F$220),AS486&lt;(2022+$G$220)),(TRANSPORT!$G$211-INDEX(TRANSPORT!$Y$515:$BA$515,1,($F$220-1)))/($G$220-$F$220+1),0)</f>
        <v>0</v>
      </c>
      <c r="AT516" s="345">
        <f>IF(AND(AT486&gt;(2020+TRANSPORT!$F$220),AT486&lt;(2022+$G$220)),(TRANSPORT!$G$211-INDEX(TRANSPORT!$Y$515:$BA$515,1,($F$220-1)))/($G$220-$F$220+1),0)</f>
        <v>0</v>
      </c>
      <c r="AU516" s="345">
        <f>IF(AND(AU486&gt;(2020+TRANSPORT!$F$220),AU486&lt;(2022+$G$220)),(TRANSPORT!$G$211-INDEX(TRANSPORT!$Y$515:$BA$515,1,($F$220-1)))/($G$220-$F$220+1),0)</f>
        <v>0</v>
      </c>
      <c r="AV516" s="345">
        <f>IF(AND(AV486&gt;(2020+TRANSPORT!$F$220),AV486&lt;(2022+$G$220)),(TRANSPORT!$G$211-INDEX(TRANSPORT!$Y$515:$BA$515,1,($F$220-1)))/($G$220-$F$220+1),0)</f>
        <v>0</v>
      </c>
      <c r="AW516" s="345">
        <f>IF(AND(AW486&gt;(2020+TRANSPORT!$F$220),AW486&lt;(2022+$G$220)),(TRANSPORT!$G$211-INDEX(TRANSPORT!$Y$515:$BA$515,1,($F$220-1)))/($G$220-$F$220+1),0)</f>
        <v>0</v>
      </c>
      <c r="AX516" s="345">
        <f>IF(AND(AX486&gt;(2020+TRANSPORT!$F$220),AX486&lt;(2022+$G$220)),(TRANSPORT!$G$211-INDEX(TRANSPORT!$Y$515:$BA$515,1,($F$220-1)))/($G$220-$F$220+1),0)</f>
        <v>0</v>
      </c>
      <c r="AY516" s="345">
        <f>IF(AND(AY486&gt;(2020+TRANSPORT!$F$220),AY486&lt;(2022+$G$220)),(TRANSPORT!$G$211-INDEX(TRANSPORT!$Y$515:$BA$515,1,($F$220-1)))/($G$220-$F$220+1),0)</f>
        <v>0</v>
      </c>
      <c r="AZ516" s="345">
        <f>IF(AND(AZ486&gt;(2020+TRANSPORT!$F$220),AZ486&lt;(2022+$G$220)),(TRANSPORT!$G$211-INDEX(TRANSPORT!$Y$515:$BA$515,1,($F$220-1)))/($G$220-$F$220+1),0)</f>
        <v>0</v>
      </c>
      <c r="BA516" s="1302">
        <f>IF(AND(BA486&gt;(2020+TRANSPORT!$F$220),BA486&lt;(2022+$G$220)),(TRANSPORT!$G$211-INDEX(TRANSPORT!$Y$515:$BA$515,1,($F$220-1)))/($G$220-$F$220+1),0)</f>
        <v>0</v>
      </c>
    </row>
    <row r="517" spans="19:53" ht="20.100000000000001" customHeight="1">
      <c r="S517" s="1308" t="s">
        <v>3170</v>
      </c>
      <c r="T517" s="1305" t="s">
        <v>3161</v>
      </c>
      <c r="U517" s="1297"/>
      <c r="V517" s="1297"/>
      <c r="W517" s="1297"/>
      <c r="X517" s="1306">
        <f>SUM(X515:X516)</f>
        <v>0.12541647881747614</v>
      </c>
      <c r="Y517" s="1306">
        <f>IF(Y516=0,X517*(IF(X515=0,1,Y515/X515)),X517+Y516)</f>
        <v>0.12541647881747614</v>
      </c>
      <c r="Z517" s="1306">
        <f t="shared" ref="Z517:BA517" si="797">IF(Z516=0,Y517*(IF(Y515=0,1,Z515/Y515)),Y517+Z516)</f>
        <v>0.12541647881747614</v>
      </c>
      <c r="AA517" s="1306">
        <f t="shared" si="797"/>
        <v>0.12541647881747614</v>
      </c>
      <c r="AB517" s="1306">
        <f t="shared" si="797"/>
        <v>0.10451373234789678</v>
      </c>
      <c r="AC517" s="1306">
        <f t="shared" si="797"/>
        <v>8.3610985878317418E-2</v>
      </c>
      <c r="AD517" s="1306">
        <f t="shared" si="797"/>
        <v>6.2708239408738056E-2</v>
      </c>
      <c r="AE517" s="1306">
        <f t="shared" si="797"/>
        <v>4.1805492939158695E-2</v>
      </c>
      <c r="AF517" s="1306">
        <f t="shared" si="797"/>
        <v>2.0902746469579337E-2</v>
      </c>
      <c r="AG517" s="1306">
        <f t="shared" si="797"/>
        <v>-2.0816681711721685E-17</v>
      </c>
      <c r="AH517" s="1306">
        <f t="shared" si="797"/>
        <v>-2.0816681711721685E-17</v>
      </c>
      <c r="AI517" s="1306">
        <f t="shared" si="797"/>
        <v>-2.0816681711721685E-17</v>
      </c>
      <c r="AJ517" s="1306">
        <f t="shared" si="797"/>
        <v>-2.0816681711721685E-17</v>
      </c>
      <c r="AK517" s="1306">
        <f t="shared" si="797"/>
        <v>-2.0816681711721685E-17</v>
      </c>
      <c r="AL517" s="1306">
        <f t="shared" si="797"/>
        <v>-2.0816681711721685E-17</v>
      </c>
      <c r="AM517" s="1306">
        <f t="shared" si="797"/>
        <v>-2.0816681711721685E-17</v>
      </c>
      <c r="AN517" s="1306">
        <f t="shared" si="797"/>
        <v>-2.0816681711721685E-17</v>
      </c>
      <c r="AO517" s="1306">
        <f t="shared" si="797"/>
        <v>-2.0816681711721685E-17</v>
      </c>
      <c r="AP517" s="1306">
        <f t="shared" si="797"/>
        <v>-2.0816681711721685E-17</v>
      </c>
      <c r="AQ517" s="1306">
        <f t="shared" si="797"/>
        <v>-2.0816681711721685E-17</v>
      </c>
      <c r="AR517" s="1306">
        <f t="shared" si="797"/>
        <v>-2.0816681711721685E-17</v>
      </c>
      <c r="AS517" s="1306">
        <f t="shared" si="797"/>
        <v>-2.0816681711721685E-17</v>
      </c>
      <c r="AT517" s="1306">
        <f t="shared" si="797"/>
        <v>-2.0816681711721685E-17</v>
      </c>
      <c r="AU517" s="1306">
        <f t="shared" si="797"/>
        <v>-2.0816681711721685E-17</v>
      </c>
      <c r="AV517" s="1306">
        <f t="shared" si="797"/>
        <v>-2.0816681711721685E-17</v>
      </c>
      <c r="AW517" s="1306">
        <f t="shared" si="797"/>
        <v>-2.0816681711721685E-17</v>
      </c>
      <c r="AX517" s="1306">
        <f t="shared" si="797"/>
        <v>-2.0816681711721685E-17</v>
      </c>
      <c r="AY517" s="1306">
        <f t="shared" si="797"/>
        <v>-2.0816681711721685E-17</v>
      </c>
      <c r="AZ517" s="1306">
        <f t="shared" si="797"/>
        <v>-2.0816681711721685E-17</v>
      </c>
      <c r="BA517" s="1307">
        <f t="shared" si="797"/>
        <v>-2.0816681711721685E-17</v>
      </c>
    </row>
    <row r="518" spans="19:53" ht="20.100000000000001" customHeight="1">
      <c r="S518" s="881" t="s">
        <v>987</v>
      </c>
      <c r="T518" s="280"/>
      <c r="U518" s="280"/>
      <c r="V518" s="280"/>
      <c r="W518" s="280"/>
      <c r="X518" s="272">
        <f t="shared" ref="X518:BA518" si="798">X67</f>
        <v>0</v>
      </c>
      <c r="Y518" s="272">
        <f t="shared" si="798"/>
        <v>0</v>
      </c>
      <c r="Z518" s="272">
        <f t="shared" si="798"/>
        <v>0</v>
      </c>
      <c r="AA518" s="272">
        <f t="shared" si="798"/>
        <v>0</v>
      </c>
      <c r="AB518" s="272">
        <f t="shared" si="798"/>
        <v>0</v>
      </c>
      <c r="AC518" s="272">
        <f t="shared" si="798"/>
        <v>0</v>
      </c>
      <c r="AD518" s="272">
        <f t="shared" si="798"/>
        <v>0</v>
      </c>
      <c r="AE518" s="272">
        <f t="shared" si="798"/>
        <v>0</v>
      </c>
      <c r="AF518" s="272">
        <f t="shared" si="798"/>
        <v>0</v>
      </c>
      <c r="AG518" s="272">
        <f t="shared" si="798"/>
        <v>0</v>
      </c>
      <c r="AH518" s="272">
        <f t="shared" si="798"/>
        <v>0</v>
      </c>
      <c r="AI518" s="272">
        <f t="shared" si="798"/>
        <v>0</v>
      </c>
      <c r="AJ518" s="272">
        <f t="shared" si="798"/>
        <v>0</v>
      </c>
      <c r="AK518" s="272">
        <f t="shared" si="798"/>
        <v>0</v>
      </c>
      <c r="AL518" s="272">
        <f t="shared" si="798"/>
        <v>0</v>
      </c>
      <c r="AM518" s="272">
        <f t="shared" si="798"/>
        <v>0</v>
      </c>
      <c r="AN518" s="272">
        <f t="shared" si="798"/>
        <v>0</v>
      </c>
      <c r="AO518" s="272">
        <f t="shared" si="798"/>
        <v>0</v>
      </c>
      <c r="AP518" s="272">
        <f t="shared" si="798"/>
        <v>0</v>
      </c>
      <c r="AQ518" s="272">
        <f t="shared" si="798"/>
        <v>0</v>
      </c>
      <c r="AR518" s="272">
        <f t="shared" si="798"/>
        <v>0</v>
      </c>
      <c r="AS518" s="272">
        <f t="shared" si="798"/>
        <v>0</v>
      </c>
      <c r="AT518" s="272">
        <f t="shared" si="798"/>
        <v>0</v>
      </c>
      <c r="AU518" s="272">
        <f t="shared" si="798"/>
        <v>0</v>
      </c>
      <c r="AV518" s="272">
        <f t="shared" si="798"/>
        <v>0</v>
      </c>
      <c r="AW518" s="272">
        <f t="shared" si="798"/>
        <v>0</v>
      </c>
      <c r="AX518" s="272">
        <f t="shared" si="798"/>
        <v>0</v>
      </c>
      <c r="AY518" s="272">
        <f t="shared" si="798"/>
        <v>0</v>
      </c>
      <c r="AZ518" s="272">
        <f t="shared" si="798"/>
        <v>0</v>
      </c>
      <c r="BA518" s="324">
        <f t="shared" si="798"/>
        <v>0</v>
      </c>
    </row>
    <row r="519" spans="19:53" ht="20.100000000000001" customHeight="1">
      <c r="S519" s="881" t="s">
        <v>3110</v>
      </c>
      <c r="T519" s="280"/>
      <c r="U519" s="280"/>
      <c r="V519" s="280"/>
      <c r="W519" s="280"/>
      <c r="X519" s="272">
        <f>IF(AND(X486&gt;(2020+TRANSPORT!$F$220),X486&lt;(2022+$G$220)),(TRANSPORT!$G$212-INDEX(TRANSPORT!$Y$518:$BA$518,1,($F$220-1)))/($G$220-$F$220+1),0)</f>
        <v>0</v>
      </c>
      <c r="Y519" s="272">
        <f>IF(AND(Y486&gt;(2020+TRANSPORT!$F$220),Y486&lt;(2022+$G$220)),(TRANSPORT!$G$212-INDEX(TRANSPORT!$Y$518:$BA$518,1,($F$220-1)))/($G$220-$F$220+1),0)</f>
        <v>0</v>
      </c>
      <c r="Z519" s="272">
        <f>IF(AND(Z486&gt;(2020+TRANSPORT!$F$220),Z486&lt;(2022+$G$220)),(TRANSPORT!$G$212-INDEX(TRANSPORT!$Y$518:$BA$518,1,($F$220-1)))/($G$220-$F$220+1),0)</f>
        <v>0</v>
      </c>
      <c r="AA519" s="272">
        <f>IF(AND(AA486&gt;(2020+TRANSPORT!$F$220),AA486&lt;(2022+$G$220)),(TRANSPORT!$G$212-INDEX(TRANSPORT!$Y$518:$BA$518,1,($F$220-1)))/($G$220-$F$220+1),0)</f>
        <v>0</v>
      </c>
      <c r="AB519" s="272">
        <f>IF(AND(AB486&gt;(2020+TRANSPORT!$F$220),AB486&lt;(2022+$G$220)),(TRANSPORT!$G$212-INDEX(TRANSPORT!$Y$518:$BA$518,1,($F$220-1)))/($G$220-$F$220+1),0)</f>
        <v>0</v>
      </c>
      <c r="AC519" s="272">
        <f>IF(AND(AC486&gt;(2020+TRANSPORT!$F$220),AC486&lt;(2022+$G$220)),(TRANSPORT!$G$212-INDEX(TRANSPORT!$Y$518:$BA$518,1,($F$220-1)))/($G$220-$F$220+1),0)</f>
        <v>0</v>
      </c>
      <c r="AD519" s="272">
        <f>IF(AND(AD486&gt;(2020+TRANSPORT!$F$220),AD486&lt;(2022+$G$220)),(TRANSPORT!$G$212-INDEX(TRANSPORT!$Y$518:$BA$518,1,($F$220-1)))/($G$220-$F$220+1),0)</f>
        <v>0</v>
      </c>
      <c r="AE519" s="272">
        <f>IF(AND(AE486&gt;(2020+TRANSPORT!$F$220),AE486&lt;(2022+$G$220)),(TRANSPORT!$G$212-INDEX(TRANSPORT!$Y$518:$BA$518,1,($F$220-1)))/($G$220-$F$220+1),0)</f>
        <v>0</v>
      </c>
      <c r="AF519" s="272">
        <f>IF(AND(AF486&gt;(2020+TRANSPORT!$F$220),AF486&lt;(2022+$G$220)),(TRANSPORT!$G$212-INDEX(TRANSPORT!$Y$518:$BA$518,1,($F$220-1)))/($G$220-$F$220+1),0)</f>
        <v>0</v>
      </c>
      <c r="AG519" s="272">
        <f>IF(AND(AG486&gt;(2020+TRANSPORT!$F$220),AG486&lt;(2022+$G$220)),(TRANSPORT!$G$212-INDEX(TRANSPORT!$Y$518:$BA$518,1,($F$220-1)))/($G$220-$F$220+1),0)</f>
        <v>0</v>
      </c>
      <c r="AH519" s="272">
        <f>IF(AND(AH486&gt;(2020+TRANSPORT!$F$220),AH486&lt;(2022+$G$220)),(TRANSPORT!$G$212-INDEX(TRANSPORT!$Y$518:$BA$518,1,($F$220-1)))/($G$220-$F$220+1),0)</f>
        <v>0</v>
      </c>
      <c r="AI519" s="272">
        <f>IF(AND(AI486&gt;(2020+TRANSPORT!$F$220),AI486&lt;(2022+$G$220)),(TRANSPORT!$G$212-INDEX(TRANSPORT!$Y$518:$BA$518,1,($F$220-1)))/($G$220-$F$220+1),0)</f>
        <v>0</v>
      </c>
      <c r="AJ519" s="272">
        <f>IF(AND(AJ486&gt;(2020+TRANSPORT!$F$220),AJ486&lt;(2022+$G$220)),(TRANSPORT!$G$212-INDEX(TRANSPORT!$Y$518:$BA$518,1,($F$220-1)))/($G$220-$F$220+1),0)</f>
        <v>0</v>
      </c>
      <c r="AK519" s="272">
        <f>IF(AND(AK486&gt;(2020+TRANSPORT!$F$220),AK486&lt;(2022+$G$220)),(TRANSPORT!$G$212-INDEX(TRANSPORT!$Y$518:$BA$518,1,($F$220-1)))/($G$220-$F$220+1),0)</f>
        <v>0</v>
      </c>
      <c r="AL519" s="272">
        <f>IF(AND(AL486&gt;(2020+TRANSPORT!$F$220),AL486&lt;(2022+$G$220)),(TRANSPORT!$G$212-INDEX(TRANSPORT!$Y$518:$BA$518,1,($F$220-1)))/($G$220-$F$220+1),0)</f>
        <v>0</v>
      </c>
      <c r="AM519" s="272">
        <f>IF(AND(AM486&gt;(2020+TRANSPORT!$F$220),AM486&lt;(2022+$G$220)),(TRANSPORT!$G$212-INDEX(TRANSPORT!$Y$518:$BA$518,1,($F$220-1)))/($G$220-$F$220+1),0)</f>
        <v>0</v>
      </c>
      <c r="AN519" s="272">
        <f>IF(AND(AN486&gt;(2020+TRANSPORT!$F$220),AN486&lt;(2022+$G$220)),(TRANSPORT!$G$212-INDEX(TRANSPORT!$Y$518:$BA$518,1,($F$220-1)))/($G$220-$F$220+1),0)</f>
        <v>0</v>
      </c>
      <c r="AO519" s="272">
        <f>IF(AND(AO486&gt;(2020+TRANSPORT!$F$220),AO486&lt;(2022+$G$220)),(TRANSPORT!$G$212-INDEX(TRANSPORT!$Y$518:$BA$518,1,($F$220-1)))/($G$220-$F$220+1),0)</f>
        <v>0</v>
      </c>
      <c r="AP519" s="272">
        <f>IF(AND(AP486&gt;(2020+TRANSPORT!$F$220),AP486&lt;(2022+$G$220)),(TRANSPORT!$G$212-INDEX(TRANSPORT!$Y$518:$BA$518,1,($F$220-1)))/($G$220-$F$220+1),0)</f>
        <v>0</v>
      </c>
      <c r="AQ519" s="272">
        <f>IF(AND(AQ486&gt;(2020+TRANSPORT!$F$220),AQ486&lt;(2022+$G$220)),(TRANSPORT!$G$212-INDEX(TRANSPORT!$Y$518:$BA$518,1,($F$220-1)))/($G$220-$F$220+1),0)</f>
        <v>0</v>
      </c>
      <c r="AR519" s="272">
        <f>IF(AND(AR486&gt;(2020+TRANSPORT!$F$220),AR486&lt;(2022+$G$220)),(TRANSPORT!$G$212-INDEX(TRANSPORT!$Y$518:$BA$518,1,($F$220-1)))/($G$220-$F$220+1),0)</f>
        <v>0</v>
      </c>
      <c r="AS519" s="272">
        <f>IF(AND(AS486&gt;(2020+TRANSPORT!$F$220),AS486&lt;(2022+$G$220)),(TRANSPORT!$G$212-INDEX(TRANSPORT!$Y$518:$BA$518,1,($F$220-1)))/($G$220-$F$220+1),0)</f>
        <v>0</v>
      </c>
      <c r="AT519" s="272">
        <f>IF(AND(AT486&gt;(2020+TRANSPORT!$F$220),AT486&lt;(2022+$G$220)),(TRANSPORT!$G$212-INDEX(TRANSPORT!$Y$518:$BA$518,1,($F$220-1)))/($G$220-$F$220+1),0)</f>
        <v>0</v>
      </c>
      <c r="AU519" s="272">
        <f>IF(AND(AU486&gt;(2020+TRANSPORT!$F$220),AU486&lt;(2022+$G$220)),(TRANSPORT!$G$212-INDEX(TRANSPORT!$Y$518:$BA$518,1,($F$220-1)))/($G$220-$F$220+1),0)</f>
        <v>0</v>
      </c>
      <c r="AV519" s="272">
        <f>IF(AND(AV486&gt;(2020+TRANSPORT!$F$220),AV486&lt;(2022+$G$220)),(TRANSPORT!$G$212-INDEX(TRANSPORT!$Y$518:$BA$518,1,($F$220-1)))/($G$220-$F$220+1),0)</f>
        <v>0</v>
      </c>
      <c r="AW519" s="272">
        <f>IF(AND(AW486&gt;(2020+TRANSPORT!$F$220),AW486&lt;(2022+$G$220)),(TRANSPORT!$G$212-INDEX(TRANSPORT!$Y$518:$BA$518,1,($F$220-1)))/($G$220-$F$220+1),0)</f>
        <v>0</v>
      </c>
      <c r="AX519" s="272">
        <f>IF(AND(AX486&gt;(2020+TRANSPORT!$F$220),AX486&lt;(2022+$G$220)),(TRANSPORT!$G$212-INDEX(TRANSPORT!$Y$518:$BA$518,1,($F$220-1)))/($G$220-$F$220+1),0)</f>
        <v>0</v>
      </c>
      <c r="AY519" s="272">
        <f>IF(AND(AY486&gt;(2020+TRANSPORT!$F$220),AY486&lt;(2022+$G$220)),(TRANSPORT!$G$212-INDEX(TRANSPORT!$Y$518:$BA$518,1,($F$220-1)))/($G$220-$F$220+1),0)</f>
        <v>0</v>
      </c>
      <c r="AZ519" s="272">
        <f>IF(AND(AZ486&gt;(2020+TRANSPORT!$F$220),AZ486&lt;(2022+$G$220)),(TRANSPORT!$G$212-INDEX(TRANSPORT!$Y$518:$BA$518,1,($F$220-1)))/($G$220-$F$220+1),0)</f>
        <v>0</v>
      </c>
      <c r="BA519" s="324">
        <f>IF(AND(BA486&gt;(2020+TRANSPORT!$F$220),BA486&lt;(2022+$G$220)),(TRANSPORT!$G$212-INDEX(TRANSPORT!$Y$518:$BA$518,1,($F$220-1)))/($G$220-$F$220+1),0)</f>
        <v>0</v>
      </c>
    </row>
    <row r="520" spans="19:53" ht="20.100000000000001" customHeight="1">
      <c r="S520" s="1300" t="s">
        <v>3171</v>
      </c>
      <c r="T520" s="561" t="s">
        <v>3161</v>
      </c>
      <c r="U520" s="280"/>
      <c r="V520" s="280"/>
      <c r="W520" s="280"/>
      <c r="X520" s="1220">
        <f>SUM(X518:X519)</f>
        <v>0</v>
      </c>
      <c r="Y520" s="1220">
        <f>IF(Y519=0,X520*(IF(X518=0,1,Y518/X518)),X520+Y519)</f>
        <v>0</v>
      </c>
      <c r="Z520" s="1220">
        <f t="shared" ref="Z520:BA520" si="799">IF(Z519=0,Y520*(IF(Y518=0,1,Z518/Y518)),Y520+Z519)</f>
        <v>0</v>
      </c>
      <c r="AA520" s="1220">
        <f t="shared" si="799"/>
        <v>0</v>
      </c>
      <c r="AB520" s="1220">
        <f t="shared" si="799"/>
        <v>0</v>
      </c>
      <c r="AC520" s="1220">
        <f t="shared" si="799"/>
        <v>0</v>
      </c>
      <c r="AD520" s="1220">
        <f t="shared" si="799"/>
        <v>0</v>
      </c>
      <c r="AE520" s="1220">
        <f t="shared" si="799"/>
        <v>0</v>
      </c>
      <c r="AF520" s="1220">
        <f t="shared" si="799"/>
        <v>0</v>
      </c>
      <c r="AG520" s="1220">
        <f t="shared" si="799"/>
        <v>0</v>
      </c>
      <c r="AH520" s="1220">
        <f t="shared" si="799"/>
        <v>0</v>
      </c>
      <c r="AI520" s="1220">
        <f t="shared" si="799"/>
        <v>0</v>
      </c>
      <c r="AJ520" s="1220">
        <f t="shared" si="799"/>
        <v>0</v>
      </c>
      <c r="AK520" s="1220">
        <f t="shared" si="799"/>
        <v>0</v>
      </c>
      <c r="AL520" s="1220">
        <f t="shared" si="799"/>
        <v>0</v>
      </c>
      <c r="AM520" s="1220">
        <f t="shared" si="799"/>
        <v>0</v>
      </c>
      <c r="AN520" s="1220">
        <f t="shared" si="799"/>
        <v>0</v>
      </c>
      <c r="AO520" s="1220">
        <f t="shared" si="799"/>
        <v>0</v>
      </c>
      <c r="AP520" s="1220">
        <f t="shared" si="799"/>
        <v>0</v>
      </c>
      <c r="AQ520" s="1220">
        <f t="shared" si="799"/>
        <v>0</v>
      </c>
      <c r="AR520" s="1220">
        <f t="shared" si="799"/>
        <v>0</v>
      </c>
      <c r="AS520" s="1220">
        <f t="shared" si="799"/>
        <v>0</v>
      </c>
      <c r="AT520" s="1220">
        <f t="shared" si="799"/>
        <v>0</v>
      </c>
      <c r="AU520" s="1220">
        <f t="shared" si="799"/>
        <v>0</v>
      </c>
      <c r="AV520" s="1220">
        <f t="shared" si="799"/>
        <v>0</v>
      </c>
      <c r="AW520" s="1220">
        <f t="shared" si="799"/>
        <v>0</v>
      </c>
      <c r="AX520" s="1220">
        <f t="shared" si="799"/>
        <v>0</v>
      </c>
      <c r="AY520" s="1220">
        <f t="shared" si="799"/>
        <v>0</v>
      </c>
      <c r="AZ520" s="1220">
        <f t="shared" si="799"/>
        <v>0</v>
      </c>
      <c r="BA520" s="1221">
        <f t="shared" si="799"/>
        <v>0</v>
      </c>
    </row>
    <row r="521" spans="19:53" ht="20.100000000000001" customHeight="1">
      <c r="S521" s="1301" t="s">
        <v>2420</v>
      </c>
      <c r="T521" s="1297"/>
      <c r="U521" s="1297"/>
      <c r="V521" s="1297"/>
      <c r="W521" s="1297"/>
      <c r="X521" s="345">
        <f t="shared" ref="X521:BA521" si="800">X68</f>
        <v>0.18554689962674867</v>
      </c>
      <c r="Y521" s="345">
        <f t="shared" si="800"/>
        <v>0.18554689962674867</v>
      </c>
      <c r="Z521" s="345">
        <f t="shared" si="800"/>
        <v>0.18554689962674867</v>
      </c>
      <c r="AA521" s="345">
        <f t="shared" si="800"/>
        <v>0.18554689962674867</v>
      </c>
      <c r="AB521" s="345">
        <f t="shared" si="800"/>
        <v>0.18554689962674867</v>
      </c>
      <c r="AC521" s="345">
        <f t="shared" si="800"/>
        <v>0.18554689962674867</v>
      </c>
      <c r="AD521" s="345">
        <f t="shared" si="800"/>
        <v>0.18554689962674867</v>
      </c>
      <c r="AE521" s="345">
        <f t="shared" si="800"/>
        <v>0.18554689962674867</v>
      </c>
      <c r="AF521" s="345">
        <f t="shared" si="800"/>
        <v>0.18554689962674867</v>
      </c>
      <c r="AG521" s="345">
        <f t="shared" si="800"/>
        <v>0.18554689962674867</v>
      </c>
      <c r="AH521" s="345">
        <f t="shared" si="800"/>
        <v>0.18554689962674867</v>
      </c>
      <c r="AI521" s="345">
        <f t="shared" si="800"/>
        <v>0.18554689962674867</v>
      </c>
      <c r="AJ521" s="345">
        <f t="shared" si="800"/>
        <v>0.18554689962674867</v>
      </c>
      <c r="AK521" s="345">
        <f t="shared" si="800"/>
        <v>0.18554689962674867</v>
      </c>
      <c r="AL521" s="345">
        <f t="shared" si="800"/>
        <v>0.18554689962674867</v>
      </c>
      <c r="AM521" s="345">
        <f t="shared" si="800"/>
        <v>0.18554689962674867</v>
      </c>
      <c r="AN521" s="345">
        <f t="shared" si="800"/>
        <v>0.18554689962674867</v>
      </c>
      <c r="AO521" s="345">
        <f t="shared" si="800"/>
        <v>0.18554689962674867</v>
      </c>
      <c r="AP521" s="345">
        <f t="shared" si="800"/>
        <v>0.18554689962674867</v>
      </c>
      <c r="AQ521" s="345">
        <f t="shared" si="800"/>
        <v>0.18554689962674867</v>
      </c>
      <c r="AR521" s="345">
        <f t="shared" si="800"/>
        <v>0.18554689962674867</v>
      </c>
      <c r="AS521" s="345">
        <f t="shared" si="800"/>
        <v>0.18554689962674867</v>
      </c>
      <c r="AT521" s="345">
        <f t="shared" si="800"/>
        <v>0.18554689962674867</v>
      </c>
      <c r="AU521" s="345">
        <f t="shared" si="800"/>
        <v>0.18554689962674867</v>
      </c>
      <c r="AV521" s="345">
        <f t="shared" si="800"/>
        <v>0.18554689962674867</v>
      </c>
      <c r="AW521" s="345">
        <f t="shared" si="800"/>
        <v>0.18554689962674867</v>
      </c>
      <c r="AX521" s="345">
        <f t="shared" si="800"/>
        <v>0.18554689962674867</v>
      </c>
      <c r="AY521" s="345">
        <f t="shared" si="800"/>
        <v>0.18554689962674867</v>
      </c>
      <c r="AZ521" s="345">
        <f t="shared" si="800"/>
        <v>0.18554689962674867</v>
      </c>
      <c r="BA521" s="1302">
        <f t="shared" si="800"/>
        <v>0.18554689962674867</v>
      </c>
    </row>
    <row r="522" spans="19:53" ht="20.100000000000001" customHeight="1">
      <c r="S522" s="1301" t="s">
        <v>3110</v>
      </c>
      <c r="T522" s="1297"/>
      <c r="U522" s="1297"/>
      <c r="V522" s="1297"/>
      <c r="W522" s="1297"/>
      <c r="X522" s="345">
        <f>IF(AND(X486&gt;(2020+TRANSPORT!$F$220),X486&lt;(2022+$G$220)),(TRANSPORT!$G$213-INDEX(TRANSPORT!$Y$521:$BA$521,1,($F$220-1)))/($G$220-$F$220+1),0)</f>
        <v>0</v>
      </c>
      <c r="Y522" s="345">
        <f>IF(AND(Y486&gt;(2020+TRANSPORT!$F$220),Y486&lt;(2022+$G$220)),(TRANSPORT!$G$213-INDEX(TRANSPORT!$Y$521:$BA$521,1,($F$220-1)))/($G$220-$F$220+1),0)</f>
        <v>0</v>
      </c>
      <c r="Z522" s="345">
        <f>IF(AND(Z486&gt;(2020+TRANSPORT!$F$220),Z486&lt;(2022+$G$220)),(TRANSPORT!$G$213-INDEX(TRANSPORT!$Y$521:$BA$521,1,($F$220-1)))/($G$220-$F$220+1),0)</f>
        <v>0</v>
      </c>
      <c r="AA522" s="345">
        <f>IF(AND(AA486&gt;(2020+TRANSPORT!$F$220),AA486&lt;(2022+$G$220)),(TRANSPORT!$G$213-INDEX(TRANSPORT!$Y$521:$BA$521,1,($F$220-1)))/($G$220-$F$220+1),0)</f>
        <v>0</v>
      </c>
      <c r="AB522" s="345">
        <f>IF(AND(AB486&gt;(2020+TRANSPORT!$F$220),AB486&lt;(2022+$G$220)),(TRANSPORT!$G$213-INDEX(TRANSPORT!$Y$521:$BA$521,1,($F$220-1)))/($G$220-$F$220+1),0)</f>
        <v>-3.0924483271124778E-2</v>
      </c>
      <c r="AC522" s="345">
        <f>IF(AND(AC486&gt;(2020+TRANSPORT!$F$220),AC486&lt;(2022+$G$220)),(TRANSPORT!$G$213-INDEX(TRANSPORT!$Y$521:$BA$521,1,($F$220-1)))/($G$220-$F$220+1),0)</f>
        <v>-3.0924483271124778E-2</v>
      </c>
      <c r="AD522" s="345">
        <f>IF(AND(AD486&gt;(2020+TRANSPORT!$F$220),AD486&lt;(2022+$G$220)),(TRANSPORT!$G$213-INDEX(TRANSPORT!$Y$521:$BA$521,1,($F$220-1)))/($G$220-$F$220+1),0)</f>
        <v>-3.0924483271124778E-2</v>
      </c>
      <c r="AE522" s="345">
        <f>IF(AND(AE486&gt;(2020+TRANSPORT!$F$220),AE486&lt;(2022+$G$220)),(TRANSPORT!$G$213-INDEX(TRANSPORT!$Y$521:$BA$521,1,($F$220-1)))/($G$220-$F$220+1),0)</f>
        <v>-3.0924483271124778E-2</v>
      </c>
      <c r="AF522" s="345">
        <f>IF(AND(AF486&gt;(2020+TRANSPORT!$F$220),AF486&lt;(2022+$G$220)),(TRANSPORT!$G$213-INDEX(TRANSPORT!$Y$521:$BA$521,1,($F$220-1)))/($G$220-$F$220+1),0)</f>
        <v>-3.0924483271124778E-2</v>
      </c>
      <c r="AG522" s="345">
        <f>IF(AND(AG486&gt;(2020+TRANSPORT!$F$220),AG486&lt;(2022+$G$220)),(TRANSPORT!$G$213-INDEX(TRANSPORT!$Y$521:$BA$521,1,($F$220-1)))/($G$220-$F$220+1),0)</f>
        <v>-3.0924483271124778E-2</v>
      </c>
      <c r="AH522" s="345">
        <f>IF(AND(AH486&gt;(2020+TRANSPORT!$F$220),AH486&lt;(2022+$G$220)),(TRANSPORT!$G$213-INDEX(TRANSPORT!$Y$521:$BA$521,1,($F$220-1)))/($G$220-$F$220+1),0)</f>
        <v>0</v>
      </c>
      <c r="AI522" s="345">
        <f>IF(AND(AI486&gt;(2020+TRANSPORT!$F$220),AI486&lt;(2022+$G$220)),(TRANSPORT!$G$213-INDEX(TRANSPORT!$Y$521:$BA$521,1,($F$220-1)))/($G$220-$F$220+1),0)</f>
        <v>0</v>
      </c>
      <c r="AJ522" s="345">
        <f>IF(AND(AJ486&gt;(2020+TRANSPORT!$F$220),AJ486&lt;(2022+$G$220)),(TRANSPORT!$G$213-INDEX(TRANSPORT!$Y$521:$BA$521,1,($F$220-1)))/($G$220-$F$220+1),0)</f>
        <v>0</v>
      </c>
      <c r="AK522" s="345">
        <f>IF(AND(AK486&gt;(2020+TRANSPORT!$F$220),AK486&lt;(2022+$G$220)),(TRANSPORT!$G$213-INDEX(TRANSPORT!$Y$521:$BA$521,1,($F$220-1)))/($G$220-$F$220+1),0)</f>
        <v>0</v>
      </c>
      <c r="AL522" s="345">
        <f>IF(AND(AL486&gt;(2020+TRANSPORT!$F$220),AL486&lt;(2022+$G$220)),(TRANSPORT!$G$213-INDEX(TRANSPORT!$Y$521:$BA$521,1,($F$220-1)))/($G$220-$F$220+1),0)</f>
        <v>0</v>
      </c>
      <c r="AM522" s="345">
        <f>IF(AND(AM486&gt;(2020+TRANSPORT!$F$220),AM486&lt;(2022+$G$220)),(TRANSPORT!$G$213-INDEX(TRANSPORT!$Y$521:$BA$521,1,($F$220-1)))/($G$220-$F$220+1),0)</f>
        <v>0</v>
      </c>
      <c r="AN522" s="345">
        <f>IF(AND(AN486&gt;(2020+TRANSPORT!$F$220),AN486&lt;(2022+$G$220)),(TRANSPORT!$G$213-INDEX(TRANSPORT!$Y$521:$BA$521,1,($F$220-1)))/($G$220-$F$220+1),0)</f>
        <v>0</v>
      </c>
      <c r="AO522" s="345">
        <f>IF(AND(AO486&gt;(2020+TRANSPORT!$F$220),AO486&lt;(2022+$G$220)),(TRANSPORT!$G$213-INDEX(TRANSPORT!$Y$521:$BA$521,1,($F$220-1)))/($G$220-$F$220+1),0)</f>
        <v>0</v>
      </c>
      <c r="AP522" s="345">
        <f>IF(AND(AP486&gt;(2020+TRANSPORT!$F$220),AP486&lt;(2022+$G$220)),(TRANSPORT!$G$213-INDEX(TRANSPORT!$Y$521:$BA$521,1,($F$220-1)))/($G$220-$F$220+1),0)</f>
        <v>0</v>
      </c>
      <c r="AQ522" s="345">
        <f>IF(AND(AQ486&gt;(2020+TRANSPORT!$F$220),AQ486&lt;(2022+$G$220)),(TRANSPORT!$G$213-INDEX(TRANSPORT!$Y$521:$BA$521,1,($F$220-1)))/($G$220-$F$220+1),0)</f>
        <v>0</v>
      </c>
      <c r="AR522" s="345">
        <f>IF(AND(AR486&gt;(2020+TRANSPORT!$F$220),AR486&lt;(2022+$G$220)),(TRANSPORT!$G$213-INDEX(TRANSPORT!$Y$521:$BA$521,1,($F$220-1)))/($G$220-$F$220+1),0)</f>
        <v>0</v>
      </c>
      <c r="AS522" s="345">
        <f>IF(AND(AS486&gt;(2020+TRANSPORT!$F$220),AS486&lt;(2022+$G$220)),(TRANSPORT!$G$213-INDEX(TRANSPORT!$Y$521:$BA$521,1,($F$220-1)))/($G$220-$F$220+1),0)</f>
        <v>0</v>
      </c>
      <c r="AT522" s="345">
        <f>IF(AND(AT486&gt;(2020+TRANSPORT!$F$220),AT486&lt;(2022+$G$220)),(TRANSPORT!$G$213-INDEX(TRANSPORT!$Y$521:$BA$521,1,($F$220-1)))/($G$220-$F$220+1),0)</f>
        <v>0</v>
      </c>
      <c r="AU522" s="345">
        <f>IF(AND(AU486&gt;(2020+TRANSPORT!$F$220),AU486&lt;(2022+$G$220)),(TRANSPORT!$G$213-INDEX(TRANSPORT!$Y$521:$BA$521,1,($F$220-1)))/($G$220-$F$220+1),0)</f>
        <v>0</v>
      </c>
      <c r="AV522" s="345">
        <f>IF(AND(AV486&gt;(2020+TRANSPORT!$F$220),AV486&lt;(2022+$G$220)),(TRANSPORT!$G$213-INDEX(TRANSPORT!$Y$521:$BA$521,1,($F$220-1)))/($G$220-$F$220+1),0)</f>
        <v>0</v>
      </c>
      <c r="AW522" s="345">
        <f>IF(AND(AW486&gt;(2020+TRANSPORT!$F$220),AW486&lt;(2022+$G$220)),(TRANSPORT!$G$213-INDEX(TRANSPORT!$Y$521:$BA$521,1,($F$220-1)))/($G$220-$F$220+1),0)</f>
        <v>0</v>
      </c>
      <c r="AX522" s="345">
        <f>IF(AND(AX486&gt;(2020+TRANSPORT!$F$220),AX486&lt;(2022+$G$220)),(TRANSPORT!$G$213-INDEX(TRANSPORT!$Y$521:$BA$521,1,($F$220-1)))/($G$220-$F$220+1),0)</f>
        <v>0</v>
      </c>
      <c r="AY522" s="345">
        <f>IF(AND(AY486&gt;(2020+TRANSPORT!$F$220),AY486&lt;(2022+$G$220)),(TRANSPORT!$G$213-INDEX(TRANSPORT!$Y$521:$BA$521,1,($F$220-1)))/($G$220-$F$220+1),0)</f>
        <v>0</v>
      </c>
      <c r="AZ522" s="345">
        <f>IF(AND(AZ486&gt;(2020+TRANSPORT!$F$220),AZ486&lt;(2022+$G$220)),(TRANSPORT!$G$213-INDEX(TRANSPORT!$Y$521:$BA$521,1,($F$220-1)))/($G$220-$F$220+1),0)</f>
        <v>0</v>
      </c>
      <c r="BA522" s="1302">
        <f>IF(AND(BA486&gt;(2020+TRANSPORT!$F$220),BA486&lt;(2022+$G$220)),(TRANSPORT!$G$213-INDEX(TRANSPORT!$Y$521:$BA$521,1,($F$220-1)))/($G$220-$F$220+1),0)</f>
        <v>0</v>
      </c>
    </row>
    <row r="523" spans="19:53" ht="20.100000000000001" customHeight="1">
      <c r="S523" s="1308" t="s">
        <v>3172</v>
      </c>
      <c r="T523" s="1305" t="s">
        <v>3161</v>
      </c>
      <c r="U523" s="1297"/>
      <c r="V523" s="1297"/>
      <c r="W523" s="1297"/>
      <c r="X523" s="1306">
        <f>SUM(X521:X522)</f>
        <v>0.18554689962674867</v>
      </c>
      <c r="Y523" s="1306">
        <f>IF(Y522=0,X523*(IF(X521=0,1,Y521/X521)),X523+Y522)</f>
        <v>0.18554689962674867</v>
      </c>
      <c r="Z523" s="1306">
        <f t="shared" ref="Z523:BA523" si="801">IF(Z522=0,Y523*(IF(Y521=0,1,Z521/Y521)),Y523+Z522)</f>
        <v>0.18554689962674867</v>
      </c>
      <c r="AA523" s="1306">
        <f t="shared" si="801"/>
        <v>0.18554689962674867</v>
      </c>
      <c r="AB523" s="1306">
        <f t="shared" si="801"/>
        <v>0.1546224163556239</v>
      </c>
      <c r="AC523" s="1306">
        <f t="shared" si="801"/>
        <v>0.12369793308449913</v>
      </c>
      <c r="AD523" s="1306">
        <f t="shared" si="801"/>
        <v>9.2773449813374348E-2</v>
      </c>
      <c r="AE523" s="1306">
        <f t="shared" si="801"/>
        <v>6.184896654224957E-2</v>
      </c>
      <c r="AF523" s="1306">
        <f t="shared" si="801"/>
        <v>3.0924483271124792E-2</v>
      </c>
      <c r="AG523" s="1306">
        <f t="shared" si="801"/>
        <v>1.3877787807814457E-17</v>
      </c>
      <c r="AH523" s="1306">
        <f t="shared" si="801"/>
        <v>1.3877787807814457E-17</v>
      </c>
      <c r="AI523" s="1306">
        <f t="shared" si="801"/>
        <v>1.3877787807814457E-17</v>
      </c>
      <c r="AJ523" s="1306">
        <f t="shared" si="801"/>
        <v>1.3877787807814457E-17</v>
      </c>
      <c r="AK523" s="1306">
        <f t="shared" si="801"/>
        <v>1.3877787807814457E-17</v>
      </c>
      <c r="AL523" s="1306">
        <f t="shared" si="801"/>
        <v>1.3877787807814457E-17</v>
      </c>
      <c r="AM523" s="1306">
        <f t="shared" si="801"/>
        <v>1.3877787807814457E-17</v>
      </c>
      <c r="AN523" s="1306">
        <f t="shared" si="801"/>
        <v>1.3877787807814457E-17</v>
      </c>
      <c r="AO523" s="1306">
        <f t="shared" si="801"/>
        <v>1.3877787807814457E-17</v>
      </c>
      <c r="AP523" s="1306">
        <f t="shared" si="801"/>
        <v>1.3877787807814457E-17</v>
      </c>
      <c r="AQ523" s="1306">
        <f t="shared" si="801"/>
        <v>1.3877787807814457E-17</v>
      </c>
      <c r="AR523" s="1306">
        <f t="shared" si="801"/>
        <v>1.3877787807814457E-17</v>
      </c>
      <c r="AS523" s="1306">
        <f t="shared" si="801"/>
        <v>1.3877787807814457E-17</v>
      </c>
      <c r="AT523" s="1306">
        <f t="shared" si="801"/>
        <v>1.3877787807814457E-17</v>
      </c>
      <c r="AU523" s="1306">
        <f t="shared" si="801"/>
        <v>1.3877787807814457E-17</v>
      </c>
      <c r="AV523" s="1306">
        <f t="shared" si="801"/>
        <v>1.3877787807814457E-17</v>
      </c>
      <c r="AW523" s="1306">
        <f t="shared" si="801"/>
        <v>1.3877787807814457E-17</v>
      </c>
      <c r="AX523" s="1306">
        <f t="shared" si="801"/>
        <v>1.3877787807814457E-17</v>
      </c>
      <c r="AY523" s="1306">
        <f t="shared" si="801"/>
        <v>1.3877787807814457E-17</v>
      </c>
      <c r="AZ523" s="1306">
        <f t="shared" si="801"/>
        <v>1.3877787807814457E-17</v>
      </c>
      <c r="BA523" s="1307">
        <f t="shared" si="801"/>
        <v>1.3877787807814457E-17</v>
      </c>
    </row>
    <row r="524" spans="19:53" ht="20.100000000000001" customHeight="1">
      <c r="S524" s="881" t="s">
        <v>784</v>
      </c>
      <c r="T524" s="280"/>
      <c r="U524" s="280"/>
      <c r="V524" s="280"/>
      <c r="W524" s="280"/>
      <c r="X524" s="272">
        <f t="shared" ref="X524:BA524" si="802">X69</f>
        <v>4.6232616186066946E-3</v>
      </c>
      <c r="Y524" s="272">
        <f t="shared" si="802"/>
        <v>4.6232616186066946E-3</v>
      </c>
      <c r="Z524" s="272">
        <f t="shared" si="802"/>
        <v>4.6232616186066946E-3</v>
      </c>
      <c r="AA524" s="272">
        <f t="shared" si="802"/>
        <v>4.6232616186066946E-3</v>
      </c>
      <c r="AB524" s="272">
        <f t="shared" si="802"/>
        <v>4.6232616186066946E-3</v>
      </c>
      <c r="AC524" s="272">
        <f t="shared" si="802"/>
        <v>4.6232616186066946E-3</v>
      </c>
      <c r="AD524" s="272">
        <f t="shared" si="802"/>
        <v>4.6232616186066946E-3</v>
      </c>
      <c r="AE524" s="272">
        <f t="shared" si="802"/>
        <v>4.6232616186066946E-3</v>
      </c>
      <c r="AF524" s="272">
        <f t="shared" si="802"/>
        <v>4.6232616186066946E-3</v>
      </c>
      <c r="AG524" s="272">
        <f t="shared" si="802"/>
        <v>4.6232616186066946E-3</v>
      </c>
      <c r="AH524" s="272">
        <f t="shared" si="802"/>
        <v>4.6232616186066946E-3</v>
      </c>
      <c r="AI524" s="272">
        <f t="shared" si="802"/>
        <v>4.6232616186066946E-3</v>
      </c>
      <c r="AJ524" s="272">
        <f t="shared" si="802"/>
        <v>4.6232616186066946E-3</v>
      </c>
      <c r="AK524" s="272">
        <f t="shared" si="802"/>
        <v>4.6232616186066946E-3</v>
      </c>
      <c r="AL524" s="272">
        <f t="shared" si="802"/>
        <v>4.6232616186066946E-3</v>
      </c>
      <c r="AM524" s="272">
        <f t="shared" si="802"/>
        <v>4.6232616186066946E-3</v>
      </c>
      <c r="AN524" s="272">
        <f t="shared" si="802"/>
        <v>4.6232616186066946E-3</v>
      </c>
      <c r="AO524" s="272">
        <f t="shared" si="802"/>
        <v>4.6232616186066946E-3</v>
      </c>
      <c r="AP524" s="272">
        <f t="shared" si="802"/>
        <v>4.6232616186066946E-3</v>
      </c>
      <c r="AQ524" s="272">
        <f t="shared" si="802"/>
        <v>4.6232616186066946E-3</v>
      </c>
      <c r="AR524" s="272">
        <f t="shared" si="802"/>
        <v>4.6232616186066946E-3</v>
      </c>
      <c r="AS524" s="272">
        <f t="shared" si="802"/>
        <v>4.6232616186066946E-3</v>
      </c>
      <c r="AT524" s="272">
        <f t="shared" si="802"/>
        <v>4.6232616186066946E-3</v>
      </c>
      <c r="AU524" s="272">
        <f t="shared" si="802"/>
        <v>4.6232616186066946E-3</v>
      </c>
      <c r="AV524" s="272">
        <f t="shared" si="802"/>
        <v>4.6232616186066946E-3</v>
      </c>
      <c r="AW524" s="272">
        <f t="shared" si="802"/>
        <v>4.6232616186066946E-3</v>
      </c>
      <c r="AX524" s="272">
        <f t="shared" si="802"/>
        <v>4.6232616186066946E-3</v>
      </c>
      <c r="AY524" s="272">
        <f t="shared" si="802"/>
        <v>4.6232616186066946E-3</v>
      </c>
      <c r="AZ524" s="272">
        <f t="shared" si="802"/>
        <v>4.6232616186066946E-3</v>
      </c>
      <c r="BA524" s="324">
        <f t="shared" si="802"/>
        <v>4.6232616186066946E-3</v>
      </c>
    </row>
    <row r="525" spans="19:53" ht="20.100000000000001" customHeight="1">
      <c r="S525" s="881" t="s">
        <v>3110</v>
      </c>
      <c r="T525" s="280"/>
      <c r="U525" s="280"/>
      <c r="V525" s="280"/>
      <c r="W525" s="280"/>
      <c r="X525" s="272">
        <f>IF(AND(X486&gt;(2020+TRANSPORT!$F$220),X486&lt;(2022+$G$220)),(TRANSPORT!$G$214-INDEX(TRANSPORT!$Y$524:$BA$524,1,($F$220-1)))/($G$220-$F$220+1),0)</f>
        <v>0</v>
      </c>
      <c r="Y525" s="272">
        <f>IF(AND(Y486&gt;(2020+TRANSPORT!$F$220),Y486&lt;(2022+$G$220)),(TRANSPORT!$G$214-INDEX(TRANSPORT!$Y$524:$BA$524,1,($F$220-1)))/($G$220-$F$220+1),0)</f>
        <v>0</v>
      </c>
      <c r="Z525" s="272">
        <f>IF(AND(Z486&gt;(2020+TRANSPORT!$F$220),Z486&lt;(2022+$G$220)),(TRANSPORT!$G$214-INDEX(TRANSPORT!$Y$524:$BA$524,1,($F$220-1)))/($G$220-$F$220+1),0)</f>
        <v>0</v>
      </c>
      <c r="AA525" s="272">
        <f>IF(AND(AA486&gt;(2020+TRANSPORT!$F$220),AA486&lt;(2022+$G$220)),(TRANSPORT!$G$214-INDEX(TRANSPORT!$Y$524:$BA$524,1,($F$220-1)))/($G$220-$F$220+1),0)</f>
        <v>0</v>
      </c>
      <c r="AB525" s="272">
        <f>IF(AND(AB486&gt;(2020+TRANSPORT!$F$220),AB486&lt;(2022+$G$220)),(TRANSPORT!$G$214-INDEX(TRANSPORT!$Y$524:$BA$524,1,($F$220-1)))/($G$220-$F$220+1),0)</f>
        <v>-7.7054360310111576E-4</v>
      </c>
      <c r="AC525" s="272">
        <f>IF(AND(AC486&gt;(2020+TRANSPORT!$F$220),AC486&lt;(2022+$G$220)),(TRANSPORT!$G$214-INDEX(TRANSPORT!$Y$524:$BA$524,1,($F$220-1)))/($G$220-$F$220+1),0)</f>
        <v>-7.7054360310111576E-4</v>
      </c>
      <c r="AD525" s="272">
        <f>IF(AND(AD486&gt;(2020+TRANSPORT!$F$220),AD486&lt;(2022+$G$220)),(TRANSPORT!$G$214-INDEX(TRANSPORT!$Y$524:$BA$524,1,($F$220-1)))/($G$220-$F$220+1),0)</f>
        <v>-7.7054360310111576E-4</v>
      </c>
      <c r="AE525" s="272">
        <f>IF(AND(AE486&gt;(2020+TRANSPORT!$F$220),AE486&lt;(2022+$G$220)),(TRANSPORT!$G$214-INDEX(TRANSPORT!$Y$524:$BA$524,1,($F$220-1)))/($G$220-$F$220+1),0)</f>
        <v>-7.7054360310111576E-4</v>
      </c>
      <c r="AF525" s="272">
        <f>IF(AND(AF486&gt;(2020+TRANSPORT!$F$220),AF486&lt;(2022+$G$220)),(TRANSPORT!$G$214-INDEX(TRANSPORT!$Y$524:$BA$524,1,($F$220-1)))/($G$220-$F$220+1),0)</f>
        <v>-7.7054360310111576E-4</v>
      </c>
      <c r="AG525" s="272">
        <f>IF(AND(AG486&gt;(2020+TRANSPORT!$F$220),AG486&lt;(2022+$G$220)),(TRANSPORT!$G$214-INDEX(TRANSPORT!$Y$524:$BA$524,1,($F$220-1)))/($G$220-$F$220+1),0)</f>
        <v>-7.7054360310111576E-4</v>
      </c>
      <c r="AH525" s="272">
        <f>IF(AND(AH486&gt;(2020+TRANSPORT!$F$220),AH486&lt;(2022+$G$220)),(TRANSPORT!$G$214-INDEX(TRANSPORT!$Y$524:$BA$524,1,($F$220-1)))/($G$220-$F$220+1),0)</f>
        <v>0</v>
      </c>
      <c r="AI525" s="272">
        <f>IF(AND(AI486&gt;(2020+TRANSPORT!$F$220),AI486&lt;(2022+$G$220)),(TRANSPORT!$G$214-INDEX(TRANSPORT!$Y$524:$BA$524,1,($F$220-1)))/($G$220-$F$220+1),0)</f>
        <v>0</v>
      </c>
      <c r="AJ525" s="272">
        <f>IF(AND(AJ486&gt;(2020+TRANSPORT!$F$220),AJ486&lt;(2022+$G$220)),(TRANSPORT!$G$214-INDEX(TRANSPORT!$Y$524:$BA$524,1,($F$220-1)))/($G$220-$F$220+1),0)</f>
        <v>0</v>
      </c>
      <c r="AK525" s="272">
        <f>IF(AND(AK486&gt;(2020+TRANSPORT!$F$220),AK486&lt;(2022+$G$220)),(TRANSPORT!$G$214-INDEX(TRANSPORT!$Y$524:$BA$524,1,($F$220-1)))/($G$220-$F$220+1),0)</f>
        <v>0</v>
      </c>
      <c r="AL525" s="272">
        <f>IF(AND(AL486&gt;(2020+TRANSPORT!$F$220),AL486&lt;(2022+$G$220)),(TRANSPORT!$G$214-INDEX(TRANSPORT!$Y$524:$BA$524,1,($F$220-1)))/($G$220-$F$220+1),0)</f>
        <v>0</v>
      </c>
      <c r="AM525" s="272">
        <f>IF(AND(AM486&gt;(2020+TRANSPORT!$F$220),AM486&lt;(2022+$G$220)),(TRANSPORT!$G$214-INDEX(TRANSPORT!$Y$524:$BA$524,1,($F$220-1)))/($G$220-$F$220+1),0)</f>
        <v>0</v>
      </c>
      <c r="AN525" s="272">
        <f>IF(AND(AN486&gt;(2020+TRANSPORT!$F$220),AN486&lt;(2022+$G$220)),(TRANSPORT!$G$214-INDEX(TRANSPORT!$Y$524:$BA$524,1,($F$220-1)))/($G$220-$F$220+1),0)</f>
        <v>0</v>
      </c>
      <c r="AO525" s="272">
        <f>IF(AND(AO486&gt;(2020+TRANSPORT!$F$220),AO486&lt;(2022+$G$220)),(TRANSPORT!$G$214-INDEX(TRANSPORT!$Y$524:$BA$524,1,($F$220-1)))/($G$220-$F$220+1),0)</f>
        <v>0</v>
      </c>
      <c r="AP525" s="272">
        <f>IF(AND(AP486&gt;(2020+TRANSPORT!$F$220),AP486&lt;(2022+$G$220)),(TRANSPORT!$G$214-INDEX(TRANSPORT!$Y$524:$BA$524,1,($F$220-1)))/($G$220-$F$220+1),0)</f>
        <v>0</v>
      </c>
      <c r="AQ525" s="272">
        <f>IF(AND(AQ486&gt;(2020+TRANSPORT!$F$220),AQ486&lt;(2022+$G$220)),(TRANSPORT!$G$214-INDEX(TRANSPORT!$Y$524:$BA$524,1,($F$220-1)))/($G$220-$F$220+1),0)</f>
        <v>0</v>
      </c>
      <c r="AR525" s="272">
        <f>IF(AND(AR486&gt;(2020+TRANSPORT!$F$220),AR486&lt;(2022+$G$220)),(TRANSPORT!$G$214-INDEX(TRANSPORT!$Y$524:$BA$524,1,($F$220-1)))/($G$220-$F$220+1),0)</f>
        <v>0</v>
      </c>
      <c r="AS525" s="272">
        <f>IF(AND(AS486&gt;(2020+TRANSPORT!$F$220),AS486&lt;(2022+$G$220)),(TRANSPORT!$G$214-INDEX(TRANSPORT!$Y$524:$BA$524,1,($F$220-1)))/($G$220-$F$220+1),0)</f>
        <v>0</v>
      </c>
      <c r="AT525" s="272">
        <f>IF(AND(AT486&gt;(2020+TRANSPORT!$F$220),AT486&lt;(2022+$G$220)),(TRANSPORT!$G$214-INDEX(TRANSPORT!$Y$524:$BA$524,1,($F$220-1)))/($G$220-$F$220+1),0)</f>
        <v>0</v>
      </c>
      <c r="AU525" s="272">
        <f>IF(AND(AU486&gt;(2020+TRANSPORT!$F$220),AU486&lt;(2022+$G$220)),(TRANSPORT!$G$214-INDEX(TRANSPORT!$Y$524:$BA$524,1,($F$220-1)))/($G$220-$F$220+1),0)</f>
        <v>0</v>
      </c>
      <c r="AV525" s="272">
        <f>IF(AND(AV486&gt;(2020+TRANSPORT!$F$220),AV486&lt;(2022+$G$220)),(TRANSPORT!$G$214-INDEX(TRANSPORT!$Y$524:$BA$524,1,($F$220-1)))/($G$220-$F$220+1),0)</f>
        <v>0</v>
      </c>
      <c r="AW525" s="272">
        <f>IF(AND(AW486&gt;(2020+TRANSPORT!$F$220),AW486&lt;(2022+$G$220)),(TRANSPORT!$G$214-INDEX(TRANSPORT!$Y$524:$BA$524,1,($F$220-1)))/($G$220-$F$220+1),0)</f>
        <v>0</v>
      </c>
      <c r="AX525" s="272">
        <f>IF(AND(AX486&gt;(2020+TRANSPORT!$F$220),AX486&lt;(2022+$G$220)),(TRANSPORT!$G$214-INDEX(TRANSPORT!$Y$524:$BA$524,1,($F$220-1)))/($G$220-$F$220+1),0)</f>
        <v>0</v>
      </c>
      <c r="AY525" s="272">
        <f>IF(AND(AY486&gt;(2020+TRANSPORT!$F$220),AY486&lt;(2022+$G$220)),(TRANSPORT!$G$214-INDEX(TRANSPORT!$Y$524:$BA$524,1,($F$220-1)))/($G$220-$F$220+1),0)</f>
        <v>0</v>
      </c>
      <c r="AZ525" s="272">
        <f>IF(AND(AZ486&gt;(2020+TRANSPORT!$F$220),AZ486&lt;(2022+$G$220)),(TRANSPORT!$G$214-INDEX(TRANSPORT!$Y$524:$BA$524,1,($F$220-1)))/($G$220-$F$220+1),0)</f>
        <v>0</v>
      </c>
      <c r="BA525" s="324">
        <f>IF(AND(BA486&gt;(2020+TRANSPORT!$F$220),BA486&lt;(2022+$G$220)),(TRANSPORT!$G$214-INDEX(TRANSPORT!$Y$524:$BA$524,1,($F$220-1)))/($G$220-$F$220+1),0)</f>
        <v>0</v>
      </c>
    </row>
    <row r="526" spans="19:53" ht="20.100000000000001" customHeight="1">
      <c r="S526" s="1300" t="s">
        <v>3173</v>
      </c>
      <c r="T526" s="561" t="s">
        <v>3161</v>
      </c>
      <c r="U526" s="280"/>
      <c r="V526" s="280"/>
      <c r="W526" s="280"/>
      <c r="X526" s="1220">
        <f>SUM(X524:X525)</f>
        <v>4.6232616186066946E-3</v>
      </c>
      <c r="Y526" s="1220">
        <f>IF(Y525=0,X526*(IF(X524=0,1,Y524/X524)),X526+Y525)</f>
        <v>4.6232616186066946E-3</v>
      </c>
      <c r="Z526" s="1220">
        <f t="shared" ref="Z526:BA526" si="803">IF(Z525=0,Y526*(IF(Y524=0,1,Z524/Y524)),Y526+Z525)</f>
        <v>4.6232616186066946E-3</v>
      </c>
      <c r="AA526" s="1220">
        <f t="shared" si="803"/>
        <v>4.6232616186066946E-3</v>
      </c>
      <c r="AB526" s="1220">
        <f t="shared" si="803"/>
        <v>3.8527180155055788E-3</v>
      </c>
      <c r="AC526" s="1220">
        <f t="shared" si="803"/>
        <v>3.082174412404463E-3</v>
      </c>
      <c r="AD526" s="1220">
        <f t="shared" si="803"/>
        <v>2.3116308093033473E-3</v>
      </c>
      <c r="AE526" s="1220">
        <f t="shared" si="803"/>
        <v>1.5410872062022315E-3</v>
      </c>
      <c r="AF526" s="1220">
        <f t="shared" si="803"/>
        <v>7.7054360310111576E-4</v>
      </c>
      <c r="AG526" s="1220">
        <f t="shared" si="803"/>
        <v>0</v>
      </c>
      <c r="AH526" s="1220">
        <f t="shared" si="803"/>
        <v>0</v>
      </c>
      <c r="AI526" s="1220">
        <f t="shared" si="803"/>
        <v>0</v>
      </c>
      <c r="AJ526" s="1220">
        <f t="shared" si="803"/>
        <v>0</v>
      </c>
      <c r="AK526" s="1220">
        <f t="shared" si="803"/>
        <v>0</v>
      </c>
      <c r="AL526" s="1220">
        <f t="shared" si="803"/>
        <v>0</v>
      </c>
      <c r="AM526" s="1220">
        <f t="shared" si="803"/>
        <v>0</v>
      </c>
      <c r="AN526" s="1220">
        <f t="shared" si="803"/>
        <v>0</v>
      </c>
      <c r="AO526" s="1220">
        <f t="shared" si="803"/>
        <v>0</v>
      </c>
      <c r="AP526" s="1220">
        <f t="shared" si="803"/>
        <v>0</v>
      </c>
      <c r="AQ526" s="1220">
        <f t="shared" si="803"/>
        <v>0</v>
      </c>
      <c r="AR526" s="1220">
        <f t="shared" si="803"/>
        <v>0</v>
      </c>
      <c r="AS526" s="1220">
        <f t="shared" si="803"/>
        <v>0</v>
      </c>
      <c r="AT526" s="1220">
        <f t="shared" si="803"/>
        <v>0</v>
      </c>
      <c r="AU526" s="1220">
        <f t="shared" si="803"/>
        <v>0</v>
      </c>
      <c r="AV526" s="1220">
        <f t="shared" si="803"/>
        <v>0</v>
      </c>
      <c r="AW526" s="1220">
        <f t="shared" si="803"/>
        <v>0</v>
      </c>
      <c r="AX526" s="1220">
        <f t="shared" si="803"/>
        <v>0</v>
      </c>
      <c r="AY526" s="1220">
        <f t="shared" si="803"/>
        <v>0</v>
      </c>
      <c r="AZ526" s="1220">
        <f t="shared" si="803"/>
        <v>0</v>
      </c>
      <c r="BA526" s="1221">
        <f t="shared" si="803"/>
        <v>0</v>
      </c>
    </row>
    <row r="527" spans="19:53" ht="20.100000000000001" customHeight="1">
      <c r="S527" s="1301" t="s">
        <v>3036</v>
      </c>
      <c r="T527" s="1297"/>
      <c r="U527" s="1297"/>
      <c r="V527" s="1297"/>
      <c r="W527" s="1297"/>
      <c r="X527" s="345">
        <f t="shared" ref="X527:BA527" si="804">X70</f>
        <v>0.13533547647194144</v>
      </c>
      <c r="Y527" s="345">
        <f t="shared" si="804"/>
        <v>0.13533547647194144</v>
      </c>
      <c r="Z527" s="345">
        <f t="shared" si="804"/>
        <v>0.13533547647194144</v>
      </c>
      <c r="AA527" s="345">
        <f t="shared" si="804"/>
        <v>0.13533547647194144</v>
      </c>
      <c r="AB527" s="345">
        <f t="shared" si="804"/>
        <v>0.13533547647194144</v>
      </c>
      <c r="AC527" s="345">
        <f t="shared" si="804"/>
        <v>0.13533547647194144</v>
      </c>
      <c r="AD527" s="345">
        <f t="shared" si="804"/>
        <v>0.13533547647194144</v>
      </c>
      <c r="AE527" s="345">
        <f t="shared" si="804"/>
        <v>0.13533547647194144</v>
      </c>
      <c r="AF527" s="345">
        <f t="shared" si="804"/>
        <v>0.13533547647194144</v>
      </c>
      <c r="AG527" s="345">
        <f t="shared" si="804"/>
        <v>0.13533547647194144</v>
      </c>
      <c r="AH527" s="345">
        <f t="shared" si="804"/>
        <v>0.13533547647194144</v>
      </c>
      <c r="AI527" s="345">
        <f t="shared" si="804"/>
        <v>0.13533547647194144</v>
      </c>
      <c r="AJ527" s="345">
        <f t="shared" si="804"/>
        <v>0.13533547647194144</v>
      </c>
      <c r="AK527" s="345">
        <f t="shared" si="804"/>
        <v>0.13533547647194144</v>
      </c>
      <c r="AL527" s="345">
        <f t="shared" si="804"/>
        <v>0.13533547647194144</v>
      </c>
      <c r="AM527" s="345">
        <f t="shared" si="804"/>
        <v>0.13533547647194144</v>
      </c>
      <c r="AN527" s="345">
        <f t="shared" si="804"/>
        <v>0.13533547647194144</v>
      </c>
      <c r="AO527" s="345">
        <f t="shared" si="804"/>
        <v>0.13533547647194144</v>
      </c>
      <c r="AP527" s="345">
        <f t="shared" si="804"/>
        <v>0.13533547647194144</v>
      </c>
      <c r="AQ527" s="345">
        <f t="shared" si="804"/>
        <v>0.13533547647194144</v>
      </c>
      <c r="AR527" s="345">
        <f t="shared" si="804"/>
        <v>0.13533547647194144</v>
      </c>
      <c r="AS527" s="345">
        <f t="shared" si="804"/>
        <v>0.13533547647194144</v>
      </c>
      <c r="AT527" s="345">
        <f t="shared" si="804"/>
        <v>0.13533547647194144</v>
      </c>
      <c r="AU527" s="345">
        <f t="shared" si="804"/>
        <v>0.13533547647194144</v>
      </c>
      <c r="AV527" s="345">
        <f t="shared" si="804"/>
        <v>0.13533547647194144</v>
      </c>
      <c r="AW527" s="345">
        <f t="shared" si="804"/>
        <v>0.13533547647194144</v>
      </c>
      <c r="AX527" s="345">
        <f t="shared" si="804"/>
        <v>0.13533547647194144</v>
      </c>
      <c r="AY527" s="345">
        <f t="shared" si="804"/>
        <v>0.13533547647194144</v>
      </c>
      <c r="AZ527" s="345">
        <f t="shared" si="804"/>
        <v>0.13533547647194144</v>
      </c>
      <c r="BA527" s="1302">
        <f t="shared" si="804"/>
        <v>0.13533547647194144</v>
      </c>
    </row>
    <row r="528" spans="19:53" ht="20.100000000000001" customHeight="1">
      <c r="S528" s="1301" t="s">
        <v>3110</v>
      </c>
      <c r="T528" s="1297"/>
      <c r="U528" s="1297"/>
      <c r="V528" s="1297"/>
      <c r="W528" s="1297"/>
      <c r="X528" s="345">
        <f>IF(AND(X486&gt;(2020+TRANSPORT!$F$220),X486&lt;(2022+$G$220)),(TRANSPORT!$G$215-INDEX(TRANSPORT!$Y$527:$BA$527,1,($F$220-1)))/($G$220-$F$220+1),0)</f>
        <v>0</v>
      </c>
      <c r="Y528" s="345">
        <f>IF(AND(Y486&gt;(2020+TRANSPORT!$F$220),Y486&lt;(2022+$G$220)),(TRANSPORT!$G$215-INDEX(TRANSPORT!$Y$527:$BA$527,1,($F$220-1)))/($G$220-$F$220+1),0)</f>
        <v>0</v>
      </c>
      <c r="Z528" s="345">
        <f>IF(AND(Z486&gt;(2020+TRANSPORT!$F$220),Z486&lt;(2022+$G$220)),(TRANSPORT!$G$215-INDEX(TRANSPORT!$Y$527:$BA$527,1,($F$220-1)))/($G$220-$F$220+1),0)</f>
        <v>0</v>
      </c>
      <c r="AA528" s="345">
        <f>IF(AND(AA486&gt;(2020+TRANSPORT!$F$220),AA486&lt;(2022+$G$220)),(TRANSPORT!$G$215-INDEX(TRANSPORT!$Y$527:$BA$527,1,($F$220-1)))/($G$220-$F$220+1),0)</f>
        <v>0</v>
      </c>
      <c r="AB528" s="345">
        <f>IF(AND(AB486&gt;(2020+TRANSPORT!$F$220),AB486&lt;(2022+$G$220)),(TRANSPORT!$G$215-INDEX(TRANSPORT!$Y$527:$BA$527,1,($F$220-1)))/($G$220-$F$220+1),0)</f>
        <v>-2.2555912745323575E-2</v>
      </c>
      <c r="AC528" s="345">
        <f>IF(AND(AC486&gt;(2020+TRANSPORT!$F$220),AC486&lt;(2022+$G$220)),(TRANSPORT!$G$215-INDEX(TRANSPORT!$Y$527:$BA$527,1,($F$220-1)))/($G$220-$F$220+1),0)</f>
        <v>-2.2555912745323575E-2</v>
      </c>
      <c r="AD528" s="345">
        <f>IF(AND(AD486&gt;(2020+TRANSPORT!$F$220),AD486&lt;(2022+$G$220)),(TRANSPORT!$G$215-INDEX(TRANSPORT!$Y$527:$BA$527,1,($F$220-1)))/($G$220-$F$220+1),0)</f>
        <v>-2.2555912745323575E-2</v>
      </c>
      <c r="AE528" s="345">
        <f>IF(AND(AE486&gt;(2020+TRANSPORT!$F$220),AE486&lt;(2022+$G$220)),(TRANSPORT!$G$215-INDEX(TRANSPORT!$Y$527:$BA$527,1,($F$220-1)))/($G$220-$F$220+1),0)</f>
        <v>-2.2555912745323575E-2</v>
      </c>
      <c r="AF528" s="345">
        <f>IF(AND(AF486&gt;(2020+TRANSPORT!$F$220),AF486&lt;(2022+$G$220)),(TRANSPORT!$G$215-INDEX(TRANSPORT!$Y$527:$BA$527,1,($F$220-1)))/($G$220-$F$220+1),0)</f>
        <v>-2.2555912745323575E-2</v>
      </c>
      <c r="AG528" s="345">
        <f>IF(AND(AG486&gt;(2020+TRANSPORT!$F$220),AG486&lt;(2022+$G$220)),(TRANSPORT!$G$215-INDEX(TRANSPORT!$Y$527:$BA$527,1,($F$220-1)))/($G$220-$F$220+1),0)</f>
        <v>-2.2555912745323575E-2</v>
      </c>
      <c r="AH528" s="345">
        <f>IF(AND(AH486&gt;(2020+TRANSPORT!$F$220),AH486&lt;(2022+$G$220)),(TRANSPORT!$G$215-INDEX(TRANSPORT!$Y$527:$BA$527,1,($F$220-1)))/($G$220-$F$220+1),0)</f>
        <v>0</v>
      </c>
      <c r="AI528" s="345">
        <f>IF(AND(AI486&gt;(2020+TRANSPORT!$F$220),AI486&lt;(2022+$G$220)),(TRANSPORT!$G$215-INDEX(TRANSPORT!$Y$527:$BA$527,1,($F$220-1)))/($G$220-$F$220+1),0)</f>
        <v>0</v>
      </c>
      <c r="AJ528" s="345">
        <f>IF(AND(AJ486&gt;(2020+TRANSPORT!$F$220),AJ486&lt;(2022+$G$220)),(TRANSPORT!$G$215-INDEX(TRANSPORT!$Y$527:$BA$527,1,($F$220-1)))/($G$220-$F$220+1),0)</f>
        <v>0</v>
      </c>
      <c r="AK528" s="345">
        <f>IF(AND(AK486&gt;(2020+TRANSPORT!$F$220),AK486&lt;(2022+$G$220)),(TRANSPORT!$G$215-INDEX(TRANSPORT!$Y$527:$BA$527,1,($F$220-1)))/($G$220-$F$220+1),0)</f>
        <v>0</v>
      </c>
      <c r="AL528" s="345">
        <f>IF(AND(AL486&gt;(2020+TRANSPORT!$F$220),AL486&lt;(2022+$G$220)),(TRANSPORT!$G$215-INDEX(TRANSPORT!$Y$527:$BA$527,1,($F$220-1)))/($G$220-$F$220+1),0)</f>
        <v>0</v>
      </c>
      <c r="AM528" s="345">
        <f>IF(AND(AM486&gt;(2020+TRANSPORT!$F$220),AM486&lt;(2022+$G$220)),(TRANSPORT!$G$215-INDEX(TRANSPORT!$Y$527:$BA$527,1,($F$220-1)))/($G$220-$F$220+1),0)</f>
        <v>0</v>
      </c>
      <c r="AN528" s="345">
        <f>IF(AND(AN486&gt;(2020+TRANSPORT!$F$220),AN486&lt;(2022+$G$220)),(TRANSPORT!$G$215-INDEX(TRANSPORT!$Y$527:$BA$527,1,($F$220-1)))/($G$220-$F$220+1),0)</f>
        <v>0</v>
      </c>
      <c r="AO528" s="345">
        <f>IF(AND(AO486&gt;(2020+TRANSPORT!$F$220),AO486&lt;(2022+$G$220)),(TRANSPORT!$G$215-INDEX(TRANSPORT!$Y$527:$BA$527,1,($F$220-1)))/($G$220-$F$220+1),0)</f>
        <v>0</v>
      </c>
      <c r="AP528" s="345">
        <f>IF(AND(AP486&gt;(2020+TRANSPORT!$F$220),AP486&lt;(2022+$G$220)),(TRANSPORT!$G$215-INDEX(TRANSPORT!$Y$527:$BA$527,1,($F$220-1)))/($G$220-$F$220+1),0)</f>
        <v>0</v>
      </c>
      <c r="AQ528" s="345">
        <f>IF(AND(AQ486&gt;(2020+TRANSPORT!$F$220),AQ486&lt;(2022+$G$220)),(TRANSPORT!$G$215-INDEX(TRANSPORT!$Y$527:$BA$527,1,($F$220-1)))/($G$220-$F$220+1),0)</f>
        <v>0</v>
      </c>
      <c r="AR528" s="345">
        <f>IF(AND(AR486&gt;(2020+TRANSPORT!$F$220),AR486&lt;(2022+$G$220)),(TRANSPORT!$G$215-INDEX(TRANSPORT!$Y$527:$BA$527,1,($F$220-1)))/($G$220-$F$220+1),0)</f>
        <v>0</v>
      </c>
      <c r="AS528" s="345">
        <f>IF(AND(AS486&gt;(2020+TRANSPORT!$F$220),AS486&lt;(2022+$G$220)),(TRANSPORT!$G$215-INDEX(TRANSPORT!$Y$527:$BA$527,1,($F$220-1)))/($G$220-$F$220+1),0)</f>
        <v>0</v>
      </c>
      <c r="AT528" s="345">
        <f>IF(AND(AT486&gt;(2020+TRANSPORT!$F$220),AT486&lt;(2022+$G$220)),(TRANSPORT!$G$215-INDEX(TRANSPORT!$Y$527:$BA$527,1,($F$220-1)))/($G$220-$F$220+1),0)</f>
        <v>0</v>
      </c>
      <c r="AU528" s="345">
        <f>IF(AND(AU486&gt;(2020+TRANSPORT!$F$220),AU486&lt;(2022+$G$220)),(TRANSPORT!$G$215-INDEX(TRANSPORT!$Y$527:$BA$527,1,($F$220-1)))/($G$220-$F$220+1),0)</f>
        <v>0</v>
      </c>
      <c r="AV528" s="345">
        <f>IF(AND(AV486&gt;(2020+TRANSPORT!$F$220),AV486&lt;(2022+$G$220)),(TRANSPORT!$G$215-INDEX(TRANSPORT!$Y$527:$BA$527,1,($F$220-1)))/($G$220-$F$220+1),0)</f>
        <v>0</v>
      </c>
      <c r="AW528" s="345">
        <f>IF(AND(AW486&gt;(2020+TRANSPORT!$F$220),AW486&lt;(2022+$G$220)),(TRANSPORT!$G$215-INDEX(TRANSPORT!$Y$527:$BA$527,1,($F$220-1)))/($G$220-$F$220+1),0)</f>
        <v>0</v>
      </c>
      <c r="AX528" s="345">
        <f>IF(AND(AX486&gt;(2020+TRANSPORT!$F$220),AX486&lt;(2022+$G$220)),(TRANSPORT!$G$215-INDEX(TRANSPORT!$Y$527:$BA$527,1,($F$220-1)))/($G$220-$F$220+1),0)</f>
        <v>0</v>
      </c>
      <c r="AY528" s="345">
        <f>IF(AND(AY486&gt;(2020+TRANSPORT!$F$220),AY486&lt;(2022+$G$220)),(TRANSPORT!$G$215-INDEX(TRANSPORT!$Y$527:$BA$527,1,($F$220-1)))/($G$220-$F$220+1),0)</f>
        <v>0</v>
      </c>
      <c r="AZ528" s="345">
        <f>IF(AND(AZ486&gt;(2020+TRANSPORT!$F$220),AZ486&lt;(2022+$G$220)),(TRANSPORT!$G$215-INDEX(TRANSPORT!$Y$527:$BA$527,1,($F$220-1)))/($G$220-$F$220+1),0)</f>
        <v>0</v>
      </c>
      <c r="BA528" s="1302">
        <f>IF(AND(BA486&gt;(2020+TRANSPORT!$F$220),BA486&lt;(2022+$G$220)),(TRANSPORT!$G$215-INDEX(TRANSPORT!$Y$527:$BA$527,1,($F$220-1)))/($G$220-$F$220+1),0)</f>
        <v>0</v>
      </c>
    </row>
    <row r="529" spans="19:53" ht="20.100000000000001" customHeight="1" thickBot="1">
      <c r="S529" s="1309" t="s">
        <v>3174</v>
      </c>
      <c r="T529" s="1313" t="s">
        <v>3161</v>
      </c>
      <c r="U529" s="1310"/>
      <c r="V529" s="1310"/>
      <c r="W529" s="1310"/>
      <c r="X529" s="1312">
        <f>SUM(X527:X528)</f>
        <v>0.13533547647194144</v>
      </c>
      <c r="Y529" s="1312">
        <f>IF(Y528=0,X529*(IF(X527=0,1,Y527/X527)),X529+Y528)</f>
        <v>0.13533547647194144</v>
      </c>
      <c r="Z529" s="1312">
        <f t="shared" ref="Z529:BA529" si="805">IF(Z528=0,Y529*(IF(Y527=0,1,Z527/Y527)),Y529+Z528)</f>
        <v>0.13533547647194144</v>
      </c>
      <c r="AA529" s="1312">
        <f t="shared" si="805"/>
        <v>0.13533547647194144</v>
      </c>
      <c r="AB529" s="1312">
        <f t="shared" si="805"/>
        <v>0.11277956372661786</v>
      </c>
      <c r="AC529" s="1312">
        <f t="shared" si="805"/>
        <v>9.0223650981294284E-2</v>
      </c>
      <c r="AD529" s="1312">
        <f t="shared" si="805"/>
        <v>6.7667738235970706E-2</v>
      </c>
      <c r="AE529" s="1312">
        <f t="shared" si="805"/>
        <v>4.5111825490647128E-2</v>
      </c>
      <c r="AF529" s="1312">
        <f t="shared" si="805"/>
        <v>2.2555912745323554E-2</v>
      </c>
      <c r="AG529" s="1312">
        <f t="shared" si="805"/>
        <v>-2.0816681711721685E-17</v>
      </c>
      <c r="AH529" s="1312">
        <f t="shared" si="805"/>
        <v>-2.0816681711721685E-17</v>
      </c>
      <c r="AI529" s="1312">
        <f t="shared" si="805"/>
        <v>-2.0816681711721685E-17</v>
      </c>
      <c r="AJ529" s="1312">
        <f t="shared" si="805"/>
        <v>-2.0816681711721685E-17</v>
      </c>
      <c r="AK529" s="1312">
        <f t="shared" si="805"/>
        <v>-2.0816681711721685E-17</v>
      </c>
      <c r="AL529" s="1312">
        <f t="shared" si="805"/>
        <v>-2.0816681711721685E-17</v>
      </c>
      <c r="AM529" s="1312">
        <f t="shared" si="805"/>
        <v>-2.0816681711721685E-17</v>
      </c>
      <c r="AN529" s="1312">
        <f t="shared" si="805"/>
        <v>-2.0816681711721685E-17</v>
      </c>
      <c r="AO529" s="1312">
        <f t="shared" si="805"/>
        <v>-2.0816681711721685E-17</v>
      </c>
      <c r="AP529" s="1312">
        <f t="shared" si="805"/>
        <v>-2.0816681711721685E-17</v>
      </c>
      <c r="AQ529" s="1312">
        <f t="shared" si="805"/>
        <v>-2.0816681711721685E-17</v>
      </c>
      <c r="AR529" s="1312">
        <f t="shared" si="805"/>
        <v>-2.0816681711721685E-17</v>
      </c>
      <c r="AS529" s="1312">
        <f t="shared" si="805"/>
        <v>-2.0816681711721685E-17</v>
      </c>
      <c r="AT529" s="1312">
        <f t="shared" si="805"/>
        <v>-2.0816681711721685E-17</v>
      </c>
      <c r="AU529" s="1312">
        <f t="shared" si="805"/>
        <v>-2.0816681711721685E-17</v>
      </c>
      <c r="AV529" s="1312">
        <f t="shared" si="805"/>
        <v>-2.0816681711721685E-17</v>
      </c>
      <c r="AW529" s="1312">
        <f t="shared" si="805"/>
        <v>-2.0816681711721685E-17</v>
      </c>
      <c r="AX529" s="1312">
        <f t="shared" si="805"/>
        <v>-2.0816681711721685E-17</v>
      </c>
      <c r="AY529" s="1312">
        <f t="shared" si="805"/>
        <v>-2.0816681711721685E-17</v>
      </c>
      <c r="AZ529" s="1312">
        <f t="shared" si="805"/>
        <v>-2.0816681711721685E-17</v>
      </c>
      <c r="BA529" s="1314">
        <f t="shared" si="805"/>
        <v>-2.0816681711721685E-17</v>
      </c>
    </row>
    <row r="530" spans="19:53" ht="20.100000000000001" customHeight="1" thickBot="1">
      <c r="X530" s="943">
        <f>X489+X492+X495+X497+X500+X503+X505+X508+X511+X514+X517+X520+X523+X526+X529</f>
        <v>100</v>
      </c>
      <c r="Y530" s="943">
        <f t="shared" ref="Y530:BA530" si="806">Y489+Y492+Y495+Y497+Y500+Y503+Y505+Y508+Y511+Y514+Y517+Y520+Y523+Y526+Y529</f>
        <v>100</v>
      </c>
      <c r="Z530" s="943">
        <f t="shared" si="806"/>
        <v>100</v>
      </c>
      <c r="AA530" s="943">
        <f t="shared" si="806"/>
        <v>100</v>
      </c>
      <c r="AB530" s="943">
        <f t="shared" si="806"/>
        <v>99.999999999999986</v>
      </c>
      <c r="AC530" s="943">
        <f t="shared" si="806"/>
        <v>99.999999999999986</v>
      </c>
      <c r="AD530" s="943">
        <f t="shared" si="806"/>
        <v>100.00000000000001</v>
      </c>
      <c r="AE530" s="943">
        <f t="shared" si="806"/>
        <v>100</v>
      </c>
      <c r="AF530" s="943">
        <f t="shared" si="806"/>
        <v>99.999999999999972</v>
      </c>
      <c r="AG530" s="943">
        <f t="shared" si="806"/>
        <v>100</v>
      </c>
      <c r="AH530" s="943">
        <f t="shared" si="806"/>
        <v>100</v>
      </c>
      <c r="AI530" s="943">
        <f t="shared" si="806"/>
        <v>100</v>
      </c>
      <c r="AJ530" s="943">
        <f t="shared" si="806"/>
        <v>100</v>
      </c>
      <c r="AK530" s="943">
        <f t="shared" si="806"/>
        <v>100</v>
      </c>
      <c r="AL530" s="943">
        <f t="shared" si="806"/>
        <v>100</v>
      </c>
      <c r="AM530" s="943">
        <f t="shared" si="806"/>
        <v>100</v>
      </c>
      <c r="AN530" s="943">
        <f t="shared" si="806"/>
        <v>100</v>
      </c>
      <c r="AO530" s="943">
        <f t="shared" si="806"/>
        <v>100</v>
      </c>
      <c r="AP530" s="943">
        <f t="shared" si="806"/>
        <v>100</v>
      </c>
      <c r="AQ530" s="943">
        <f t="shared" si="806"/>
        <v>100</v>
      </c>
      <c r="AR530" s="943">
        <f t="shared" si="806"/>
        <v>100</v>
      </c>
      <c r="AS530" s="943">
        <f t="shared" si="806"/>
        <v>100</v>
      </c>
      <c r="AT530" s="943">
        <f t="shared" si="806"/>
        <v>100</v>
      </c>
      <c r="AU530" s="943">
        <f t="shared" si="806"/>
        <v>100</v>
      </c>
      <c r="AV530" s="943">
        <f t="shared" si="806"/>
        <v>100</v>
      </c>
      <c r="AW530" s="943">
        <f t="shared" si="806"/>
        <v>100</v>
      </c>
      <c r="AX530" s="943">
        <f t="shared" si="806"/>
        <v>100</v>
      </c>
      <c r="AY530" s="943">
        <f t="shared" si="806"/>
        <v>100</v>
      </c>
      <c r="AZ530" s="943">
        <f t="shared" si="806"/>
        <v>100</v>
      </c>
      <c r="BA530" s="943">
        <f t="shared" si="806"/>
        <v>100</v>
      </c>
    </row>
    <row r="531" spans="19:53" ht="20.100000000000001" customHeight="1">
      <c r="S531" s="1285" t="s">
        <v>3175</v>
      </c>
      <c r="T531" s="1286"/>
      <c r="U531" s="1287" t="s">
        <v>1207</v>
      </c>
      <c r="V531" s="1287"/>
      <c r="W531" s="1287"/>
      <c r="X531" s="1290" t="s">
        <v>990</v>
      </c>
      <c r="Y531" s="1291"/>
      <c r="Z531" s="1291"/>
      <c r="AA531" s="1291"/>
      <c r="AB531" s="1291"/>
      <c r="AC531" s="1291"/>
      <c r="AD531" s="1291"/>
      <c r="AE531" s="1291"/>
      <c r="AF531" s="1291"/>
      <c r="AG531" s="1291"/>
      <c r="AH531" s="1291"/>
      <c r="AI531" s="1291"/>
      <c r="AJ531" s="1291"/>
      <c r="AK531" s="1291"/>
      <c r="AL531" s="1291"/>
      <c r="AM531" s="1291"/>
      <c r="AN531" s="1291"/>
      <c r="AO531" s="1291"/>
      <c r="AP531" s="1291"/>
      <c r="AQ531" s="1291"/>
      <c r="AR531" s="1291"/>
      <c r="AS531" s="1291"/>
      <c r="AT531" s="1291"/>
      <c r="AU531" s="1291"/>
      <c r="AV531" s="1291"/>
      <c r="AW531" s="1291"/>
      <c r="AX531" s="1291"/>
      <c r="AY531" s="1291"/>
      <c r="AZ531" s="1291"/>
      <c r="BA531" s="1292"/>
    </row>
    <row r="532" spans="19:53" ht="20.100000000000001" customHeight="1">
      <c r="S532" s="881" t="s">
        <v>934</v>
      </c>
      <c r="T532" s="552"/>
      <c r="U532" s="1315" t="s">
        <v>935</v>
      </c>
      <c r="V532" s="558" t="s">
        <v>936</v>
      </c>
      <c r="W532" s="558" t="s">
        <v>937</v>
      </c>
      <c r="X532" s="559">
        <v>2021</v>
      </c>
      <c r="Y532" s="262">
        <v>2022</v>
      </c>
      <c r="Z532" s="559">
        <v>2023</v>
      </c>
      <c r="AA532" s="262">
        <v>2024</v>
      </c>
      <c r="AB532" s="559">
        <v>2025</v>
      </c>
      <c r="AC532" s="262">
        <v>2026</v>
      </c>
      <c r="AD532" s="559">
        <v>2027</v>
      </c>
      <c r="AE532" s="262">
        <v>2028</v>
      </c>
      <c r="AF532" s="559">
        <v>2029</v>
      </c>
      <c r="AG532" s="262">
        <v>2030</v>
      </c>
      <c r="AH532" s="559">
        <v>2031</v>
      </c>
      <c r="AI532" s="262">
        <v>2032</v>
      </c>
      <c r="AJ532" s="559">
        <v>2033</v>
      </c>
      <c r="AK532" s="262">
        <v>2034</v>
      </c>
      <c r="AL532" s="559">
        <v>2035</v>
      </c>
      <c r="AM532" s="262">
        <v>2036</v>
      </c>
      <c r="AN532" s="559">
        <v>2037</v>
      </c>
      <c r="AO532" s="262">
        <v>2038</v>
      </c>
      <c r="AP532" s="559">
        <v>2039</v>
      </c>
      <c r="AQ532" s="262">
        <v>2040</v>
      </c>
      <c r="AR532" s="559">
        <v>2041</v>
      </c>
      <c r="AS532" s="262">
        <v>2042</v>
      </c>
      <c r="AT532" s="559">
        <v>2043</v>
      </c>
      <c r="AU532" s="262">
        <v>2044</v>
      </c>
      <c r="AV532" s="559">
        <v>2045</v>
      </c>
      <c r="AW532" s="262">
        <v>2046</v>
      </c>
      <c r="AX532" s="559">
        <v>2047</v>
      </c>
      <c r="AY532" s="262">
        <v>2048</v>
      </c>
      <c r="AZ532" s="559">
        <v>2049</v>
      </c>
      <c r="BA532" s="262">
        <v>2050</v>
      </c>
    </row>
    <row r="533" spans="19:53" ht="20.100000000000001" customHeight="1">
      <c r="S533" s="881" t="s">
        <v>939</v>
      </c>
      <c r="T533" s="552"/>
      <c r="U533" s="1319">
        <f>0.8*V533+0.2*W533</f>
        <v>192.291944</v>
      </c>
      <c r="V533" s="262">
        <f>INDEX('DEFAULT DATA'!$CI$9:$CW$41,START!$C$3,1)</f>
        <v>175.08124000000001</v>
      </c>
      <c r="W533" s="262">
        <f>INDEX('DEFAULT DATA'!$BT$9:$CH$41,START!$C$3,1)</f>
        <v>261.13475999999997</v>
      </c>
      <c r="X533" s="628">
        <f>X489</f>
        <v>5.6039534770990237E-5</v>
      </c>
      <c r="Y533" s="628">
        <f t="shared" ref="Y533:BA533" si="807">Y489</f>
        <v>5.6039534770990237E-5</v>
      </c>
      <c r="Z533" s="628">
        <f t="shared" si="807"/>
        <v>5.6039534770990237E-5</v>
      </c>
      <c r="AA533" s="628">
        <f t="shared" si="807"/>
        <v>5.6039534770990237E-5</v>
      </c>
      <c r="AB533" s="628">
        <f t="shared" si="807"/>
        <v>4.669961230915853E-5</v>
      </c>
      <c r="AC533" s="628">
        <f t="shared" si="807"/>
        <v>3.7359689847326824E-5</v>
      </c>
      <c r="AD533" s="628">
        <f t="shared" si="807"/>
        <v>2.8019767385495118E-5</v>
      </c>
      <c r="AE533" s="628">
        <f t="shared" si="807"/>
        <v>1.8679844923663412E-5</v>
      </c>
      <c r="AF533" s="628">
        <f t="shared" si="807"/>
        <v>9.3399224618317061E-6</v>
      </c>
      <c r="AG533" s="628">
        <f t="shared" si="807"/>
        <v>0</v>
      </c>
      <c r="AH533" s="628">
        <f t="shared" si="807"/>
        <v>0</v>
      </c>
      <c r="AI533" s="628">
        <f t="shared" si="807"/>
        <v>0</v>
      </c>
      <c r="AJ533" s="628">
        <f t="shared" si="807"/>
        <v>0</v>
      </c>
      <c r="AK533" s="628">
        <f t="shared" si="807"/>
        <v>0</v>
      </c>
      <c r="AL533" s="628">
        <f t="shared" si="807"/>
        <v>0</v>
      </c>
      <c r="AM533" s="628">
        <f t="shared" si="807"/>
        <v>0</v>
      </c>
      <c r="AN533" s="628">
        <f t="shared" si="807"/>
        <v>0</v>
      </c>
      <c r="AO533" s="628">
        <f t="shared" si="807"/>
        <v>0</v>
      </c>
      <c r="AP533" s="628">
        <f t="shared" si="807"/>
        <v>0</v>
      </c>
      <c r="AQ533" s="628">
        <f t="shared" si="807"/>
        <v>0</v>
      </c>
      <c r="AR533" s="628">
        <f t="shared" si="807"/>
        <v>0</v>
      </c>
      <c r="AS533" s="628">
        <f t="shared" si="807"/>
        <v>0</v>
      </c>
      <c r="AT533" s="628">
        <f t="shared" si="807"/>
        <v>0</v>
      </c>
      <c r="AU533" s="628">
        <f t="shared" si="807"/>
        <v>0</v>
      </c>
      <c r="AV533" s="628">
        <f t="shared" si="807"/>
        <v>0</v>
      </c>
      <c r="AW533" s="628">
        <f t="shared" si="807"/>
        <v>0</v>
      </c>
      <c r="AX533" s="628">
        <f t="shared" si="807"/>
        <v>0</v>
      </c>
      <c r="AY533" s="628">
        <f t="shared" si="807"/>
        <v>0</v>
      </c>
      <c r="AZ533" s="628">
        <f t="shared" si="807"/>
        <v>0</v>
      </c>
      <c r="BA533" s="628">
        <f t="shared" si="807"/>
        <v>0</v>
      </c>
    </row>
    <row r="534" spans="19:53" ht="20.100000000000001" customHeight="1">
      <c r="S534" s="881" t="s">
        <v>940</v>
      </c>
      <c r="T534" s="552"/>
      <c r="U534" s="1319">
        <f t="shared" ref="U534:U546" si="808">0.8*V534+0.2*W534</f>
        <v>67.62</v>
      </c>
      <c r="V534" s="262">
        <f>INDEX('DEFAULT DATA'!$CI$9:$CW$41,START!$C$3,2)</f>
        <v>60.4</v>
      </c>
      <c r="W534" s="262">
        <f>INDEX('DEFAULT DATA'!$BT$9:$CH$41,START!$C$3,2)</f>
        <v>96.5</v>
      </c>
      <c r="X534" s="628">
        <f>X492</f>
        <v>8.8962761448946992E-2</v>
      </c>
      <c r="Y534" s="628">
        <f t="shared" ref="Y534:BA534" si="809">Y492</f>
        <v>8.8962761448946992E-2</v>
      </c>
      <c r="Z534" s="628">
        <f t="shared" si="809"/>
        <v>8.8962761448946992E-2</v>
      </c>
      <c r="AA534" s="628">
        <f t="shared" si="809"/>
        <v>8.8962761448946992E-2</v>
      </c>
      <c r="AB534" s="628">
        <f t="shared" si="809"/>
        <v>5.0741356345407889</v>
      </c>
      <c r="AC534" s="628">
        <f t="shared" si="809"/>
        <v>10.059308507632631</v>
      </c>
      <c r="AD534" s="628">
        <f t="shared" si="809"/>
        <v>15.044481380724473</v>
      </c>
      <c r="AE534" s="628">
        <f t="shared" si="809"/>
        <v>20.029654253816314</v>
      </c>
      <c r="AF534" s="628">
        <f t="shared" si="809"/>
        <v>25.014827126908155</v>
      </c>
      <c r="AG534" s="628">
        <f t="shared" si="809"/>
        <v>29.999999999999996</v>
      </c>
      <c r="AH534" s="628">
        <f t="shared" si="809"/>
        <v>29.999999999999996</v>
      </c>
      <c r="AI534" s="628">
        <f t="shared" si="809"/>
        <v>29.999999999999996</v>
      </c>
      <c r="AJ534" s="628">
        <f t="shared" si="809"/>
        <v>29.999999999999996</v>
      </c>
      <c r="AK534" s="628">
        <f t="shared" si="809"/>
        <v>29.999999999999996</v>
      </c>
      <c r="AL534" s="628">
        <f t="shared" si="809"/>
        <v>29.999999999999996</v>
      </c>
      <c r="AM534" s="628">
        <f t="shared" si="809"/>
        <v>29.999999999999996</v>
      </c>
      <c r="AN534" s="628">
        <f t="shared" si="809"/>
        <v>29.999999999999996</v>
      </c>
      <c r="AO534" s="628">
        <f t="shared" si="809"/>
        <v>29.999999999999996</v>
      </c>
      <c r="AP534" s="628">
        <f t="shared" si="809"/>
        <v>29.999999999999996</v>
      </c>
      <c r="AQ534" s="628">
        <f t="shared" si="809"/>
        <v>29.999999999999996</v>
      </c>
      <c r="AR534" s="628">
        <f t="shared" si="809"/>
        <v>29.999999999999996</v>
      </c>
      <c r="AS534" s="628">
        <f t="shared" si="809"/>
        <v>29.999999999999996</v>
      </c>
      <c r="AT534" s="628">
        <f t="shared" si="809"/>
        <v>29.999999999999996</v>
      </c>
      <c r="AU534" s="628">
        <f t="shared" si="809"/>
        <v>29.999999999999996</v>
      </c>
      <c r="AV534" s="628">
        <f t="shared" si="809"/>
        <v>29.999999999999996</v>
      </c>
      <c r="AW534" s="628">
        <f t="shared" si="809"/>
        <v>29.999999999999996</v>
      </c>
      <c r="AX534" s="628">
        <f t="shared" si="809"/>
        <v>29.999999999999996</v>
      </c>
      <c r="AY534" s="628">
        <f t="shared" si="809"/>
        <v>29.999999999999996</v>
      </c>
      <c r="AZ534" s="628">
        <f t="shared" si="809"/>
        <v>29.999999999999996</v>
      </c>
      <c r="BA534" s="628">
        <f t="shared" si="809"/>
        <v>29.999999999999996</v>
      </c>
    </row>
    <row r="535" spans="19:53" ht="20.100000000000001" customHeight="1">
      <c r="S535" s="881" t="s">
        <v>994</v>
      </c>
      <c r="T535" s="552"/>
      <c r="U535" s="1319">
        <f t="shared" si="808"/>
        <v>46.550400000000003</v>
      </c>
      <c r="V535" s="262">
        <f>INDEX('DEFAULT DATA'!$CI$9:$CW$41,START!$C$3,3)</f>
        <v>42.384</v>
      </c>
      <c r="W535" s="262">
        <f>INDEX('DEFAULT DATA'!$BT$9:$CH$41,START!$C$3,3)</f>
        <v>63.215999999999994</v>
      </c>
      <c r="X535" s="628">
        <f>X495</f>
        <v>0.53534567566726976</v>
      </c>
      <c r="Y535" s="628">
        <f t="shared" ref="Y535:BA535" si="810">Y495</f>
        <v>0.53534567566726976</v>
      </c>
      <c r="Z535" s="628">
        <f t="shared" si="810"/>
        <v>0.53534567566726976</v>
      </c>
      <c r="AA535" s="628">
        <f t="shared" si="810"/>
        <v>0.53534567566726976</v>
      </c>
      <c r="AB535" s="628">
        <f t="shared" si="810"/>
        <v>3.7794547297227248</v>
      </c>
      <c r="AC535" s="628">
        <f t="shared" si="810"/>
        <v>7.0235637837781795</v>
      </c>
      <c r="AD535" s="628">
        <f t="shared" si="810"/>
        <v>10.267672837833635</v>
      </c>
      <c r="AE535" s="628">
        <f t="shared" si="810"/>
        <v>13.51178189188909</v>
      </c>
      <c r="AF535" s="628">
        <f t="shared" si="810"/>
        <v>16.755890945944543</v>
      </c>
      <c r="AG535" s="628">
        <f t="shared" si="810"/>
        <v>20</v>
      </c>
      <c r="AH535" s="628">
        <f t="shared" si="810"/>
        <v>20</v>
      </c>
      <c r="AI535" s="628">
        <f t="shared" si="810"/>
        <v>20</v>
      </c>
      <c r="AJ535" s="628">
        <f t="shared" si="810"/>
        <v>20</v>
      </c>
      <c r="AK535" s="628">
        <f t="shared" si="810"/>
        <v>20</v>
      </c>
      <c r="AL535" s="628">
        <f t="shared" si="810"/>
        <v>20</v>
      </c>
      <c r="AM535" s="628">
        <f t="shared" si="810"/>
        <v>20</v>
      </c>
      <c r="AN535" s="628">
        <f t="shared" si="810"/>
        <v>20</v>
      </c>
      <c r="AO535" s="628">
        <f t="shared" si="810"/>
        <v>20</v>
      </c>
      <c r="AP535" s="628">
        <f t="shared" si="810"/>
        <v>20</v>
      </c>
      <c r="AQ535" s="628">
        <f t="shared" si="810"/>
        <v>20</v>
      </c>
      <c r="AR535" s="628">
        <f t="shared" si="810"/>
        <v>20</v>
      </c>
      <c r="AS535" s="628">
        <f t="shared" si="810"/>
        <v>20</v>
      </c>
      <c r="AT535" s="628">
        <f t="shared" si="810"/>
        <v>20</v>
      </c>
      <c r="AU535" s="628">
        <f t="shared" si="810"/>
        <v>20</v>
      </c>
      <c r="AV535" s="628">
        <f t="shared" si="810"/>
        <v>20</v>
      </c>
      <c r="AW535" s="628">
        <f t="shared" si="810"/>
        <v>20</v>
      </c>
      <c r="AX535" s="628">
        <f t="shared" si="810"/>
        <v>20</v>
      </c>
      <c r="AY535" s="628">
        <f t="shared" si="810"/>
        <v>20</v>
      </c>
      <c r="AZ535" s="628">
        <f t="shared" si="810"/>
        <v>20</v>
      </c>
      <c r="BA535" s="628">
        <f t="shared" si="810"/>
        <v>20</v>
      </c>
    </row>
    <row r="536" spans="19:53" ht="20.100000000000001" customHeight="1">
      <c r="S536" s="881" t="s">
        <v>980</v>
      </c>
      <c r="T536" s="552"/>
      <c r="U536" s="1319">
        <f t="shared" si="808"/>
        <v>171.83905706996126</v>
      </c>
      <c r="V536" s="262">
        <f>INDEX('DEFAULT DATA'!$CI$9:$CW$41,START!$C$3,4)</f>
        <v>156.45894761061641</v>
      </c>
      <c r="W536" s="262">
        <f>INDEX('DEFAULT DATA'!$BT$9:$CH$41,START!$C$3,4)</f>
        <v>233.35949490734063</v>
      </c>
      <c r="X536" s="628">
        <f>X497</f>
        <v>71.058734777197103</v>
      </c>
      <c r="Y536" s="628">
        <f t="shared" ref="Y536:BA536" si="811">Y497</f>
        <v>71.058734777197103</v>
      </c>
      <c r="Z536" s="628">
        <f t="shared" si="811"/>
        <v>71.058734777197103</v>
      </c>
      <c r="AA536" s="628">
        <f t="shared" si="811"/>
        <v>71.058734777197103</v>
      </c>
      <c r="AB536" s="628">
        <f t="shared" si="811"/>
        <v>65.31951805568778</v>
      </c>
      <c r="AC536" s="628">
        <f t="shared" si="811"/>
        <v>59.580301334178493</v>
      </c>
      <c r="AD536" s="628">
        <f t="shared" si="811"/>
        <v>53.841084612669214</v>
      </c>
      <c r="AE536" s="628">
        <f t="shared" si="811"/>
        <v>48.101867891159912</v>
      </c>
      <c r="AF536" s="628">
        <f t="shared" si="811"/>
        <v>42.362651169650633</v>
      </c>
      <c r="AG536" s="628">
        <f t="shared" si="811"/>
        <v>36.623434448141339</v>
      </c>
      <c r="AH536" s="628">
        <f t="shared" si="811"/>
        <v>36.623434448141339</v>
      </c>
      <c r="AI536" s="628">
        <f t="shared" si="811"/>
        <v>36.623434448141339</v>
      </c>
      <c r="AJ536" s="628">
        <f t="shared" si="811"/>
        <v>36.623434448141339</v>
      </c>
      <c r="AK536" s="628">
        <f t="shared" si="811"/>
        <v>36.623434448141339</v>
      </c>
      <c r="AL536" s="628">
        <f t="shared" si="811"/>
        <v>36.623434448141339</v>
      </c>
      <c r="AM536" s="628">
        <f t="shared" si="811"/>
        <v>36.623434448141339</v>
      </c>
      <c r="AN536" s="628">
        <f t="shared" si="811"/>
        <v>36.623434448141339</v>
      </c>
      <c r="AO536" s="628">
        <f t="shared" si="811"/>
        <v>36.623434448141339</v>
      </c>
      <c r="AP536" s="628">
        <f t="shared" si="811"/>
        <v>36.623434448141339</v>
      </c>
      <c r="AQ536" s="628">
        <f t="shared" si="811"/>
        <v>36.623434448141339</v>
      </c>
      <c r="AR536" s="628">
        <f t="shared" si="811"/>
        <v>36.623434448141339</v>
      </c>
      <c r="AS536" s="628">
        <f t="shared" si="811"/>
        <v>36.623434448141339</v>
      </c>
      <c r="AT536" s="628">
        <f t="shared" si="811"/>
        <v>36.623434448141339</v>
      </c>
      <c r="AU536" s="628">
        <f t="shared" si="811"/>
        <v>36.623434448141339</v>
      </c>
      <c r="AV536" s="628">
        <f t="shared" si="811"/>
        <v>36.623434448141339</v>
      </c>
      <c r="AW536" s="628">
        <f t="shared" si="811"/>
        <v>36.623434448141339</v>
      </c>
      <c r="AX536" s="628">
        <f t="shared" si="811"/>
        <v>36.623434448141339</v>
      </c>
      <c r="AY536" s="628">
        <f t="shared" si="811"/>
        <v>36.623434448141339</v>
      </c>
      <c r="AZ536" s="628">
        <f t="shared" si="811"/>
        <v>36.623434448141339</v>
      </c>
      <c r="BA536" s="628">
        <f t="shared" si="811"/>
        <v>36.623434448141339</v>
      </c>
    </row>
    <row r="537" spans="19:53" ht="20.100000000000001" customHeight="1">
      <c r="S537" s="881" t="s">
        <v>981</v>
      </c>
      <c r="T537" s="552"/>
      <c r="U537" s="1319">
        <f t="shared" si="808"/>
        <v>115.91049599999999</v>
      </c>
      <c r="V537" s="262">
        <f>INDEX('DEFAULT DATA'!$CI$9:$CW$41,START!$C$3,5)</f>
        <v>105.53616</v>
      </c>
      <c r="W537" s="262">
        <f>INDEX('DEFAULT DATA'!$BT$9:$CH$41,START!$C$3,5)</f>
        <v>157.40783999999999</v>
      </c>
      <c r="X537" s="628">
        <f>X500</f>
        <v>1.5043813109272328</v>
      </c>
      <c r="Y537" s="628">
        <f t="shared" ref="Y537:BA537" si="812">Y500</f>
        <v>1.5043813109272328</v>
      </c>
      <c r="Z537" s="628">
        <f t="shared" si="812"/>
        <v>1.5043813109272328</v>
      </c>
      <c r="AA537" s="628">
        <f t="shared" si="812"/>
        <v>1.5043813109272328</v>
      </c>
      <c r="AB537" s="628">
        <f t="shared" si="812"/>
        <v>1.2536510924393607</v>
      </c>
      <c r="AC537" s="628">
        <f t="shared" si="812"/>
        <v>1.0029208739514885</v>
      </c>
      <c r="AD537" s="628">
        <f t="shared" si="812"/>
        <v>0.75219065546361641</v>
      </c>
      <c r="AE537" s="628">
        <f t="shared" si="812"/>
        <v>0.50146043697574427</v>
      </c>
      <c r="AF537" s="628">
        <f t="shared" si="812"/>
        <v>0.25073021848787214</v>
      </c>
      <c r="AG537" s="628">
        <f t="shared" si="812"/>
        <v>0</v>
      </c>
      <c r="AH537" s="628">
        <f t="shared" si="812"/>
        <v>0</v>
      </c>
      <c r="AI537" s="628">
        <f t="shared" si="812"/>
        <v>0</v>
      </c>
      <c r="AJ537" s="628">
        <f t="shared" si="812"/>
        <v>0</v>
      </c>
      <c r="AK537" s="628">
        <f t="shared" si="812"/>
        <v>0</v>
      </c>
      <c r="AL537" s="628">
        <f t="shared" si="812"/>
        <v>0</v>
      </c>
      <c r="AM537" s="628">
        <f t="shared" si="812"/>
        <v>0</v>
      </c>
      <c r="AN537" s="628">
        <f t="shared" si="812"/>
        <v>0</v>
      </c>
      <c r="AO537" s="628">
        <f t="shared" si="812"/>
        <v>0</v>
      </c>
      <c r="AP537" s="628">
        <f t="shared" si="812"/>
        <v>0</v>
      </c>
      <c r="AQ537" s="628">
        <f t="shared" si="812"/>
        <v>0</v>
      </c>
      <c r="AR537" s="628">
        <f t="shared" si="812"/>
        <v>0</v>
      </c>
      <c r="AS537" s="628">
        <f t="shared" si="812"/>
        <v>0</v>
      </c>
      <c r="AT537" s="628">
        <f t="shared" si="812"/>
        <v>0</v>
      </c>
      <c r="AU537" s="628">
        <f t="shared" si="812"/>
        <v>0</v>
      </c>
      <c r="AV537" s="628">
        <f t="shared" si="812"/>
        <v>0</v>
      </c>
      <c r="AW537" s="628">
        <f t="shared" si="812"/>
        <v>0</v>
      </c>
      <c r="AX537" s="628">
        <f t="shared" si="812"/>
        <v>0</v>
      </c>
      <c r="AY537" s="628">
        <f t="shared" si="812"/>
        <v>0</v>
      </c>
      <c r="AZ537" s="628">
        <f t="shared" si="812"/>
        <v>0</v>
      </c>
      <c r="BA537" s="628">
        <f t="shared" si="812"/>
        <v>0</v>
      </c>
    </row>
    <row r="538" spans="19:53" ht="20.100000000000001" customHeight="1">
      <c r="S538" s="881" t="s">
        <v>982</v>
      </c>
      <c r="T538" s="552"/>
      <c r="U538" s="1319">
        <f t="shared" si="808"/>
        <v>0</v>
      </c>
      <c r="V538" s="262">
        <f>INDEX('DEFAULT DATA'!$CI$9:$CW$41,START!$C$3,6)</f>
        <v>0</v>
      </c>
      <c r="W538" s="262">
        <f>INDEX('DEFAULT DATA'!$BT$9:$CH$41,START!$C$3,6)</f>
        <v>0</v>
      </c>
      <c r="X538" s="628">
        <f>X503</f>
        <v>0.32226935458427214</v>
      </c>
      <c r="Y538" s="628">
        <f t="shared" ref="Y538:BA538" si="813">Y503</f>
        <v>0.32226935458427214</v>
      </c>
      <c r="Z538" s="628">
        <f t="shared" si="813"/>
        <v>0.32226935458427214</v>
      </c>
      <c r="AA538" s="628">
        <f t="shared" si="813"/>
        <v>0.32226935458427214</v>
      </c>
      <c r="AB538" s="628">
        <f t="shared" si="813"/>
        <v>0.26855779548689346</v>
      </c>
      <c r="AC538" s="628">
        <f t="shared" si="813"/>
        <v>0.21484623638951478</v>
      </c>
      <c r="AD538" s="628">
        <f t="shared" si="813"/>
        <v>0.1611346772921361</v>
      </c>
      <c r="AE538" s="628">
        <f t="shared" si="813"/>
        <v>0.10742311819475742</v>
      </c>
      <c r="AF538" s="628">
        <f t="shared" si="813"/>
        <v>5.3711559097378729E-2</v>
      </c>
      <c r="AG538" s="628">
        <f t="shared" si="813"/>
        <v>4.163336342344337E-17</v>
      </c>
      <c r="AH538" s="628">
        <f t="shared" si="813"/>
        <v>4.163336342344337E-17</v>
      </c>
      <c r="AI538" s="628">
        <f t="shared" si="813"/>
        <v>4.163336342344337E-17</v>
      </c>
      <c r="AJ538" s="628">
        <f t="shared" si="813"/>
        <v>4.163336342344337E-17</v>
      </c>
      <c r="AK538" s="628">
        <f t="shared" si="813"/>
        <v>4.163336342344337E-17</v>
      </c>
      <c r="AL538" s="628">
        <f t="shared" si="813"/>
        <v>4.163336342344337E-17</v>
      </c>
      <c r="AM538" s="628">
        <f t="shared" si="813"/>
        <v>4.163336342344337E-17</v>
      </c>
      <c r="AN538" s="628">
        <f t="shared" si="813"/>
        <v>4.163336342344337E-17</v>
      </c>
      <c r="AO538" s="628">
        <f t="shared" si="813"/>
        <v>4.163336342344337E-17</v>
      </c>
      <c r="AP538" s="628">
        <f t="shared" si="813"/>
        <v>4.163336342344337E-17</v>
      </c>
      <c r="AQ538" s="628">
        <f t="shared" si="813"/>
        <v>4.163336342344337E-17</v>
      </c>
      <c r="AR538" s="628">
        <f t="shared" si="813"/>
        <v>4.163336342344337E-17</v>
      </c>
      <c r="AS538" s="628">
        <f t="shared" si="813"/>
        <v>4.163336342344337E-17</v>
      </c>
      <c r="AT538" s="628">
        <f t="shared" si="813"/>
        <v>4.163336342344337E-17</v>
      </c>
      <c r="AU538" s="628">
        <f t="shared" si="813"/>
        <v>4.163336342344337E-17</v>
      </c>
      <c r="AV538" s="628">
        <f t="shared" si="813"/>
        <v>4.163336342344337E-17</v>
      </c>
      <c r="AW538" s="628">
        <f t="shared" si="813"/>
        <v>4.163336342344337E-17</v>
      </c>
      <c r="AX538" s="628">
        <f t="shared" si="813"/>
        <v>4.163336342344337E-17</v>
      </c>
      <c r="AY538" s="628">
        <f t="shared" si="813"/>
        <v>4.163336342344337E-17</v>
      </c>
      <c r="AZ538" s="628">
        <f t="shared" si="813"/>
        <v>4.163336342344337E-17</v>
      </c>
      <c r="BA538" s="628">
        <f t="shared" si="813"/>
        <v>4.163336342344337E-17</v>
      </c>
    </row>
    <row r="539" spans="19:53" ht="20.100000000000001" customHeight="1">
      <c r="S539" s="881" t="s">
        <v>932</v>
      </c>
      <c r="T539" s="552"/>
      <c r="U539" s="1319">
        <f t="shared" si="808"/>
        <v>178.64117655678925</v>
      </c>
      <c r="V539" s="262">
        <f>INDEX('DEFAULT DATA'!$CI$9:$CW$41,START!$C$3,7)</f>
        <v>159.24945066654416</v>
      </c>
      <c r="W539" s="262">
        <f>INDEX('DEFAULT DATA'!$BT$9:$CH$41,START!$C$3,7)</f>
        <v>256.20808011776955</v>
      </c>
      <c r="X539" s="628">
        <f>X505</f>
        <v>25.953923713114659</v>
      </c>
      <c r="Y539" s="628">
        <f t="shared" ref="Y539:BA539" si="814">Y505</f>
        <v>25.953923713114659</v>
      </c>
      <c r="Z539" s="628">
        <f t="shared" si="814"/>
        <v>25.953923713114659</v>
      </c>
      <c r="AA539" s="628">
        <f t="shared" si="814"/>
        <v>25.953923713114659</v>
      </c>
      <c r="AB539" s="628">
        <f t="shared" si="814"/>
        <v>23.857697352905319</v>
      </c>
      <c r="AC539" s="628">
        <f t="shared" si="814"/>
        <v>21.761470992695987</v>
      </c>
      <c r="AD539" s="628">
        <f t="shared" si="814"/>
        <v>19.665244632486658</v>
      </c>
      <c r="AE539" s="628">
        <f t="shared" si="814"/>
        <v>17.569018272277322</v>
      </c>
      <c r="AF539" s="628">
        <f t="shared" si="814"/>
        <v>15.472791912067995</v>
      </c>
      <c r="AG539" s="628">
        <f t="shared" si="814"/>
        <v>13.376565551858663</v>
      </c>
      <c r="AH539" s="628">
        <f t="shared" si="814"/>
        <v>13.376565551858663</v>
      </c>
      <c r="AI539" s="628">
        <f t="shared" si="814"/>
        <v>13.376565551858663</v>
      </c>
      <c r="AJ539" s="628">
        <f t="shared" si="814"/>
        <v>13.376565551858663</v>
      </c>
      <c r="AK539" s="628">
        <f t="shared" si="814"/>
        <v>13.376565551858663</v>
      </c>
      <c r="AL539" s="628">
        <f t="shared" si="814"/>
        <v>13.376565551858663</v>
      </c>
      <c r="AM539" s="628">
        <f t="shared" si="814"/>
        <v>13.376565551858663</v>
      </c>
      <c r="AN539" s="628">
        <f t="shared" si="814"/>
        <v>13.376565551858663</v>
      </c>
      <c r="AO539" s="628">
        <f t="shared" si="814"/>
        <v>13.376565551858663</v>
      </c>
      <c r="AP539" s="628">
        <f t="shared" si="814"/>
        <v>13.376565551858663</v>
      </c>
      <c r="AQ539" s="628">
        <f t="shared" si="814"/>
        <v>13.376565551858663</v>
      </c>
      <c r="AR539" s="628">
        <f t="shared" si="814"/>
        <v>13.376565551858663</v>
      </c>
      <c r="AS539" s="628">
        <f t="shared" si="814"/>
        <v>13.376565551858663</v>
      </c>
      <c r="AT539" s="628">
        <f t="shared" si="814"/>
        <v>13.376565551858663</v>
      </c>
      <c r="AU539" s="628">
        <f t="shared" si="814"/>
        <v>13.376565551858663</v>
      </c>
      <c r="AV539" s="628">
        <f t="shared" si="814"/>
        <v>13.376565551858663</v>
      </c>
      <c r="AW539" s="628">
        <f t="shared" si="814"/>
        <v>13.376565551858663</v>
      </c>
      <c r="AX539" s="628">
        <f t="shared" si="814"/>
        <v>13.376565551858663</v>
      </c>
      <c r="AY539" s="628">
        <f t="shared" si="814"/>
        <v>13.376565551858663</v>
      </c>
      <c r="AZ539" s="628">
        <f t="shared" si="814"/>
        <v>13.376565551858663</v>
      </c>
      <c r="BA539" s="628">
        <f t="shared" si="814"/>
        <v>13.376565551858663</v>
      </c>
    </row>
    <row r="540" spans="19:53" ht="20.100000000000001" customHeight="1">
      <c r="S540" s="881" t="s">
        <v>983</v>
      </c>
      <c r="T540" s="552"/>
      <c r="U540" s="1319">
        <f t="shared" si="808"/>
        <v>115.16947199999998</v>
      </c>
      <c r="V540" s="262">
        <f>INDEX('DEFAULT DATA'!$CI$9:$CW$41,START!$C$3,8)</f>
        <v>102.66767999999999</v>
      </c>
      <c r="W540" s="262">
        <f>INDEX('DEFAULT DATA'!$BT$9:$CH$41,START!$C$3,8)</f>
        <v>165.17663999999999</v>
      </c>
      <c r="X540" s="628">
        <f>X508</f>
        <v>5.5955475468833754E-2</v>
      </c>
      <c r="Y540" s="628">
        <f t="shared" ref="Y540:BA540" si="815">Y508</f>
        <v>5.5955475468833754E-2</v>
      </c>
      <c r="Z540" s="628">
        <f t="shared" si="815"/>
        <v>5.5955475468833754E-2</v>
      </c>
      <c r="AA540" s="628">
        <f t="shared" si="815"/>
        <v>5.5955475468833754E-2</v>
      </c>
      <c r="AB540" s="628">
        <f t="shared" si="815"/>
        <v>4.6629562890694795E-2</v>
      </c>
      <c r="AC540" s="628">
        <f t="shared" si="815"/>
        <v>3.7303650312555836E-2</v>
      </c>
      <c r="AD540" s="628">
        <f t="shared" si="815"/>
        <v>2.7977737734416877E-2</v>
      </c>
      <c r="AE540" s="628">
        <f t="shared" si="815"/>
        <v>1.8651825156277918E-2</v>
      </c>
      <c r="AF540" s="628">
        <f t="shared" si="815"/>
        <v>9.325912578138959E-3</v>
      </c>
      <c r="AG540" s="628">
        <f t="shared" si="815"/>
        <v>0</v>
      </c>
      <c r="AH540" s="628">
        <f t="shared" si="815"/>
        <v>0</v>
      </c>
      <c r="AI540" s="628">
        <f t="shared" si="815"/>
        <v>0</v>
      </c>
      <c r="AJ540" s="628">
        <f t="shared" si="815"/>
        <v>0</v>
      </c>
      <c r="AK540" s="628">
        <f t="shared" si="815"/>
        <v>0</v>
      </c>
      <c r="AL540" s="628">
        <f t="shared" si="815"/>
        <v>0</v>
      </c>
      <c r="AM540" s="628">
        <f t="shared" si="815"/>
        <v>0</v>
      </c>
      <c r="AN540" s="628">
        <f t="shared" si="815"/>
        <v>0</v>
      </c>
      <c r="AO540" s="628">
        <f t="shared" si="815"/>
        <v>0</v>
      </c>
      <c r="AP540" s="628">
        <f t="shared" si="815"/>
        <v>0</v>
      </c>
      <c r="AQ540" s="628">
        <f t="shared" si="815"/>
        <v>0</v>
      </c>
      <c r="AR540" s="628">
        <f t="shared" si="815"/>
        <v>0</v>
      </c>
      <c r="AS540" s="628">
        <f t="shared" si="815"/>
        <v>0</v>
      </c>
      <c r="AT540" s="628">
        <f t="shared" si="815"/>
        <v>0</v>
      </c>
      <c r="AU540" s="628">
        <f t="shared" si="815"/>
        <v>0</v>
      </c>
      <c r="AV540" s="628">
        <f t="shared" si="815"/>
        <v>0</v>
      </c>
      <c r="AW540" s="628">
        <f t="shared" si="815"/>
        <v>0</v>
      </c>
      <c r="AX540" s="628">
        <f t="shared" si="815"/>
        <v>0</v>
      </c>
      <c r="AY540" s="628">
        <f t="shared" si="815"/>
        <v>0</v>
      </c>
      <c r="AZ540" s="628">
        <f t="shared" si="815"/>
        <v>0</v>
      </c>
      <c r="BA540" s="628">
        <f t="shared" si="815"/>
        <v>0</v>
      </c>
    </row>
    <row r="541" spans="19:53" ht="20.100000000000001" customHeight="1">
      <c r="S541" s="881" t="s">
        <v>984</v>
      </c>
      <c r="T541" s="552"/>
      <c r="U541" s="1319">
        <f t="shared" si="808"/>
        <v>0</v>
      </c>
      <c r="V541" s="262">
        <f>INDEX('DEFAULT DATA'!$CI$9:$CW$41,START!$C$3,9)</f>
        <v>0</v>
      </c>
      <c r="W541" s="262">
        <f>INDEX('DEFAULT DATA'!$BT$9:$CH$41,START!$C$3,9)</f>
        <v>0</v>
      </c>
      <c r="X541" s="628">
        <f>X511</f>
        <v>2.9420755754769875E-2</v>
      </c>
      <c r="Y541" s="628">
        <f t="shared" ref="Y541:BA541" si="816">Y511</f>
        <v>2.9420755754769875E-2</v>
      </c>
      <c r="Z541" s="628">
        <f t="shared" si="816"/>
        <v>2.9420755754769875E-2</v>
      </c>
      <c r="AA541" s="628">
        <f t="shared" si="816"/>
        <v>2.9420755754769875E-2</v>
      </c>
      <c r="AB541" s="628">
        <f t="shared" si="816"/>
        <v>2.4517296462308227E-2</v>
      </c>
      <c r="AC541" s="628">
        <f t="shared" si="816"/>
        <v>1.9613837169846583E-2</v>
      </c>
      <c r="AD541" s="628">
        <f t="shared" si="816"/>
        <v>1.4710377877384937E-2</v>
      </c>
      <c r="AE541" s="628">
        <f t="shared" si="816"/>
        <v>9.8069185849232916E-3</v>
      </c>
      <c r="AF541" s="628">
        <f t="shared" si="816"/>
        <v>4.9034592924616458E-3</v>
      </c>
      <c r="AG541" s="628">
        <f t="shared" si="816"/>
        <v>0</v>
      </c>
      <c r="AH541" s="628">
        <f t="shared" si="816"/>
        <v>0</v>
      </c>
      <c r="AI541" s="628">
        <f t="shared" si="816"/>
        <v>0</v>
      </c>
      <c r="AJ541" s="628">
        <f t="shared" si="816"/>
        <v>0</v>
      </c>
      <c r="AK541" s="628">
        <f t="shared" si="816"/>
        <v>0</v>
      </c>
      <c r="AL541" s="628">
        <f t="shared" si="816"/>
        <v>0</v>
      </c>
      <c r="AM541" s="628">
        <f t="shared" si="816"/>
        <v>0</v>
      </c>
      <c r="AN541" s="628">
        <f t="shared" si="816"/>
        <v>0</v>
      </c>
      <c r="AO541" s="628">
        <f t="shared" si="816"/>
        <v>0</v>
      </c>
      <c r="AP541" s="628">
        <f t="shared" si="816"/>
        <v>0</v>
      </c>
      <c r="AQ541" s="628">
        <f t="shared" si="816"/>
        <v>0</v>
      </c>
      <c r="AR541" s="628">
        <f t="shared" si="816"/>
        <v>0</v>
      </c>
      <c r="AS541" s="628">
        <f t="shared" si="816"/>
        <v>0</v>
      </c>
      <c r="AT541" s="628">
        <f t="shared" si="816"/>
        <v>0</v>
      </c>
      <c r="AU541" s="628">
        <f t="shared" si="816"/>
        <v>0</v>
      </c>
      <c r="AV541" s="628">
        <f t="shared" si="816"/>
        <v>0</v>
      </c>
      <c r="AW541" s="628">
        <f t="shared" si="816"/>
        <v>0</v>
      </c>
      <c r="AX541" s="628">
        <f t="shared" si="816"/>
        <v>0</v>
      </c>
      <c r="AY541" s="628">
        <f t="shared" si="816"/>
        <v>0</v>
      </c>
      <c r="AZ541" s="628">
        <f t="shared" si="816"/>
        <v>0</v>
      </c>
      <c r="BA541" s="628">
        <f t="shared" si="816"/>
        <v>0</v>
      </c>
    </row>
    <row r="542" spans="19:53" ht="20.100000000000001" customHeight="1">
      <c r="S542" s="881" t="s">
        <v>985</v>
      </c>
      <c r="T542" s="552"/>
      <c r="U542" s="1319">
        <f t="shared" si="808"/>
        <v>0</v>
      </c>
      <c r="V542" s="262">
        <f>INDEX('DEFAULT DATA'!$CI$9:$CW$41,START!$C$3,10)</f>
        <v>0</v>
      </c>
      <c r="W542" s="262">
        <f>INDEX('DEFAULT DATA'!$BT$9:$CH$41,START!$C$3,10)</f>
        <v>0</v>
      </c>
      <c r="X542" s="628">
        <f>X514</f>
        <v>2.8019767385495118E-5</v>
      </c>
      <c r="Y542" s="628">
        <f t="shared" ref="Y542:BA542" si="817">Y514</f>
        <v>2.8019767385495118E-5</v>
      </c>
      <c r="Z542" s="628">
        <f t="shared" si="817"/>
        <v>2.8019767385495118E-5</v>
      </c>
      <c r="AA542" s="628">
        <f t="shared" si="817"/>
        <v>2.8019767385495118E-5</v>
      </c>
      <c r="AB542" s="628">
        <f t="shared" si="817"/>
        <v>2.3349806154579265E-5</v>
      </c>
      <c r="AC542" s="628">
        <f t="shared" si="817"/>
        <v>1.8679844923663412E-5</v>
      </c>
      <c r="AD542" s="628">
        <f t="shared" si="817"/>
        <v>1.4009883692747559E-5</v>
      </c>
      <c r="AE542" s="628">
        <f t="shared" si="817"/>
        <v>9.3399224618317061E-6</v>
      </c>
      <c r="AF542" s="628">
        <f t="shared" si="817"/>
        <v>4.669961230915853E-6</v>
      </c>
      <c r="AG542" s="628">
        <f t="shared" si="817"/>
        <v>0</v>
      </c>
      <c r="AH542" s="628">
        <f t="shared" si="817"/>
        <v>0</v>
      </c>
      <c r="AI542" s="628">
        <f t="shared" si="817"/>
        <v>0</v>
      </c>
      <c r="AJ542" s="628">
        <f t="shared" si="817"/>
        <v>0</v>
      </c>
      <c r="AK542" s="628">
        <f t="shared" si="817"/>
        <v>0</v>
      </c>
      <c r="AL542" s="628">
        <f t="shared" si="817"/>
        <v>0</v>
      </c>
      <c r="AM542" s="628">
        <f t="shared" si="817"/>
        <v>0</v>
      </c>
      <c r="AN542" s="628">
        <f t="shared" si="817"/>
        <v>0</v>
      </c>
      <c r="AO542" s="628">
        <f t="shared" si="817"/>
        <v>0</v>
      </c>
      <c r="AP542" s="628">
        <f t="shared" si="817"/>
        <v>0</v>
      </c>
      <c r="AQ542" s="628">
        <f t="shared" si="817"/>
        <v>0</v>
      </c>
      <c r="AR542" s="628">
        <f t="shared" si="817"/>
        <v>0</v>
      </c>
      <c r="AS542" s="628">
        <f t="shared" si="817"/>
        <v>0</v>
      </c>
      <c r="AT542" s="628">
        <f t="shared" si="817"/>
        <v>0</v>
      </c>
      <c r="AU542" s="628">
        <f t="shared" si="817"/>
        <v>0</v>
      </c>
      <c r="AV542" s="628">
        <f t="shared" si="817"/>
        <v>0</v>
      </c>
      <c r="AW542" s="628">
        <f t="shared" si="817"/>
        <v>0</v>
      </c>
      <c r="AX542" s="628">
        <f t="shared" si="817"/>
        <v>0</v>
      </c>
      <c r="AY542" s="628">
        <f t="shared" si="817"/>
        <v>0</v>
      </c>
      <c r="AZ542" s="628">
        <f t="shared" si="817"/>
        <v>0</v>
      </c>
      <c r="BA542" s="628">
        <f t="shared" si="817"/>
        <v>0</v>
      </c>
    </row>
    <row r="543" spans="19:53" ht="20.100000000000001" customHeight="1">
      <c r="S543" s="881" t="s">
        <v>986</v>
      </c>
      <c r="T543" s="552"/>
      <c r="U543" s="1319">
        <f t="shared" si="808"/>
        <v>4.8490000000000002</v>
      </c>
      <c r="V543" s="262">
        <f>INDEX('DEFAULT DATA'!$CI$9:$CW$41,START!$C$3,11)</f>
        <v>4.415</v>
      </c>
      <c r="W543" s="262">
        <f>INDEX('DEFAULT DATA'!$BT$9:$CH$41,START!$C$3,11)</f>
        <v>6.585</v>
      </c>
      <c r="X543" s="628">
        <f>X517</f>
        <v>0.12541647881747614</v>
      </c>
      <c r="Y543" s="628">
        <f t="shared" ref="Y543:BA543" si="818">Y517</f>
        <v>0.12541647881747614</v>
      </c>
      <c r="Z543" s="628">
        <f t="shared" si="818"/>
        <v>0.12541647881747614</v>
      </c>
      <c r="AA543" s="628">
        <f t="shared" si="818"/>
        <v>0.12541647881747614</v>
      </c>
      <c r="AB543" s="628">
        <f t="shared" si="818"/>
        <v>0.10451373234789678</v>
      </c>
      <c r="AC543" s="628">
        <f t="shared" si="818"/>
        <v>8.3610985878317418E-2</v>
      </c>
      <c r="AD543" s="628">
        <f t="shared" si="818"/>
        <v>6.2708239408738056E-2</v>
      </c>
      <c r="AE543" s="628">
        <f t="shared" si="818"/>
        <v>4.1805492939158695E-2</v>
      </c>
      <c r="AF543" s="628">
        <f t="shared" si="818"/>
        <v>2.0902746469579337E-2</v>
      </c>
      <c r="AG543" s="628">
        <f t="shared" si="818"/>
        <v>-2.0816681711721685E-17</v>
      </c>
      <c r="AH543" s="628">
        <f t="shared" si="818"/>
        <v>-2.0816681711721685E-17</v>
      </c>
      <c r="AI543" s="628">
        <f t="shared" si="818"/>
        <v>-2.0816681711721685E-17</v>
      </c>
      <c r="AJ543" s="628">
        <f t="shared" si="818"/>
        <v>-2.0816681711721685E-17</v>
      </c>
      <c r="AK543" s="628">
        <f t="shared" si="818"/>
        <v>-2.0816681711721685E-17</v>
      </c>
      <c r="AL543" s="628">
        <f t="shared" si="818"/>
        <v>-2.0816681711721685E-17</v>
      </c>
      <c r="AM543" s="628">
        <f t="shared" si="818"/>
        <v>-2.0816681711721685E-17</v>
      </c>
      <c r="AN543" s="628">
        <f t="shared" si="818"/>
        <v>-2.0816681711721685E-17</v>
      </c>
      <c r="AO543" s="628">
        <f t="shared" si="818"/>
        <v>-2.0816681711721685E-17</v>
      </c>
      <c r="AP543" s="628">
        <f t="shared" si="818"/>
        <v>-2.0816681711721685E-17</v>
      </c>
      <c r="AQ543" s="628">
        <f t="shared" si="818"/>
        <v>-2.0816681711721685E-17</v>
      </c>
      <c r="AR543" s="628">
        <f t="shared" si="818"/>
        <v>-2.0816681711721685E-17</v>
      </c>
      <c r="AS543" s="628">
        <f t="shared" si="818"/>
        <v>-2.0816681711721685E-17</v>
      </c>
      <c r="AT543" s="628">
        <f t="shared" si="818"/>
        <v>-2.0816681711721685E-17</v>
      </c>
      <c r="AU543" s="628">
        <f t="shared" si="818"/>
        <v>-2.0816681711721685E-17</v>
      </c>
      <c r="AV543" s="628">
        <f t="shared" si="818"/>
        <v>-2.0816681711721685E-17</v>
      </c>
      <c r="AW543" s="628">
        <f t="shared" si="818"/>
        <v>-2.0816681711721685E-17</v>
      </c>
      <c r="AX543" s="628">
        <f t="shared" si="818"/>
        <v>-2.0816681711721685E-17</v>
      </c>
      <c r="AY543" s="628">
        <f t="shared" si="818"/>
        <v>-2.0816681711721685E-17</v>
      </c>
      <c r="AZ543" s="628">
        <f t="shared" si="818"/>
        <v>-2.0816681711721685E-17</v>
      </c>
      <c r="BA543" s="628">
        <f t="shared" si="818"/>
        <v>-2.0816681711721685E-17</v>
      </c>
    </row>
    <row r="544" spans="19:53" ht="20.100000000000001" customHeight="1">
      <c r="S544" s="881" t="s">
        <v>987</v>
      </c>
      <c r="T544" s="552"/>
      <c r="U544" s="1319">
        <f t="shared" si="808"/>
        <v>0.9698</v>
      </c>
      <c r="V544" s="262">
        <f>INDEX('DEFAULT DATA'!$CI$9:$CW$41,START!$C$3,12)</f>
        <v>0.88300000000000001</v>
      </c>
      <c r="W544" s="262">
        <f>INDEX('DEFAULT DATA'!$BT$9:$CH$41,START!$C$3,12)</f>
        <v>1.3169999999999999</v>
      </c>
      <c r="X544" s="628">
        <f>X520</f>
        <v>0</v>
      </c>
      <c r="Y544" s="628">
        <f t="shared" ref="Y544:BA544" si="819">Y520</f>
        <v>0</v>
      </c>
      <c r="Z544" s="628">
        <f t="shared" si="819"/>
        <v>0</v>
      </c>
      <c r="AA544" s="628">
        <f t="shared" si="819"/>
        <v>0</v>
      </c>
      <c r="AB544" s="628">
        <f t="shared" si="819"/>
        <v>0</v>
      </c>
      <c r="AC544" s="628">
        <f t="shared" si="819"/>
        <v>0</v>
      </c>
      <c r="AD544" s="628">
        <f t="shared" si="819"/>
        <v>0</v>
      </c>
      <c r="AE544" s="628">
        <f t="shared" si="819"/>
        <v>0</v>
      </c>
      <c r="AF544" s="628">
        <f t="shared" si="819"/>
        <v>0</v>
      </c>
      <c r="AG544" s="628">
        <f t="shared" si="819"/>
        <v>0</v>
      </c>
      <c r="AH544" s="628">
        <f t="shared" si="819"/>
        <v>0</v>
      </c>
      <c r="AI544" s="628">
        <f t="shared" si="819"/>
        <v>0</v>
      </c>
      <c r="AJ544" s="628">
        <f t="shared" si="819"/>
        <v>0</v>
      </c>
      <c r="AK544" s="628">
        <f t="shared" si="819"/>
        <v>0</v>
      </c>
      <c r="AL544" s="628">
        <f t="shared" si="819"/>
        <v>0</v>
      </c>
      <c r="AM544" s="628">
        <f t="shared" si="819"/>
        <v>0</v>
      </c>
      <c r="AN544" s="628">
        <f t="shared" si="819"/>
        <v>0</v>
      </c>
      <c r="AO544" s="628">
        <f t="shared" si="819"/>
        <v>0</v>
      </c>
      <c r="AP544" s="628">
        <f t="shared" si="819"/>
        <v>0</v>
      </c>
      <c r="AQ544" s="628">
        <f t="shared" si="819"/>
        <v>0</v>
      </c>
      <c r="AR544" s="628">
        <f t="shared" si="819"/>
        <v>0</v>
      </c>
      <c r="AS544" s="628">
        <f t="shared" si="819"/>
        <v>0</v>
      </c>
      <c r="AT544" s="628">
        <f t="shared" si="819"/>
        <v>0</v>
      </c>
      <c r="AU544" s="628">
        <f t="shared" si="819"/>
        <v>0</v>
      </c>
      <c r="AV544" s="628">
        <f t="shared" si="819"/>
        <v>0</v>
      </c>
      <c r="AW544" s="628">
        <f t="shared" si="819"/>
        <v>0</v>
      </c>
      <c r="AX544" s="628">
        <f t="shared" si="819"/>
        <v>0</v>
      </c>
      <c r="AY544" s="628">
        <f t="shared" si="819"/>
        <v>0</v>
      </c>
      <c r="AZ544" s="628">
        <f t="shared" si="819"/>
        <v>0</v>
      </c>
      <c r="BA544" s="628">
        <f t="shared" si="819"/>
        <v>0</v>
      </c>
    </row>
    <row r="545" spans="19:53" ht="20.100000000000001" customHeight="1">
      <c r="S545" s="881" t="s">
        <v>2420</v>
      </c>
      <c r="T545" s="552"/>
      <c r="U545" s="1319">
        <f t="shared" si="808"/>
        <v>29.200000000000003</v>
      </c>
      <c r="V545" s="262">
        <f>INDEX('DEFAULT DATA'!$CI$9:$CW$41,START!$C$3,13)</f>
        <v>27</v>
      </c>
      <c r="W545" s="262">
        <f>INDEX('DEFAULT DATA'!$BT$9:$CH$41,START!$C$3,13)</f>
        <v>38</v>
      </c>
      <c r="X545" s="628">
        <f>X523</f>
        <v>0.18554689962674867</v>
      </c>
      <c r="Y545" s="628">
        <f t="shared" ref="Y545:BA545" si="820">Y523</f>
        <v>0.18554689962674867</v>
      </c>
      <c r="Z545" s="628">
        <f t="shared" si="820"/>
        <v>0.18554689962674867</v>
      </c>
      <c r="AA545" s="628">
        <f t="shared" si="820"/>
        <v>0.18554689962674867</v>
      </c>
      <c r="AB545" s="628">
        <f t="shared" si="820"/>
        <v>0.1546224163556239</v>
      </c>
      <c r="AC545" s="628">
        <f t="shared" si="820"/>
        <v>0.12369793308449913</v>
      </c>
      <c r="AD545" s="628">
        <f t="shared" si="820"/>
        <v>9.2773449813374348E-2</v>
      </c>
      <c r="AE545" s="628">
        <f t="shared" si="820"/>
        <v>6.184896654224957E-2</v>
      </c>
      <c r="AF545" s="628">
        <f t="shared" si="820"/>
        <v>3.0924483271124792E-2</v>
      </c>
      <c r="AG545" s="628">
        <f t="shared" si="820"/>
        <v>1.3877787807814457E-17</v>
      </c>
      <c r="AH545" s="628">
        <f t="shared" si="820"/>
        <v>1.3877787807814457E-17</v>
      </c>
      <c r="AI545" s="628">
        <f t="shared" si="820"/>
        <v>1.3877787807814457E-17</v>
      </c>
      <c r="AJ545" s="628">
        <f t="shared" si="820"/>
        <v>1.3877787807814457E-17</v>
      </c>
      <c r="AK545" s="628">
        <f t="shared" si="820"/>
        <v>1.3877787807814457E-17</v>
      </c>
      <c r="AL545" s="628">
        <f t="shared" si="820"/>
        <v>1.3877787807814457E-17</v>
      </c>
      <c r="AM545" s="628">
        <f t="shared" si="820"/>
        <v>1.3877787807814457E-17</v>
      </c>
      <c r="AN545" s="628">
        <f t="shared" si="820"/>
        <v>1.3877787807814457E-17</v>
      </c>
      <c r="AO545" s="628">
        <f t="shared" si="820"/>
        <v>1.3877787807814457E-17</v>
      </c>
      <c r="AP545" s="628">
        <f t="shared" si="820"/>
        <v>1.3877787807814457E-17</v>
      </c>
      <c r="AQ545" s="628">
        <f t="shared" si="820"/>
        <v>1.3877787807814457E-17</v>
      </c>
      <c r="AR545" s="628">
        <f t="shared" si="820"/>
        <v>1.3877787807814457E-17</v>
      </c>
      <c r="AS545" s="628">
        <f t="shared" si="820"/>
        <v>1.3877787807814457E-17</v>
      </c>
      <c r="AT545" s="628">
        <f t="shared" si="820"/>
        <v>1.3877787807814457E-17</v>
      </c>
      <c r="AU545" s="628">
        <f t="shared" si="820"/>
        <v>1.3877787807814457E-17</v>
      </c>
      <c r="AV545" s="628">
        <f t="shared" si="820"/>
        <v>1.3877787807814457E-17</v>
      </c>
      <c r="AW545" s="628">
        <f t="shared" si="820"/>
        <v>1.3877787807814457E-17</v>
      </c>
      <c r="AX545" s="628">
        <f t="shared" si="820"/>
        <v>1.3877787807814457E-17</v>
      </c>
      <c r="AY545" s="628">
        <f t="shared" si="820"/>
        <v>1.3877787807814457E-17</v>
      </c>
      <c r="AZ545" s="628">
        <f t="shared" si="820"/>
        <v>1.3877787807814457E-17</v>
      </c>
      <c r="BA545" s="628">
        <f t="shared" si="820"/>
        <v>1.3877787807814457E-17</v>
      </c>
    </row>
    <row r="546" spans="19:53" ht="20.100000000000001" customHeight="1">
      <c r="S546" s="881" t="s">
        <v>784</v>
      </c>
      <c r="T546" s="552"/>
      <c r="U546" s="1319">
        <f t="shared" si="808"/>
        <v>166.30130399999999</v>
      </c>
      <c r="V546" s="262">
        <f>INDEX('DEFAULT DATA'!$CI$9:$CW$41,START!$C$3,14)</f>
        <v>151.41683999999998</v>
      </c>
      <c r="W546" s="262">
        <f>INDEX('DEFAULT DATA'!$BT$9:$CH$41,START!$C$3,14)</f>
        <v>225.83915999999996</v>
      </c>
      <c r="X546" s="628">
        <f>X526</f>
        <v>4.6232616186066946E-3</v>
      </c>
      <c r="Y546" s="628">
        <f t="shared" ref="Y546:BA546" si="821">Y526</f>
        <v>4.6232616186066946E-3</v>
      </c>
      <c r="Z546" s="628">
        <f t="shared" si="821"/>
        <v>4.6232616186066946E-3</v>
      </c>
      <c r="AA546" s="628">
        <f t="shared" si="821"/>
        <v>4.6232616186066946E-3</v>
      </c>
      <c r="AB546" s="628">
        <f t="shared" si="821"/>
        <v>3.8527180155055788E-3</v>
      </c>
      <c r="AC546" s="628">
        <f t="shared" si="821"/>
        <v>3.082174412404463E-3</v>
      </c>
      <c r="AD546" s="628">
        <f t="shared" si="821"/>
        <v>2.3116308093033473E-3</v>
      </c>
      <c r="AE546" s="628">
        <f t="shared" si="821"/>
        <v>1.5410872062022315E-3</v>
      </c>
      <c r="AF546" s="628">
        <f t="shared" si="821"/>
        <v>7.7054360310111576E-4</v>
      </c>
      <c r="AG546" s="628">
        <f t="shared" si="821"/>
        <v>0</v>
      </c>
      <c r="AH546" s="628">
        <f t="shared" si="821"/>
        <v>0</v>
      </c>
      <c r="AI546" s="628">
        <f t="shared" si="821"/>
        <v>0</v>
      </c>
      <c r="AJ546" s="628">
        <f t="shared" si="821"/>
        <v>0</v>
      </c>
      <c r="AK546" s="628">
        <f t="shared" si="821"/>
        <v>0</v>
      </c>
      <c r="AL546" s="628">
        <f t="shared" si="821"/>
        <v>0</v>
      </c>
      <c r="AM546" s="628">
        <f t="shared" si="821"/>
        <v>0</v>
      </c>
      <c r="AN546" s="628">
        <f t="shared" si="821"/>
        <v>0</v>
      </c>
      <c r="AO546" s="628">
        <f t="shared" si="821"/>
        <v>0</v>
      </c>
      <c r="AP546" s="628">
        <f t="shared" si="821"/>
        <v>0</v>
      </c>
      <c r="AQ546" s="628">
        <f t="shared" si="821"/>
        <v>0</v>
      </c>
      <c r="AR546" s="628">
        <f t="shared" si="821"/>
        <v>0</v>
      </c>
      <c r="AS546" s="628">
        <f t="shared" si="821"/>
        <v>0</v>
      </c>
      <c r="AT546" s="628">
        <f t="shared" si="821"/>
        <v>0</v>
      </c>
      <c r="AU546" s="628">
        <f t="shared" si="821"/>
        <v>0</v>
      </c>
      <c r="AV546" s="628">
        <f t="shared" si="821"/>
        <v>0</v>
      </c>
      <c r="AW546" s="628">
        <f t="shared" si="821"/>
        <v>0</v>
      </c>
      <c r="AX546" s="628">
        <f t="shared" si="821"/>
        <v>0</v>
      </c>
      <c r="AY546" s="628">
        <f t="shared" si="821"/>
        <v>0</v>
      </c>
      <c r="AZ546" s="628">
        <f t="shared" si="821"/>
        <v>0</v>
      </c>
      <c r="BA546" s="628">
        <f t="shared" si="821"/>
        <v>0</v>
      </c>
    </row>
    <row r="547" spans="19:53" ht="20.100000000000001" customHeight="1">
      <c r="S547" s="881" t="s">
        <v>3036</v>
      </c>
      <c r="T547" s="552"/>
      <c r="U547" s="1311">
        <f>0.8*V547+0.2*W547</f>
        <v>0.20000000000000004</v>
      </c>
      <c r="V547" s="660">
        <f>INDEX('DEFAULT DATA'!$CI$9:$CW$41,START!$C$3,15)</f>
        <v>0.2</v>
      </c>
      <c r="W547" s="660">
        <f>INDEX('DEFAULT DATA'!$BT$9:$CH$41,START!$C$3,15)</f>
        <v>0.2</v>
      </c>
      <c r="X547" s="628">
        <f>X529</f>
        <v>0.13533547647194144</v>
      </c>
      <c r="Y547" s="628">
        <f t="shared" ref="Y547:BA547" si="822">Y529</f>
        <v>0.13533547647194144</v>
      </c>
      <c r="Z547" s="628">
        <f t="shared" si="822"/>
        <v>0.13533547647194144</v>
      </c>
      <c r="AA547" s="628">
        <f t="shared" si="822"/>
        <v>0.13533547647194144</v>
      </c>
      <c r="AB547" s="628">
        <f t="shared" si="822"/>
        <v>0.11277956372661786</v>
      </c>
      <c r="AC547" s="628">
        <f t="shared" si="822"/>
        <v>9.0223650981294284E-2</v>
      </c>
      <c r="AD547" s="628">
        <f t="shared" si="822"/>
        <v>6.7667738235970706E-2</v>
      </c>
      <c r="AE547" s="628">
        <f t="shared" si="822"/>
        <v>4.5111825490647128E-2</v>
      </c>
      <c r="AF547" s="628">
        <f t="shared" si="822"/>
        <v>2.2555912745323554E-2</v>
      </c>
      <c r="AG547" s="628">
        <f t="shared" si="822"/>
        <v>-2.0816681711721685E-17</v>
      </c>
      <c r="AH547" s="628">
        <f t="shared" si="822"/>
        <v>-2.0816681711721685E-17</v>
      </c>
      <c r="AI547" s="628">
        <f t="shared" si="822"/>
        <v>-2.0816681711721685E-17</v>
      </c>
      <c r="AJ547" s="628">
        <f t="shared" si="822"/>
        <v>-2.0816681711721685E-17</v>
      </c>
      <c r="AK547" s="628">
        <f t="shared" si="822"/>
        <v>-2.0816681711721685E-17</v>
      </c>
      <c r="AL547" s="628">
        <f t="shared" si="822"/>
        <v>-2.0816681711721685E-17</v>
      </c>
      <c r="AM547" s="628">
        <f t="shared" si="822"/>
        <v>-2.0816681711721685E-17</v>
      </c>
      <c r="AN547" s="628">
        <f t="shared" si="822"/>
        <v>-2.0816681711721685E-17</v>
      </c>
      <c r="AO547" s="628">
        <f t="shared" si="822"/>
        <v>-2.0816681711721685E-17</v>
      </c>
      <c r="AP547" s="628">
        <f t="shared" si="822"/>
        <v>-2.0816681711721685E-17</v>
      </c>
      <c r="AQ547" s="628">
        <f t="shared" si="822"/>
        <v>-2.0816681711721685E-17</v>
      </c>
      <c r="AR547" s="628">
        <f t="shared" si="822"/>
        <v>-2.0816681711721685E-17</v>
      </c>
      <c r="AS547" s="628">
        <f t="shared" si="822"/>
        <v>-2.0816681711721685E-17</v>
      </c>
      <c r="AT547" s="628">
        <f t="shared" si="822"/>
        <v>-2.0816681711721685E-17</v>
      </c>
      <c r="AU547" s="628">
        <f t="shared" si="822"/>
        <v>-2.0816681711721685E-17</v>
      </c>
      <c r="AV547" s="628">
        <f t="shared" si="822"/>
        <v>-2.0816681711721685E-17</v>
      </c>
      <c r="AW547" s="628">
        <f t="shared" si="822"/>
        <v>-2.0816681711721685E-17</v>
      </c>
      <c r="AX547" s="628">
        <f t="shared" si="822"/>
        <v>-2.0816681711721685E-17</v>
      </c>
      <c r="AY547" s="628">
        <f t="shared" si="822"/>
        <v>-2.0816681711721685E-17</v>
      </c>
      <c r="AZ547" s="628">
        <f t="shared" si="822"/>
        <v>-2.0816681711721685E-17</v>
      </c>
      <c r="BA547" s="628">
        <f t="shared" si="822"/>
        <v>-2.0816681711721685E-17</v>
      </c>
    </row>
    <row r="548" spans="19:53" ht="20.100000000000001" customHeight="1">
      <c r="S548" s="241" t="s">
        <v>3037</v>
      </c>
      <c r="T548" s="552" t="s">
        <v>3176</v>
      </c>
      <c r="U548" s="1311">
        <f t="shared" ref="U548:U549" si="823">0.8*V548+0.2*W548</f>
        <v>0.20000000000000004</v>
      </c>
      <c r="V548" s="660">
        <f>INDEX('DEFAULT DATA'!$CI$9:$CW$41,START!$C$3,15)</f>
        <v>0.2</v>
      </c>
      <c r="W548" s="660">
        <f>INDEX('DEFAULT DATA'!$BT$9:$CH$41,START!$C$3,15)</f>
        <v>0.2</v>
      </c>
      <c r="X548" s="327">
        <f>X538</f>
        <v>0.32226935458427214</v>
      </c>
      <c r="Y548" s="327">
        <f t="shared" ref="Y548:BA548" si="824">Y538</f>
        <v>0.32226935458427214</v>
      </c>
      <c r="Z548" s="327">
        <f t="shared" si="824"/>
        <v>0.32226935458427214</v>
      </c>
      <c r="AA548" s="327">
        <f t="shared" si="824"/>
        <v>0.32226935458427214</v>
      </c>
      <c r="AB548" s="327">
        <f t="shared" si="824"/>
        <v>0.26855779548689346</v>
      </c>
      <c r="AC548" s="327">
        <f t="shared" si="824"/>
        <v>0.21484623638951478</v>
      </c>
      <c r="AD548" s="327">
        <f t="shared" si="824"/>
        <v>0.1611346772921361</v>
      </c>
      <c r="AE548" s="327">
        <f t="shared" si="824"/>
        <v>0.10742311819475742</v>
      </c>
      <c r="AF548" s="327">
        <f t="shared" si="824"/>
        <v>5.3711559097378729E-2</v>
      </c>
      <c r="AG548" s="327">
        <f t="shared" si="824"/>
        <v>4.163336342344337E-17</v>
      </c>
      <c r="AH548" s="327">
        <f t="shared" si="824"/>
        <v>4.163336342344337E-17</v>
      </c>
      <c r="AI548" s="327">
        <f t="shared" si="824"/>
        <v>4.163336342344337E-17</v>
      </c>
      <c r="AJ548" s="327">
        <f t="shared" si="824"/>
        <v>4.163336342344337E-17</v>
      </c>
      <c r="AK548" s="327">
        <f t="shared" si="824"/>
        <v>4.163336342344337E-17</v>
      </c>
      <c r="AL548" s="327">
        <f t="shared" si="824"/>
        <v>4.163336342344337E-17</v>
      </c>
      <c r="AM548" s="327">
        <f t="shared" si="824"/>
        <v>4.163336342344337E-17</v>
      </c>
      <c r="AN548" s="327">
        <f t="shared" si="824"/>
        <v>4.163336342344337E-17</v>
      </c>
      <c r="AO548" s="327">
        <f t="shared" si="824"/>
        <v>4.163336342344337E-17</v>
      </c>
      <c r="AP548" s="327">
        <f t="shared" si="824"/>
        <v>4.163336342344337E-17</v>
      </c>
      <c r="AQ548" s="327">
        <f t="shared" si="824"/>
        <v>4.163336342344337E-17</v>
      </c>
      <c r="AR548" s="327">
        <f t="shared" si="824"/>
        <v>4.163336342344337E-17</v>
      </c>
      <c r="AS548" s="327">
        <f t="shared" si="824"/>
        <v>4.163336342344337E-17</v>
      </c>
      <c r="AT548" s="327">
        <f t="shared" si="824"/>
        <v>4.163336342344337E-17</v>
      </c>
      <c r="AU548" s="327">
        <f t="shared" si="824"/>
        <v>4.163336342344337E-17</v>
      </c>
      <c r="AV548" s="327">
        <f t="shared" si="824"/>
        <v>4.163336342344337E-17</v>
      </c>
      <c r="AW548" s="327">
        <f t="shared" si="824"/>
        <v>4.163336342344337E-17</v>
      </c>
      <c r="AX548" s="327">
        <f t="shared" si="824"/>
        <v>4.163336342344337E-17</v>
      </c>
      <c r="AY548" s="327">
        <f t="shared" si="824"/>
        <v>4.163336342344337E-17</v>
      </c>
      <c r="AZ548" s="327">
        <f t="shared" si="824"/>
        <v>4.163336342344337E-17</v>
      </c>
      <c r="BA548" s="327">
        <f t="shared" si="824"/>
        <v>4.163336342344337E-17</v>
      </c>
    </row>
    <row r="549" spans="19:53" ht="20.100000000000001" customHeight="1" thickBot="1">
      <c r="S549" s="470" t="s">
        <v>3038</v>
      </c>
      <c r="T549" s="782" t="s">
        <v>3176</v>
      </c>
      <c r="U549" s="1320">
        <f t="shared" si="823"/>
        <v>0.20000000000000004</v>
      </c>
      <c r="V549" s="786">
        <f>INDEX('DEFAULT DATA'!$CI$9:$CW$41,START!$C$3,15)</f>
        <v>0.2</v>
      </c>
      <c r="W549" s="786">
        <f>INDEX('DEFAULT DATA'!$BT$9:$CH$41,START!$C$3,15)</f>
        <v>0.2</v>
      </c>
      <c r="X549" s="325">
        <f>X541</f>
        <v>2.9420755754769875E-2</v>
      </c>
      <c r="Y549" s="325">
        <f t="shared" ref="Y549:BA549" si="825">Y541</f>
        <v>2.9420755754769875E-2</v>
      </c>
      <c r="Z549" s="325">
        <f t="shared" si="825"/>
        <v>2.9420755754769875E-2</v>
      </c>
      <c r="AA549" s="325">
        <f t="shared" si="825"/>
        <v>2.9420755754769875E-2</v>
      </c>
      <c r="AB549" s="325">
        <f t="shared" si="825"/>
        <v>2.4517296462308227E-2</v>
      </c>
      <c r="AC549" s="325">
        <f t="shared" si="825"/>
        <v>1.9613837169846583E-2</v>
      </c>
      <c r="AD549" s="325">
        <f t="shared" si="825"/>
        <v>1.4710377877384937E-2</v>
      </c>
      <c r="AE549" s="325">
        <f t="shared" si="825"/>
        <v>9.8069185849232916E-3</v>
      </c>
      <c r="AF549" s="325">
        <f t="shared" si="825"/>
        <v>4.9034592924616458E-3</v>
      </c>
      <c r="AG549" s="325">
        <f t="shared" si="825"/>
        <v>0</v>
      </c>
      <c r="AH549" s="325">
        <f t="shared" si="825"/>
        <v>0</v>
      </c>
      <c r="AI549" s="325">
        <f t="shared" si="825"/>
        <v>0</v>
      </c>
      <c r="AJ549" s="325">
        <f t="shared" si="825"/>
        <v>0</v>
      </c>
      <c r="AK549" s="325">
        <f t="shared" si="825"/>
        <v>0</v>
      </c>
      <c r="AL549" s="325">
        <f t="shared" si="825"/>
        <v>0</v>
      </c>
      <c r="AM549" s="325">
        <f t="shared" si="825"/>
        <v>0</v>
      </c>
      <c r="AN549" s="325">
        <f t="shared" si="825"/>
        <v>0</v>
      </c>
      <c r="AO549" s="325">
        <f t="shared" si="825"/>
        <v>0</v>
      </c>
      <c r="AP549" s="325">
        <f t="shared" si="825"/>
        <v>0</v>
      </c>
      <c r="AQ549" s="325">
        <f t="shared" si="825"/>
        <v>0</v>
      </c>
      <c r="AR549" s="325">
        <f t="shared" si="825"/>
        <v>0</v>
      </c>
      <c r="AS549" s="325">
        <f t="shared" si="825"/>
        <v>0</v>
      </c>
      <c r="AT549" s="325">
        <f t="shared" si="825"/>
        <v>0</v>
      </c>
      <c r="AU549" s="325">
        <f t="shared" si="825"/>
        <v>0</v>
      </c>
      <c r="AV549" s="325">
        <f t="shared" si="825"/>
        <v>0</v>
      </c>
      <c r="AW549" s="325">
        <f t="shared" si="825"/>
        <v>0</v>
      </c>
      <c r="AX549" s="325">
        <f t="shared" si="825"/>
        <v>0</v>
      </c>
      <c r="AY549" s="325">
        <f t="shared" si="825"/>
        <v>0</v>
      </c>
      <c r="AZ549" s="325">
        <f t="shared" si="825"/>
        <v>0</v>
      </c>
      <c r="BA549" s="325">
        <f t="shared" si="825"/>
        <v>0</v>
      </c>
    </row>
    <row r="550" spans="19:53" ht="20.100000000000001" customHeight="1">
      <c r="S550" s="674" t="s">
        <v>2423</v>
      </c>
      <c r="T550" s="784" t="s">
        <v>3201</v>
      </c>
      <c r="U550" s="1318"/>
      <c r="V550" s="1318"/>
      <c r="W550" s="1318"/>
      <c r="X550" s="344">
        <f>(X533/100*$U$533)+(X534/100*$U$534)+(X535/100*$U$535)+(X536/100*$U$536)+(X537/100*$U$537)+(X538/100*$U$538*0.5)+(X539/100*$U$539)+(X540/100*$U$540)+(X541/100*$U$541*0.5)+(X542/100*$U$542)+(X543/100*$U$543)+(X544/100*$U$544)+(X545/100*$U$545)+(X546/100*$U$546)+(X547/100*X$588*U547)+(X548/100*X$588*U548*0.5)+(X549/100*X$588*U549*0.5)</f>
        <v>170.71892446863399</v>
      </c>
      <c r="Y550" s="344">
        <f t="shared" ref="Y550:BA550" si="826">(Y533/100*$U$533)+(Y534/100*$U$534)+(Y535/100*$U$535)+(Y536/100*$U$536)+(Y537/100*$U$537)+(Y538/100*$U$538*0.5)+(Y539/100*$U$539)+(Y540/100*$U$540)+(Y541/100*$U$541*0.5)+(Y542/100*$U$542)+(Y543/100*$U$543)+(Y544/100*$U$544)+(Y545/100*$U$545)+(Y546/100*$U$546)+(Y547/100*Y$588*V547)+(Y548/100*Y$588*V548*0.5)+(Y549/100*Y$588*V549*0.5)</f>
        <v>170.71830175966699</v>
      </c>
      <c r="Z550" s="344">
        <f t="shared" si="826"/>
        <v>170.71768527778968</v>
      </c>
      <c r="AA550" s="344">
        <f t="shared" si="826"/>
        <v>170.72526997257401</v>
      </c>
      <c r="AB550" s="344">
        <f t="shared" si="826"/>
        <v>161.67473625831494</v>
      </c>
      <c r="AC550" s="344">
        <f t="shared" si="826"/>
        <v>152.62443583981809</v>
      </c>
      <c r="AD550" s="344">
        <f t="shared" si="826"/>
        <v>143.57436525195527</v>
      </c>
      <c r="AE550" s="344">
        <f t="shared" si="826"/>
        <v>134.5208592622003</v>
      </c>
      <c r="AF550" s="344">
        <f t="shared" si="826"/>
        <v>125.47127474167333</v>
      </c>
      <c r="AG550" s="344">
        <f t="shared" si="826"/>
        <v>116.42549850705193</v>
      </c>
      <c r="AH550" s="344">
        <f t="shared" si="826"/>
        <v>116.42549850705193</v>
      </c>
      <c r="AI550" s="344">
        <f t="shared" si="826"/>
        <v>116.42549850705193</v>
      </c>
      <c r="AJ550" s="344">
        <f t="shared" si="826"/>
        <v>116.42549850705193</v>
      </c>
      <c r="AK550" s="344">
        <f t="shared" si="826"/>
        <v>116.42549850705193</v>
      </c>
      <c r="AL550" s="344">
        <f t="shared" si="826"/>
        <v>116.42549850705193</v>
      </c>
      <c r="AM550" s="344">
        <f t="shared" si="826"/>
        <v>116.42549850705193</v>
      </c>
      <c r="AN550" s="344">
        <f t="shared" si="826"/>
        <v>116.42549850705193</v>
      </c>
      <c r="AO550" s="344">
        <f t="shared" si="826"/>
        <v>116.42549850705193</v>
      </c>
      <c r="AP550" s="344">
        <f t="shared" si="826"/>
        <v>116.42549850705193</v>
      </c>
      <c r="AQ550" s="344">
        <f t="shared" si="826"/>
        <v>116.42549850705193</v>
      </c>
      <c r="AR550" s="344">
        <f t="shared" si="826"/>
        <v>116.42549850705193</v>
      </c>
      <c r="AS550" s="344">
        <f t="shared" si="826"/>
        <v>116.42549850705193</v>
      </c>
      <c r="AT550" s="344">
        <f t="shared" si="826"/>
        <v>116.42549850705193</v>
      </c>
      <c r="AU550" s="344">
        <f t="shared" si="826"/>
        <v>116.42549850705193</v>
      </c>
      <c r="AV550" s="344">
        <f t="shared" si="826"/>
        <v>116.42549850705193</v>
      </c>
      <c r="AW550" s="344">
        <f t="shared" si="826"/>
        <v>116.42549850705193</v>
      </c>
      <c r="AX550" s="344">
        <f t="shared" si="826"/>
        <v>116.42549850705193</v>
      </c>
      <c r="AY550" s="344">
        <f t="shared" si="826"/>
        <v>116.42549850705193</v>
      </c>
      <c r="AZ550" s="344">
        <f t="shared" si="826"/>
        <v>116.42549850705193</v>
      </c>
      <c r="BA550" s="344">
        <f t="shared" si="826"/>
        <v>116.42549850705193</v>
      </c>
    </row>
    <row r="551" spans="19:53" ht="20.100000000000001" customHeight="1">
      <c r="S551" s="241" t="s">
        <v>2424</v>
      </c>
      <c r="T551" s="552" t="s">
        <v>3202</v>
      </c>
      <c r="U551" s="1305"/>
      <c r="V551" s="562"/>
      <c r="W551" s="562"/>
      <c r="X551" s="327">
        <f>(X533/100*$V$533)+(X534/100*$V$534)+(X535/100*$V$535)+(X536/100*$V$536)+(X537/100*$V$537)+(X538/100*$V$538*0.5)+(X539/100*$V$539)+(X540/100*$V$540)+(X541/100*$V$541*0.5)+(X542/100*$V$542)+(X543/100*$V$543)+(X544/100*$V$544)+(X545/100*$V$545)+(X546/100*$V$546)+(X547/100*X$588*V547)+(X548/100*X$588*V548*0.5)+(X549/100*X$588*V549*0.5)</f>
        <v>154.55998264076527</v>
      </c>
      <c r="Y551" s="327">
        <f t="shared" ref="Y551:BA551" si="827">(Y533/100*$V$533)+(Y534/100*$V$534)+(Y535/100*$V$535)+(Y536/100*$V$536)+(Y537/100*$V$537)+(Y538/100*$V$538*0.5)+(Y539/100*$V$539)+(Y540/100*$V$540)+(Y541/100*$V$541*0.5)+(Y542/100*$V$542)+(Y543/100*$V$543)+(Y544/100*$V$544)+(Y545/100*$V$545)+(Y546/100*$V$546)+(Y547/100*Y$588*W547)+(Y548/100*Y$588*W548*0.5)+(Y549/100*Y$588*W549*0.5)</f>
        <v>154.55935993179827</v>
      </c>
      <c r="Z551" s="327">
        <f t="shared" si="827"/>
        <v>154.56702123966122</v>
      </c>
      <c r="AA551" s="327">
        <f t="shared" si="827"/>
        <v>154.5663281447053</v>
      </c>
      <c r="AB551" s="327">
        <f t="shared" si="827"/>
        <v>146.33795952988416</v>
      </c>
      <c r="AC551" s="327">
        <f t="shared" si="827"/>
        <v>138.10982421082531</v>
      </c>
      <c r="AD551" s="327">
        <f t="shared" si="827"/>
        <v>129.87637052032355</v>
      </c>
      <c r="AE551" s="327">
        <f t="shared" si="827"/>
        <v>121.64691601871264</v>
      </c>
      <c r="AF551" s="327">
        <f t="shared" si="827"/>
        <v>113.42134581337594</v>
      </c>
      <c r="AG551" s="327">
        <f t="shared" si="827"/>
        <v>105.199547275811</v>
      </c>
      <c r="AH551" s="327">
        <f t="shared" si="827"/>
        <v>105.199547275811</v>
      </c>
      <c r="AI551" s="327">
        <f t="shared" si="827"/>
        <v>105.199547275811</v>
      </c>
      <c r="AJ551" s="327">
        <f t="shared" si="827"/>
        <v>105.199547275811</v>
      </c>
      <c r="AK551" s="327">
        <f t="shared" si="827"/>
        <v>105.199547275811</v>
      </c>
      <c r="AL551" s="327">
        <f t="shared" si="827"/>
        <v>105.199547275811</v>
      </c>
      <c r="AM551" s="327">
        <f t="shared" si="827"/>
        <v>105.199547275811</v>
      </c>
      <c r="AN551" s="327">
        <f t="shared" si="827"/>
        <v>105.199547275811</v>
      </c>
      <c r="AO551" s="327">
        <f t="shared" si="827"/>
        <v>105.199547275811</v>
      </c>
      <c r="AP551" s="327">
        <f t="shared" si="827"/>
        <v>105.199547275811</v>
      </c>
      <c r="AQ551" s="327">
        <f t="shared" si="827"/>
        <v>105.199547275811</v>
      </c>
      <c r="AR551" s="327">
        <f t="shared" si="827"/>
        <v>105.199547275811</v>
      </c>
      <c r="AS551" s="327">
        <f t="shared" si="827"/>
        <v>105.199547275811</v>
      </c>
      <c r="AT551" s="327">
        <f t="shared" si="827"/>
        <v>105.199547275811</v>
      </c>
      <c r="AU551" s="327">
        <f t="shared" si="827"/>
        <v>105.199547275811</v>
      </c>
      <c r="AV551" s="327">
        <f t="shared" si="827"/>
        <v>105.199547275811</v>
      </c>
      <c r="AW551" s="327">
        <f t="shared" si="827"/>
        <v>105.199547275811</v>
      </c>
      <c r="AX551" s="327">
        <f t="shared" si="827"/>
        <v>105.199547275811</v>
      </c>
      <c r="AY551" s="327">
        <f t="shared" si="827"/>
        <v>105.199547275811</v>
      </c>
      <c r="AZ551" s="327">
        <f t="shared" si="827"/>
        <v>105.199547275811</v>
      </c>
      <c r="BA551" s="327">
        <f t="shared" si="827"/>
        <v>105.199547275811</v>
      </c>
    </row>
    <row r="552" spans="19:53" ht="20.100000000000001" customHeight="1" thickBot="1">
      <c r="S552" s="470" t="s">
        <v>2425</v>
      </c>
      <c r="T552" s="782" t="s">
        <v>3202</v>
      </c>
      <c r="U552" s="1313"/>
      <c r="V552" s="888"/>
      <c r="W552" s="888"/>
      <c r="X552" s="325">
        <f>(X533/100*$W$533)+(X534/100*$W$534)+(X535/100*$W$535)+(X536/100*$W$536)+(X537/100*$W$537)+(X538/100*$W$538*0.5)+(X539/100*$W$539)+(X540/100*$W$540)+(X541/100*$W$541*0.5)+(X542/100*$W$542)+(X543/100*$W$543)+(X544/100*$W$544)+(X545/100*$W$545)+(X546/100*$W$546)+(X547/100*X$588*W547)+(X548/100*X$588*W548*0.5)+(X549/100*X$588*W549*0.5)</f>
        <v>235.35469178010862</v>
      </c>
      <c r="Y552" s="325">
        <f t="shared" ref="Y552:BA552" si="828">(Y533/100*$W$533)+(Y534/100*$W$534)+(Y535/100*$W$535)+(Y536/100*$W$536)+(Y537/100*$W$537)+(Y538/100*$W$538*0.5)+(Y539/100*$W$539)+(Y540/100*$W$540)+(Y541/100*$W$541*0.5)+(Y542/100*$W$542)+(Y543/100*$W$543)+(Y544/100*$W$544)+(Y545/100*$W$545)+(Y546/100*$W$546)+(Y547/100*Y$588*X547)+(Y548/100*Y$588*X548*0.5)+(Y549/100*Y$588*X549*0.5)</f>
        <v>235.36243047491965</v>
      </c>
      <c r="Z552" s="325">
        <f t="shared" si="828"/>
        <v>235.36173037900457</v>
      </c>
      <c r="AA552" s="325">
        <f t="shared" si="828"/>
        <v>235.36103728404865</v>
      </c>
      <c r="AB552" s="325">
        <f t="shared" si="828"/>
        <v>223.02184317203773</v>
      </c>
      <c r="AC552" s="325">
        <f t="shared" si="828"/>
        <v>210.67541002975955</v>
      </c>
      <c r="AD552" s="325">
        <f t="shared" si="828"/>
        <v>198.33305496602057</v>
      </c>
      <c r="AE552" s="325">
        <f t="shared" si="828"/>
        <v>185.99466135592607</v>
      </c>
      <c r="AF552" s="325">
        <f t="shared" si="828"/>
        <v>173.66011486915181</v>
      </c>
      <c r="AG552" s="325">
        <f t="shared" si="828"/>
        <v>161.32930343201562</v>
      </c>
      <c r="AH552" s="325">
        <f t="shared" si="828"/>
        <v>161.32930343201562</v>
      </c>
      <c r="AI552" s="325">
        <f t="shared" si="828"/>
        <v>161.32930343201562</v>
      </c>
      <c r="AJ552" s="325">
        <f t="shared" si="828"/>
        <v>161.32930343201562</v>
      </c>
      <c r="AK552" s="325">
        <f t="shared" si="828"/>
        <v>161.32930343201562</v>
      </c>
      <c r="AL552" s="325">
        <f t="shared" si="828"/>
        <v>161.32930343201562</v>
      </c>
      <c r="AM552" s="325">
        <f t="shared" si="828"/>
        <v>161.32930343201562</v>
      </c>
      <c r="AN552" s="325">
        <f t="shared" si="828"/>
        <v>161.32930343201562</v>
      </c>
      <c r="AO552" s="325">
        <f t="shared" si="828"/>
        <v>161.32930343201562</v>
      </c>
      <c r="AP552" s="325">
        <f t="shared" si="828"/>
        <v>161.32930343201562</v>
      </c>
      <c r="AQ552" s="325">
        <f t="shared" si="828"/>
        <v>161.32930343201562</v>
      </c>
      <c r="AR552" s="325">
        <f t="shared" si="828"/>
        <v>161.32930343201562</v>
      </c>
      <c r="AS552" s="325">
        <f t="shared" si="828"/>
        <v>161.32930343201562</v>
      </c>
      <c r="AT552" s="325">
        <f t="shared" si="828"/>
        <v>161.32930343201562</v>
      </c>
      <c r="AU552" s="325">
        <f t="shared" si="828"/>
        <v>161.32930343201562</v>
      </c>
      <c r="AV552" s="325">
        <f t="shared" si="828"/>
        <v>161.32930343201562</v>
      </c>
      <c r="AW552" s="325">
        <f t="shared" si="828"/>
        <v>161.32930343201562</v>
      </c>
      <c r="AX552" s="325">
        <f t="shared" si="828"/>
        <v>161.32930343201562</v>
      </c>
      <c r="AY552" s="325">
        <f t="shared" si="828"/>
        <v>161.32930343201562</v>
      </c>
      <c r="AZ552" s="325">
        <f t="shared" si="828"/>
        <v>161.32930343201562</v>
      </c>
      <c r="BA552" s="325">
        <f t="shared" si="828"/>
        <v>161.32930343201562</v>
      </c>
    </row>
    <row r="553" spans="19:53" ht="20.100000000000001" customHeight="1" thickBot="1"/>
    <row r="554" spans="19:53" ht="20.100000000000001" customHeight="1">
      <c r="S554" s="1240" t="s">
        <v>3207</v>
      </c>
      <c r="T554" s="1241"/>
      <c r="U554" s="1284" t="s">
        <v>988</v>
      </c>
      <c r="V554" s="1284"/>
      <c r="W554" s="1284"/>
      <c r="X554" s="1241"/>
      <c r="Y554" s="1241"/>
      <c r="Z554" s="1241"/>
      <c r="AA554" s="1241"/>
      <c r="AB554" s="1241"/>
      <c r="AC554" s="1241"/>
      <c r="AD554" s="1241"/>
      <c r="AE554" s="1241"/>
      <c r="AF554" s="1241"/>
      <c r="AG554" s="1241"/>
      <c r="AH554" s="1241"/>
      <c r="AI554" s="1241"/>
      <c r="AJ554" s="1241"/>
      <c r="AK554" s="1241"/>
      <c r="AL554" s="1241"/>
      <c r="AM554" s="1241"/>
      <c r="AN554" s="1241"/>
      <c r="AO554" s="1241"/>
      <c r="AP554" s="1241"/>
      <c r="AQ554" s="1241"/>
      <c r="AR554" s="1241"/>
      <c r="AS554" s="1241"/>
      <c r="AT554" s="1241"/>
      <c r="AU554" s="1241"/>
      <c r="AV554" s="1241"/>
      <c r="AW554" s="1241"/>
      <c r="AX554" s="1241"/>
      <c r="AY554" s="1241"/>
      <c r="AZ554" s="1241"/>
      <c r="BA554" s="1243"/>
    </row>
    <row r="555" spans="19:53" ht="20.100000000000001" customHeight="1">
      <c r="S555" s="1244" t="s">
        <v>941</v>
      </c>
      <c r="T555" s="1160"/>
      <c r="U555" s="1245" t="s">
        <v>936</v>
      </c>
      <c r="V555" s="1245" t="s">
        <v>937</v>
      </c>
      <c r="W555" s="1245" t="s">
        <v>943</v>
      </c>
      <c r="X555" s="1246">
        <v>2021</v>
      </c>
      <c r="Y555" s="1246">
        <v>2022</v>
      </c>
      <c r="Z555" s="1246">
        <v>2023</v>
      </c>
      <c r="AA555" s="1246">
        <v>2024</v>
      </c>
      <c r="AB555" s="1246">
        <v>2025</v>
      </c>
      <c r="AC555" s="1246">
        <v>2026</v>
      </c>
      <c r="AD555" s="1246">
        <v>2027</v>
      </c>
      <c r="AE555" s="1246">
        <v>2028</v>
      </c>
      <c r="AF555" s="1246">
        <v>2029</v>
      </c>
      <c r="AG555" s="1246">
        <v>2030</v>
      </c>
      <c r="AH555" s="1246">
        <v>2031</v>
      </c>
      <c r="AI555" s="1246">
        <v>2032</v>
      </c>
      <c r="AJ555" s="1246">
        <v>2033</v>
      </c>
      <c r="AK555" s="1246">
        <v>2034</v>
      </c>
      <c r="AL555" s="1246">
        <v>2035</v>
      </c>
      <c r="AM555" s="1246">
        <v>2036</v>
      </c>
      <c r="AN555" s="1246">
        <v>2037</v>
      </c>
      <c r="AO555" s="1246">
        <v>2038</v>
      </c>
      <c r="AP555" s="1246">
        <v>2039</v>
      </c>
      <c r="AQ555" s="1246">
        <v>2040</v>
      </c>
      <c r="AR555" s="1246">
        <v>2041</v>
      </c>
      <c r="AS555" s="1246">
        <v>2042</v>
      </c>
      <c r="AT555" s="1246">
        <v>2043</v>
      </c>
      <c r="AU555" s="1246">
        <v>2044</v>
      </c>
      <c r="AV555" s="1246">
        <v>2045</v>
      </c>
      <c r="AW555" s="1246">
        <v>2046</v>
      </c>
      <c r="AX555" s="1246">
        <v>2047</v>
      </c>
      <c r="AY555" s="1246">
        <v>2048</v>
      </c>
      <c r="AZ555" s="1246">
        <v>2049</v>
      </c>
      <c r="BA555" s="1247">
        <v>2050</v>
      </c>
    </row>
    <row r="556" spans="19:53" ht="20.100000000000001" customHeight="1">
      <c r="S556" s="1244" t="s">
        <v>84</v>
      </c>
      <c r="T556" s="1248" t="s">
        <v>942</v>
      </c>
      <c r="U556" s="1159">
        <f>INDEX('DEFAULT DATA'!$AS$9:$AW$41,START!$C$3,1)</f>
        <v>0</v>
      </c>
      <c r="V556" s="1159">
        <f>100-U556</f>
        <v>100</v>
      </c>
      <c r="W556" s="1249" t="s">
        <v>3147</v>
      </c>
      <c r="X556" s="1250">
        <f>($U556/100*X$551)+($V556/100*X$552)</f>
        <v>235.35469178010862</v>
      </c>
      <c r="Y556" s="1250">
        <f t="shared" ref="Y556:AH560" si="829">($U556/100*Y$447)+($V556/100*Y$448)</f>
        <v>433.32374457867138</v>
      </c>
      <c r="Z556" s="1250">
        <f t="shared" si="829"/>
        <v>433.10948652413276</v>
      </c>
      <c r="AA556" s="1250">
        <f t="shared" si="829"/>
        <v>432.89428710543984</v>
      </c>
      <c r="AB556" s="1250">
        <f t="shared" si="829"/>
        <v>432.47972010475979</v>
      </c>
      <c r="AC556" s="1250">
        <f t="shared" si="829"/>
        <v>432.06335509098807</v>
      </c>
      <c r="AD556" s="1250">
        <f t="shared" si="829"/>
        <v>431.64521920990819</v>
      </c>
      <c r="AE556" s="1250">
        <f t="shared" si="829"/>
        <v>431.22533924418946</v>
      </c>
      <c r="AF556" s="1250">
        <f t="shared" si="829"/>
        <v>430.80374161793435</v>
      </c>
      <c r="AG556" s="1250">
        <f t="shared" si="829"/>
        <v>430.38045240117196</v>
      </c>
      <c r="AH556" s="1250">
        <f t="shared" si="829"/>
        <v>429.9131624450888</v>
      </c>
      <c r="AI556" s="1250">
        <f t="shared" ref="AI556:AR560" si="830">($U556/100*AI$447)+($V556/100*AI$448)</f>
        <v>429.43939391649349</v>
      </c>
      <c r="AJ556" s="1250">
        <f t="shared" si="830"/>
        <v>428.95975230733563</v>
      </c>
      <c r="AK556" s="1250">
        <f t="shared" si="830"/>
        <v>428.47479610313212</v>
      </c>
      <c r="AL556" s="1250">
        <f t="shared" si="830"/>
        <v>428.2015295299754</v>
      </c>
      <c r="AM556" s="1250">
        <f t="shared" si="830"/>
        <v>427.92751696266697</v>
      </c>
      <c r="AN556" s="1250">
        <f t="shared" si="830"/>
        <v>427.65289970600435</v>
      </c>
      <c r="AO556" s="1250">
        <f t="shared" si="830"/>
        <v>427.37780577788953</v>
      </c>
      <c r="AP556" s="1250">
        <f t="shared" si="830"/>
        <v>427.1023509434404</v>
      </c>
      <c r="AQ556" s="1250">
        <f t="shared" si="830"/>
        <v>426.82663967554333</v>
      </c>
      <c r="AR556" s="1250">
        <f t="shared" si="830"/>
        <v>426.62745715772746</v>
      </c>
      <c r="AS556" s="1250">
        <f t="shared" ref="AS556:BA560" si="831">($U556/100*AS$447)+($V556/100*AS$448)</f>
        <v>426.42906240500247</v>
      </c>
      <c r="AT556" s="1250">
        <f t="shared" si="831"/>
        <v>426.23145969969602</v>
      </c>
      <c r="AU556" s="1250">
        <f t="shared" si="831"/>
        <v>426.03465047009024</v>
      </c>
      <c r="AV556" s="1250">
        <f t="shared" si="831"/>
        <v>425.83863359141293</v>
      </c>
      <c r="AW556" s="1250">
        <f t="shared" si="831"/>
        <v>425.56477579798587</v>
      </c>
      <c r="AX556" s="1250">
        <f t="shared" si="831"/>
        <v>425.29104916743262</v>
      </c>
      <c r="AY556" s="1250">
        <f t="shared" si="831"/>
        <v>425.01750030571907</v>
      </c>
      <c r="AZ556" s="1250">
        <f t="shared" si="831"/>
        <v>424.74417029538733</v>
      </c>
      <c r="BA556" s="1251">
        <f t="shared" si="831"/>
        <v>424.47109516214886</v>
      </c>
    </row>
    <row r="557" spans="19:53" ht="20.100000000000001" customHeight="1">
      <c r="S557" s="1244" t="s">
        <v>85</v>
      </c>
      <c r="T557" s="1248" t="s">
        <v>942</v>
      </c>
      <c r="U557" s="1159">
        <f>INDEX('DEFAULT DATA'!$AS$9:$AW$41,START!$C$3,2)</f>
        <v>10</v>
      </c>
      <c r="V557" s="1159">
        <f t="shared" ref="V557:V560" si="832">100-U557</f>
        <v>90</v>
      </c>
      <c r="W557" s="1249" t="s">
        <v>3148</v>
      </c>
      <c r="X557" s="1250">
        <f>($U557/100*X$551)+($V557/100*X$552)</f>
        <v>227.27522086617429</v>
      </c>
      <c r="Y557" s="1250">
        <f t="shared" si="829"/>
        <v>416.21628541906972</v>
      </c>
      <c r="Z557" s="1250">
        <f t="shared" si="829"/>
        <v>416.01310954927538</v>
      </c>
      <c r="AA557" s="1250">
        <f t="shared" si="829"/>
        <v>415.80897570301823</v>
      </c>
      <c r="AB557" s="1250">
        <f t="shared" si="829"/>
        <v>415.41582835194754</v>
      </c>
      <c r="AC557" s="1250">
        <f t="shared" si="829"/>
        <v>415.02085125814239</v>
      </c>
      <c r="AD557" s="1250">
        <f t="shared" si="829"/>
        <v>414.62407204642949</v>
      </c>
      <c r="AE557" s="1250">
        <f t="shared" si="829"/>
        <v>414.22551797211355</v>
      </c>
      <c r="AF557" s="1250">
        <f t="shared" si="829"/>
        <v>413.82521592560471</v>
      </c>
      <c r="AG557" s="1250">
        <f t="shared" si="829"/>
        <v>413.42319243699137</v>
      </c>
      <c r="AH557" s="1250">
        <f t="shared" si="829"/>
        <v>412.97639172542222</v>
      </c>
      <c r="AI557" s="1250">
        <f t="shared" si="830"/>
        <v>412.52299811359069</v>
      </c>
      <c r="AJ557" s="1250">
        <f t="shared" si="830"/>
        <v>412.06362777859852</v>
      </c>
      <c r="AK557" s="1250">
        <f t="shared" si="830"/>
        <v>411.59884906158919</v>
      </c>
      <c r="AL557" s="1250">
        <f t="shared" si="830"/>
        <v>411.33526082907923</v>
      </c>
      <c r="AM557" s="1250">
        <f t="shared" si="830"/>
        <v>411.07091343781485</v>
      </c>
      <c r="AN557" s="1250">
        <f t="shared" si="830"/>
        <v>410.80595068620772</v>
      </c>
      <c r="AO557" s="1250">
        <f t="shared" si="830"/>
        <v>410.54050285129921</v>
      </c>
      <c r="AP557" s="1250">
        <f t="shared" si="830"/>
        <v>410.27468774112106</v>
      </c>
      <c r="AQ557" s="1250">
        <f t="shared" si="830"/>
        <v>410.00861167219887</v>
      </c>
      <c r="AR557" s="1250">
        <f t="shared" si="830"/>
        <v>409.815581296733</v>
      </c>
      <c r="AS557" s="1250">
        <f t="shared" si="831"/>
        <v>409.62335258809492</v>
      </c>
      <c r="AT557" s="1250">
        <f t="shared" si="831"/>
        <v>409.43192990418271</v>
      </c>
      <c r="AU557" s="1250">
        <f t="shared" si="831"/>
        <v>409.24131469848356</v>
      </c>
      <c r="AV557" s="1250">
        <f t="shared" si="831"/>
        <v>409.05150582637634</v>
      </c>
      <c r="AW557" s="1250">
        <f t="shared" si="831"/>
        <v>408.78731594029716</v>
      </c>
      <c r="AX557" s="1250">
        <f t="shared" si="831"/>
        <v>408.52325953173067</v>
      </c>
      <c r="AY557" s="1250">
        <f t="shared" si="831"/>
        <v>408.25938402910117</v>
      </c>
      <c r="AZ557" s="1250">
        <f t="shared" si="831"/>
        <v>407.99573123993662</v>
      </c>
      <c r="BA557" s="1251">
        <f t="shared" si="831"/>
        <v>407.73233782569639</v>
      </c>
    </row>
    <row r="558" spans="19:53" ht="20.100000000000001" customHeight="1">
      <c r="S558" s="1244" t="s">
        <v>86</v>
      </c>
      <c r="T558" s="1248" t="s">
        <v>942</v>
      </c>
      <c r="U558" s="1159">
        <f>INDEX('DEFAULT DATA'!$AS$9:$AW$41,START!$C$3,3)</f>
        <v>20</v>
      </c>
      <c r="V558" s="1159">
        <f t="shared" si="832"/>
        <v>80</v>
      </c>
      <c r="W558" s="1249" t="s">
        <v>3149</v>
      </c>
      <c r="X558" s="1250">
        <f>($U558/100*X$551)+($V558/100*X$552)</f>
        <v>219.19574995223996</v>
      </c>
      <c r="Y558" s="1250">
        <f t="shared" si="829"/>
        <v>399.108826259468</v>
      </c>
      <c r="Z558" s="1250">
        <f t="shared" si="829"/>
        <v>398.91673257441806</v>
      </c>
      <c r="AA558" s="1250">
        <f t="shared" si="829"/>
        <v>398.72366430059662</v>
      </c>
      <c r="AB558" s="1250">
        <f t="shared" si="829"/>
        <v>398.35193659913529</v>
      </c>
      <c r="AC558" s="1250">
        <f t="shared" si="829"/>
        <v>397.97834742529665</v>
      </c>
      <c r="AD558" s="1250">
        <f t="shared" si="829"/>
        <v>397.60292488295079</v>
      </c>
      <c r="AE558" s="1250">
        <f t="shared" si="829"/>
        <v>397.22569670003759</v>
      </c>
      <c r="AF558" s="1250">
        <f t="shared" si="829"/>
        <v>396.84669023327501</v>
      </c>
      <c r="AG558" s="1250">
        <f t="shared" si="829"/>
        <v>396.46593247281083</v>
      </c>
      <c r="AH558" s="1250">
        <f t="shared" si="829"/>
        <v>396.03962100575563</v>
      </c>
      <c r="AI558" s="1250">
        <f t="shared" si="830"/>
        <v>395.60660231068795</v>
      </c>
      <c r="AJ558" s="1250">
        <f t="shared" si="830"/>
        <v>395.16750324986134</v>
      </c>
      <c r="AK558" s="1250">
        <f t="shared" si="830"/>
        <v>394.72290202004626</v>
      </c>
      <c r="AL558" s="1250">
        <f t="shared" si="830"/>
        <v>394.46899212818306</v>
      </c>
      <c r="AM558" s="1250">
        <f t="shared" si="830"/>
        <v>394.21430991296279</v>
      </c>
      <c r="AN558" s="1250">
        <f t="shared" si="830"/>
        <v>393.9590016664111</v>
      </c>
      <c r="AO558" s="1250">
        <f t="shared" si="830"/>
        <v>393.70319992470888</v>
      </c>
      <c r="AP558" s="1250">
        <f t="shared" si="830"/>
        <v>393.44702453880177</v>
      </c>
      <c r="AQ558" s="1250">
        <f t="shared" si="830"/>
        <v>393.1905836688544</v>
      </c>
      <c r="AR558" s="1250">
        <f t="shared" si="830"/>
        <v>393.0037054357386</v>
      </c>
      <c r="AS558" s="1250">
        <f t="shared" si="831"/>
        <v>392.81764277118737</v>
      </c>
      <c r="AT558" s="1250">
        <f t="shared" si="831"/>
        <v>392.63240010866946</v>
      </c>
      <c r="AU558" s="1250">
        <f t="shared" si="831"/>
        <v>392.44797892687689</v>
      </c>
      <c r="AV558" s="1250">
        <f t="shared" si="831"/>
        <v>392.26437806133976</v>
      </c>
      <c r="AW558" s="1250">
        <f t="shared" si="831"/>
        <v>392.00985608260839</v>
      </c>
      <c r="AX558" s="1250">
        <f t="shared" si="831"/>
        <v>391.75546989602879</v>
      </c>
      <c r="AY558" s="1250">
        <f t="shared" si="831"/>
        <v>391.50126775248327</v>
      </c>
      <c r="AZ558" s="1250">
        <f t="shared" si="831"/>
        <v>391.2472921844859</v>
      </c>
      <c r="BA558" s="1251">
        <f t="shared" si="831"/>
        <v>390.99358048924393</v>
      </c>
    </row>
    <row r="559" spans="19:53" ht="20.100000000000001" customHeight="1">
      <c r="S559" s="1244" t="s">
        <v>87</v>
      </c>
      <c r="T559" s="1248" t="s">
        <v>942</v>
      </c>
      <c r="U559" s="1159">
        <f>INDEX('DEFAULT DATA'!$AS$9:$AW$41,START!$C$3,4)</f>
        <v>70</v>
      </c>
      <c r="V559" s="1159">
        <f t="shared" si="832"/>
        <v>30</v>
      </c>
      <c r="W559" s="1249" t="s">
        <v>3150</v>
      </c>
      <c r="X559" s="1250">
        <f>($U559/100*X$551)+($V559/100*X$552)</f>
        <v>178.79839538256829</v>
      </c>
      <c r="Y559" s="1250">
        <f t="shared" si="829"/>
        <v>313.57153046145942</v>
      </c>
      <c r="Z559" s="1250">
        <f t="shared" si="829"/>
        <v>313.43484770013123</v>
      </c>
      <c r="AA559" s="1250">
        <f t="shared" si="829"/>
        <v>313.29710728848841</v>
      </c>
      <c r="AB559" s="1250">
        <f t="shared" si="829"/>
        <v>313.03247783507385</v>
      </c>
      <c r="AC559" s="1250">
        <f t="shared" si="829"/>
        <v>312.76582826106801</v>
      </c>
      <c r="AD559" s="1250">
        <f t="shared" si="829"/>
        <v>312.49718906555722</v>
      </c>
      <c r="AE559" s="1250">
        <f t="shared" si="829"/>
        <v>312.22659033965795</v>
      </c>
      <c r="AF559" s="1250">
        <f t="shared" si="829"/>
        <v>311.95406177162664</v>
      </c>
      <c r="AG559" s="1250">
        <f t="shared" si="829"/>
        <v>311.67963265190781</v>
      </c>
      <c r="AH559" s="1250">
        <f t="shared" si="829"/>
        <v>311.35576740742272</v>
      </c>
      <c r="AI559" s="1250">
        <f t="shared" si="830"/>
        <v>311.0246232961739</v>
      </c>
      <c r="AJ559" s="1250">
        <f t="shared" si="830"/>
        <v>310.68688060617546</v>
      </c>
      <c r="AK559" s="1250">
        <f t="shared" si="830"/>
        <v>310.34316681233156</v>
      </c>
      <c r="AL559" s="1250">
        <f t="shared" si="830"/>
        <v>310.13764862370203</v>
      </c>
      <c r="AM559" s="1250">
        <f t="shared" si="830"/>
        <v>309.93129228870225</v>
      </c>
      <c r="AN559" s="1250">
        <f t="shared" si="830"/>
        <v>309.72425656742791</v>
      </c>
      <c r="AO559" s="1250">
        <f t="shared" si="830"/>
        <v>309.51668529175726</v>
      </c>
      <c r="AP559" s="1250">
        <f t="shared" si="830"/>
        <v>309.30870852720517</v>
      </c>
      <c r="AQ559" s="1250">
        <f t="shared" si="830"/>
        <v>309.10044365213207</v>
      </c>
      <c r="AR559" s="1250">
        <f t="shared" si="830"/>
        <v>308.94432613076623</v>
      </c>
      <c r="AS559" s="1250">
        <f t="shared" si="831"/>
        <v>308.78909368664938</v>
      </c>
      <c r="AT559" s="1250">
        <f t="shared" si="831"/>
        <v>308.6347511311028</v>
      </c>
      <c r="AU559" s="1250">
        <f t="shared" si="831"/>
        <v>308.4813000688435</v>
      </c>
      <c r="AV559" s="1250">
        <f t="shared" si="831"/>
        <v>308.32873923615671</v>
      </c>
      <c r="AW559" s="1250">
        <f t="shared" si="831"/>
        <v>308.12255679416472</v>
      </c>
      <c r="AX559" s="1250">
        <f t="shared" si="831"/>
        <v>307.91652171751912</v>
      </c>
      <c r="AY559" s="1250">
        <f t="shared" si="831"/>
        <v>307.71068636939356</v>
      </c>
      <c r="AZ559" s="1250">
        <f t="shared" si="831"/>
        <v>307.50509690723214</v>
      </c>
      <c r="BA559" s="1251">
        <f t="shared" si="831"/>
        <v>307.29979380698148</v>
      </c>
    </row>
    <row r="560" spans="19:53" ht="20.100000000000001" customHeight="1">
      <c r="S560" s="1244" t="s">
        <v>88</v>
      </c>
      <c r="T560" s="1248" t="s">
        <v>942</v>
      </c>
      <c r="U560" s="1159">
        <f>INDEX('DEFAULT DATA'!$AS$9:$AW$41,START!$C$3,5)</f>
        <v>100</v>
      </c>
      <c r="V560" s="1159">
        <f t="shared" si="832"/>
        <v>0</v>
      </c>
      <c r="W560" s="1249" t="s">
        <v>3151</v>
      </c>
      <c r="X560" s="1250">
        <f>($U560/100*X$551)+($V560/100*X$552)</f>
        <v>154.55998264076527</v>
      </c>
      <c r="Y560" s="1250">
        <f t="shared" si="829"/>
        <v>262.24915298265432</v>
      </c>
      <c r="Z560" s="1250">
        <f t="shared" si="829"/>
        <v>262.14571677555915</v>
      </c>
      <c r="AA560" s="1250">
        <f t="shared" si="829"/>
        <v>262.04117308122352</v>
      </c>
      <c r="AB560" s="1250">
        <f t="shared" si="829"/>
        <v>261.84080257663703</v>
      </c>
      <c r="AC560" s="1250">
        <f t="shared" si="829"/>
        <v>261.63831676253091</v>
      </c>
      <c r="AD560" s="1250">
        <f t="shared" si="829"/>
        <v>261.43374757512106</v>
      </c>
      <c r="AE560" s="1250">
        <f t="shared" si="829"/>
        <v>261.22712652343017</v>
      </c>
      <c r="AF560" s="1250">
        <f t="shared" si="829"/>
        <v>261.01848469463766</v>
      </c>
      <c r="AG560" s="1250">
        <f t="shared" si="829"/>
        <v>260.80785275936609</v>
      </c>
      <c r="AH560" s="1250">
        <f t="shared" si="829"/>
        <v>260.54545524842297</v>
      </c>
      <c r="AI560" s="1250">
        <f t="shared" si="830"/>
        <v>260.27543588746556</v>
      </c>
      <c r="AJ560" s="1250">
        <f t="shared" si="830"/>
        <v>259.99850701996394</v>
      </c>
      <c r="AK560" s="1250">
        <f t="shared" si="830"/>
        <v>259.71532568770277</v>
      </c>
      <c r="AL560" s="1250">
        <f t="shared" si="830"/>
        <v>259.53884252101352</v>
      </c>
      <c r="AM560" s="1250">
        <f t="shared" si="830"/>
        <v>259.36148171414595</v>
      </c>
      <c r="AN560" s="1250">
        <f t="shared" si="830"/>
        <v>259.18340950803798</v>
      </c>
      <c r="AO560" s="1250">
        <f t="shared" si="830"/>
        <v>259.00477651198628</v>
      </c>
      <c r="AP560" s="1250">
        <f t="shared" si="830"/>
        <v>258.82571892024725</v>
      </c>
      <c r="AQ560" s="1250">
        <f t="shared" si="830"/>
        <v>258.64635964209873</v>
      </c>
      <c r="AR560" s="1250">
        <f t="shared" si="830"/>
        <v>258.50869854778284</v>
      </c>
      <c r="AS560" s="1250">
        <f t="shared" si="831"/>
        <v>258.37196423592667</v>
      </c>
      <c r="AT560" s="1250">
        <f t="shared" si="831"/>
        <v>258.23616174456288</v>
      </c>
      <c r="AU560" s="1250">
        <f t="shared" si="831"/>
        <v>258.10129275402346</v>
      </c>
      <c r="AV560" s="1250">
        <f t="shared" si="831"/>
        <v>257.96735594104695</v>
      </c>
      <c r="AW560" s="1250">
        <f t="shared" si="831"/>
        <v>257.79017722109853</v>
      </c>
      <c r="AX560" s="1250">
        <f t="shared" si="831"/>
        <v>257.6131528104134</v>
      </c>
      <c r="AY560" s="1250">
        <f t="shared" si="831"/>
        <v>257.43633753953975</v>
      </c>
      <c r="AZ560" s="1250">
        <f t="shared" si="831"/>
        <v>257.25977974087994</v>
      </c>
      <c r="BA560" s="1251">
        <f t="shared" si="831"/>
        <v>257.08352179762403</v>
      </c>
    </row>
    <row r="561" spans="19:53" ht="20.100000000000001" customHeight="1" thickBot="1">
      <c r="S561" s="1252" t="s">
        <v>3177</v>
      </c>
      <c r="T561" s="1327" t="s">
        <v>3204</v>
      </c>
      <c r="U561" s="1253"/>
      <c r="V561" s="1253"/>
      <c r="W561" s="1278" t="s">
        <v>1202</v>
      </c>
      <c r="X561" s="1254">
        <f t="shared" ref="X561:BA561" si="833">(X295/100*X556)+(X296/100*X557)+(X297/100*X558)+(X298/100*X559)+(X299/100*X560)</f>
        <v>0</v>
      </c>
      <c r="Y561" s="1254">
        <f t="shared" si="833"/>
        <v>0</v>
      </c>
      <c r="Z561" s="1254">
        <f t="shared" si="833"/>
        <v>428.83539228041843</v>
      </c>
      <c r="AA561" s="1254">
        <f t="shared" si="833"/>
        <v>428.62295925483443</v>
      </c>
      <c r="AB561" s="1254">
        <f t="shared" si="833"/>
        <v>428.21374716655674</v>
      </c>
      <c r="AC561" s="1254">
        <f t="shared" si="833"/>
        <v>427.80272913277662</v>
      </c>
      <c r="AD561" s="1254">
        <f t="shared" si="833"/>
        <v>427.38993241903853</v>
      </c>
      <c r="AE561" s="1254">
        <f t="shared" si="833"/>
        <v>426.97538392617048</v>
      </c>
      <c r="AF561" s="1254">
        <f t="shared" si="833"/>
        <v>426.55911019485194</v>
      </c>
      <c r="AG561" s="1254">
        <f t="shared" si="833"/>
        <v>408.11686595418234</v>
      </c>
      <c r="AH561" s="1254">
        <f t="shared" si="833"/>
        <v>394.19057232944567</v>
      </c>
      <c r="AI561" s="1254">
        <f t="shared" si="833"/>
        <v>383.29293261784358</v>
      </c>
      <c r="AJ561" s="1254">
        <f t="shared" si="833"/>
        <v>374.51127543353363</v>
      </c>
      <c r="AK561" s="1254">
        <f t="shared" si="833"/>
        <v>367.26584086367677</v>
      </c>
      <c r="AL561" s="1254">
        <f t="shared" si="833"/>
        <v>361.34578343264252</v>
      </c>
      <c r="AM561" s="1254">
        <f t="shared" si="833"/>
        <v>361.10996141323591</v>
      </c>
      <c r="AN561" s="1254">
        <f t="shared" si="833"/>
        <v>360.87349002521347</v>
      </c>
      <c r="AO561" s="1254">
        <f t="shared" si="833"/>
        <v>360.63650626242759</v>
      </c>
      <c r="AP561" s="1254">
        <f t="shared" si="833"/>
        <v>360.39929049887104</v>
      </c>
      <c r="AQ561" s="1254">
        <f t="shared" si="833"/>
        <v>360.16179724222445</v>
      </c>
      <c r="AR561" s="1254">
        <f t="shared" si="833"/>
        <v>359.98687043201312</v>
      </c>
      <c r="AS561" s="1254">
        <f t="shared" si="833"/>
        <v>359.81278414586012</v>
      </c>
      <c r="AT561" s="1254">
        <f t="shared" si="833"/>
        <v>359.63954298519025</v>
      </c>
      <c r="AU561" s="1254">
        <f t="shared" si="833"/>
        <v>359.46730311622156</v>
      </c>
      <c r="AV561" s="1254">
        <f t="shared" si="833"/>
        <v>359.29590800465428</v>
      </c>
      <c r="AW561" s="1254">
        <f t="shared" si="833"/>
        <v>359.06023280129097</v>
      </c>
      <c r="AX561" s="1254">
        <f t="shared" si="833"/>
        <v>358.82469573073735</v>
      </c>
      <c r="AY561" s="1254">
        <f t="shared" si="833"/>
        <v>358.58934667947148</v>
      </c>
      <c r="AZ561" s="1254">
        <f t="shared" si="833"/>
        <v>358.35422962410496</v>
      </c>
      <c r="BA561" s="1255">
        <f t="shared" si="833"/>
        <v>358.119535410004</v>
      </c>
    </row>
    <row r="562" spans="19:53" ht="20.100000000000001" customHeight="1">
      <c r="S562" s="1240" t="s">
        <v>3206</v>
      </c>
      <c r="T562" s="1241"/>
      <c r="U562" s="1284" t="s">
        <v>988</v>
      </c>
      <c r="V562" s="1284"/>
      <c r="W562" s="1284"/>
      <c r="X562" s="1241"/>
      <c r="Y562" s="1241"/>
      <c r="Z562" s="1241"/>
      <c r="AA562" s="1241"/>
      <c r="AB562" s="1241"/>
      <c r="AC562" s="1241"/>
      <c r="AD562" s="1241"/>
      <c r="AE562" s="1241"/>
      <c r="AF562" s="1241"/>
      <c r="AG562" s="1241"/>
      <c r="AH562" s="1241"/>
      <c r="AI562" s="1241"/>
      <c r="AJ562" s="1241"/>
      <c r="AK562" s="1241"/>
      <c r="AL562" s="1241"/>
      <c r="AM562" s="1241"/>
      <c r="AN562" s="1241"/>
      <c r="AO562" s="1241"/>
      <c r="AP562" s="1241"/>
      <c r="AQ562" s="1241"/>
      <c r="AR562" s="1241"/>
      <c r="AS562" s="1241"/>
      <c r="AT562" s="1241"/>
      <c r="AU562" s="1241"/>
      <c r="AV562" s="1241"/>
      <c r="AW562" s="1241"/>
      <c r="AX562" s="1241"/>
      <c r="AY562" s="1241"/>
      <c r="AZ562" s="1241"/>
      <c r="BA562" s="1243"/>
    </row>
    <row r="563" spans="19:53" ht="20.100000000000001" customHeight="1">
      <c r="S563" s="1244" t="s">
        <v>941</v>
      </c>
      <c r="T563" s="1160"/>
      <c r="U563" s="1245" t="s">
        <v>936</v>
      </c>
      <c r="V563" s="1245" t="s">
        <v>937</v>
      </c>
      <c r="W563" s="1245" t="s">
        <v>943</v>
      </c>
      <c r="X563" s="1246">
        <v>2021</v>
      </c>
      <c r="Y563" s="1246">
        <v>2022</v>
      </c>
      <c r="Z563" s="1246">
        <v>2023</v>
      </c>
      <c r="AA563" s="1246">
        <v>2024</v>
      </c>
      <c r="AB563" s="1246">
        <v>2025</v>
      </c>
      <c r="AC563" s="1246">
        <v>2026</v>
      </c>
      <c r="AD563" s="1246">
        <v>2027</v>
      </c>
      <c r="AE563" s="1246">
        <v>2028</v>
      </c>
      <c r="AF563" s="1246">
        <v>2029</v>
      </c>
      <c r="AG563" s="1246">
        <v>2030</v>
      </c>
      <c r="AH563" s="1246">
        <v>2031</v>
      </c>
      <c r="AI563" s="1246">
        <v>2032</v>
      </c>
      <c r="AJ563" s="1246">
        <v>2033</v>
      </c>
      <c r="AK563" s="1246">
        <v>2034</v>
      </c>
      <c r="AL563" s="1246">
        <v>2035</v>
      </c>
      <c r="AM563" s="1246">
        <v>2036</v>
      </c>
      <c r="AN563" s="1246">
        <v>2037</v>
      </c>
      <c r="AO563" s="1246">
        <v>2038</v>
      </c>
      <c r="AP563" s="1246">
        <v>2039</v>
      </c>
      <c r="AQ563" s="1246">
        <v>2040</v>
      </c>
      <c r="AR563" s="1246">
        <v>2041</v>
      </c>
      <c r="AS563" s="1246">
        <v>2042</v>
      </c>
      <c r="AT563" s="1246">
        <v>2043</v>
      </c>
      <c r="AU563" s="1246">
        <v>2044</v>
      </c>
      <c r="AV563" s="1246">
        <v>2045</v>
      </c>
      <c r="AW563" s="1246">
        <v>2046</v>
      </c>
      <c r="AX563" s="1246">
        <v>2047</v>
      </c>
      <c r="AY563" s="1246">
        <v>2048</v>
      </c>
      <c r="AZ563" s="1246">
        <v>2049</v>
      </c>
      <c r="BA563" s="1247">
        <v>2050</v>
      </c>
    </row>
    <row r="564" spans="19:53" ht="20.100000000000001" customHeight="1">
      <c r="S564" s="1244" t="s">
        <v>84</v>
      </c>
      <c r="T564" s="1248" t="s">
        <v>942</v>
      </c>
      <c r="U564" s="1159">
        <f>INDEX('DEFAULT DATA'!$AS$9:$AW$41,START!$C$3,1)</f>
        <v>0</v>
      </c>
      <c r="V564" s="1159">
        <f>100-U564</f>
        <v>100</v>
      </c>
      <c r="W564" s="1249" t="s">
        <v>3147</v>
      </c>
      <c r="X564" s="1250">
        <f>($U564/100*X$74)+($V564/100*X$75)</f>
        <v>234.45022081485885</v>
      </c>
      <c r="Y564" s="1250">
        <f t="shared" ref="Y564:BA568" si="834">($U564/100*Y$74)+($V564/100*Y$75)</f>
        <v>235.29242088341033</v>
      </c>
      <c r="Z564" s="1250">
        <f t="shared" si="834"/>
        <v>235.29242088341033</v>
      </c>
      <c r="AA564" s="1250">
        <f t="shared" si="834"/>
        <v>235.38988045083812</v>
      </c>
      <c r="AB564" s="1250">
        <f t="shared" si="834"/>
        <v>235.38890585516384</v>
      </c>
      <c r="AC564" s="1250">
        <f t="shared" si="834"/>
        <v>235.38794100544629</v>
      </c>
      <c r="AD564" s="1250">
        <f t="shared" si="834"/>
        <v>235.38698580422596</v>
      </c>
      <c r="AE564" s="1250">
        <f t="shared" si="834"/>
        <v>235.38604015501781</v>
      </c>
      <c r="AF564" s="1250">
        <f t="shared" si="834"/>
        <v>235.38510396230171</v>
      </c>
      <c r="AG564" s="1250">
        <f t="shared" si="834"/>
        <v>235.38417713151281</v>
      </c>
      <c r="AH564" s="1250">
        <f t="shared" si="834"/>
        <v>235.38325956903182</v>
      </c>
      <c r="AI564" s="1250">
        <f t="shared" si="834"/>
        <v>235.38235118217557</v>
      </c>
      <c r="AJ564" s="1250">
        <f t="shared" si="834"/>
        <v>235.38145187918792</v>
      </c>
      <c r="AK564" s="1250">
        <f t="shared" si="834"/>
        <v>235.37655517442016</v>
      </c>
      <c r="AL564" s="1250">
        <f t="shared" si="834"/>
        <v>235.37192778841461</v>
      </c>
      <c r="AM564" s="1250">
        <f t="shared" si="834"/>
        <v>235.36755490863942</v>
      </c>
      <c r="AN564" s="1250">
        <f t="shared" si="834"/>
        <v>235.36342253725178</v>
      </c>
      <c r="AO564" s="1250">
        <f t="shared" si="834"/>
        <v>235.35951744629051</v>
      </c>
      <c r="AP564" s="1250">
        <f t="shared" si="834"/>
        <v>235.35582713533211</v>
      </c>
      <c r="AQ564" s="1250">
        <f t="shared" si="834"/>
        <v>235.3523397914764</v>
      </c>
      <c r="AR564" s="1250">
        <f t="shared" si="834"/>
        <v>235.34904425153275</v>
      </c>
      <c r="AS564" s="1250">
        <f t="shared" si="834"/>
        <v>235.34592996628604</v>
      </c>
      <c r="AT564" s="1250">
        <f t="shared" si="834"/>
        <v>235.34298696672784</v>
      </c>
      <c r="AU564" s="1250">
        <f t="shared" si="834"/>
        <v>235.34020583214541</v>
      </c>
      <c r="AV564" s="1250">
        <f t="shared" si="834"/>
        <v>235.33757765996498</v>
      </c>
      <c r="AW564" s="1250">
        <f t="shared" si="834"/>
        <v>235.33509403725449</v>
      </c>
      <c r="AX564" s="1250">
        <f t="shared" si="834"/>
        <v>235.33274701379304</v>
      </c>
      <c r="AY564" s="1250">
        <f t="shared" si="834"/>
        <v>235.33052907662199</v>
      </c>
      <c r="AZ564" s="1250">
        <f t="shared" si="834"/>
        <v>235.32843312599536</v>
      </c>
      <c r="BA564" s="1251">
        <f t="shared" si="834"/>
        <v>235.32645245265317</v>
      </c>
    </row>
    <row r="565" spans="19:53" ht="20.100000000000001" customHeight="1">
      <c r="S565" s="1244" t="s">
        <v>85</v>
      </c>
      <c r="T565" s="1248" t="s">
        <v>942</v>
      </c>
      <c r="U565" s="1159">
        <f>INDEX('DEFAULT DATA'!$AS$9:$AW$41,START!$C$3,2)</f>
        <v>10</v>
      </c>
      <c r="V565" s="1159">
        <f t="shared" ref="V565:V568" si="835">100-U565</f>
        <v>90</v>
      </c>
      <c r="W565" s="1249" t="s">
        <v>3148</v>
      </c>
      <c r="X565" s="1250">
        <f>($U565/100*X$74)+($V565/100*X$75)</f>
        <v>226.3996822900549</v>
      </c>
      <c r="Y565" s="1250">
        <f t="shared" si="834"/>
        <v>227.212949969476</v>
      </c>
      <c r="Z565" s="1250">
        <f t="shared" si="834"/>
        <v>227.212949969476</v>
      </c>
      <c r="AA565" s="1250">
        <f t="shared" si="834"/>
        <v>227.31040953690379</v>
      </c>
      <c r="AB565" s="1250">
        <f t="shared" si="834"/>
        <v>227.30943494122951</v>
      </c>
      <c r="AC565" s="1250">
        <f t="shared" si="834"/>
        <v>227.30847009151196</v>
      </c>
      <c r="AD565" s="1250">
        <f t="shared" si="834"/>
        <v>227.30751489029163</v>
      </c>
      <c r="AE565" s="1250">
        <f t="shared" si="834"/>
        <v>227.30656924108348</v>
      </c>
      <c r="AF565" s="1250">
        <f t="shared" si="834"/>
        <v>227.30563304836738</v>
      </c>
      <c r="AG565" s="1250">
        <f t="shared" si="834"/>
        <v>227.30470621757848</v>
      </c>
      <c r="AH565" s="1250">
        <f t="shared" si="834"/>
        <v>227.30378865509749</v>
      </c>
      <c r="AI565" s="1250">
        <f t="shared" si="834"/>
        <v>227.30288026824124</v>
      </c>
      <c r="AJ565" s="1250">
        <f t="shared" si="834"/>
        <v>227.30198096525359</v>
      </c>
      <c r="AK565" s="1250">
        <f t="shared" si="834"/>
        <v>227.29708426048583</v>
      </c>
      <c r="AL565" s="1250">
        <f t="shared" si="834"/>
        <v>227.29245687448028</v>
      </c>
      <c r="AM565" s="1250">
        <f t="shared" si="834"/>
        <v>227.28808399470509</v>
      </c>
      <c r="AN565" s="1250">
        <f t="shared" si="834"/>
        <v>227.28395162331745</v>
      </c>
      <c r="AO565" s="1250">
        <f t="shared" si="834"/>
        <v>227.28004653235618</v>
      </c>
      <c r="AP565" s="1250">
        <f t="shared" si="834"/>
        <v>227.27635622139778</v>
      </c>
      <c r="AQ565" s="1250">
        <f t="shared" si="834"/>
        <v>227.27286887754207</v>
      </c>
      <c r="AR565" s="1250">
        <f t="shared" si="834"/>
        <v>227.26957333759842</v>
      </c>
      <c r="AS565" s="1250">
        <f t="shared" si="834"/>
        <v>227.26645905235171</v>
      </c>
      <c r="AT565" s="1250">
        <f t="shared" si="834"/>
        <v>227.26351605279351</v>
      </c>
      <c r="AU565" s="1250">
        <f t="shared" si="834"/>
        <v>227.26073491821109</v>
      </c>
      <c r="AV565" s="1250">
        <f t="shared" si="834"/>
        <v>227.25810674603065</v>
      </c>
      <c r="AW565" s="1250">
        <f t="shared" si="834"/>
        <v>227.25562312332016</v>
      </c>
      <c r="AX565" s="1250">
        <f t="shared" si="834"/>
        <v>227.25327609985871</v>
      </c>
      <c r="AY565" s="1250">
        <f t="shared" si="834"/>
        <v>227.25105816268766</v>
      </c>
      <c r="AZ565" s="1250">
        <f t="shared" si="834"/>
        <v>227.24896221206103</v>
      </c>
      <c r="BA565" s="1251">
        <f t="shared" si="834"/>
        <v>227.24698153871884</v>
      </c>
    </row>
    <row r="566" spans="19:53" ht="20.100000000000001" customHeight="1">
      <c r="S566" s="1244" t="s">
        <v>86</v>
      </c>
      <c r="T566" s="1248" t="s">
        <v>942</v>
      </c>
      <c r="U566" s="1159">
        <f>INDEX('DEFAULT DATA'!$AS$9:$AW$41,START!$C$3,3)</f>
        <v>20</v>
      </c>
      <c r="V566" s="1159">
        <f t="shared" si="835"/>
        <v>80</v>
      </c>
      <c r="W566" s="1249" t="s">
        <v>3149</v>
      </c>
      <c r="X566" s="1250">
        <f>($U566/100*X$74)+($V566/100*X$75)</f>
        <v>218.34914376525097</v>
      </c>
      <c r="Y566" s="1250">
        <f t="shared" si="834"/>
        <v>219.13347905554167</v>
      </c>
      <c r="Z566" s="1250">
        <f t="shared" si="834"/>
        <v>219.13347905554167</v>
      </c>
      <c r="AA566" s="1250">
        <f t="shared" si="834"/>
        <v>219.23093862296946</v>
      </c>
      <c r="AB566" s="1250">
        <f t="shared" si="834"/>
        <v>219.22996402729518</v>
      </c>
      <c r="AC566" s="1250">
        <f t="shared" si="834"/>
        <v>219.22899917757763</v>
      </c>
      <c r="AD566" s="1250">
        <f t="shared" si="834"/>
        <v>219.2280439763573</v>
      </c>
      <c r="AE566" s="1250">
        <f t="shared" si="834"/>
        <v>219.22709832714915</v>
      </c>
      <c r="AF566" s="1250">
        <f t="shared" si="834"/>
        <v>219.22616213443305</v>
      </c>
      <c r="AG566" s="1250">
        <f t="shared" si="834"/>
        <v>219.22523530364415</v>
      </c>
      <c r="AH566" s="1250">
        <f t="shared" si="834"/>
        <v>219.22431774116316</v>
      </c>
      <c r="AI566" s="1250">
        <f t="shared" si="834"/>
        <v>219.22340935430691</v>
      </c>
      <c r="AJ566" s="1250">
        <f t="shared" si="834"/>
        <v>219.22251005131926</v>
      </c>
      <c r="AK566" s="1250">
        <f t="shared" si="834"/>
        <v>219.2176133465515</v>
      </c>
      <c r="AL566" s="1250">
        <f t="shared" si="834"/>
        <v>219.21298596054595</v>
      </c>
      <c r="AM566" s="1250">
        <f t="shared" si="834"/>
        <v>219.20861308077076</v>
      </c>
      <c r="AN566" s="1250">
        <f t="shared" si="834"/>
        <v>219.20448070938312</v>
      </c>
      <c r="AO566" s="1250">
        <f t="shared" si="834"/>
        <v>219.20057561842185</v>
      </c>
      <c r="AP566" s="1250">
        <f t="shared" si="834"/>
        <v>219.19688530746345</v>
      </c>
      <c r="AQ566" s="1250">
        <f t="shared" si="834"/>
        <v>219.19339796360774</v>
      </c>
      <c r="AR566" s="1250">
        <f t="shared" si="834"/>
        <v>219.19010242366409</v>
      </c>
      <c r="AS566" s="1250">
        <f t="shared" si="834"/>
        <v>219.18698813841738</v>
      </c>
      <c r="AT566" s="1250">
        <f t="shared" si="834"/>
        <v>219.18404513885918</v>
      </c>
      <c r="AU566" s="1250">
        <f t="shared" si="834"/>
        <v>219.18126400427676</v>
      </c>
      <c r="AV566" s="1250">
        <f t="shared" si="834"/>
        <v>219.17863583209632</v>
      </c>
      <c r="AW566" s="1250">
        <f t="shared" si="834"/>
        <v>219.17615220938583</v>
      </c>
      <c r="AX566" s="1250">
        <f t="shared" si="834"/>
        <v>219.17380518592438</v>
      </c>
      <c r="AY566" s="1250">
        <f t="shared" si="834"/>
        <v>219.17158724875333</v>
      </c>
      <c r="AZ566" s="1250">
        <f t="shared" si="834"/>
        <v>219.16949129812673</v>
      </c>
      <c r="BA566" s="1251">
        <f t="shared" si="834"/>
        <v>219.16751062478451</v>
      </c>
    </row>
    <row r="567" spans="19:53" ht="20.100000000000001" customHeight="1">
      <c r="S567" s="1244" t="s">
        <v>87</v>
      </c>
      <c r="T567" s="1248" t="s">
        <v>942</v>
      </c>
      <c r="U567" s="1159">
        <f>INDEX('DEFAULT DATA'!$AS$9:$AW$41,START!$C$3,4)</f>
        <v>70</v>
      </c>
      <c r="V567" s="1159">
        <f t="shared" si="835"/>
        <v>30</v>
      </c>
      <c r="W567" s="1249" t="s">
        <v>3150</v>
      </c>
      <c r="X567" s="1250">
        <f>($U567/100*X$74)+($V567/100*X$75)</f>
        <v>178.09645114123117</v>
      </c>
      <c r="Y567" s="1250">
        <f t="shared" si="834"/>
        <v>178.73612448586996</v>
      </c>
      <c r="Z567" s="1250">
        <f t="shared" si="834"/>
        <v>178.73612448586996</v>
      </c>
      <c r="AA567" s="1250">
        <f t="shared" si="834"/>
        <v>178.83358405329778</v>
      </c>
      <c r="AB567" s="1250">
        <f t="shared" si="834"/>
        <v>178.83260945762351</v>
      </c>
      <c r="AC567" s="1250">
        <f t="shared" si="834"/>
        <v>178.83164460790596</v>
      </c>
      <c r="AD567" s="1250">
        <f t="shared" si="834"/>
        <v>178.83068940668562</v>
      </c>
      <c r="AE567" s="1250">
        <f t="shared" si="834"/>
        <v>178.82974375747744</v>
      </c>
      <c r="AF567" s="1250">
        <f t="shared" si="834"/>
        <v>178.82880756476135</v>
      </c>
      <c r="AG567" s="1250">
        <f t="shared" si="834"/>
        <v>178.82788073397245</v>
      </c>
      <c r="AH567" s="1250">
        <f t="shared" si="834"/>
        <v>178.82696317149146</v>
      </c>
      <c r="AI567" s="1250">
        <f t="shared" si="834"/>
        <v>178.82605478463523</v>
      </c>
      <c r="AJ567" s="1250">
        <f t="shared" si="834"/>
        <v>178.82515548164758</v>
      </c>
      <c r="AK567" s="1250">
        <f t="shared" si="834"/>
        <v>178.8202587768798</v>
      </c>
      <c r="AL567" s="1250">
        <f t="shared" si="834"/>
        <v>178.81563139087424</v>
      </c>
      <c r="AM567" s="1250">
        <f t="shared" si="834"/>
        <v>178.81125851109906</v>
      </c>
      <c r="AN567" s="1250">
        <f t="shared" si="834"/>
        <v>178.80712613971141</v>
      </c>
      <c r="AO567" s="1250">
        <f t="shared" si="834"/>
        <v>178.80322104875017</v>
      </c>
      <c r="AP567" s="1250">
        <f t="shared" si="834"/>
        <v>178.79953073779177</v>
      </c>
      <c r="AQ567" s="1250">
        <f t="shared" si="834"/>
        <v>178.79604339393603</v>
      </c>
      <c r="AR567" s="1250">
        <f t="shared" si="834"/>
        <v>178.79274785399238</v>
      </c>
      <c r="AS567" s="1250">
        <f t="shared" si="834"/>
        <v>178.78963356874567</v>
      </c>
      <c r="AT567" s="1250">
        <f t="shared" si="834"/>
        <v>178.7866905691875</v>
      </c>
      <c r="AU567" s="1250">
        <f t="shared" si="834"/>
        <v>178.78390943460505</v>
      </c>
      <c r="AV567" s="1250">
        <f t="shared" si="834"/>
        <v>178.78128126242461</v>
      </c>
      <c r="AW567" s="1250">
        <f t="shared" si="834"/>
        <v>178.77879763971413</v>
      </c>
      <c r="AX567" s="1250">
        <f t="shared" si="834"/>
        <v>178.7764506162527</v>
      </c>
      <c r="AY567" s="1250">
        <f t="shared" si="834"/>
        <v>178.77423267908162</v>
      </c>
      <c r="AZ567" s="1250">
        <f t="shared" si="834"/>
        <v>178.772136728455</v>
      </c>
      <c r="BA567" s="1251">
        <f t="shared" si="834"/>
        <v>178.77015605511281</v>
      </c>
    </row>
    <row r="568" spans="19:53" ht="20.100000000000001" customHeight="1">
      <c r="S568" s="1244" t="s">
        <v>88</v>
      </c>
      <c r="T568" s="1248" t="s">
        <v>942</v>
      </c>
      <c r="U568" s="1159">
        <f>INDEX('DEFAULT DATA'!$AS$9:$AW$41,START!$C$3,5)</f>
        <v>100</v>
      </c>
      <c r="V568" s="1159">
        <f t="shared" si="835"/>
        <v>0</v>
      </c>
      <c r="W568" s="1249" t="s">
        <v>3151</v>
      </c>
      <c r="X568" s="1250">
        <f>($U568/100*X$74)+($V568/100*X$75)</f>
        <v>153.94483556681934</v>
      </c>
      <c r="Y568" s="1250">
        <f t="shared" si="834"/>
        <v>154.49771174406698</v>
      </c>
      <c r="Z568" s="1250">
        <f t="shared" si="834"/>
        <v>154.49771174406698</v>
      </c>
      <c r="AA568" s="1250">
        <f t="shared" si="834"/>
        <v>154.59517131149477</v>
      </c>
      <c r="AB568" s="1250">
        <f t="shared" si="834"/>
        <v>154.59419671582049</v>
      </c>
      <c r="AC568" s="1250">
        <f t="shared" si="834"/>
        <v>154.59323186610294</v>
      </c>
      <c r="AD568" s="1250">
        <f t="shared" si="834"/>
        <v>154.5922766648826</v>
      </c>
      <c r="AE568" s="1250">
        <f t="shared" si="834"/>
        <v>154.59133101567446</v>
      </c>
      <c r="AF568" s="1250">
        <f t="shared" si="834"/>
        <v>154.59039482295836</v>
      </c>
      <c r="AG568" s="1250">
        <f t="shared" si="834"/>
        <v>154.58946799216946</v>
      </c>
      <c r="AH568" s="1250">
        <f t="shared" si="834"/>
        <v>154.58855042968847</v>
      </c>
      <c r="AI568" s="1250">
        <f t="shared" si="834"/>
        <v>154.58764204283221</v>
      </c>
      <c r="AJ568" s="1250">
        <f t="shared" si="834"/>
        <v>154.58674273984457</v>
      </c>
      <c r="AK568" s="1250">
        <f t="shared" si="834"/>
        <v>154.58184603507681</v>
      </c>
      <c r="AL568" s="1250">
        <f t="shared" si="834"/>
        <v>154.57721864907126</v>
      </c>
      <c r="AM568" s="1250">
        <f t="shared" si="834"/>
        <v>154.57284576929607</v>
      </c>
      <c r="AN568" s="1250">
        <f t="shared" si="834"/>
        <v>154.56871339790843</v>
      </c>
      <c r="AO568" s="1250">
        <f t="shared" si="834"/>
        <v>154.56480830694716</v>
      </c>
      <c r="AP568" s="1250">
        <f t="shared" si="834"/>
        <v>154.56111799598875</v>
      </c>
      <c r="AQ568" s="1250">
        <f t="shared" si="834"/>
        <v>154.55763065213304</v>
      </c>
      <c r="AR568" s="1250">
        <f t="shared" si="834"/>
        <v>154.55433511218939</v>
      </c>
      <c r="AS568" s="1250">
        <f t="shared" si="834"/>
        <v>154.55122082694268</v>
      </c>
      <c r="AT568" s="1250">
        <f t="shared" si="834"/>
        <v>154.54827782738448</v>
      </c>
      <c r="AU568" s="1250">
        <f t="shared" si="834"/>
        <v>154.54549669280206</v>
      </c>
      <c r="AV568" s="1250">
        <f t="shared" si="834"/>
        <v>154.54286852062162</v>
      </c>
      <c r="AW568" s="1250">
        <f t="shared" si="834"/>
        <v>154.54038489791114</v>
      </c>
      <c r="AX568" s="1250">
        <f t="shared" si="834"/>
        <v>154.53803787444969</v>
      </c>
      <c r="AY568" s="1250">
        <f t="shared" si="834"/>
        <v>154.53581993727863</v>
      </c>
      <c r="AZ568" s="1250">
        <f t="shared" si="834"/>
        <v>154.53372398665201</v>
      </c>
      <c r="BA568" s="1251">
        <f t="shared" si="834"/>
        <v>154.53174331330982</v>
      </c>
    </row>
    <row r="569" spans="19:53" ht="20.100000000000001" customHeight="1" thickBot="1">
      <c r="S569" s="1252" t="s">
        <v>3177</v>
      </c>
      <c r="T569" s="1335" t="s">
        <v>3205</v>
      </c>
      <c r="U569" s="1253"/>
      <c r="V569" s="1253"/>
      <c r="W569" s="1278" t="s">
        <v>1202</v>
      </c>
      <c r="X569" s="1254">
        <f>(X295/100*X564)+(X296/100*X565)+(X297/100*X566)+(X298/100*X567)+(X299/100*X568)</f>
        <v>0</v>
      </c>
      <c r="Y569" s="1254">
        <f t="shared" ref="Y569:BA569" si="836">(Y295/100*Y564)+(Y296/100*Y565)+(Y297/100*Y566)+(Y298/100*Y567)+(Y299/100*Y568)</f>
        <v>0</v>
      </c>
      <c r="Z569" s="1254">
        <f t="shared" si="836"/>
        <v>233.27255315492673</v>
      </c>
      <c r="AA569" s="1254">
        <f t="shared" si="836"/>
        <v>233.37001272235455</v>
      </c>
      <c r="AB569" s="1254">
        <f t="shared" si="836"/>
        <v>233.36903812668027</v>
      </c>
      <c r="AC569" s="1254">
        <f t="shared" si="836"/>
        <v>233.36807327696272</v>
      </c>
      <c r="AD569" s="1254">
        <f t="shared" si="836"/>
        <v>233.36711807574235</v>
      </c>
      <c r="AE569" s="1254">
        <f t="shared" si="836"/>
        <v>233.36617242653423</v>
      </c>
      <c r="AF569" s="1254">
        <f t="shared" si="836"/>
        <v>233.36523623381811</v>
      </c>
      <c r="AG569" s="1254">
        <f t="shared" si="836"/>
        <v>224.77644926048427</v>
      </c>
      <c r="AH569" s="1254">
        <f t="shared" si="836"/>
        <v>218.34225260336518</v>
      </c>
      <c r="AI569" s="1254">
        <f t="shared" si="836"/>
        <v>213.34225492364158</v>
      </c>
      <c r="AJ569" s="1254">
        <f t="shared" si="836"/>
        <v>209.34501467953919</v>
      </c>
      <c r="AK569" s="1254">
        <f t="shared" si="836"/>
        <v>206.07236428592626</v>
      </c>
      <c r="AL569" s="1254">
        <f t="shared" si="836"/>
        <v>203.34593166550931</v>
      </c>
      <c r="AM569" s="1254">
        <f t="shared" si="836"/>
        <v>203.34150079839679</v>
      </c>
      <c r="AN569" s="1254">
        <f t="shared" si="836"/>
        <v>203.33730923141547</v>
      </c>
      <c r="AO569" s="1254">
        <f t="shared" si="836"/>
        <v>203.33334374469558</v>
      </c>
      <c r="AP569" s="1254">
        <f t="shared" si="836"/>
        <v>203.32966698149548</v>
      </c>
      <c r="AQ569" s="1254">
        <f t="shared" si="836"/>
        <v>203.32619170117087</v>
      </c>
      <c r="AR569" s="1254">
        <f t="shared" si="836"/>
        <v>203.32283334028477</v>
      </c>
      <c r="AS569" s="1254">
        <f t="shared" si="836"/>
        <v>203.31965506013418</v>
      </c>
      <c r="AT569" s="1254">
        <f t="shared" si="836"/>
        <v>203.31664689965771</v>
      </c>
      <c r="AU569" s="1254">
        <f t="shared" si="836"/>
        <v>203.31387383486114</v>
      </c>
      <c r="AV569" s="1254">
        <f t="shared" si="836"/>
        <v>203.31125228512155</v>
      </c>
      <c r="AW569" s="1254">
        <f t="shared" si="836"/>
        <v>203.30870116586581</v>
      </c>
      <c r="AX569" s="1254">
        <f t="shared" si="836"/>
        <v>203.30628550549429</v>
      </c>
      <c r="AY569" s="1254">
        <f t="shared" si="836"/>
        <v>203.30399779885087</v>
      </c>
      <c r="AZ569" s="1254">
        <f t="shared" si="836"/>
        <v>203.30183095396288</v>
      </c>
      <c r="BA569" s="1255">
        <f t="shared" si="836"/>
        <v>203.29985177159892</v>
      </c>
    </row>
    <row r="570" spans="19:53" ht="20.100000000000001" customHeight="1">
      <c r="S570" s="1240" t="s">
        <v>3208</v>
      </c>
      <c r="T570" s="1241"/>
      <c r="U570" s="1284" t="s">
        <v>988</v>
      </c>
      <c r="V570" s="1284"/>
      <c r="W570" s="1284"/>
      <c r="X570" s="1241"/>
      <c r="Y570" s="1241"/>
      <c r="Z570" s="1241"/>
      <c r="AA570" s="1241"/>
      <c r="AB570" s="1241"/>
      <c r="AC570" s="1241"/>
      <c r="AD570" s="1241"/>
      <c r="AE570" s="1241"/>
      <c r="AF570" s="1241"/>
      <c r="AG570" s="1241"/>
      <c r="AH570" s="1241"/>
      <c r="AI570" s="1241"/>
      <c r="AJ570" s="1241"/>
      <c r="AK570" s="1241"/>
      <c r="AL570" s="1241"/>
      <c r="AM570" s="1241"/>
      <c r="AN570" s="1241"/>
      <c r="AO570" s="1241"/>
      <c r="AP570" s="1241"/>
      <c r="AQ570" s="1241"/>
      <c r="AR570" s="1241"/>
      <c r="AS570" s="1241"/>
      <c r="AT570" s="1241"/>
      <c r="AU570" s="1241"/>
      <c r="AV570" s="1241"/>
      <c r="AW570" s="1241"/>
      <c r="AX570" s="1241"/>
      <c r="AY570" s="1241"/>
      <c r="AZ570" s="1241"/>
      <c r="BA570" s="1243"/>
    </row>
    <row r="571" spans="19:53" ht="20.100000000000001" customHeight="1">
      <c r="S571" s="1244" t="s">
        <v>941</v>
      </c>
      <c r="T571" s="1160"/>
      <c r="U571" s="1160"/>
      <c r="V571" s="1160"/>
      <c r="W571" s="1245" t="s">
        <v>943</v>
      </c>
      <c r="X571" s="1246">
        <v>2021</v>
      </c>
      <c r="Y571" s="1246">
        <v>2022</v>
      </c>
      <c r="Z571" s="1246">
        <v>2023</v>
      </c>
      <c r="AA571" s="1246">
        <v>2024</v>
      </c>
      <c r="AB571" s="1246">
        <v>2025</v>
      </c>
      <c r="AC571" s="1246">
        <v>2026</v>
      </c>
      <c r="AD571" s="1246">
        <v>2027</v>
      </c>
      <c r="AE571" s="1246">
        <v>2028</v>
      </c>
      <c r="AF571" s="1246">
        <v>2029</v>
      </c>
      <c r="AG571" s="1246">
        <v>2030</v>
      </c>
      <c r="AH571" s="1246">
        <v>2031</v>
      </c>
      <c r="AI571" s="1246">
        <v>2032</v>
      </c>
      <c r="AJ571" s="1246">
        <v>2033</v>
      </c>
      <c r="AK571" s="1246">
        <v>2034</v>
      </c>
      <c r="AL571" s="1246">
        <v>2035</v>
      </c>
      <c r="AM571" s="1246">
        <v>2036</v>
      </c>
      <c r="AN571" s="1246">
        <v>2037</v>
      </c>
      <c r="AO571" s="1246">
        <v>2038</v>
      </c>
      <c r="AP571" s="1246">
        <v>2039</v>
      </c>
      <c r="AQ571" s="1246">
        <v>2040</v>
      </c>
      <c r="AR571" s="1246">
        <v>2041</v>
      </c>
      <c r="AS571" s="1246">
        <v>2042</v>
      </c>
      <c r="AT571" s="1246">
        <v>2043</v>
      </c>
      <c r="AU571" s="1246">
        <v>2044</v>
      </c>
      <c r="AV571" s="1246">
        <v>2045</v>
      </c>
      <c r="AW571" s="1246">
        <v>2046</v>
      </c>
      <c r="AX571" s="1246">
        <v>2047</v>
      </c>
      <c r="AY571" s="1246">
        <v>2048</v>
      </c>
      <c r="AZ571" s="1246">
        <v>2049</v>
      </c>
      <c r="BA571" s="1247">
        <v>2050</v>
      </c>
    </row>
    <row r="572" spans="19:53" ht="20.100000000000001" customHeight="1">
      <c r="S572" s="1244" t="s">
        <v>84</v>
      </c>
      <c r="T572" s="1160"/>
      <c r="U572" s="1160"/>
      <c r="V572" s="1160"/>
      <c r="W572" s="1249" t="s">
        <v>3147</v>
      </c>
      <c r="X572" s="1250">
        <f>($H$203/100*X556)+((100-$H$203)/100*X564)</f>
        <v>234.45022081485885</v>
      </c>
      <c r="Y572" s="1250">
        <f t="shared" ref="Y572:BA576" si="837">($H$203/100*Y556)+((100-$H$203)/100*Y564)</f>
        <v>235.29242088341033</v>
      </c>
      <c r="Z572" s="1250">
        <f t="shared" si="837"/>
        <v>235.29242088341033</v>
      </c>
      <c r="AA572" s="1250">
        <f t="shared" si="837"/>
        <v>235.38988045083812</v>
      </c>
      <c r="AB572" s="1250">
        <f t="shared" si="837"/>
        <v>235.38890585516384</v>
      </c>
      <c r="AC572" s="1250">
        <f t="shared" si="837"/>
        <v>235.38794100544629</v>
      </c>
      <c r="AD572" s="1250">
        <f t="shared" si="837"/>
        <v>235.38698580422596</v>
      </c>
      <c r="AE572" s="1250">
        <f t="shared" si="837"/>
        <v>235.38604015501781</v>
      </c>
      <c r="AF572" s="1250">
        <f t="shared" si="837"/>
        <v>235.38510396230171</v>
      </c>
      <c r="AG572" s="1250">
        <f t="shared" si="837"/>
        <v>235.38417713151281</v>
      </c>
      <c r="AH572" s="1250">
        <f t="shared" si="837"/>
        <v>235.38325956903182</v>
      </c>
      <c r="AI572" s="1250">
        <f t="shared" si="837"/>
        <v>235.38235118217557</v>
      </c>
      <c r="AJ572" s="1250">
        <f t="shared" si="837"/>
        <v>235.38145187918792</v>
      </c>
      <c r="AK572" s="1250">
        <f t="shared" si="837"/>
        <v>235.37655517442016</v>
      </c>
      <c r="AL572" s="1250">
        <f t="shared" si="837"/>
        <v>235.37192778841461</v>
      </c>
      <c r="AM572" s="1250">
        <f t="shared" si="837"/>
        <v>235.36755490863942</v>
      </c>
      <c r="AN572" s="1250">
        <f t="shared" si="837"/>
        <v>235.36342253725178</v>
      </c>
      <c r="AO572" s="1250">
        <f t="shared" si="837"/>
        <v>235.35951744629051</v>
      </c>
      <c r="AP572" s="1250">
        <f t="shared" si="837"/>
        <v>235.35582713533211</v>
      </c>
      <c r="AQ572" s="1250">
        <f t="shared" si="837"/>
        <v>235.3523397914764</v>
      </c>
      <c r="AR572" s="1250">
        <f t="shared" si="837"/>
        <v>235.34904425153275</v>
      </c>
      <c r="AS572" s="1250">
        <f t="shared" si="837"/>
        <v>235.34592996628604</v>
      </c>
      <c r="AT572" s="1250">
        <f t="shared" si="837"/>
        <v>235.34298696672784</v>
      </c>
      <c r="AU572" s="1250">
        <f t="shared" si="837"/>
        <v>235.34020583214541</v>
      </c>
      <c r="AV572" s="1250">
        <f t="shared" si="837"/>
        <v>235.33757765996498</v>
      </c>
      <c r="AW572" s="1250">
        <f t="shared" si="837"/>
        <v>235.33509403725449</v>
      </c>
      <c r="AX572" s="1250">
        <f t="shared" si="837"/>
        <v>235.33274701379304</v>
      </c>
      <c r="AY572" s="1250">
        <f t="shared" si="837"/>
        <v>235.33052907662199</v>
      </c>
      <c r="AZ572" s="1250">
        <f t="shared" si="837"/>
        <v>235.32843312599536</v>
      </c>
      <c r="BA572" s="1251">
        <f t="shared" si="837"/>
        <v>235.32645245265317</v>
      </c>
    </row>
    <row r="573" spans="19:53" ht="20.100000000000001" customHeight="1">
      <c r="S573" s="1244" t="s">
        <v>85</v>
      </c>
      <c r="T573" s="1160"/>
      <c r="U573" s="1160"/>
      <c r="V573" s="1160"/>
      <c r="W573" s="1249" t="s">
        <v>3148</v>
      </c>
      <c r="X573" s="1250">
        <f t="shared" ref="X573:AM576" si="838">($H$203/100*X557)+((100-$H$203)/100*X565)</f>
        <v>226.3996822900549</v>
      </c>
      <c r="Y573" s="1250">
        <f t="shared" si="838"/>
        <v>227.212949969476</v>
      </c>
      <c r="Z573" s="1250">
        <f t="shared" si="838"/>
        <v>227.212949969476</v>
      </c>
      <c r="AA573" s="1250">
        <f t="shared" si="838"/>
        <v>227.31040953690379</v>
      </c>
      <c r="AB573" s="1250">
        <f t="shared" si="838"/>
        <v>227.30943494122951</v>
      </c>
      <c r="AC573" s="1250">
        <f t="shared" si="838"/>
        <v>227.30847009151196</v>
      </c>
      <c r="AD573" s="1250">
        <f t="shared" si="838"/>
        <v>227.30751489029163</v>
      </c>
      <c r="AE573" s="1250">
        <f t="shared" si="838"/>
        <v>227.30656924108348</v>
      </c>
      <c r="AF573" s="1250">
        <f t="shared" si="838"/>
        <v>227.30563304836738</v>
      </c>
      <c r="AG573" s="1250">
        <f t="shared" si="838"/>
        <v>227.30470621757848</v>
      </c>
      <c r="AH573" s="1250">
        <f t="shared" si="838"/>
        <v>227.30378865509749</v>
      </c>
      <c r="AI573" s="1250">
        <f t="shared" si="838"/>
        <v>227.30288026824124</v>
      </c>
      <c r="AJ573" s="1250">
        <f t="shared" si="838"/>
        <v>227.30198096525359</v>
      </c>
      <c r="AK573" s="1250">
        <f t="shared" si="838"/>
        <v>227.29708426048583</v>
      </c>
      <c r="AL573" s="1250">
        <f t="shared" si="838"/>
        <v>227.29245687448028</v>
      </c>
      <c r="AM573" s="1250">
        <f t="shared" si="838"/>
        <v>227.28808399470509</v>
      </c>
      <c r="AN573" s="1250">
        <f t="shared" si="837"/>
        <v>227.28395162331745</v>
      </c>
      <c r="AO573" s="1250">
        <f t="shared" si="837"/>
        <v>227.28004653235618</v>
      </c>
      <c r="AP573" s="1250">
        <f t="shared" si="837"/>
        <v>227.27635622139778</v>
      </c>
      <c r="AQ573" s="1250">
        <f t="shared" si="837"/>
        <v>227.27286887754207</v>
      </c>
      <c r="AR573" s="1250">
        <f t="shared" si="837"/>
        <v>227.26957333759842</v>
      </c>
      <c r="AS573" s="1250">
        <f t="shared" si="837"/>
        <v>227.26645905235171</v>
      </c>
      <c r="AT573" s="1250">
        <f t="shared" si="837"/>
        <v>227.26351605279351</v>
      </c>
      <c r="AU573" s="1250">
        <f t="shared" si="837"/>
        <v>227.26073491821109</v>
      </c>
      <c r="AV573" s="1250">
        <f t="shared" si="837"/>
        <v>227.25810674603065</v>
      </c>
      <c r="AW573" s="1250">
        <f t="shared" si="837"/>
        <v>227.25562312332016</v>
      </c>
      <c r="AX573" s="1250">
        <f t="shared" si="837"/>
        <v>227.25327609985871</v>
      </c>
      <c r="AY573" s="1250">
        <f t="shared" si="837"/>
        <v>227.25105816268766</v>
      </c>
      <c r="AZ573" s="1250">
        <f t="shared" si="837"/>
        <v>227.24896221206103</v>
      </c>
      <c r="BA573" s="1251">
        <f t="shared" si="837"/>
        <v>227.24698153871884</v>
      </c>
    </row>
    <row r="574" spans="19:53" ht="20.100000000000001" customHeight="1">
      <c r="S574" s="1244" t="s">
        <v>86</v>
      </c>
      <c r="T574" s="1160"/>
      <c r="U574" s="1160"/>
      <c r="V574" s="1160"/>
      <c r="W574" s="1249" t="s">
        <v>3149</v>
      </c>
      <c r="X574" s="1250">
        <f t="shared" si="838"/>
        <v>218.34914376525097</v>
      </c>
      <c r="Y574" s="1250">
        <f t="shared" si="837"/>
        <v>219.13347905554167</v>
      </c>
      <c r="Z574" s="1250">
        <f t="shared" si="837"/>
        <v>219.13347905554167</v>
      </c>
      <c r="AA574" s="1250">
        <f t="shared" si="837"/>
        <v>219.23093862296946</v>
      </c>
      <c r="AB574" s="1250">
        <f t="shared" si="837"/>
        <v>219.22996402729518</v>
      </c>
      <c r="AC574" s="1250">
        <f t="shared" si="837"/>
        <v>219.22899917757763</v>
      </c>
      <c r="AD574" s="1250">
        <f t="shared" si="837"/>
        <v>219.2280439763573</v>
      </c>
      <c r="AE574" s="1250">
        <f t="shared" si="837"/>
        <v>219.22709832714915</v>
      </c>
      <c r="AF574" s="1250">
        <f t="shared" si="837"/>
        <v>219.22616213443305</v>
      </c>
      <c r="AG574" s="1250">
        <f t="shared" si="837"/>
        <v>219.22523530364415</v>
      </c>
      <c r="AH574" s="1250">
        <f t="shared" si="837"/>
        <v>219.22431774116316</v>
      </c>
      <c r="AI574" s="1250">
        <f t="shared" si="837"/>
        <v>219.22340935430691</v>
      </c>
      <c r="AJ574" s="1250">
        <f t="shared" si="837"/>
        <v>219.22251005131926</v>
      </c>
      <c r="AK574" s="1250">
        <f t="shared" si="837"/>
        <v>219.2176133465515</v>
      </c>
      <c r="AL574" s="1250">
        <f t="shared" si="837"/>
        <v>219.21298596054595</v>
      </c>
      <c r="AM574" s="1250">
        <f t="shared" si="837"/>
        <v>219.20861308077076</v>
      </c>
      <c r="AN574" s="1250">
        <f t="shared" si="837"/>
        <v>219.20448070938312</v>
      </c>
      <c r="AO574" s="1250">
        <f t="shared" si="837"/>
        <v>219.20057561842185</v>
      </c>
      <c r="AP574" s="1250">
        <f t="shared" si="837"/>
        <v>219.19688530746345</v>
      </c>
      <c r="AQ574" s="1250">
        <f t="shared" si="837"/>
        <v>219.19339796360774</v>
      </c>
      <c r="AR574" s="1250">
        <f t="shared" si="837"/>
        <v>219.19010242366409</v>
      </c>
      <c r="AS574" s="1250">
        <f t="shared" si="837"/>
        <v>219.18698813841738</v>
      </c>
      <c r="AT574" s="1250">
        <f t="shared" si="837"/>
        <v>219.18404513885918</v>
      </c>
      <c r="AU574" s="1250">
        <f t="shared" si="837"/>
        <v>219.18126400427676</v>
      </c>
      <c r="AV574" s="1250">
        <f t="shared" si="837"/>
        <v>219.17863583209632</v>
      </c>
      <c r="AW574" s="1250">
        <f t="shared" si="837"/>
        <v>219.17615220938583</v>
      </c>
      <c r="AX574" s="1250">
        <f t="shared" si="837"/>
        <v>219.17380518592438</v>
      </c>
      <c r="AY574" s="1250">
        <f t="shared" si="837"/>
        <v>219.17158724875333</v>
      </c>
      <c r="AZ574" s="1250">
        <f t="shared" si="837"/>
        <v>219.16949129812673</v>
      </c>
      <c r="BA574" s="1251">
        <f t="shared" si="837"/>
        <v>219.16751062478451</v>
      </c>
    </row>
    <row r="575" spans="19:53" ht="20.100000000000001" customHeight="1">
      <c r="S575" s="1244" t="s">
        <v>87</v>
      </c>
      <c r="T575" s="1160"/>
      <c r="U575" s="1160"/>
      <c r="V575" s="1160"/>
      <c r="W575" s="1249" t="s">
        <v>3150</v>
      </c>
      <c r="X575" s="1250">
        <f t="shared" si="838"/>
        <v>178.09645114123117</v>
      </c>
      <c r="Y575" s="1250">
        <f t="shared" si="837"/>
        <v>178.73612448586996</v>
      </c>
      <c r="Z575" s="1250">
        <f t="shared" si="837"/>
        <v>178.73612448586996</v>
      </c>
      <c r="AA575" s="1250">
        <f t="shared" si="837"/>
        <v>178.83358405329778</v>
      </c>
      <c r="AB575" s="1250">
        <f t="shared" si="837"/>
        <v>178.83260945762351</v>
      </c>
      <c r="AC575" s="1250">
        <f t="shared" si="837"/>
        <v>178.83164460790596</v>
      </c>
      <c r="AD575" s="1250">
        <f t="shared" si="837"/>
        <v>178.83068940668562</v>
      </c>
      <c r="AE575" s="1250">
        <f t="shared" si="837"/>
        <v>178.82974375747744</v>
      </c>
      <c r="AF575" s="1250">
        <f t="shared" si="837"/>
        <v>178.82880756476135</v>
      </c>
      <c r="AG575" s="1250">
        <f t="shared" si="837"/>
        <v>178.82788073397245</v>
      </c>
      <c r="AH575" s="1250">
        <f t="shared" si="837"/>
        <v>178.82696317149146</v>
      </c>
      <c r="AI575" s="1250">
        <f t="shared" si="837"/>
        <v>178.82605478463523</v>
      </c>
      <c r="AJ575" s="1250">
        <f t="shared" si="837"/>
        <v>178.82515548164758</v>
      </c>
      <c r="AK575" s="1250">
        <f t="shared" si="837"/>
        <v>178.8202587768798</v>
      </c>
      <c r="AL575" s="1250">
        <f t="shared" si="837"/>
        <v>178.81563139087424</v>
      </c>
      <c r="AM575" s="1250">
        <f t="shared" si="837"/>
        <v>178.81125851109906</v>
      </c>
      <c r="AN575" s="1250">
        <f t="shared" si="837"/>
        <v>178.80712613971141</v>
      </c>
      <c r="AO575" s="1250">
        <f t="shared" si="837"/>
        <v>178.80322104875017</v>
      </c>
      <c r="AP575" s="1250">
        <f t="shared" si="837"/>
        <v>178.79953073779177</v>
      </c>
      <c r="AQ575" s="1250">
        <f t="shared" si="837"/>
        <v>178.79604339393603</v>
      </c>
      <c r="AR575" s="1250">
        <f t="shared" si="837"/>
        <v>178.79274785399238</v>
      </c>
      <c r="AS575" s="1250">
        <f t="shared" si="837"/>
        <v>178.78963356874567</v>
      </c>
      <c r="AT575" s="1250">
        <f t="shared" si="837"/>
        <v>178.7866905691875</v>
      </c>
      <c r="AU575" s="1250">
        <f t="shared" si="837"/>
        <v>178.78390943460505</v>
      </c>
      <c r="AV575" s="1250">
        <f t="shared" si="837"/>
        <v>178.78128126242461</v>
      </c>
      <c r="AW575" s="1250">
        <f t="shared" si="837"/>
        <v>178.77879763971413</v>
      </c>
      <c r="AX575" s="1250">
        <f t="shared" si="837"/>
        <v>178.7764506162527</v>
      </c>
      <c r="AY575" s="1250">
        <f t="shared" si="837"/>
        <v>178.77423267908162</v>
      </c>
      <c r="AZ575" s="1250">
        <f t="shared" si="837"/>
        <v>178.772136728455</v>
      </c>
      <c r="BA575" s="1251">
        <f t="shared" si="837"/>
        <v>178.77015605511281</v>
      </c>
    </row>
    <row r="576" spans="19:53" ht="20.100000000000001" customHeight="1">
      <c r="S576" s="1244" t="s">
        <v>88</v>
      </c>
      <c r="T576" s="1160"/>
      <c r="U576" s="1160"/>
      <c r="V576" s="1160"/>
      <c r="W576" s="1249" t="s">
        <v>3151</v>
      </c>
      <c r="X576" s="1250">
        <f t="shared" si="838"/>
        <v>153.94483556681934</v>
      </c>
      <c r="Y576" s="1250">
        <f t="shared" si="837"/>
        <v>154.49771174406698</v>
      </c>
      <c r="Z576" s="1250">
        <f t="shared" si="837"/>
        <v>154.49771174406698</v>
      </c>
      <c r="AA576" s="1250">
        <f t="shared" si="837"/>
        <v>154.59517131149477</v>
      </c>
      <c r="AB576" s="1250">
        <f t="shared" si="837"/>
        <v>154.59419671582049</v>
      </c>
      <c r="AC576" s="1250">
        <f t="shared" si="837"/>
        <v>154.59323186610294</v>
      </c>
      <c r="AD576" s="1250">
        <f t="shared" si="837"/>
        <v>154.5922766648826</v>
      </c>
      <c r="AE576" s="1250">
        <f t="shared" si="837"/>
        <v>154.59133101567446</v>
      </c>
      <c r="AF576" s="1250">
        <f t="shared" si="837"/>
        <v>154.59039482295836</v>
      </c>
      <c r="AG576" s="1250">
        <f t="shared" si="837"/>
        <v>154.58946799216946</v>
      </c>
      <c r="AH576" s="1250">
        <f t="shared" si="837"/>
        <v>154.58855042968847</v>
      </c>
      <c r="AI576" s="1250">
        <f t="shared" si="837"/>
        <v>154.58764204283221</v>
      </c>
      <c r="AJ576" s="1250">
        <f t="shared" si="837"/>
        <v>154.58674273984457</v>
      </c>
      <c r="AK576" s="1250">
        <f t="shared" si="837"/>
        <v>154.58184603507681</v>
      </c>
      <c r="AL576" s="1250">
        <f t="shared" si="837"/>
        <v>154.57721864907126</v>
      </c>
      <c r="AM576" s="1250">
        <f t="shared" si="837"/>
        <v>154.57284576929607</v>
      </c>
      <c r="AN576" s="1250">
        <f t="shared" si="837"/>
        <v>154.56871339790843</v>
      </c>
      <c r="AO576" s="1250">
        <f t="shared" si="837"/>
        <v>154.56480830694716</v>
      </c>
      <c r="AP576" s="1250">
        <f t="shared" si="837"/>
        <v>154.56111799598875</v>
      </c>
      <c r="AQ576" s="1250">
        <f t="shared" si="837"/>
        <v>154.55763065213304</v>
      </c>
      <c r="AR576" s="1250">
        <f t="shared" si="837"/>
        <v>154.55433511218939</v>
      </c>
      <c r="AS576" s="1250">
        <f t="shared" si="837"/>
        <v>154.55122082694268</v>
      </c>
      <c r="AT576" s="1250">
        <f t="shared" si="837"/>
        <v>154.54827782738448</v>
      </c>
      <c r="AU576" s="1250">
        <f t="shared" si="837"/>
        <v>154.54549669280206</v>
      </c>
      <c r="AV576" s="1250">
        <f t="shared" si="837"/>
        <v>154.54286852062162</v>
      </c>
      <c r="AW576" s="1250">
        <f t="shared" si="837"/>
        <v>154.54038489791114</v>
      </c>
      <c r="AX576" s="1250">
        <f t="shared" si="837"/>
        <v>154.53803787444969</v>
      </c>
      <c r="AY576" s="1250">
        <f t="shared" si="837"/>
        <v>154.53581993727863</v>
      </c>
      <c r="AZ576" s="1250">
        <f t="shared" si="837"/>
        <v>154.53372398665201</v>
      </c>
      <c r="BA576" s="1251">
        <f t="shared" si="837"/>
        <v>154.53174331330982</v>
      </c>
    </row>
    <row r="577" spans="19:53" ht="20.100000000000001" customHeight="1" thickBot="1">
      <c r="S577" s="1252" t="s">
        <v>3177</v>
      </c>
      <c r="T577" s="1335"/>
      <c r="U577" s="1253"/>
      <c r="V577" s="1253"/>
      <c r="W577" s="1278" t="s">
        <v>1202</v>
      </c>
      <c r="X577" s="1254">
        <f>(X295/100*X572)+(X296/100*X573)+(X297/100*X574)+(X298/100*X575)+(X299/100*X576)</f>
        <v>0</v>
      </c>
      <c r="Y577" s="1254">
        <f t="shared" ref="Y577:BA577" si="839">(Y295/100*Y572)+(Y296/100*Y573)+(Y297/100*Y574)+(Y298/100*Y575)+(Y299/100*Y576)</f>
        <v>0</v>
      </c>
      <c r="Z577" s="1254">
        <f t="shared" si="839"/>
        <v>233.27255315492673</v>
      </c>
      <c r="AA577" s="1254">
        <f t="shared" si="839"/>
        <v>233.37001272235455</v>
      </c>
      <c r="AB577" s="1254">
        <f t="shared" si="839"/>
        <v>233.36903812668027</v>
      </c>
      <c r="AC577" s="1254">
        <f t="shared" si="839"/>
        <v>233.36807327696272</v>
      </c>
      <c r="AD577" s="1254">
        <f t="shared" si="839"/>
        <v>233.36711807574235</v>
      </c>
      <c r="AE577" s="1254">
        <f t="shared" si="839"/>
        <v>233.36617242653423</v>
      </c>
      <c r="AF577" s="1254">
        <f t="shared" si="839"/>
        <v>233.36523623381811</v>
      </c>
      <c r="AG577" s="1254">
        <f t="shared" si="839"/>
        <v>224.77644926048427</v>
      </c>
      <c r="AH577" s="1254">
        <f t="shared" si="839"/>
        <v>218.34225260336518</v>
      </c>
      <c r="AI577" s="1254">
        <f t="shared" si="839"/>
        <v>213.34225492364158</v>
      </c>
      <c r="AJ577" s="1254">
        <f t="shared" si="839"/>
        <v>209.34501467953919</v>
      </c>
      <c r="AK577" s="1254">
        <f t="shared" si="839"/>
        <v>206.07236428592626</v>
      </c>
      <c r="AL577" s="1254">
        <f t="shared" si="839"/>
        <v>203.34593166550931</v>
      </c>
      <c r="AM577" s="1254">
        <f t="shared" si="839"/>
        <v>203.34150079839679</v>
      </c>
      <c r="AN577" s="1254">
        <f t="shared" si="839"/>
        <v>203.33730923141547</v>
      </c>
      <c r="AO577" s="1254">
        <f t="shared" si="839"/>
        <v>203.33334374469558</v>
      </c>
      <c r="AP577" s="1254">
        <f t="shared" si="839"/>
        <v>203.32966698149548</v>
      </c>
      <c r="AQ577" s="1254">
        <f t="shared" si="839"/>
        <v>203.32619170117087</v>
      </c>
      <c r="AR577" s="1254">
        <f t="shared" si="839"/>
        <v>203.32283334028477</v>
      </c>
      <c r="AS577" s="1254">
        <f t="shared" si="839"/>
        <v>203.31965506013418</v>
      </c>
      <c r="AT577" s="1254">
        <f t="shared" si="839"/>
        <v>203.31664689965771</v>
      </c>
      <c r="AU577" s="1254">
        <f t="shared" si="839"/>
        <v>203.31387383486114</v>
      </c>
      <c r="AV577" s="1254">
        <f t="shared" si="839"/>
        <v>203.31125228512155</v>
      </c>
      <c r="AW577" s="1254">
        <f t="shared" si="839"/>
        <v>203.30870116586581</v>
      </c>
      <c r="AX577" s="1254">
        <f t="shared" si="839"/>
        <v>203.30628550549429</v>
      </c>
      <c r="AY577" s="1254">
        <f t="shared" si="839"/>
        <v>203.30399779885087</v>
      </c>
      <c r="AZ577" s="1254">
        <f t="shared" si="839"/>
        <v>203.30183095396288</v>
      </c>
      <c r="BA577" s="1254">
        <f t="shared" si="839"/>
        <v>203.29985177159892</v>
      </c>
    </row>
    <row r="578" spans="19:53" ht="20.100000000000001" customHeight="1" thickBot="1"/>
    <row r="579" spans="19:53" ht="20.100000000000001" customHeight="1">
      <c r="S579" s="1240" t="s">
        <v>3155</v>
      </c>
      <c r="T579" s="1096" t="s">
        <v>2416</v>
      </c>
      <c r="U579" s="1241"/>
      <c r="V579" s="1284">
        <v>2019</v>
      </c>
      <c r="W579" s="1284">
        <v>2020</v>
      </c>
      <c r="X579" s="1284">
        <v>2021</v>
      </c>
      <c r="Y579" s="1284">
        <f>X579+1</f>
        <v>2022</v>
      </c>
      <c r="Z579" s="1284">
        <f t="shared" ref="Z579" si="840">Y579+1</f>
        <v>2023</v>
      </c>
      <c r="AA579" s="1284">
        <f t="shared" ref="AA579" si="841">Z579+1</f>
        <v>2024</v>
      </c>
      <c r="AB579" s="1284">
        <f t="shared" ref="AB579" si="842">AA579+1</f>
        <v>2025</v>
      </c>
      <c r="AC579" s="1284">
        <f t="shared" ref="AC579" si="843">AB579+1</f>
        <v>2026</v>
      </c>
      <c r="AD579" s="1284">
        <f t="shared" ref="AD579" si="844">AC579+1</f>
        <v>2027</v>
      </c>
      <c r="AE579" s="1284">
        <f t="shared" ref="AE579" si="845">AD579+1</f>
        <v>2028</v>
      </c>
      <c r="AF579" s="1284">
        <f t="shared" ref="AF579" si="846">AE579+1</f>
        <v>2029</v>
      </c>
      <c r="AG579" s="1284">
        <f t="shared" ref="AG579" si="847">AF579+1</f>
        <v>2030</v>
      </c>
      <c r="AH579" s="1284">
        <f t="shared" ref="AH579" si="848">AG579+1</f>
        <v>2031</v>
      </c>
      <c r="AI579" s="1284">
        <f t="shared" ref="AI579" si="849">AH579+1</f>
        <v>2032</v>
      </c>
      <c r="AJ579" s="1284">
        <f t="shared" ref="AJ579" si="850">AI579+1</f>
        <v>2033</v>
      </c>
      <c r="AK579" s="1284">
        <f t="shared" ref="AK579" si="851">AJ579+1</f>
        <v>2034</v>
      </c>
      <c r="AL579" s="1284">
        <f t="shared" ref="AL579" si="852">AK579+1</f>
        <v>2035</v>
      </c>
      <c r="AM579" s="1284">
        <f t="shared" ref="AM579" si="853">AL579+1</f>
        <v>2036</v>
      </c>
      <c r="AN579" s="1284">
        <f t="shared" ref="AN579" si="854">AM579+1</f>
        <v>2037</v>
      </c>
      <c r="AO579" s="1284">
        <f t="shared" ref="AO579" si="855">AN579+1</f>
        <v>2038</v>
      </c>
      <c r="AP579" s="1284">
        <f t="shared" ref="AP579" si="856">AO579+1</f>
        <v>2039</v>
      </c>
      <c r="AQ579" s="1284">
        <f t="shared" ref="AQ579" si="857">AP579+1</f>
        <v>2040</v>
      </c>
      <c r="AR579" s="1284">
        <f t="shared" ref="AR579" si="858">AQ579+1</f>
        <v>2041</v>
      </c>
      <c r="AS579" s="1284">
        <f t="shared" ref="AS579" si="859">AR579+1</f>
        <v>2042</v>
      </c>
      <c r="AT579" s="1284">
        <f t="shared" ref="AT579" si="860">AS579+1</f>
        <v>2043</v>
      </c>
      <c r="AU579" s="1284">
        <f t="shared" ref="AU579" si="861">AT579+1</f>
        <v>2044</v>
      </c>
      <c r="AV579" s="1284">
        <f t="shared" ref="AV579" si="862">AU579+1</f>
        <v>2045</v>
      </c>
      <c r="AW579" s="1284">
        <f t="shared" ref="AW579" si="863">AV579+1</f>
        <v>2046</v>
      </c>
      <c r="AX579" s="1284">
        <f t="shared" ref="AX579" si="864">AW579+1</f>
        <v>2047</v>
      </c>
      <c r="AY579" s="1284">
        <f t="shared" ref="AY579" si="865">AX579+1</f>
        <v>2048</v>
      </c>
      <c r="AZ579" s="1284">
        <f t="shared" ref="AZ579" si="866">AY579+1</f>
        <v>2049</v>
      </c>
      <c r="BA579" s="1279">
        <f t="shared" ref="BA579" si="867">AZ579+1</f>
        <v>2050</v>
      </c>
    </row>
    <row r="580" spans="19:53" ht="20.100000000000001" customHeight="1" thickBot="1">
      <c r="S580" s="1252" t="s">
        <v>3178</v>
      </c>
      <c r="T580" s="782" t="s">
        <v>3179</v>
      </c>
      <c r="U580" s="1280" t="s">
        <v>1204</v>
      </c>
      <c r="V580" s="1253"/>
      <c r="W580" s="1253"/>
      <c r="X580" s="1281">
        <f>X382/INDEX('DEFAULT DATA'!$AY$9:$AY$41,START!$C$3,1)*X577/1000</f>
        <v>0</v>
      </c>
      <c r="Y580" s="1281">
        <f>Y382/INDEX('DEFAULT DATA'!$AY$9:$AY$41,START!$C$3,1)*Y577/1000</f>
        <v>0</v>
      </c>
      <c r="Z580" s="1281">
        <f>Z382/INDEX('DEFAULT DATA'!$AY$9:$AY$41,START!$C$3,1)*Z577/1000</f>
        <v>825.67518175982059</v>
      </c>
      <c r="AA580" s="1281">
        <f>AA382/INDEX('DEFAULT DATA'!$AY$9:$AY$41,START!$C$3,1)*AA577/1000</f>
        <v>829.32422338612866</v>
      </c>
      <c r="AB580" s="1281">
        <f>AB382/INDEX('DEFAULT DATA'!$AY$9:$AY$41,START!$C$3,1)*AB577/1000</f>
        <v>763.25153943229077</v>
      </c>
      <c r="AC580" s="1281">
        <f>AC382/INDEX('DEFAULT DATA'!$AY$9:$AY$41,START!$C$3,1)*AC577/1000</f>
        <v>696.63761577429193</v>
      </c>
      <c r="AD580" s="1281">
        <f>AD382/INDEX('DEFAULT DATA'!$AY$9:$AY$41,START!$C$3,1)*AD577/1000</f>
        <v>629.47917307553598</v>
      </c>
      <c r="AE580" s="1281">
        <f>AE382/INDEX('DEFAULT DATA'!$AY$9:$AY$41,START!$C$3,1)*AE577/1000</f>
        <v>561.77291448179028</v>
      </c>
      <c r="AF580" s="1281">
        <f>AF382/INDEX('DEFAULT DATA'!$AY$9:$AY$41,START!$C$3,1)*AF577/1000</f>
        <v>493.51552553306277</v>
      </c>
      <c r="AG580" s="1281">
        <f>AG382/INDEX('DEFAULT DATA'!$AY$9:$AY$41,START!$C$3,1)*AG577/1000</f>
        <v>590.24736138543665</v>
      </c>
      <c r="AH580" s="1281">
        <f>AH382/INDEX('DEFAULT DATA'!$AY$9:$AY$41,START!$C$3,1)*AH577/1000</f>
        <v>706.59602981727267</v>
      </c>
      <c r="AI580" s="1281">
        <f>AI382/INDEX('DEFAULT DATA'!$AY$9:$AY$41,START!$C$3,1)*AI577/1000</f>
        <v>792.29468468963591</v>
      </c>
      <c r="AJ580" s="1281">
        <f>AJ382/INDEX('DEFAULT DATA'!$AY$9:$AY$41,START!$C$3,1)*AJ577/1000</f>
        <v>857.99740771201539</v>
      </c>
      <c r="AK580" s="1281">
        <f>AK382/INDEX('DEFAULT DATA'!$AY$9:$AY$41,START!$C$3,1)*AK577/1000</f>
        <v>909.9821669272244</v>
      </c>
      <c r="AL580" s="1281">
        <f>AL382/INDEX('DEFAULT DATA'!$AY$9:$AY$41,START!$C$3,1)*AL577/1000</f>
        <v>952.20584872046038</v>
      </c>
      <c r="AM580" s="1281">
        <f>AM382/INDEX('DEFAULT DATA'!$AY$9:$AY$41,START!$C$3,1)*AM577/1000</f>
        <v>954.09059055915463</v>
      </c>
      <c r="AN580" s="1281">
        <f>AN382/INDEX('DEFAULT DATA'!$AY$9:$AY$41,START!$C$3,1)*AN577/1000</f>
        <v>955.98021093389343</v>
      </c>
      <c r="AO580" s="1281">
        <f>AO382/INDEX('DEFAULT DATA'!$AY$9:$AY$41,START!$C$3,1)*AO577/1000</f>
        <v>957.87466168540163</v>
      </c>
      <c r="AP580" s="1281">
        <f>AP382/INDEX('DEFAULT DATA'!$AY$9:$AY$41,START!$C$3,1)*AP577/1000</f>
        <v>959.77279242542386</v>
      </c>
      <c r="AQ580" s="1281">
        <f>AQ382/INDEX('DEFAULT DATA'!$AY$9:$AY$41,START!$C$3,1)*AQ577/1000</f>
        <v>961.67566605194486</v>
      </c>
      <c r="AR580" s="1281">
        <f>AR382/INDEX('DEFAULT DATA'!$AY$9:$AY$41,START!$C$3,1)*AR577/1000</f>
        <v>963.58432695652402</v>
      </c>
      <c r="AS580" s="1281">
        <f>AS382/INDEX('DEFAULT DATA'!$AY$9:$AY$41,START!$C$3,1)*AS577/1000</f>
        <v>965.4976538510042</v>
      </c>
      <c r="AT580" s="1281">
        <f>AT382/INDEX('DEFAULT DATA'!$AY$9:$AY$41,START!$C$3,1)*AT577/1000</f>
        <v>967.41561197096883</v>
      </c>
      <c r="AU580" s="1281">
        <f>AU382/INDEX('DEFAULT DATA'!$AY$9:$AY$41,START!$C$3,1)*AU577/1000</f>
        <v>969.33706372970914</v>
      </c>
      <c r="AV580" s="1281">
        <f>AV382/INDEX('DEFAULT DATA'!$AY$9:$AY$41,START!$C$3,1)*AV577/1000</f>
        <v>971.26308391663292</v>
      </c>
      <c r="AW580" s="1281">
        <f>AW382/INDEX('DEFAULT DATA'!$AY$9:$AY$41,START!$C$3,1)*AW577/1000</f>
        <v>973.19472822163891</v>
      </c>
      <c r="AX580" s="1281">
        <f>AX382/INDEX('DEFAULT DATA'!$AY$9:$AY$41,START!$C$3,1)*AX577/1000</f>
        <v>975.13088623959118</v>
      </c>
      <c r="AY580" s="1281">
        <f>AY382/INDEX('DEFAULT DATA'!$AY$9:$AY$41,START!$C$3,1)*AY577/1000</f>
        <v>977.07153342121228</v>
      </c>
      <c r="AZ580" s="1281">
        <f>AZ382/INDEX('DEFAULT DATA'!$AY$9:$AY$41,START!$C$3,1)*AZ577/1000</f>
        <v>979.01664694896431</v>
      </c>
      <c r="BA580" s="1282">
        <f>BA382/INDEX('DEFAULT DATA'!$AY$9:$AY$41,START!$C$3,1)*BA577/1000</f>
        <v>980.96510065721577</v>
      </c>
    </row>
    <row r="583" spans="19:53" ht="20.100000000000001" customHeight="1" thickBot="1">
      <c r="S583" s="1322" t="s">
        <v>3180</v>
      </c>
      <c r="AH583" s="1329"/>
    </row>
    <row r="584" spans="19:53" ht="20.100000000000001" customHeight="1">
      <c r="S584" s="846"/>
      <c r="T584" s="1330" t="s">
        <v>3200</v>
      </c>
      <c r="U584" s="287"/>
      <c r="V584" s="287"/>
      <c r="W584" s="287"/>
      <c r="X584" s="847">
        <v>2021</v>
      </c>
      <c r="Y584" s="847">
        <f>X584+1</f>
        <v>2022</v>
      </c>
      <c r="Z584" s="847">
        <f t="shared" ref="Z584:BA584" si="868">Y584+1</f>
        <v>2023</v>
      </c>
      <c r="AA584" s="847">
        <f t="shared" si="868"/>
        <v>2024</v>
      </c>
      <c r="AB584" s="847">
        <f t="shared" si="868"/>
        <v>2025</v>
      </c>
      <c r="AC584" s="847">
        <f t="shared" si="868"/>
        <v>2026</v>
      </c>
      <c r="AD584" s="847">
        <f t="shared" si="868"/>
        <v>2027</v>
      </c>
      <c r="AE584" s="847">
        <f t="shared" si="868"/>
        <v>2028</v>
      </c>
      <c r="AF584" s="847">
        <f t="shared" si="868"/>
        <v>2029</v>
      </c>
      <c r="AG584" s="847">
        <f t="shared" si="868"/>
        <v>2030</v>
      </c>
      <c r="AH584" s="847">
        <f t="shared" si="868"/>
        <v>2031</v>
      </c>
      <c r="AI584" s="847">
        <f t="shared" si="868"/>
        <v>2032</v>
      </c>
      <c r="AJ584" s="847">
        <f t="shared" si="868"/>
        <v>2033</v>
      </c>
      <c r="AK584" s="847">
        <f t="shared" si="868"/>
        <v>2034</v>
      </c>
      <c r="AL584" s="847">
        <f t="shared" si="868"/>
        <v>2035</v>
      </c>
      <c r="AM584" s="847">
        <f t="shared" si="868"/>
        <v>2036</v>
      </c>
      <c r="AN584" s="847">
        <f t="shared" si="868"/>
        <v>2037</v>
      </c>
      <c r="AO584" s="847">
        <f t="shared" si="868"/>
        <v>2038</v>
      </c>
      <c r="AP584" s="847">
        <f t="shared" si="868"/>
        <v>2039</v>
      </c>
      <c r="AQ584" s="847">
        <f t="shared" si="868"/>
        <v>2040</v>
      </c>
      <c r="AR584" s="847">
        <f t="shared" si="868"/>
        <v>2041</v>
      </c>
      <c r="AS584" s="847">
        <f t="shared" si="868"/>
        <v>2042</v>
      </c>
      <c r="AT584" s="847">
        <f t="shared" si="868"/>
        <v>2043</v>
      </c>
      <c r="AU584" s="847">
        <f t="shared" si="868"/>
        <v>2044</v>
      </c>
      <c r="AV584" s="847">
        <f t="shared" si="868"/>
        <v>2045</v>
      </c>
      <c r="AW584" s="847">
        <f t="shared" si="868"/>
        <v>2046</v>
      </c>
      <c r="AX584" s="847">
        <f t="shared" si="868"/>
        <v>2047</v>
      </c>
      <c r="AY584" s="847">
        <f t="shared" si="868"/>
        <v>2048</v>
      </c>
      <c r="AZ584" s="847">
        <f t="shared" si="868"/>
        <v>2049</v>
      </c>
      <c r="BA584" s="848">
        <f t="shared" si="868"/>
        <v>2050</v>
      </c>
    </row>
    <row r="585" spans="19:53" ht="20.100000000000001" customHeight="1">
      <c r="S585" s="376" t="s">
        <v>3196</v>
      </c>
      <c r="T585" s="552"/>
      <c r="U585" s="280"/>
      <c r="V585" s="280"/>
      <c r="W585" s="280"/>
      <c r="X585" s="1124">
        <f t="shared" ref="X585:BA585" si="869">X5</f>
        <v>100.05590062111801</v>
      </c>
      <c r="Y585" s="1124">
        <f t="shared" si="869"/>
        <v>99.055341614906837</v>
      </c>
      <c r="Z585" s="1124">
        <f t="shared" si="869"/>
        <v>98.064788198757768</v>
      </c>
      <c r="AA585" s="1124">
        <f t="shared" si="869"/>
        <v>97.084140316770188</v>
      </c>
      <c r="AB585" s="1124">
        <f t="shared" si="869"/>
        <v>96.113298913602492</v>
      </c>
      <c r="AC585" s="1124">
        <f t="shared" si="869"/>
        <v>95.152165924466459</v>
      </c>
      <c r="AD585" s="1124">
        <f t="shared" si="869"/>
        <v>94.200644265221797</v>
      </c>
      <c r="AE585" s="1124">
        <f t="shared" si="869"/>
        <v>93.258637822569582</v>
      </c>
      <c r="AF585" s="1124">
        <f t="shared" si="869"/>
        <v>92.326051444343889</v>
      </c>
      <c r="AG585" s="1124">
        <f t="shared" si="869"/>
        <v>91.402790929900448</v>
      </c>
      <c r="AH585" s="1124">
        <f t="shared" si="869"/>
        <v>86.375637428755923</v>
      </c>
      <c r="AI585" s="1124">
        <f t="shared" si="869"/>
        <v>81.624977370174349</v>
      </c>
      <c r="AJ585" s="1124">
        <f t="shared" si="869"/>
        <v>77.135603614814755</v>
      </c>
      <c r="AK585" s="1124">
        <f t="shared" si="869"/>
        <v>72.893145415999939</v>
      </c>
      <c r="AL585" s="1124">
        <f t="shared" si="869"/>
        <v>68.88402241811994</v>
      </c>
      <c r="AM585" s="1124">
        <f t="shared" si="869"/>
        <v>65.095401185123336</v>
      </c>
      <c r="AN585" s="1124">
        <f t="shared" si="869"/>
        <v>61.515154119941549</v>
      </c>
      <c r="AO585" s="1124">
        <f t="shared" si="869"/>
        <v>58.13182064334476</v>
      </c>
      <c r="AP585" s="1124">
        <f t="shared" si="869"/>
        <v>54.934570507960792</v>
      </c>
      <c r="AQ585" s="1124">
        <f t="shared" si="869"/>
        <v>51.913169130022943</v>
      </c>
      <c r="AR585" s="1124">
        <f t="shared" si="869"/>
        <v>49.05794482787168</v>
      </c>
      <c r="AS585" s="1124">
        <f t="shared" si="869"/>
        <v>46.359757862338732</v>
      </c>
      <c r="AT585" s="1124">
        <f t="shared" si="869"/>
        <v>43.8099711799101</v>
      </c>
      <c r="AU585" s="1124">
        <f t="shared" si="869"/>
        <v>41.400422765015044</v>
      </c>
      <c r="AV585" s="1124">
        <f t="shared" si="869"/>
        <v>39.123399512939216</v>
      </c>
      <c r="AW585" s="1124">
        <f t="shared" si="869"/>
        <v>36.971612539727559</v>
      </c>
      <c r="AX585" s="1124">
        <f t="shared" si="869"/>
        <v>34.938173850042539</v>
      </c>
      <c r="AY585" s="1124">
        <f t="shared" si="869"/>
        <v>33.016574288290194</v>
      </c>
      <c r="AZ585" s="1124">
        <f t="shared" si="869"/>
        <v>31.200662702434233</v>
      </c>
      <c r="BA585" s="1331">
        <f t="shared" si="869"/>
        <v>29.48462625380035</v>
      </c>
    </row>
    <row r="586" spans="19:53" ht="20.100000000000001" customHeight="1">
      <c r="S586" s="241" t="s">
        <v>1255</v>
      </c>
      <c r="T586" s="552"/>
      <c r="U586" s="280"/>
      <c r="V586" s="280"/>
      <c r="W586" s="280"/>
      <c r="X586" s="1124">
        <f>IF(AND(X584&gt;($F$230+2020),X584&lt;($G$230+2022)),(INDEX($X$585:$BA$585,1,$F$230)-(100-$G$228)/100*INDEX($Y$585:$BA$585,1,$G$230))/($G$230-$F$230+1),0)</f>
        <v>0</v>
      </c>
      <c r="Y586" s="1124">
        <f t="shared" ref="Y586:BA586" si="870">IF(AND(Y584&gt;($F$230+2020),Y584&lt;($G$230+2022)),(INDEX($X$585:$BA$585,1,$F$230)-(100-$G$228)/100*INDEX($Y$585:$BA$585,1,$G$230))/($G$230-$F$230+1),0)</f>
        <v>0</v>
      </c>
      <c r="Z586" s="1124">
        <f t="shared" si="870"/>
        <v>0</v>
      </c>
      <c r="AA586" s="1124">
        <f t="shared" si="870"/>
        <v>0</v>
      </c>
      <c r="AB586" s="1124">
        <f t="shared" si="870"/>
        <v>3.7340053967988536</v>
      </c>
      <c r="AC586" s="1124">
        <f t="shared" si="870"/>
        <v>3.7340053967988536</v>
      </c>
      <c r="AD586" s="1124">
        <f t="shared" si="870"/>
        <v>3.7340053967988536</v>
      </c>
      <c r="AE586" s="1124">
        <f t="shared" si="870"/>
        <v>3.7340053967988536</v>
      </c>
      <c r="AF586" s="1124">
        <f t="shared" si="870"/>
        <v>3.7340053967988536</v>
      </c>
      <c r="AG586" s="1124">
        <f t="shared" si="870"/>
        <v>3.7340053967988536</v>
      </c>
      <c r="AH586" s="1124">
        <f t="shared" si="870"/>
        <v>3.7340053967988536</v>
      </c>
      <c r="AI586" s="1124">
        <f t="shared" si="870"/>
        <v>3.7340053967988536</v>
      </c>
      <c r="AJ586" s="1124">
        <f t="shared" si="870"/>
        <v>3.7340053967988536</v>
      </c>
      <c r="AK586" s="1124">
        <f t="shared" si="870"/>
        <v>3.7340053967988536</v>
      </c>
      <c r="AL586" s="1124">
        <f t="shared" si="870"/>
        <v>3.7340053967988536</v>
      </c>
      <c r="AM586" s="1124">
        <f t="shared" si="870"/>
        <v>3.7340053967988536</v>
      </c>
      <c r="AN586" s="1124">
        <f t="shared" si="870"/>
        <v>3.7340053967988536</v>
      </c>
      <c r="AO586" s="1124">
        <f t="shared" si="870"/>
        <v>3.7340053967988536</v>
      </c>
      <c r="AP586" s="1124">
        <f t="shared" si="870"/>
        <v>3.7340053967988536</v>
      </c>
      <c r="AQ586" s="1124">
        <f t="shared" si="870"/>
        <v>3.7340053967988536</v>
      </c>
      <c r="AR586" s="1124">
        <f t="shared" si="870"/>
        <v>3.7340053967988536</v>
      </c>
      <c r="AS586" s="1124">
        <f t="shared" si="870"/>
        <v>3.7340053967988536</v>
      </c>
      <c r="AT586" s="1124">
        <f t="shared" si="870"/>
        <v>3.7340053967988536</v>
      </c>
      <c r="AU586" s="1124">
        <f t="shared" si="870"/>
        <v>3.7340053967988536</v>
      </c>
      <c r="AV586" s="1124">
        <f t="shared" si="870"/>
        <v>3.7340053967988536</v>
      </c>
      <c r="AW586" s="1124">
        <f t="shared" si="870"/>
        <v>3.7340053967988536</v>
      </c>
      <c r="AX586" s="1124">
        <f t="shared" si="870"/>
        <v>3.7340053967988536</v>
      </c>
      <c r="AY586" s="1124">
        <f t="shared" si="870"/>
        <v>3.7340053967988536</v>
      </c>
      <c r="AZ586" s="1124">
        <f t="shared" si="870"/>
        <v>3.7340053967988536</v>
      </c>
      <c r="BA586" s="1331">
        <f t="shared" si="870"/>
        <v>3.7340053967988536</v>
      </c>
    </row>
    <row r="587" spans="19:53" ht="20.100000000000001" customHeight="1">
      <c r="S587" s="376" t="s">
        <v>3197</v>
      </c>
      <c r="T587" s="552"/>
      <c r="U587" s="280"/>
      <c r="V587" s="280"/>
      <c r="W587" s="280"/>
      <c r="X587" s="1124">
        <f>IF(AND(X584&gt;($F$230+2020),X584&lt;($G$230+2022)),X585-X586,X585)</f>
        <v>100.05590062111801</v>
      </c>
      <c r="Y587" s="1124">
        <f>IF(AND(Y584&gt;($F$230+2020),Y584&lt;($G$230+2022)),X587-Y586,X587*(Y585/X585))</f>
        <v>99.055341614906837</v>
      </c>
      <c r="Z587" s="1124">
        <f t="shared" ref="Z587:BA587" si="871">IF(AND(Z584&gt;($F$230+2020),Z584&lt;($G$230+2022)),Y587-Z586,Y587*(Z585/Y585))</f>
        <v>98.064788198757768</v>
      </c>
      <c r="AA587" s="1124">
        <f t="shared" si="871"/>
        <v>97.084140316770188</v>
      </c>
      <c r="AB587" s="1124">
        <f t="shared" si="871"/>
        <v>93.350134919971339</v>
      </c>
      <c r="AC587" s="1124">
        <f t="shared" si="871"/>
        <v>89.616129523172489</v>
      </c>
      <c r="AD587" s="1124">
        <f t="shared" si="871"/>
        <v>85.88212412637364</v>
      </c>
      <c r="AE587" s="1124">
        <f t="shared" si="871"/>
        <v>82.14811872957479</v>
      </c>
      <c r="AF587" s="1124">
        <f t="shared" si="871"/>
        <v>78.414113332775941</v>
      </c>
      <c r="AG587" s="1124">
        <f t="shared" si="871"/>
        <v>74.680107935977091</v>
      </c>
      <c r="AH587" s="1124">
        <f t="shared" si="871"/>
        <v>70.946102539178241</v>
      </c>
      <c r="AI587" s="1124">
        <f t="shared" si="871"/>
        <v>67.212097142379392</v>
      </c>
      <c r="AJ587" s="1124">
        <f t="shared" si="871"/>
        <v>63.478091745580535</v>
      </c>
      <c r="AK587" s="1124">
        <f t="shared" si="871"/>
        <v>59.744086348781678</v>
      </c>
      <c r="AL587" s="1124">
        <f t="shared" si="871"/>
        <v>56.010080951982822</v>
      </c>
      <c r="AM587" s="1124">
        <f t="shared" si="871"/>
        <v>52.276075555183965</v>
      </c>
      <c r="AN587" s="1124">
        <f t="shared" si="871"/>
        <v>48.542070158385108</v>
      </c>
      <c r="AO587" s="1124">
        <f t="shared" si="871"/>
        <v>44.808064761586252</v>
      </c>
      <c r="AP587" s="1124">
        <f t="shared" si="871"/>
        <v>41.074059364787395</v>
      </c>
      <c r="AQ587" s="1124">
        <f t="shared" si="871"/>
        <v>37.340053967988538</v>
      </c>
      <c r="AR587" s="1124">
        <f t="shared" si="871"/>
        <v>33.606048571189682</v>
      </c>
      <c r="AS587" s="1124">
        <f t="shared" si="871"/>
        <v>29.872043174390829</v>
      </c>
      <c r="AT587" s="1124">
        <f t="shared" si="871"/>
        <v>26.138037777591975</v>
      </c>
      <c r="AU587" s="1124">
        <f t="shared" si="871"/>
        <v>22.404032380793122</v>
      </c>
      <c r="AV587" s="1124">
        <f t="shared" si="871"/>
        <v>18.670026983994269</v>
      </c>
      <c r="AW587" s="1124">
        <f t="shared" si="871"/>
        <v>14.936021587195416</v>
      </c>
      <c r="AX587" s="1124">
        <f t="shared" si="871"/>
        <v>11.202016190396563</v>
      </c>
      <c r="AY587" s="1124">
        <f t="shared" si="871"/>
        <v>7.4680107935977098</v>
      </c>
      <c r="AZ587" s="1124">
        <f t="shared" si="871"/>
        <v>3.7340053967988562</v>
      </c>
      <c r="BA587" s="1331">
        <f t="shared" si="871"/>
        <v>2.6645352591003757E-15</v>
      </c>
    </row>
    <row r="588" spans="19:53" ht="20.100000000000001" customHeight="1" thickBot="1">
      <c r="S588" s="470" t="s">
        <v>3198</v>
      </c>
      <c r="T588" s="782" t="s">
        <v>3199</v>
      </c>
      <c r="U588" s="288"/>
      <c r="V588" s="288"/>
      <c r="W588" s="288"/>
      <c r="X588" s="1332">
        <f>$H$228/100*X587+(100-$H$228)/100*X585</f>
        <v>100.05590062111801</v>
      </c>
      <c r="Y588" s="1332">
        <f t="shared" ref="Y588:BA588" si="872">$H$228/100*Y587+(100-$H$228)/100*Y585</f>
        <v>99.055341614906837</v>
      </c>
      <c r="Z588" s="1332">
        <f t="shared" si="872"/>
        <v>98.064788198757768</v>
      </c>
      <c r="AA588" s="1332">
        <f t="shared" si="872"/>
        <v>97.084140316770188</v>
      </c>
      <c r="AB588" s="1332">
        <f t="shared" si="872"/>
        <v>96.113298913602492</v>
      </c>
      <c r="AC588" s="1332">
        <f t="shared" si="872"/>
        <v>95.152165924466459</v>
      </c>
      <c r="AD588" s="1332">
        <f t="shared" si="872"/>
        <v>94.200644265221797</v>
      </c>
      <c r="AE588" s="1332">
        <f t="shared" si="872"/>
        <v>93.258637822569582</v>
      </c>
      <c r="AF588" s="1332">
        <f t="shared" si="872"/>
        <v>92.326051444343889</v>
      </c>
      <c r="AG588" s="1332">
        <f t="shared" si="872"/>
        <v>91.402790929900448</v>
      </c>
      <c r="AH588" s="1332">
        <f t="shared" si="872"/>
        <v>86.375637428755923</v>
      </c>
      <c r="AI588" s="1332">
        <f t="shared" si="872"/>
        <v>81.624977370174349</v>
      </c>
      <c r="AJ588" s="1332">
        <f t="shared" si="872"/>
        <v>77.135603614814755</v>
      </c>
      <c r="AK588" s="1332">
        <f t="shared" si="872"/>
        <v>72.893145415999939</v>
      </c>
      <c r="AL588" s="1332">
        <f t="shared" si="872"/>
        <v>68.88402241811994</v>
      </c>
      <c r="AM588" s="1332">
        <f t="shared" si="872"/>
        <v>65.095401185123336</v>
      </c>
      <c r="AN588" s="1332">
        <f t="shared" si="872"/>
        <v>61.515154119941549</v>
      </c>
      <c r="AO588" s="1332">
        <f t="shared" si="872"/>
        <v>58.13182064334476</v>
      </c>
      <c r="AP588" s="1332">
        <f t="shared" si="872"/>
        <v>54.934570507960792</v>
      </c>
      <c r="AQ588" s="1332">
        <f t="shared" si="872"/>
        <v>51.913169130022943</v>
      </c>
      <c r="AR588" s="1332">
        <f t="shared" si="872"/>
        <v>49.05794482787168</v>
      </c>
      <c r="AS588" s="1332">
        <f t="shared" si="872"/>
        <v>46.359757862338732</v>
      </c>
      <c r="AT588" s="1332">
        <f t="shared" si="872"/>
        <v>43.8099711799101</v>
      </c>
      <c r="AU588" s="1332">
        <f t="shared" si="872"/>
        <v>41.400422765015044</v>
      </c>
      <c r="AV588" s="1332">
        <f t="shared" si="872"/>
        <v>39.123399512939216</v>
      </c>
      <c r="AW588" s="1332">
        <f t="shared" si="872"/>
        <v>36.971612539727559</v>
      </c>
      <c r="AX588" s="1332">
        <f t="shared" si="872"/>
        <v>34.938173850042539</v>
      </c>
      <c r="AY588" s="1332">
        <f t="shared" si="872"/>
        <v>33.016574288290194</v>
      </c>
      <c r="AZ588" s="1332">
        <f t="shared" si="872"/>
        <v>31.200662702434233</v>
      </c>
      <c r="BA588" s="1333">
        <f t="shared" si="872"/>
        <v>29.48462625380035</v>
      </c>
    </row>
    <row r="593" spans="19:53" ht="20.100000000000001" customHeight="1" thickBot="1">
      <c r="S593" s="1322" t="s">
        <v>3070</v>
      </c>
    </row>
    <row r="594" spans="19:53" ht="20.100000000000001" customHeight="1">
      <c r="S594" s="872" t="s">
        <v>3064</v>
      </c>
      <c r="T594" s="367"/>
      <c r="U594" s="367"/>
      <c r="V594" s="1293">
        <v>2019</v>
      </c>
      <c r="W594" s="1293">
        <v>2020</v>
      </c>
      <c r="X594" s="1293">
        <v>2021</v>
      </c>
      <c r="Y594" s="1293">
        <f>X594+1</f>
        <v>2022</v>
      </c>
      <c r="Z594" s="1293">
        <f t="shared" ref="Z594" si="873">Y594+1</f>
        <v>2023</v>
      </c>
      <c r="AA594" s="1293">
        <f t="shared" ref="AA594" si="874">Z594+1</f>
        <v>2024</v>
      </c>
      <c r="AB594" s="1293">
        <f t="shared" ref="AB594" si="875">AA594+1</f>
        <v>2025</v>
      </c>
      <c r="AC594" s="1293">
        <f t="shared" ref="AC594" si="876">AB594+1</f>
        <v>2026</v>
      </c>
      <c r="AD594" s="1293">
        <f t="shared" ref="AD594" si="877">AC594+1</f>
        <v>2027</v>
      </c>
      <c r="AE594" s="1293">
        <f t="shared" ref="AE594" si="878">AD594+1</f>
        <v>2028</v>
      </c>
      <c r="AF594" s="1293">
        <f t="shared" ref="AF594" si="879">AE594+1</f>
        <v>2029</v>
      </c>
      <c r="AG594" s="1293">
        <f t="shared" ref="AG594" si="880">AF594+1</f>
        <v>2030</v>
      </c>
      <c r="AH594" s="1293">
        <f t="shared" ref="AH594" si="881">AG594+1</f>
        <v>2031</v>
      </c>
      <c r="AI594" s="1293">
        <f t="shared" ref="AI594" si="882">AH594+1</f>
        <v>2032</v>
      </c>
      <c r="AJ594" s="1293">
        <f t="shared" ref="AJ594" si="883">AI594+1</f>
        <v>2033</v>
      </c>
      <c r="AK594" s="1293">
        <f t="shared" ref="AK594" si="884">AJ594+1</f>
        <v>2034</v>
      </c>
      <c r="AL594" s="1293">
        <f t="shared" ref="AL594" si="885">AK594+1</f>
        <v>2035</v>
      </c>
      <c r="AM594" s="1293">
        <f t="shared" ref="AM594" si="886">AL594+1</f>
        <v>2036</v>
      </c>
      <c r="AN594" s="1293">
        <f t="shared" ref="AN594" si="887">AM594+1</f>
        <v>2037</v>
      </c>
      <c r="AO594" s="1293">
        <f t="shared" ref="AO594" si="888">AN594+1</f>
        <v>2038</v>
      </c>
      <c r="AP594" s="1293">
        <f t="shared" ref="AP594" si="889">AO594+1</f>
        <v>2039</v>
      </c>
      <c r="AQ594" s="1293">
        <f t="shared" ref="AQ594" si="890">AP594+1</f>
        <v>2040</v>
      </c>
      <c r="AR594" s="1293">
        <f t="shared" ref="AR594" si="891">AQ594+1</f>
        <v>2041</v>
      </c>
      <c r="AS594" s="1293">
        <f t="shared" ref="AS594" si="892">AR594+1</f>
        <v>2042</v>
      </c>
      <c r="AT594" s="1293">
        <f t="shared" ref="AT594" si="893">AS594+1</f>
        <v>2043</v>
      </c>
      <c r="AU594" s="1293">
        <f t="shared" ref="AU594" si="894">AT594+1</f>
        <v>2044</v>
      </c>
      <c r="AV594" s="1293">
        <f t="shared" ref="AV594" si="895">AU594+1</f>
        <v>2045</v>
      </c>
      <c r="AW594" s="1293">
        <f t="shared" ref="AW594" si="896">AV594+1</f>
        <v>2046</v>
      </c>
      <c r="AX594" s="1293">
        <f t="shared" ref="AX594" si="897">AW594+1</f>
        <v>2047</v>
      </c>
      <c r="AY594" s="1293">
        <f t="shared" ref="AY594" si="898">AX594+1</f>
        <v>2048</v>
      </c>
      <c r="AZ594" s="1293">
        <f t="shared" ref="AZ594" si="899">AY594+1</f>
        <v>2049</v>
      </c>
      <c r="BA594" s="318">
        <f t="shared" ref="BA594" si="900">AZ594+1</f>
        <v>2050</v>
      </c>
    </row>
    <row r="595" spans="19:53" ht="20.100000000000001" customHeight="1">
      <c r="S595" s="844" t="s">
        <v>2949</v>
      </c>
      <c r="T595" s="787" t="s">
        <v>2963</v>
      </c>
      <c r="U595" s="366"/>
      <c r="V595" s="366"/>
      <c r="W595" s="366"/>
      <c r="X595" s="360">
        <f t="shared" ref="X595:BA595" si="901">X476</f>
        <v>0</v>
      </c>
      <c r="Y595" s="360">
        <f t="shared" si="901"/>
        <v>0</v>
      </c>
      <c r="Z595" s="360">
        <f t="shared" si="901"/>
        <v>98.329173658390388</v>
      </c>
      <c r="AA595" s="360">
        <f t="shared" si="901"/>
        <v>98.575305536076399</v>
      </c>
      <c r="AB595" s="360">
        <f t="shared" si="901"/>
        <v>90.586663237110386</v>
      </c>
      <c r="AC595" s="360">
        <f t="shared" si="901"/>
        <v>82.476154601717383</v>
      </c>
      <c r="AD595" s="360">
        <f t="shared" si="901"/>
        <v>74.340238102230771</v>
      </c>
      <c r="AE595" s="360">
        <f t="shared" si="901"/>
        <v>66.179075295702077</v>
      </c>
      <c r="AF595" s="360">
        <f t="shared" si="901"/>
        <v>57.992826819418696</v>
      </c>
      <c r="AG595" s="360">
        <f t="shared" si="901"/>
        <v>43.533205487479215</v>
      </c>
      <c r="AH595" s="360">
        <f t="shared" si="901"/>
        <v>39.18402984540031</v>
      </c>
      <c r="AI595" s="360">
        <f t="shared" si="901"/>
        <v>35.951022714515126</v>
      </c>
      <c r="AJ595" s="360">
        <f t="shared" si="901"/>
        <v>33.460690419773215</v>
      </c>
      <c r="AK595" s="360">
        <f t="shared" si="901"/>
        <v>31.488201006956754</v>
      </c>
      <c r="AL595" s="360">
        <f t="shared" si="901"/>
        <v>29.890468786599151</v>
      </c>
      <c r="AM595" s="360">
        <f t="shared" si="901"/>
        <v>29.960053349550783</v>
      </c>
      <c r="AN595" s="360">
        <f t="shared" si="901"/>
        <v>30.029730508779299</v>
      </c>
      <c r="AO595" s="360">
        <f t="shared" si="901"/>
        <v>30.099511754962901</v>
      </c>
      <c r="AP595" s="360">
        <f t="shared" si="901"/>
        <v>30.169453641874004</v>
      </c>
      <c r="AQ595" s="360">
        <f t="shared" si="901"/>
        <v>30.239519739247363</v>
      </c>
      <c r="AR595" s="360">
        <f t="shared" si="901"/>
        <v>30.315104996213506</v>
      </c>
      <c r="AS595" s="360">
        <f t="shared" si="901"/>
        <v>30.39094392487717</v>
      </c>
      <c r="AT595" s="360">
        <f t="shared" si="901"/>
        <v>30.467037987748164</v>
      </c>
      <c r="AU595" s="360">
        <f t="shared" si="901"/>
        <v>30.543434556201493</v>
      </c>
      <c r="AV595" s="360">
        <f t="shared" si="901"/>
        <v>30.620088488147335</v>
      </c>
      <c r="AW595" s="360">
        <f t="shared" si="901"/>
        <v>30.691260025030818</v>
      </c>
      <c r="AX595" s="360">
        <f t="shared" si="901"/>
        <v>30.762594691048339</v>
      </c>
      <c r="AY595" s="360">
        <f t="shared" si="901"/>
        <v>30.834097263166175</v>
      </c>
      <c r="AZ595" s="360">
        <f t="shared" si="901"/>
        <v>30.905772049305611</v>
      </c>
      <c r="BA595" s="1070">
        <f t="shared" si="901"/>
        <v>30.977669195842413</v>
      </c>
    </row>
    <row r="596" spans="19:53" ht="20.100000000000001" customHeight="1">
      <c r="S596" s="844" t="s">
        <v>2950</v>
      </c>
      <c r="T596" s="787" t="s">
        <v>2963</v>
      </c>
      <c r="U596" s="366"/>
      <c r="V596" s="366"/>
      <c r="W596" s="366"/>
      <c r="X596" s="360">
        <f t="shared" ref="X596:BA596" si="902">X580</f>
        <v>0</v>
      </c>
      <c r="Y596" s="360">
        <f t="shared" si="902"/>
        <v>0</v>
      </c>
      <c r="Z596" s="360">
        <f t="shared" si="902"/>
        <v>825.67518175982059</v>
      </c>
      <c r="AA596" s="360">
        <f t="shared" si="902"/>
        <v>829.32422338612866</v>
      </c>
      <c r="AB596" s="360">
        <f t="shared" si="902"/>
        <v>763.25153943229077</v>
      </c>
      <c r="AC596" s="360">
        <f t="shared" si="902"/>
        <v>696.63761577429193</v>
      </c>
      <c r="AD596" s="360">
        <f t="shared" si="902"/>
        <v>629.47917307553598</v>
      </c>
      <c r="AE596" s="360">
        <f t="shared" si="902"/>
        <v>561.77291448179028</v>
      </c>
      <c r="AF596" s="360">
        <f t="shared" si="902"/>
        <v>493.51552553306277</v>
      </c>
      <c r="AG596" s="360">
        <f t="shared" si="902"/>
        <v>590.24736138543665</v>
      </c>
      <c r="AH596" s="360">
        <f t="shared" si="902"/>
        <v>706.59602981727267</v>
      </c>
      <c r="AI596" s="360">
        <f t="shared" si="902"/>
        <v>792.29468468963591</v>
      </c>
      <c r="AJ596" s="360">
        <f t="shared" si="902"/>
        <v>857.99740771201539</v>
      </c>
      <c r="AK596" s="360">
        <f t="shared" si="902"/>
        <v>909.9821669272244</v>
      </c>
      <c r="AL596" s="360">
        <f t="shared" si="902"/>
        <v>952.20584872046038</v>
      </c>
      <c r="AM596" s="360">
        <f t="shared" si="902"/>
        <v>954.09059055915463</v>
      </c>
      <c r="AN596" s="360">
        <f t="shared" si="902"/>
        <v>955.98021093389343</v>
      </c>
      <c r="AO596" s="360">
        <f t="shared" si="902"/>
        <v>957.87466168540163</v>
      </c>
      <c r="AP596" s="360">
        <f t="shared" si="902"/>
        <v>959.77279242542386</v>
      </c>
      <c r="AQ596" s="360">
        <f t="shared" si="902"/>
        <v>961.67566605194486</v>
      </c>
      <c r="AR596" s="360">
        <f t="shared" si="902"/>
        <v>963.58432695652402</v>
      </c>
      <c r="AS596" s="360">
        <f t="shared" si="902"/>
        <v>965.4976538510042</v>
      </c>
      <c r="AT596" s="360">
        <f t="shared" si="902"/>
        <v>967.41561197096883</v>
      </c>
      <c r="AU596" s="360">
        <f t="shared" si="902"/>
        <v>969.33706372970914</v>
      </c>
      <c r="AV596" s="360">
        <f t="shared" si="902"/>
        <v>971.26308391663292</v>
      </c>
      <c r="AW596" s="360">
        <f t="shared" si="902"/>
        <v>973.19472822163891</v>
      </c>
      <c r="AX596" s="360">
        <f t="shared" si="902"/>
        <v>975.13088623959118</v>
      </c>
      <c r="AY596" s="360">
        <f t="shared" si="902"/>
        <v>977.07153342121228</v>
      </c>
      <c r="AZ596" s="360">
        <f t="shared" si="902"/>
        <v>979.01664694896431</v>
      </c>
      <c r="BA596" s="1070">
        <f t="shared" si="902"/>
        <v>980.96510065721577</v>
      </c>
    </row>
    <row r="597" spans="19:53" ht="20.100000000000001" customHeight="1">
      <c r="S597" s="844" t="s">
        <v>2733</v>
      </c>
      <c r="T597" s="787" t="s">
        <v>2962</v>
      </c>
      <c r="U597" s="366"/>
      <c r="V597" s="360">
        <f t="shared" ref="V597:BA597" si="903">V179*V256</f>
        <v>0</v>
      </c>
      <c r="W597" s="360">
        <f t="shared" si="903"/>
        <v>0</v>
      </c>
      <c r="X597" s="360">
        <f t="shared" si="903"/>
        <v>0</v>
      </c>
      <c r="Y597" s="360">
        <f t="shared" si="903"/>
        <v>0</v>
      </c>
      <c r="Z597" s="360">
        <f t="shared" si="903"/>
        <v>0</v>
      </c>
      <c r="AA597" s="360">
        <f t="shared" si="903"/>
        <v>0</v>
      </c>
      <c r="AB597" s="360">
        <f t="shared" si="903"/>
        <v>0</v>
      </c>
      <c r="AC597" s="360">
        <f t="shared" si="903"/>
        <v>0</v>
      </c>
      <c r="AD597" s="360">
        <f t="shared" si="903"/>
        <v>0</v>
      </c>
      <c r="AE597" s="360">
        <f t="shared" si="903"/>
        <v>0</v>
      </c>
      <c r="AF597" s="360">
        <f t="shared" si="903"/>
        <v>0</v>
      </c>
      <c r="AG597" s="360">
        <f t="shared" si="903"/>
        <v>0</v>
      </c>
      <c r="AH597" s="360">
        <f t="shared" si="903"/>
        <v>0</v>
      </c>
      <c r="AI597" s="360">
        <f t="shared" si="903"/>
        <v>0</v>
      </c>
      <c r="AJ597" s="360">
        <f t="shared" si="903"/>
        <v>0</v>
      </c>
      <c r="AK597" s="360">
        <f t="shared" si="903"/>
        <v>0</v>
      </c>
      <c r="AL597" s="360">
        <f t="shared" si="903"/>
        <v>0</v>
      </c>
      <c r="AM597" s="360">
        <f t="shared" si="903"/>
        <v>0</v>
      </c>
      <c r="AN597" s="360">
        <f t="shared" si="903"/>
        <v>0</v>
      </c>
      <c r="AO597" s="360">
        <f t="shared" si="903"/>
        <v>0</v>
      </c>
      <c r="AP597" s="360">
        <f t="shared" si="903"/>
        <v>0</v>
      </c>
      <c r="AQ597" s="360">
        <f t="shared" si="903"/>
        <v>0</v>
      </c>
      <c r="AR597" s="360">
        <f t="shared" si="903"/>
        <v>0</v>
      </c>
      <c r="AS597" s="360">
        <f t="shared" si="903"/>
        <v>0</v>
      </c>
      <c r="AT597" s="360">
        <f t="shared" si="903"/>
        <v>0</v>
      </c>
      <c r="AU597" s="360">
        <f t="shared" si="903"/>
        <v>0</v>
      </c>
      <c r="AV597" s="360">
        <f t="shared" si="903"/>
        <v>0</v>
      </c>
      <c r="AW597" s="360">
        <f t="shared" si="903"/>
        <v>0</v>
      </c>
      <c r="AX597" s="360">
        <f t="shared" si="903"/>
        <v>0</v>
      </c>
      <c r="AY597" s="360">
        <f t="shared" si="903"/>
        <v>0</v>
      </c>
      <c r="AZ597" s="360">
        <f t="shared" si="903"/>
        <v>0</v>
      </c>
      <c r="BA597" s="1070">
        <f t="shared" si="903"/>
        <v>0</v>
      </c>
    </row>
    <row r="598" spans="19:53" ht="20.100000000000001" customHeight="1">
      <c r="S598" s="844" t="s">
        <v>2869</v>
      </c>
      <c r="T598" s="787" t="s">
        <v>2962</v>
      </c>
      <c r="U598" s="366"/>
      <c r="V598" s="360">
        <f t="shared" ref="V598:BA598" si="904">V180*V257</f>
        <v>0</v>
      </c>
      <c r="W598" s="360">
        <f t="shared" si="904"/>
        <v>0</v>
      </c>
      <c r="X598" s="360">
        <f t="shared" si="904"/>
        <v>0</v>
      </c>
      <c r="Y598" s="360">
        <f t="shared" si="904"/>
        <v>0</v>
      </c>
      <c r="Z598" s="360">
        <f t="shared" si="904"/>
        <v>4.6755635107838228E-2</v>
      </c>
      <c r="AA598" s="360">
        <f t="shared" si="904"/>
        <v>4.6564356570074468E-2</v>
      </c>
      <c r="AB598" s="360">
        <f t="shared" si="904"/>
        <v>4.6373831459038693E-2</v>
      </c>
      <c r="AC598" s="360">
        <f t="shared" si="904"/>
        <v>4.6184063055613574E-2</v>
      </c>
      <c r="AD598" s="360">
        <f t="shared" si="904"/>
        <v>4.5995054461725533E-2</v>
      </c>
      <c r="AE598" s="360">
        <f t="shared" si="904"/>
        <v>4.5806808603978615E-2</v>
      </c>
      <c r="AF598" s="360">
        <f t="shared" si="904"/>
        <v>4.5619328237246369E-2</v>
      </c>
      <c r="AG598" s="360">
        <f t="shared" si="904"/>
        <v>4.5432615948221865E-2</v>
      </c>
      <c r="AH598" s="360">
        <f t="shared" si="904"/>
        <v>4.3233704235268407E-2</v>
      </c>
      <c r="AI598" s="360">
        <f t="shared" si="904"/>
        <v>4.114117967818845E-2</v>
      </c>
      <c r="AJ598" s="360">
        <f t="shared" si="904"/>
        <v>3.9149897497863469E-2</v>
      </c>
      <c r="AK598" s="360">
        <f t="shared" si="904"/>
        <v>3.7254961566352593E-2</v>
      </c>
      <c r="AL598" s="360">
        <f t="shared" si="904"/>
        <v>3.5451886265204055E-2</v>
      </c>
      <c r="AM598" s="360">
        <f t="shared" si="904"/>
        <v>3.3736045961672644E-2</v>
      </c>
      <c r="AN598" s="360">
        <f t="shared" si="904"/>
        <v>3.2103222036672992E-2</v>
      </c>
      <c r="AO598" s="360">
        <f t="shared" si="904"/>
        <v>3.0549399764667171E-2</v>
      </c>
      <c r="AP598" s="360">
        <f t="shared" si="904"/>
        <v>2.9070758465930713E-2</v>
      </c>
      <c r="AQ598" s="360">
        <f t="shared" si="904"/>
        <v>2.7663662134054991E-2</v>
      </c>
      <c r="AR598" s="360">
        <f t="shared" si="904"/>
        <v>2.6324778080553297E-2</v>
      </c>
      <c r="AS598" s="360">
        <f t="shared" si="904"/>
        <v>2.5050672916648375E-2</v>
      </c>
      <c r="AT598" s="360">
        <f t="shared" si="904"/>
        <v>2.3838213804008399E-2</v>
      </c>
      <c r="AU598" s="360">
        <f t="shared" si="904"/>
        <v>2.2684419333159844E-2</v>
      </c>
      <c r="AV598" s="360">
        <f t="shared" si="904"/>
        <v>2.1586452208848188E-2</v>
      </c>
      <c r="AW598" s="360">
        <f t="shared" si="904"/>
        <v>2.0541612288446077E-2</v>
      </c>
      <c r="AX598" s="360">
        <f t="shared" si="904"/>
        <v>1.9547423549212153E-2</v>
      </c>
      <c r="AY598" s="360">
        <f t="shared" si="904"/>
        <v>1.8601337587728434E-2</v>
      </c>
      <c r="AZ598" s="360">
        <f t="shared" si="904"/>
        <v>1.7701027939830569E-2</v>
      </c>
      <c r="BA598" s="1070">
        <f t="shared" si="904"/>
        <v>1.6844280602099897E-2</v>
      </c>
    </row>
    <row r="599" spans="19:53" ht="20.100000000000001" customHeight="1">
      <c r="S599" s="844" t="s">
        <v>2951</v>
      </c>
      <c r="T599" s="787" t="s">
        <v>2963</v>
      </c>
      <c r="U599" s="366"/>
      <c r="V599" s="360">
        <f t="shared" ref="V599:BA599" si="905">V181*V258</f>
        <v>0</v>
      </c>
      <c r="W599" s="360">
        <f t="shared" si="905"/>
        <v>0</v>
      </c>
      <c r="X599" s="360">
        <f t="shared" si="905"/>
        <v>0</v>
      </c>
      <c r="Y599" s="360">
        <f t="shared" si="905"/>
        <v>0</v>
      </c>
      <c r="Z599" s="360">
        <f t="shared" si="905"/>
        <v>11.559267102288691</v>
      </c>
      <c r="AA599" s="360">
        <f t="shared" si="905"/>
        <v>11.583582459554682</v>
      </c>
      <c r="AB599" s="360">
        <f t="shared" si="905"/>
        <v>11.608073761193632</v>
      </c>
      <c r="AC599" s="360">
        <f t="shared" si="905"/>
        <v>11.632742861136789</v>
      </c>
      <c r="AD599" s="360">
        <f t="shared" si="905"/>
        <v>11.65759163363615</v>
      </c>
      <c r="AE599" s="360">
        <f t="shared" si="905"/>
        <v>11.682621973487915</v>
      </c>
      <c r="AF599" s="360">
        <f t="shared" si="905"/>
        <v>11.707835796258429</v>
      </c>
      <c r="AG599" s="360">
        <f t="shared" si="905"/>
        <v>10.646826012732962</v>
      </c>
      <c r="AH599" s="360">
        <f t="shared" si="905"/>
        <v>9.4454627479465909</v>
      </c>
      <c r="AI599" s="360">
        <f t="shared" si="905"/>
        <v>8.4928244356500979</v>
      </c>
      <c r="AJ599" s="360">
        <f t="shared" si="905"/>
        <v>7.7156961877744106</v>
      </c>
      <c r="AK599" s="360">
        <f t="shared" si="905"/>
        <v>7.067454530379508</v>
      </c>
      <c r="AL599" s="360">
        <f t="shared" si="905"/>
        <v>6.516960085773138</v>
      </c>
      <c r="AM599" s="360">
        <f t="shared" si="905"/>
        <v>6.2727588154939777</v>
      </c>
      <c r="AN599" s="360">
        <f t="shared" si="905"/>
        <v>6.0404410220920637</v>
      </c>
      <c r="AO599" s="360">
        <f t="shared" si="905"/>
        <v>5.8194589436123474</v>
      </c>
      <c r="AP599" s="360">
        <f t="shared" si="905"/>
        <v>5.6092970461420819</v>
      </c>
      <c r="AQ599" s="360">
        <f t="shared" si="905"/>
        <v>5.4094501818541252</v>
      </c>
      <c r="AR599" s="360">
        <f t="shared" si="905"/>
        <v>5.219437550581846</v>
      </c>
      <c r="AS599" s="360">
        <f t="shared" si="905"/>
        <v>5.0388131258572288</v>
      </c>
      <c r="AT599" s="360">
        <f t="shared" si="905"/>
        <v>4.8671453807029952</v>
      </c>
      <c r="AU599" s="360">
        <f t="shared" si="905"/>
        <v>4.7040284738425573</v>
      </c>
      <c r="AV599" s="360">
        <f t="shared" si="905"/>
        <v>4.549064194610259</v>
      </c>
      <c r="AW599" s="360">
        <f t="shared" si="905"/>
        <v>4.4018735121732071</v>
      </c>
      <c r="AX599" s="360">
        <f t="shared" si="905"/>
        <v>4.2621053687193351</v>
      </c>
      <c r="AY599" s="360">
        <f t="shared" si="905"/>
        <v>4.1294198587153703</v>
      </c>
      <c r="AZ599" s="360">
        <f t="shared" si="905"/>
        <v>4.0034929273174766</v>
      </c>
      <c r="BA599" s="1070">
        <f t="shared" si="905"/>
        <v>3.8840201839363764</v>
      </c>
    </row>
    <row r="600" spans="19:53" ht="20.100000000000001" customHeight="1">
      <c r="S600" s="844" t="s">
        <v>2952</v>
      </c>
      <c r="T600" s="787" t="s">
        <v>2963</v>
      </c>
      <c r="U600" s="366"/>
      <c r="V600" s="360">
        <f t="shared" ref="V600:BA600" si="906">V182*V259</f>
        <v>0</v>
      </c>
      <c r="W600" s="360">
        <f t="shared" si="906"/>
        <v>0</v>
      </c>
      <c r="X600" s="360">
        <f t="shared" si="906"/>
        <v>0</v>
      </c>
      <c r="Y600" s="360">
        <f t="shared" si="906"/>
        <v>0</v>
      </c>
      <c r="Z600" s="360">
        <f t="shared" si="906"/>
        <v>273.52477061065417</v>
      </c>
      <c r="AA600" s="360">
        <f t="shared" si="906"/>
        <v>275.18461172789597</v>
      </c>
      <c r="AB600" s="360">
        <f t="shared" si="906"/>
        <v>276.85750176425302</v>
      </c>
      <c r="AC600" s="360">
        <f t="shared" si="906"/>
        <v>278.5435789873286</v>
      </c>
      <c r="AD600" s="360">
        <f t="shared" si="906"/>
        <v>280.242983460029</v>
      </c>
      <c r="AE600" s="360">
        <f t="shared" si="906"/>
        <v>281.95585706614105</v>
      </c>
      <c r="AF600" s="360">
        <f t="shared" si="906"/>
        <v>283.68234353628776</v>
      </c>
      <c r="AG600" s="360">
        <f t="shared" si="906"/>
        <v>262.6689085230874</v>
      </c>
      <c r="AH600" s="360">
        <f t="shared" si="906"/>
        <v>237.1129354524146</v>
      </c>
      <c r="AI600" s="360">
        <f t="shared" si="906"/>
        <v>216.6342584987859</v>
      </c>
      <c r="AJ600" s="360">
        <f t="shared" si="906"/>
        <v>199.75042784329756</v>
      </c>
      <c r="AK600" s="360">
        <f t="shared" si="906"/>
        <v>185.51706390160308</v>
      </c>
      <c r="AL600" s="360">
        <f t="shared" si="906"/>
        <v>173.30309942067805</v>
      </c>
      <c r="AM600" s="360">
        <f t="shared" si="906"/>
        <v>167.63578185515655</v>
      </c>
      <c r="AN600" s="360">
        <f t="shared" si="906"/>
        <v>162.22719196014623</v>
      </c>
      <c r="AO600" s="360">
        <f t="shared" si="906"/>
        <v>157.06683066291254</v>
      </c>
      <c r="AP600" s="360">
        <f t="shared" si="906"/>
        <v>152.14478882851813</v>
      </c>
      <c r="AQ600" s="360">
        <f t="shared" si="906"/>
        <v>147.45127792139169</v>
      </c>
      <c r="AR600" s="360">
        <f t="shared" si="906"/>
        <v>142.97693852768217</v>
      </c>
      <c r="AS600" s="360">
        <f t="shared" si="906"/>
        <v>138.71307968540708</v>
      </c>
      <c r="AT600" s="360">
        <f t="shared" si="906"/>
        <v>134.65123975423293</v>
      </c>
      <c r="AU600" s="360">
        <f t="shared" si="906"/>
        <v>130.78344033263295</v>
      </c>
      <c r="AV600" s="360">
        <f t="shared" si="906"/>
        <v>127.10178829854364</v>
      </c>
      <c r="AW600" s="360">
        <f t="shared" si="906"/>
        <v>123.5987371130791</v>
      </c>
      <c r="AX600" s="360">
        <f t="shared" si="906"/>
        <v>120.26729328356066</v>
      </c>
      <c r="AY600" s="360">
        <f t="shared" si="906"/>
        <v>117.10064265569565</v>
      </c>
      <c r="AZ600" s="360">
        <f t="shared" si="906"/>
        <v>114.09226065420849</v>
      </c>
      <c r="BA600" s="1070">
        <f t="shared" si="906"/>
        <v>111.23600545674579</v>
      </c>
    </row>
    <row r="601" spans="19:53" ht="20.100000000000001" customHeight="1">
      <c r="S601" s="844" t="s">
        <v>2953</v>
      </c>
      <c r="T601" s="787" t="s">
        <v>2963</v>
      </c>
      <c r="U601" s="366"/>
      <c r="V601" s="360">
        <f t="shared" ref="V601:BA601" si="907">V183*V260</f>
        <v>0</v>
      </c>
      <c r="W601" s="360">
        <f t="shared" si="907"/>
        <v>0</v>
      </c>
      <c r="X601" s="360">
        <f t="shared" si="907"/>
        <v>0</v>
      </c>
      <c r="Y601" s="360">
        <f t="shared" si="907"/>
        <v>0</v>
      </c>
      <c r="Z601" s="360">
        <f t="shared" si="907"/>
        <v>297.45310345996057</v>
      </c>
      <c r="AA601" s="360">
        <f t="shared" si="907"/>
        <v>301.31999380494</v>
      </c>
      <c r="AB601" s="360">
        <f t="shared" si="907"/>
        <v>305.23715372440421</v>
      </c>
      <c r="AC601" s="360">
        <f t="shared" si="907"/>
        <v>309.2052367228215</v>
      </c>
      <c r="AD601" s="360">
        <f t="shared" si="907"/>
        <v>313.2249048002181</v>
      </c>
      <c r="AE601" s="360">
        <f t="shared" si="907"/>
        <v>317.29682856262099</v>
      </c>
      <c r="AF601" s="360">
        <f t="shared" si="907"/>
        <v>321.42168733393498</v>
      </c>
      <c r="AG601" s="360">
        <f t="shared" si="907"/>
        <v>300.98946012548458</v>
      </c>
      <c r="AH601" s="360">
        <f t="shared" si="907"/>
        <v>284.53112667549499</v>
      </c>
      <c r="AI601" s="360">
        <f t="shared" si="907"/>
        <v>271.99540758941862</v>
      </c>
      <c r="AJ601" s="360">
        <f t="shared" si="907"/>
        <v>262.20464789180738</v>
      </c>
      <c r="AK601" s="360">
        <f t="shared" si="907"/>
        <v>254.41052226755932</v>
      </c>
      <c r="AL601" s="360">
        <f t="shared" si="907"/>
        <v>248.11451718979572</v>
      </c>
      <c r="AM601" s="360">
        <f t="shared" si="907"/>
        <v>249.85114552983859</v>
      </c>
      <c r="AN601" s="360">
        <f t="shared" si="907"/>
        <v>251.59992541946161</v>
      </c>
      <c r="AO601" s="360">
        <f t="shared" si="907"/>
        <v>253.36094188463812</v>
      </c>
      <c r="AP601" s="360">
        <f t="shared" si="907"/>
        <v>255.13450981796078</v>
      </c>
      <c r="AQ601" s="360">
        <f t="shared" si="907"/>
        <v>256.92048845546867</v>
      </c>
      <c r="AR601" s="360">
        <f t="shared" si="907"/>
        <v>258.71873748740137</v>
      </c>
      <c r="AS601" s="360">
        <f t="shared" si="907"/>
        <v>260.52956924382221</v>
      </c>
      <c r="AT601" s="360">
        <f t="shared" si="907"/>
        <v>262.35307176800097</v>
      </c>
      <c r="AU601" s="360">
        <f t="shared" si="907"/>
        <v>264.18956876882589</v>
      </c>
      <c r="AV601" s="360">
        <f t="shared" si="907"/>
        <v>266.03891682189487</v>
      </c>
      <c r="AW601" s="360">
        <f t="shared" si="907"/>
        <v>267.90097297166113</v>
      </c>
      <c r="AX601" s="360">
        <f t="shared" si="907"/>
        <v>269.77605832114074</v>
      </c>
      <c r="AY601" s="360">
        <f t="shared" si="907"/>
        <v>271.66426403797379</v>
      </c>
      <c r="AZ601" s="360">
        <f t="shared" si="907"/>
        <v>273.56568192779525</v>
      </c>
      <c r="BA601" s="1070">
        <f t="shared" si="907"/>
        <v>275.48064661375957</v>
      </c>
    </row>
    <row r="602" spans="19:53" ht="20.100000000000001" customHeight="1" thickBot="1">
      <c r="S602" s="1076" t="s">
        <v>2957</v>
      </c>
      <c r="T602" s="851" t="s">
        <v>2963</v>
      </c>
      <c r="U602" s="1077"/>
      <c r="V602" s="362">
        <f t="shared" ref="V602:BA602" si="908">V184*V261</f>
        <v>0</v>
      </c>
      <c r="W602" s="362">
        <f t="shared" si="908"/>
        <v>0</v>
      </c>
      <c r="X602" s="362">
        <f t="shared" si="908"/>
        <v>0</v>
      </c>
      <c r="Y602" s="362">
        <f t="shared" si="908"/>
        <v>0</v>
      </c>
      <c r="Z602" s="362">
        <f t="shared" si="908"/>
        <v>1.1857665375719693</v>
      </c>
      <c r="AA602" s="362">
        <f t="shared" si="908"/>
        <v>1.1964384364101173</v>
      </c>
      <c r="AB602" s="362">
        <f t="shared" si="908"/>
        <v>1.2072063823378085</v>
      </c>
      <c r="AC602" s="362">
        <f t="shared" si="908"/>
        <v>1.2180712397788489</v>
      </c>
      <c r="AD602" s="362">
        <f t="shared" si="908"/>
        <v>1.2290338809368586</v>
      </c>
      <c r="AE602" s="362">
        <f t="shared" si="908"/>
        <v>1.2400951858652904</v>
      </c>
      <c r="AF602" s="362">
        <f t="shared" si="908"/>
        <v>1.2512560425380781</v>
      </c>
      <c r="AG602" s="362">
        <f t="shared" si="908"/>
        <v>1.1423800240773712</v>
      </c>
      <c r="AH602" s="362">
        <f t="shared" si="908"/>
        <v>1.0639597932027267</v>
      </c>
      <c r="AI602" s="362">
        <f t="shared" si="908"/>
        <v>1.0041830796557047</v>
      </c>
      <c r="AJ602" s="362">
        <f t="shared" si="908"/>
        <v>0.95745821317185087</v>
      </c>
      <c r="AK602" s="362">
        <f t="shared" si="908"/>
        <v>0.92023216648209205</v>
      </c>
      <c r="AL602" s="362">
        <f t="shared" si="908"/>
        <v>0.89013807789966826</v>
      </c>
      <c r="AM602" s="362">
        <f t="shared" si="908"/>
        <v>0.89992873052682953</v>
      </c>
      <c r="AN602" s="362">
        <f t="shared" si="908"/>
        <v>0.90982705255657792</v>
      </c>
      <c r="AO602" s="362">
        <f t="shared" si="908"/>
        <v>0.91983422796962055</v>
      </c>
      <c r="AP602" s="362">
        <f t="shared" si="908"/>
        <v>0.92995261360944859</v>
      </c>
      <c r="AQ602" s="362">
        <f t="shared" si="908"/>
        <v>0.94018228062822806</v>
      </c>
      <c r="AR602" s="362">
        <f t="shared" si="908"/>
        <v>0.95052329451775786</v>
      </c>
      <c r="AS602" s="362">
        <f t="shared" si="908"/>
        <v>0.96097802993022652</v>
      </c>
      <c r="AT602" s="362">
        <f t="shared" si="908"/>
        <v>0.97154773739862599</v>
      </c>
      <c r="AU602" s="362">
        <f t="shared" si="908"/>
        <v>0.9822348940843435</v>
      </c>
      <c r="AV602" s="362">
        <f t="shared" si="908"/>
        <v>0.99303958708301143</v>
      </c>
      <c r="AW602" s="362">
        <f t="shared" si="908"/>
        <v>1.003961897695048</v>
      </c>
      <c r="AX602" s="362">
        <f t="shared" si="908"/>
        <v>1.0150043221370142</v>
      </c>
      <c r="AY602" s="362">
        <f t="shared" si="908"/>
        <v>1.0261681812351438</v>
      </c>
      <c r="AZ602" s="362">
        <f t="shared" si="908"/>
        <v>1.037454810340168</v>
      </c>
      <c r="BA602" s="905">
        <f t="shared" si="908"/>
        <v>1.0488668392128764</v>
      </c>
    </row>
    <row r="603" spans="19:53" ht="20.100000000000001" customHeight="1" thickBot="1">
      <c r="S603" s="1071" t="s">
        <v>3067</v>
      </c>
      <c r="T603" s="1199"/>
      <c r="U603" s="1202"/>
      <c r="V603" s="1073">
        <f t="shared" ref="V603:BA603" si="909">V185</f>
        <v>0</v>
      </c>
      <c r="W603" s="1073">
        <f t="shared" si="909"/>
        <v>0</v>
      </c>
      <c r="X603" s="1073">
        <f t="shared" si="909"/>
        <v>0</v>
      </c>
      <c r="Y603" s="1073">
        <f t="shared" si="909"/>
        <v>0</v>
      </c>
      <c r="Z603" s="1073">
        <f t="shared" si="909"/>
        <v>1507.7740187637942</v>
      </c>
      <c r="AA603" s="1073">
        <f t="shared" si="909"/>
        <v>1517.2307197075759</v>
      </c>
      <c r="AB603" s="1073">
        <f t="shared" si="909"/>
        <v>1526.4161669211762</v>
      </c>
      <c r="AC603" s="1073">
        <f t="shared" si="909"/>
        <v>1535.5823383253326</v>
      </c>
      <c r="AD603" s="1073">
        <f t="shared" si="909"/>
        <v>1544.8263903996374</v>
      </c>
      <c r="AE603" s="1073">
        <f t="shared" si="909"/>
        <v>1554.1491942629582</v>
      </c>
      <c r="AF603" s="1073">
        <f t="shared" si="909"/>
        <v>1563.5516317843676</v>
      </c>
      <c r="AG603" s="1073">
        <f t="shared" si="909"/>
        <v>1573.0345957243219</v>
      </c>
      <c r="AH603" s="1073">
        <f t="shared" si="909"/>
        <v>1566.9032486766991</v>
      </c>
      <c r="AI603" s="1073">
        <f t="shared" si="909"/>
        <v>1561.2554891900402</v>
      </c>
      <c r="AJ603" s="1073">
        <f t="shared" si="909"/>
        <v>1556.0724070495298</v>
      </c>
      <c r="AK603" s="1073">
        <f t="shared" si="909"/>
        <v>1551.3211967808236</v>
      </c>
      <c r="AL603" s="1073">
        <f t="shared" si="909"/>
        <v>1547.0001216892533</v>
      </c>
      <c r="AM603" s="1073">
        <f t="shared" si="909"/>
        <v>1543.0925364206153</v>
      </c>
      <c r="AN603" s="1073">
        <f t="shared" si="909"/>
        <v>1539.5825061573737</v>
      </c>
      <c r="AO603" s="1073">
        <f t="shared" si="909"/>
        <v>1536.4547767461743</v>
      </c>
      <c r="AP603" s="1073">
        <f t="shared" si="909"/>
        <v>1533.69474626437</v>
      </c>
      <c r="AQ603" s="1073">
        <f t="shared" si="909"/>
        <v>1531.2884377805819</v>
      </c>
      <c r="AR603" s="1073">
        <f t="shared" si="909"/>
        <v>1529.2412805068902</v>
      </c>
      <c r="AS603" s="1073">
        <f t="shared" si="909"/>
        <v>1527.5219921957221</v>
      </c>
      <c r="AT603" s="1073">
        <f t="shared" si="909"/>
        <v>1526.1183032115898</v>
      </c>
      <c r="AU603" s="1073">
        <f t="shared" si="909"/>
        <v>1525.0184720384236</v>
      </c>
      <c r="AV603" s="1073">
        <f t="shared" si="909"/>
        <v>1524.2112632278179</v>
      </c>
      <c r="AW603" s="1073">
        <f t="shared" si="909"/>
        <v>1523.666345039976</v>
      </c>
      <c r="AX603" s="1073">
        <f t="shared" si="909"/>
        <v>1523.3927300441271</v>
      </c>
      <c r="AY603" s="1073">
        <f t="shared" si="909"/>
        <v>1523.3805893440428</v>
      </c>
      <c r="AZ603" s="1073">
        <f t="shared" si="909"/>
        <v>1523.6205200534105</v>
      </c>
      <c r="BA603" s="1074">
        <f t="shared" si="909"/>
        <v>1524.1035274626302</v>
      </c>
    </row>
    <row r="604" spans="19:53" ht="20.100000000000001" customHeight="1" thickBot="1">
      <c r="S604" s="1071" t="s">
        <v>3066</v>
      </c>
      <c r="T604" s="1199"/>
      <c r="U604" s="1072"/>
      <c r="V604" s="1073">
        <f>SUM(V595:V603)</f>
        <v>0</v>
      </c>
      <c r="W604" s="1073">
        <f t="shared" ref="W604:BA604" si="910">SUM(W595:W602)</f>
        <v>0</v>
      </c>
      <c r="X604" s="1073">
        <f t="shared" si="910"/>
        <v>0</v>
      </c>
      <c r="Y604" s="1073">
        <f t="shared" si="910"/>
        <v>0</v>
      </c>
      <c r="Z604" s="1073">
        <f t="shared" si="910"/>
        <v>1507.7740187637942</v>
      </c>
      <c r="AA604" s="1073">
        <f t="shared" si="910"/>
        <v>1517.2307197075759</v>
      </c>
      <c r="AB604" s="1073">
        <f t="shared" si="910"/>
        <v>1448.7945121330488</v>
      </c>
      <c r="AC604" s="1073">
        <f t="shared" si="910"/>
        <v>1379.7595842501307</v>
      </c>
      <c r="AD604" s="1073">
        <f t="shared" si="910"/>
        <v>1310.2199200070486</v>
      </c>
      <c r="AE604" s="1073">
        <f t="shared" si="910"/>
        <v>1240.1731993742117</v>
      </c>
      <c r="AF604" s="1073">
        <f t="shared" si="910"/>
        <v>1169.6170943897378</v>
      </c>
      <c r="AG604" s="1073">
        <f t="shared" si="910"/>
        <v>1209.2735741742463</v>
      </c>
      <c r="AH604" s="1073">
        <f t="shared" si="910"/>
        <v>1277.9767780359671</v>
      </c>
      <c r="AI604" s="1073">
        <f t="shared" si="910"/>
        <v>1326.4135221873394</v>
      </c>
      <c r="AJ604" s="1073">
        <f t="shared" si="910"/>
        <v>1362.1254781653374</v>
      </c>
      <c r="AK604" s="1073">
        <f t="shared" si="910"/>
        <v>1389.4228957617715</v>
      </c>
      <c r="AL604" s="1073">
        <f t="shared" si="910"/>
        <v>1410.9564841674712</v>
      </c>
      <c r="AM604" s="1073">
        <f t="shared" si="910"/>
        <v>1408.7439948856829</v>
      </c>
      <c r="AN604" s="1073">
        <f t="shared" si="910"/>
        <v>1406.8194301189658</v>
      </c>
      <c r="AO604" s="1073">
        <f t="shared" si="910"/>
        <v>1405.171788559262</v>
      </c>
      <c r="AP604" s="1073">
        <f t="shared" si="910"/>
        <v>1403.7898651319942</v>
      </c>
      <c r="AQ604" s="1073">
        <f t="shared" si="910"/>
        <v>1402.6642482926693</v>
      </c>
      <c r="AR604" s="1073">
        <f t="shared" si="910"/>
        <v>1401.7913935910012</v>
      </c>
      <c r="AS604" s="1073">
        <f t="shared" si="910"/>
        <v>1401.1560885338147</v>
      </c>
      <c r="AT604" s="1073">
        <f t="shared" si="910"/>
        <v>1400.7494928128565</v>
      </c>
      <c r="AU604" s="1073">
        <f t="shared" si="910"/>
        <v>1400.5624551746293</v>
      </c>
      <c r="AV604" s="1073">
        <f t="shared" si="910"/>
        <v>1400.5875677591209</v>
      </c>
      <c r="AW604" s="1073">
        <f t="shared" si="910"/>
        <v>1400.8120753535666</v>
      </c>
      <c r="AX604" s="1073">
        <f t="shared" si="910"/>
        <v>1401.2334896497464</v>
      </c>
      <c r="AY604" s="1073">
        <f t="shared" si="910"/>
        <v>1401.844726755586</v>
      </c>
      <c r="AZ604" s="1073">
        <f t="shared" si="910"/>
        <v>1402.6390103458709</v>
      </c>
      <c r="BA604" s="1074">
        <f t="shared" si="910"/>
        <v>1403.6091532273149</v>
      </c>
    </row>
    <row r="605" spans="19:53" ht="20.100000000000001" customHeight="1" thickBot="1">
      <c r="S605" s="49"/>
      <c r="T605" s="49"/>
      <c r="U605" s="49"/>
      <c r="V605" s="49"/>
      <c r="W605" s="49"/>
      <c r="X605" s="49"/>
      <c r="Y605" s="49"/>
      <c r="Z605" s="49"/>
      <c r="AA605" s="49"/>
      <c r="AB605" s="49"/>
      <c r="AC605" s="49"/>
      <c r="AD605" s="49"/>
      <c r="AE605" s="49"/>
      <c r="AF605" s="49"/>
      <c r="AG605" s="49"/>
      <c r="AH605" s="49"/>
      <c r="AI605" s="49"/>
      <c r="AJ605" s="49"/>
      <c r="AK605" s="49"/>
      <c r="AL605" s="49"/>
      <c r="AM605" s="49"/>
      <c r="AN605" s="49"/>
      <c r="AO605" s="49"/>
      <c r="AP605" s="49"/>
      <c r="AQ605" s="49"/>
      <c r="AR605" s="49"/>
      <c r="AS605" s="49"/>
      <c r="AT605" s="49"/>
      <c r="AU605" s="49"/>
      <c r="AV605" s="49"/>
      <c r="AW605" s="49"/>
      <c r="AX605" s="49"/>
      <c r="AY605" s="49"/>
      <c r="AZ605" s="49"/>
      <c r="BA605" s="49"/>
    </row>
    <row r="606" spans="19:53" ht="20.100000000000001" customHeight="1">
      <c r="S606" s="872" t="s">
        <v>3065</v>
      </c>
      <c r="T606" s="367"/>
      <c r="U606" s="367"/>
      <c r="V606" s="1293">
        <v>2019</v>
      </c>
      <c r="W606" s="1295">
        <v>2020</v>
      </c>
      <c r="X606" s="1293">
        <v>2021</v>
      </c>
      <c r="Y606" s="1293">
        <f>X606+1</f>
        <v>2022</v>
      </c>
      <c r="Z606" s="1293">
        <f t="shared" ref="Z606" si="911">Y606+1</f>
        <v>2023</v>
      </c>
      <c r="AA606" s="1293">
        <f t="shared" ref="AA606" si="912">Z606+1</f>
        <v>2024</v>
      </c>
      <c r="AB606" s="1293">
        <f t="shared" ref="AB606" si="913">AA606+1</f>
        <v>2025</v>
      </c>
      <c r="AC606" s="1293">
        <f t="shared" ref="AC606" si="914">AB606+1</f>
        <v>2026</v>
      </c>
      <c r="AD606" s="1293">
        <f t="shared" ref="AD606" si="915">AC606+1</f>
        <v>2027</v>
      </c>
      <c r="AE606" s="1293">
        <f t="shared" ref="AE606" si="916">AD606+1</f>
        <v>2028</v>
      </c>
      <c r="AF606" s="1293">
        <f t="shared" ref="AF606" si="917">AE606+1</f>
        <v>2029</v>
      </c>
      <c r="AG606" s="1293">
        <f t="shared" ref="AG606" si="918">AF606+1</f>
        <v>2030</v>
      </c>
      <c r="AH606" s="1293">
        <f t="shared" ref="AH606" si="919">AG606+1</f>
        <v>2031</v>
      </c>
      <c r="AI606" s="1293">
        <f t="shared" ref="AI606" si="920">AH606+1</f>
        <v>2032</v>
      </c>
      <c r="AJ606" s="1293">
        <f t="shared" ref="AJ606" si="921">AI606+1</f>
        <v>2033</v>
      </c>
      <c r="AK606" s="1293">
        <f t="shared" ref="AK606" si="922">AJ606+1</f>
        <v>2034</v>
      </c>
      <c r="AL606" s="1293">
        <f t="shared" ref="AL606" si="923">AK606+1</f>
        <v>2035</v>
      </c>
      <c r="AM606" s="1293">
        <f t="shared" ref="AM606" si="924">AL606+1</f>
        <v>2036</v>
      </c>
      <c r="AN606" s="1293">
        <f t="shared" ref="AN606" si="925">AM606+1</f>
        <v>2037</v>
      </c>
      <c r="AO606" s="1293">
        <f t="shared" ref="AO606" si="926">AN606+1</f>
        <v>2038</v>
      </c>
      <c r="AP606" s="1293">
        <f t="shared" ref="AP606" si="927">AO606+1</f>
        <v>2039</v>
      </c>
      <c r="AQ606" s="1293">
        <f t="shared" ref="AQ606" si="928">AP606+1</f>
        <v>2040</v>
      </c>
      <c r="AR606" s="1293">
        <f t="shared" ref="AR606" si="929">AQ606+1</f>
        <v>2041</v>
      </c>
      <c r="AS606" s="1293">
        <f t="shared" ref="AS606" si="930">AR606+1</f>
        <v>2042</v>
      </c>
      <c r="AT606" s="1293">
        <f t="shared" ref="AT606" si="931">AS606+1</f>
        <v>2043</v>
      </c>
      <c r="AU606" s="1293">
        <f t="shared" ref="AU606" si="932">AT606+1</f>
        <v>2044</v>
      </c>
      <c r="AV606" s="1293">
        <f t="shared" ref="AV606" si="933">AU606+1</f>
        <v>2045</v>
      </c>
      <c r="AW606" s="1293">
        <f t="shared" ref="AW606" si="934">AV606+1</f>
        <v>2046</v>
      </c>
      <c r="AX606" s="1293">
        <f t="shared" ref="AX606" si="935">AW606+1</f>
        <v>2047</v>
      </c>
      <c r="AY606" s="1293">
        <f t="shared" ref="AY606" si="936">AX606+1</f>
        <v>2048</v>
      </c>
      <c r="AZ606" s="1293">
        <f t="shared" ref="AZ606" si="937">AY606+1</f>
        <v>2049</v>
      </c>
      <c r="BA606" s="318">
        <f t="shared" ref="BA606" si="938">AZ606+1</f>
        <v>2050</v>
      </c>
    </row>
    <row r="607" spans="19:53" ht="20.100000000000001" customHeight="1">
      <c r="S607" s="844" t="s">
        <v>2949</v>
      </c>
      <c r="T607" s="787" t="s">
        <v>2964</v>
      </c>
      <c r="U607" s="366"/>
      <c r="V607" s="366"/>
      <c r="W607" s="366"/>
      <c r="X607" s="360">
        <f t="shared" ref="X607:BA607" si="939">X188*X254</f>
        <v>0</v>
      </c>
      <c r="Y607" s="360">
        <f t="shared" si="939"/>
        <v>0</v>
      </c>
      <c r="Z607" s="360">
        <f t="shared" si="939"/>
        <v>19168.485771313939</v>
      </c>
      <c r="AA607" s="360">
        <f t="shared" si="939"/>
        <v>19312.578134711483</v>
      </c>
      <c r="AB607" s="360">
        <f t="shared" si="939"/>
        <v>19457.718797887992</v>
      </c>
      <c r="AC607" s="360">
        <f t="shared" si="939"/>
        <v>19584.65570987645</v>
      </c>
      <c r="AD607" s="360">
        <f t="shared" si="939"/>
        <v>19712.25577582245</v>
      </c>
      <c r="AE607" s="360">
        <f t="shared" si="939"/>
        <v>19840.519863189136</v>
      </c>
      <c r="AF607" s="360">
        <f t="shared" si="939"/>
        <v>19969.448819547732</v>
      </c>
      <c r="AG607" s="360">
        <f t="shared" si="939"/>
        <v>18351.963699190488</v>
      </c>
      <c r="AH607" s="360">
        <f t="shared" si="939"/>
        <v>17117.555027397859</v>
      </c>
      <c r="AI607" s="360">
        <f t="shared" si="939"/>
        <v>16166.29489194208</v>
      </c>
      <c r="AJ607" s="360">
        <f t="shared" si="939"/>
        <v>15413.051467922702</v>
      </c>
      <c r="AK607" s="360">
        <f t="shared" si="939"/>
        <v>14803.728433144397</v>
      </c>
      <c r="AL607" s="360">
        <f t="shared" si="939"/>
        <v>14302.218183777592</v>
      </c>
      <c r="AM607" s="360">
        <f t="shared" si="939"/>
        <v>14364.375696428113</v>
      </c>
      <c r="AN607" s="360">
        <f t="shared" si="939"/>
        <v>14426.788580448796</v>
      </c>
      <c r="AO607" s="360">
        <f t="shared" si="939"/>
        <v>14489.462090064835</v>
      </c>
      <c r="AP607" s="360">
        <f t="shared" si="939"/>
        <v>14552.417030156574</v>
      </c>
      <c r="AQ607" s="360">
        <f t="shared" si="939"/>
        <v>14615.642171712801</v>
      </c>
      <c r="AR607" s="360">
        <f t="shared" si="939"/>
        <v>14681.757362511644</v>
      </c>
      <c r="AS607" s="360">
        <f t="shared" si="939"/>
        <v>14748.208865612392</v>
      </c>
      <c r="AT607" s="360">
        <f t="shared" si="939"/>
        <v>14814.998540262404</v>
      </c>
      <c r="AU607" s="360">
        <f t="shared" si="939"/>
        <v>14882.144247238124</v>
      </c>
      <c r="AV607" s="360">
        <f t="shared" si="939"/>
        <v>14949.631659508972</v>
      </c>
      <c r="AW607" s="360">
        <f t="shared" si="939"/>
        <v>15014.60465700882</v>
      </c>
      <c r="AX607" s="360">
        <f t="shared" si="939"/>
        <v>15079.797686962775</v>
      </c>
      <c r="AY607" s="360">
        <f t="shared" si="939"/>
        <v>15145.285507646058</v>
      </c>
      <c r="AZ607" s="360">
        <f t="shared" si="939"/>
        <v>15211.070844323718</v>
      </c>
      <c r="BA607" s="1070">
        <f t="shared" si="939"/>
        <v>15277.172591427328</v>
      </c>
    </row>
    <row r="608" spans="19:53" ht="20.100000000000001" customHeight="1">
      <c r="S608" s="844" t="s">
        <v>2950</v>
      </c>
      <c r="T608" s="787" t="s">
        <v>2964</v>
      </c>
      <c r="U608" s="366"/>
      <c r="V608" s="366"/>
      <c r="W608" s="366"/>
      <c r="X608" s="360">
        <f>X596*X204/1000</f>
        <v>0</v>
      </c>
      <c r="Y608" s="360">
        <f t="shared" ref="Y608:BA608" si="940">Y596*Y204/1000</f>
        <v>0</v>
      </c>
      <c r="Z608" s="360">
        <f t="shared" si="940"/>
        <v>160958.77128262294</v>
      </c>
      <c r="AA608" s="360">
        <f t="shared" si="940"/>
        <v>162477.88454891677</v>
      </c>
      <c r="AB608" s="360">
        <f t="shared" si="940"/>
        <v>150280.41185652089</v>
      </c>
      <c r="AC608" s="360">
        <f t="shared" si="940"/>
        <v>137849.9547718011</v>
      </c>
      <c r="AD608" s="360">
        <f t="shared" si="940"/>
        <v>125183.26419118568</v>
      </c>
      <c r="AE608" s="360">
        <f t="shared" si="940"/>
        <v>112277.05823415957</v>
      </c>
      <c r="AF608" s="360">
        <f t="shared" si="940"/>
        <v>99128.021974096526</v>
      </c>
      <c r="AG608" s="360">
        <f t="shared" si="940"/>
        <v>138824.99890313193</v>
      </c>
      <c r="AH608" s="360">
        <f t="shared" si="940"/>
        <v>190027.69668287839</v>
      </c>
      <c r="AI608" s="360">
        <f t="shared" si="940"/>
        <v>239804.62450969679</v>
      </c>
      <c r="AJ608" s="360">
        <f t="shared" si="940"/>
        <v>288638.04993099143</v>
      </c>
      <c r="AK608" s="360">
        <f t="shared" si="940"/>
        <v>336828.07912377827</v>
      </c>
      <c r="AL608" s="360">
        <f t="shared" si="940"/>
        <v>384583.56362216058</v>
      </c>
      <c r="AM608" s="360">
        <f t="shared" si="940"/>
        <v>386114.73745574651</v>
      </c>
      <c r="AN608" s="360">
        <f t="shared" si="940"/>
        <v>387652.8434743266</v>
      </c>
      <c r="AO608" s="360">
        <f t="shared" si="940"/>
        <v>389197.88528804231</v>
      </c>
      <c r="AP608" s="360">
        <f t="shared" si="940"/>
        <v>390748.45788899309</v>
      </c>
      <c r="AQ608" s="360">
        <f t="shared" si="940"/>
        <v>392305.97120923037</v>
      </c>
      <c r="AR608" s="360">
        <f t="shared" si="940"/>
        <v>393869.91156511399</v>
      </c>
      <c r="AS608" s="360">
        <f t="shared" si="940"/>
        <v>395440.80508306349</v>
      </c>
      <c r="AT608" s="360">
        <f t="shared" si="940"/>
        <v>397018.66041237791</v>
      </c>
      <c r="AU608" s="360">
        <f t="shared" si="940"/>
        <v>398602.06331335742</v>
      </c>
      <c r="AV608" s="360">
        <f t="shared" si="940"/>
        <v>400192.44225542201</v>
      </c>
      <c r="AW608" s="360">
        <f t="shared" si="940"/>
        <v>401789.28271467297</v>
      </c>
      <c r="AX608" s="360">
        <f t="shared" si="940"/>
        <v>403393.1201504803</v>
      </c>
      <c r="AY608" s="360">
        <f t="shared" si="940"/>
        <v>405003.96717535984</v>
      </c>
      <c r="AZ608" s="360">
        <f t="shared" si="940"/>
        <v>406621.83709384198</v>
      </c>
      <c r="BA608" s="1070">
        <f t="shared" si="940"/>
        <v>408245.30304521148</v>
      </c>
    </row>
    <row r="609" spans="19:53" ht="20.100000000000001" customHeight="1">
      <c r="S609" s="844" t="s">
        <v>2733</v>
      </c>
      <c r="T609" s="787" t="s">
        <v>2965</v>
      </c>
      <c r="U609" s="366"/>
      <c r="V609" s="360">
        <f t="shared" ref="V609:BA609" si="941">V190*V256</f>
        <v>0</v>
      </c>
      <c r="W609" s="360">
        <f t="shared" si="941"/>
        <v>0</v>
      </c>
      <c r="X609" s="360">
        <f t="shared" si="941"/>
        <v>0</v>
      </c>
      <c r="Y609" s="360">
        <f t="shared" si="941"/>
        <v>0</v>
      </c>
      <c r="Z609" s="360">
        <f t="shared" si="941"/>
        <v>0</v>
      </c>
      <c r="AA609" s="360">
        <f t="shared" si="941"/>
        <v>0</v>
      </c>
      <c r="AB609" s="360">
        <f t="shared" si="941"/>
        <v>0</v>
      </c>
      <c r="AC609" s="360">
        <f t="shared" si="941"/>
        <v>0</v>
      </c>
      <c r="AD609" s="360">
        <f t="shared" si="941"/>
        <v>0</v>
      </c>
      <c r="AE609" s="360">
        <f t="shared" si="941"/>
        <v>0</v>
      </c>
      <c r="AF609" s="360">
        <f t="shared" si="941"/>
        <v>0</v>
      </c>
      <c r="AG609" s="360">
        <f t="shared" si="941"/>
        <v>0</v>
      </c>
      <c r="AH609" s="360">
        <f t="shared" si="941"/>
        <v>0</v>
      </c>
      <c r="AI609" s="360">
        <f t="shared" si="941"/>
        <v>0</v>
      </c>
      <c r="AJ609" s="360">
        <f t="shared" si="941"/>
        <v>0</v>
      </c>
      <c r="AK609" s="360">
        <f t="shared" si="941"/>
        <v>0</v>
      </c>
      <c r="AL609" s="360">
        <f t="shared" si="941"/>
        <v>0</v>
      </c>
      <c r="AM609" s="360">
        <f t="shared" si="941"/>
        <v>0</v>
      </c>
      <c r="AN609" s="360">
        <f t="shared" si="941"/>
        <v>0</v>
      </c>
      <c r="AO609" s="360">
        <f t="shared" si="941"/>
        <v>0</v>
      </c>
      <c r="AP609" s="360">
        <f t="shared" si="941"/>
        <v>0</v>
      </c>
      <c r="AQ609" s="360">
        <f t="shared" si="941"/>
        <v>0</v>
      </c>
      <c r="AR609" s="360">
        <f t="shared" si="941"/>
        <v>0</v>
      </c>
      <c r="AS609" s="360">
        <f t="shared" si="941"/>
        <v>0</v>
      </c>
      <c r="AT609" s="360">
        <f t="shared" si="941"/>
        <v>0</v>
      </c>
      <c r="AU609" s="360">
        <f t="shared" si="941"/>
        <v>0</v>
      </c>
      <c r="AV609" s="360">
        <f t="shared" si="941"/>
        <v>0</v>
      </c>
      <c r="AW609" s="360">
        <f t="shared" si="941"/>
        <v>0</v>
      </c>
      <c r="AX609" s="360">
        <f t="shared" si="941"/>
        <v>0</v>
      </c>
      <c r="AY609" s="360">
        <f t="shared" si="941"/>
        <v>0</v>
      </c>
      <c r="AZ609" s="360">
        <f t="shared" si="941"/>
        <v>0</v>
      </c>
      <c r="BA609" s="1070">
        <f t="shared" si="941"/>
        <v>0</v>
      </c>
    </row>
    <row r="610" spans="19:53" ht="20.100000000000001" customHeight="1">
      <c r="S610" s="844" t="s">
        <v>2869</v>
      </c>
      <c r="T610" s="787" t="s">
        <v>2965</v>
      </c>
      <c r="U610" s="366"/>
      <c r="V610" s="360">
        <f t="shared" ref="V610:BA610" si="942">V191*V257</f>
        <v>0</v>
      </c>
      <c r="W610" s="360">
        <f t="shared" si="942"/>
        <v>0</v>
      </c>
      <c r="X610" s="360">
        <f t="shared" si="942"/>
        <v>0</v>
      </c>
      <c r="Y610" s="360">
        <f t="shared" si="942"/>
        <v>0</v>
      </c>
      <c r="Z610" s="360">
        <f t="shared" si="942"/>
        <v>9.1146370191921999</v>
      </c>
      <c r="AA610" s="360">
        <f t="shared" si="942"/>
        <v>9.1227490461392797</v>
      </c>
      <c r="AB610" s="360">
        <f t="shared" si="942"/>
        <v>9.1308682927903426</v>
      </c>
      <c r="AC610" s="360">
        <f t="shared" si="942"/>
        <v>9.1389947655709243</v>
      </c>
      <c r="AD610" s="360">
        <f t="shared" si="942"/>
        <v>9.1471284709122802</v>
      </c>
      <c r="AE610" s="360">
        <f t="shared" si="942"/>
        <v>9.1552694152513947</v>
      </c>
      <c r="AF610" s="360">
        <f t="shared" si="942"/>
        <v>9.1634176050309666</v>
      </c>
      <c r="AG610" s="360">
        <f t="shared" si="942"/>
        <v>9.1715730466994447</v>
      </c>
      <c r="AH610" s="360">
        <f t="shared" si="942"/>
        <v>8.7451407578931519</v>
      </c>
      <c r="AI610" s="360">
        <f t="shared" si="942"/>
        <v>8.3385354383549135</v>
      </c>
      <c r="AJ610" s="360">
        <f t="shared" si="942"/>
        <v>7.9508352331485987</v>
      </c>
      <c r="AK610" s="360">
        <f t="shared" si="942"/>
        <v>7.5811611489833544</v>
      </c>
      <c r="AL610" s="360">
        <f t="shared" si="942"/>
        <v>7.2286750613613719</v>
      </c>
      <c r="AM610" s="360">
        <f t="shared" si="942"/>
        <v>6.892577814383376</v>
      </c>
      <c r="AN610" s="360">
        <f t="shared" si="942"/>
        <v>6.5721074089036211</v>
      </c>
      <c r="AO610" s="360">
        <f t="shared" si="942"/>
        <v>6.2665372749266472</v>
      </c>
      <c r="AP610" s="360">
        <f t="shared" si="942"/>
        <v>5.9751746243289325</v>
      </c>
      <c r="AQ610" s="360">
        <f t="shared" si="942"/>
        <v>5.6973588801707598</v>
      </c>
      <c r="AR610" s="360">
        <f t="shared" si="942"/>
        <v>5.4324601790372196</v>
      </c>
      <c r="AS610" s="360">
        <f t="shared" si="942"/>
        <v>5.1798779430128841</v>
      </c>
      <c r="AT610" s="360">
        <f t="shared" si="942"/>
        <v>4.9390395180524997</v>
      </c>
      <c r="AU610" s="360">
        <f t="shared" si="942"/>
        <v>4.70939887566065</v>
      </c>
      <c r="AV610" s="360">
        <f t="shared" si="942"/>
        <v>4.4904353749368084</v>
      </c>
      <c r="AW610" s="360">
        <f t="shared" si="942"/>
        <v>4.2816525821791229</v>
      </c>
      <c r="AX610" s="360">
        <f t="shared" si="942"/>
        <v>4.0825771453707045</v>
      </c>
      <c r="AY610" s="360">
        <f t="shared" si="942"/>
        <v>3.892757720996693</v>
      </c>
      <c r="AZ610" s="360">
        <f t="shared" si="942"/>
        <v>3.7117639507589515</v>
      </c>
      <c r="BA610" s="1070">
        <f t="shared" si="942"/>
        <v>3.5391854858684142</v>
      </c>
    </row>
    <row r="611" spans="19:53" ht="20.100000000000001" customHeight="1">
      <c r="S611" s="844" t="s">
        <v>2951</v>
      </c>
      <c r="T611" s="787" t="s">
        <v>2964</v>
      </c>
      <c r="U611" s="366"/>
      <c r="V611" s="360">
        <f t="shared" ref="V611:BA611" si="943">V192*V258</f>
        <v>0</v>
      </c>
      <c r="W611" s="360">
        <f t="shared" si="943"/>
        <v>0</v>
      </c>
      <c r="X611" s="360">
        <f t="shared" si="943"/>
        <v>0</v>
      </c>
      <c r="Y611" s="360">
        <f t="shared" si="943"/>
        <v>0</v>
      </c>
      <c r="Z611" s="360">
        <f t="shared" si="943"/>
        <v>0</v>
      </c>
      <c r="AA611" s="360">
        <f t="shared" si="943"/>
        <v>0</v>
      </c>
      <c r="AB611" s="360">
        <f t="shared" si="943"/>
        <v>0</v>
      </c>
      <c r="AC611" s="360">
        <f t="shared" si="943"/>
        <v>0</v>
      </c>
      <c r="AD611" s="360">
        <f t="shared" si="943"/>
        <v>0</v>
      </c>
      <c r="AE611" s="360">
        <f t="shared" si="943"/>
        <v>0</v>
      </c>
      <c r="AF611" s="360">
        <f t="shared" si="943"/>
        <v>0</v>
      </c>
      <c r="AG611" s="360">
        <f t="shared" si="943"/>
        <v>0</v>
      </c>
      <c r="AH611" s="360">
        <f t="shared" si="943"/>
        <v>0</v>
      </c>
      <c r="AI611" s="360">
        <f t="shared" si="943"/>
        <v>0</v>
      </c>
      <c r="AJ611" s="360">
        <f t="shared" si="943"/>
        <v>0</v>
      </c>
      <c r="AK611" s="360">
        <f t="shared" si="943"/>
        <v>0</v>
      </c>
      <c r="AL611" s="360">
        <f t="shared" si="943"/>
        <v>0</v>
      </c>
      <c r="AM611" s="360">
        <f t="shared" si="943"/>
        <v>0</v>
      </c>
      <c r="AN611" s="360">
        <f t="shared" si="943"/>
        <v>0</v>
      </c>
      <c r="AO611" s="360">
        <f t="shared" si="943"/>
        <v>0</v>
      </c>
      <c r="AP611" s="360">
        <f t="shared" si="943"/>
        <v>0</v>
      </c>
      <c r="AQ611" s="360">
        <f t="shared" si="943"/>
        <v>0</v>
      </c>
      <c r="AR611" s="360">
        <f t="shared" si="943"/>
        <v>0</v>
      </c>
      <c r="AS611" s="360">
        <f t="shared" si="943"/>
        <v>0</v>
      </c>
      <c r="AT611" s="360">
        <f t="shared" si="943"/>
        <v>0</v>
      </c>
      <c r="AU611" s="360">
        <f t="shared" si="943"/>
        <v>0</v>
      </c>
      <c r="AV611" s="360">
        <f t="shared" si="943"/>
        <v>0</v>
      </c>
      <c r="AW611" s="360">
        <f t="shared" si="943"/>
        <v>0</v>
      </c>
      <c r="AX611" s="360">
        <f t="shared" si="943"/>
        <v>0</v>
      </c>
      <c r="AY611" s="360">
        <f t="shared" si="943"/>
        <v>0</v>
      </c>
      <c r="AZ611" s="360">
        <f t="shared" si="943"/>
        <v>0</v>
      </c>
      <c r="BA611" s="1070">
        <f t="shared" si="943"/>
        <v>0</v>
      </c>
    </row>
    <row r="612" spans="19:53" ht="20.100000000000001" customHeight="1">
      <c r="S612" s="844" t="s">
        <v>2952</v>
      </c>
      <c r="T612" s="787" t="s">
        <v>2964</v>
      </c>
      <c r="U612" s="366"/>
      <c r="V612" s="360">
        <f t="shared" ref="V612:BA612" si="944">V193*V259</f>
        <v>0</v>
      </c>
      <c r="W612" s="360">
        <f t="shared" si="944"/>
        <v>0</v>
      </c>
      <c r="X612" s="360">
        <f t="shared" si="944"/>
        <v>0</v>
      </c>
      <c r="Y612" s="360">
        <f t="shared" si="944"/>
        <v>0</v>
      </c>
      <c r="Z612" s="360">
        <f t="shared" si="944"/>
        <v>0</v>
      </c>
      <c r="AA612" s="360">
        <f t="shared" si="944"/>
        <v>0</v>
      </c>
      <c r="AB612" s="360">
        <f t="shared" si="944"/>
        <v>0</v>
      </c>
      <c r="AC612" s="360">
        <f t="shared" si="944"/>
        <v>0</v>
      </c>
      <c r="AD612" s="360">
        <f t="shared" si="944"/>
        <v>0</v>
      </c>
      <c r="AE612" s="360">
        <f t="shared" si="944"/>
        <v>0</v>
      </c>
      <c r="AF612" s="360">
        <f t="shared" si="944"/>
        <v>0</v>
      </c>
      <c r="AG612" s="360">
        <f t="shared" si="944"/>
        <v>0</v>
      </c>
      <c r="AH612" s="360">
        <f t="shared" si="944"/>
        <v>0</v>
      </c>
      <c r="AI612" s="360">
        <f t="shared" si="944"/>
        <v>0</v>
      </c>
      <c r="AJ612" s="360">
        <f t="shared" si="944"/>
        <v>0</v>
      </c>
      <c r="AK612" s="360">
        <f t="shared" si="944"/>
        <v>0</v>
      </c>
      <c r="AL612" s="360">
        <f t="shared" si="944"/>
        <v>0</v>
      </c>
      <c r="AM612" s="360">
        <f t="shared" si="944"/>
        <v>0</v>
      </c>
      <c r="AN612" s="360">
        <f t="shared" si="944"/>
        <v>0</v>
      </c>
      <c r="AO612" s="360">
        <f t="shared" si="944"/>
        <v>0</v>
      </c>
      <c r="AP612" s="360">
        <f t="shared" si="944"/>
        <v>0</v>
      </c>
      <c r="AQ612" s="360">
        <f t="shared" si="944"/>
        <v>0</v>
      </c>
      <c r="AR612" s="360">
        <f t="shared" si="944"/>
        <v>0</v>
      </c>
      <c r="AS612" s="360">
        <f t="shared" si="944"/>
        <v>0</v>
      </c>
      <c r="AT612" s="360">
        <f t="shared" si="944"/>
        <v>0</v>
      </c>
      <c r="AU612" s="360">
        <f t="shared" si="944"/>
        <v>0</v>
      </c>
      <c r="AV612" s="360">
        <f t="shared" si="944"/>
        <v>0</v>
      </c>
      <c r="AW612" s="360">
        <f t="shared" si="944"/>
        <v>0</v>
      </c>
      <c r="AX612" s="360">
        <f t="shared" si="944"/>
        <v>0</v>
      </c>
      <c r="AY612" s="360">
        <f t="shared" si="944"/>
        <v>0</v>
      </c>
      <c r="AZ612" s="360">
        <f t="shared" si="944"/>
        <v>0</v>
      </c>
      <c r="BA612" s="1070">
        <f t="shared" si="944"/>
        <v>0</v>
      </c>
    </row>
    <row r="613" spans="19:53" ht="20.100000000000001" customHeight="1">
      <c r="S613" s="844" t="s">
        <v>2953</v>
      </c>
      <c r="T613" s="787" t="s">
        <v>2964</v>
      </c>
      <c r="U613" s="366"/>
      <c r="V613" s="360">
        <f t="shared" ref="V613:BA613" si="945">V194*V260</f>
        <v>0</v>
      </c>
      <c r="W613" s="360">
        <f t="shared" si="945"/>
        <v>0</v>
      </c>
      <c r="X613" s="360">
        <f t="shared" si="945"/>
        <v>0</v>
      </c>
      <c r="Y613" s="360">
        <f t="shared" si="945"/>
        <v>0</v>
      </c>
      <c r="Z613" s="360">
        <f t="shared" si="945"/>
        <v>0</v>
      </c>
      <c r="AA613" s="360">
        <f t="shared" si="945"/>
        <v>0</v>
      </c>
      <c r="AB613" s="360">
        <f t="shared" si="945"/>
        <v>0</v>
      </c>
      <c r="AC613" s="360">
        <f t="shared" si="945"/>
        <v>0</v>
      </c>
      <c r="AD613" s="360">
        <f t="shared" si="945"/>
        <v>0</v>
      </c>
      <c r="AE613" s="360">
        <f t="shared" si="945"/>
        <v>0</v>
      </c>
      <c r="AF613" s="360">
        <f t="shared" si="945"/>
        <v>0</v>
      </c>
      <c r="AG613" s="360">
        <f t="shared" si="945"/>
        <v>0</v>
      </c>
      <c r="AH613" s="360">
        <f t="shared" si="945"/>
        <v>0</v>
      </c>
      <c r="AI613" s="360">
        <f t="shared" si="945"/>
        <v>0</v>
      </c>
      <c r="AJ613" s="360">
        <f t="shared" si="945"/>
        <v>0</v>
      </c>
      <c r="AK613" s="360">
        <f t="shared" si="945"/>
        <v>0</v>
      </c>
      <c r="AL613" s="360">
        <f t="shared" si="945"/>
        <v>0</v>
      </c>
      <c r="AM613" s="360">
        <f t="shared" si="945"/>
        <v>0</v>
      </c>
      <c r="AN613" s="360">
        <f t="shared" si="945"/>
        <v>0</v>
      </c>
      <c r="AO613" s="360">
        <f t="shared" si="945"/>
        <v>0</v>
      </c>
      <c r="AP613" s="360">
        <f t="shared" si="945"/>
        <v>0</v>
      </c>
      <c r="AQ613" s="360">
        <f t="shared" si="945"/>
        <v>0</v>
      </c>
      <c r="AR613" s="360">
        <f t="shared" si="945"/>
        <v>0</v>
      </c>
      <c r="AS613" s="360">
        <f t="shared" si="945"/>
        <v>0</v>
      </c>
      <c r="AT613" s="360">
        <f t="shared" si="945"/>
        <v>0</v>
      </c>
      <c r="AU613" s="360">
        <f t="shared" si="945"/>
        <v>0</v>
      </c>
      <c r="AV613" s="360">
        <f t="shared" si="945"/>
        <v>0</v>
      </c>
      <c r="AW613" s="360">
        <f t="shared" si="945"/>
        <v>0</v>
      </c>
      <c r="AX613" s="360">
        <f t="shared" si="945"/>
        <v>0</v>
      </c>
      <c r="AY613" s="360">
        <f t="shared" si="945"/>
        <v>0</v>
      </c>
      <c r="AZ613" s="360">
        <f t="shared" si="945"/>
        <v>0</v>
      </c>
      <c r="BA613" s="1070">
        <f t="shared" si="945"/>
        <v>0</v>
      </c>
    </row>
    <row r="614" spans="19:53" ht="20.100000000000001" customHeight="1" thickBot="1">
      <c r="S614" s="845" t="s">
        <v>2957</v>
      </c>
      <c r="T614" s="851" t="s">
        <v>2964</v>
      </c>
      <c r="U614" s="368"/>
      <c r="V614" s="362">
        <f t="shared" ref="V614:BA614" si="946">V195*V261</f>
        <v>0</v>
      </c>
      <c r="W614" s="362">
        <f t="shared" si="946"/>
        <v>0</v>
      </c>
      <c r="X614" s="362">
        <f t="shared" si="946"/>
        <v>0</v>
      </c>
      <c r="Y614" s="362">
        <f t="shared" si="946"/>
        <v>0</v>
      </c>
      <c r="Z614" s="362">
        <f t="shared" si="946"/>
        <v>231.15570036735483</v>
      </c>
      <c r="AA614" s="362">
        <f t="shared" si="946"/>
        <v>234.40262914616093</v>
      </c>
      <c r="AB614" s="362">
        <f t="shared" si="946"/>
        <v>237.69531506316747</v>
      </c>
      <c r="AC614" s="362">
        <f t="shared" si="946"/>
        <v>241.03437306991819</v>
      </c>
      <c r="AD614" s="362">
        <f t="shared" si="946"/>
        <v>244.42042596967494</v>
      </c>
      <c r="AE614" s="362">
        <f t="shared" si="946"/>
        <v>247.854104513338</v>
      </c>
      <c r="AF614" s="362">
        <f t="shared" si="946"/>
        <v>251.33604749649615</v>
      </c>
      <c r="AG614" s="362">
        <f t="shared" si="946"/>
        <v>230.61454022054704</v>
      </c>
      <c r="AH614" s="362">
        <f t="shared" si="946"/>
        <v>215.21353112987475</v>
      </c>
      <c r="AI614" s="362">
        <f t="shared" si="946"/>
        <v>203.52883076769788</v>
      </c>
      <c r="AJ614" s="362">
        <f t="shared" si="946"/>
        <v>194.44731613843169</v>
      </c>
      <c r="AK614" s="362">
        <f t="shared" si="946"/>
        <v>187.26172448610686</v>
      </c>
      <c r="AL614" s="362">
        <f t="shared" si="946"/>
        <v>181.50004422182025</v>
      </c>
      <c r="AM614" s="362">
        <f t="shared" si="946"/>
        <v>183.86353900520598</v>
      </c>
      <c r="AN614" s="362">
        <f t="shared" si="946"/>
        <v>186.25797454527753</v>
      </c>
      <c r="AO614" s="362">
        <f t="shared" si="946"/>
        <v>188.68375551495234</v>
      </c>
      <c r="AP614" s="362">
        <f t="shared" si="946"/>
        <v>191.14153024867244</v>
      </c>
      <c r="AQ614" s="362">
        <f t="shared" si="946"/>
        <v>193.63148087766419</v>
      </c>
      <c r="AR614" s="362">
        <f t="shared" si="946"/>
        <v>196.15283862656804</v>
      </c>
      <c r="AS614" s="362">
        <f t="shared" si="946"/>
        <v>198.70719311685249</v>
      </c>
      <c r="AT614" s="362">
        <f t="shared" si="946"/>
        <v>201.29497571162133</v>
      </c>
      <c r="AU614" s="362">
        <f t="shared" si="946"/>
        <v>203.91687518638014</v>
      </c>
      <c r="AV614" s="362">
        <f t="shared" si="946"/>
        <v>206.57308794459513</v>
      </c>
      <c r="AW614" s="362">
        <f t="shared" si="946"/>
        <v>209.26381003176041</v>
      </c>
      <c r="AX614" s="362">
        <f t="shared" si="946"/>
        <v>211.98872769992607</v>
      </c>
      <c r="AY614" s="362">
        <f t="shared" si="946"/>
        <v>214.74929379162225</v>
      </c>
      <c r="AZ614" s="362">
        <f t="shared" si="946"/>
        <v>217.54597408985049</v>
      </c>
      <c r="BA614" s="905">
        <f t="shared" si="946"/>
        <v>220.37950932069592</v>
      </c>
    </row>
    <row r="615" spans="19:53" ht="20.100000000000001" customHeight="1" thickBot="1">
      <c r="S615" s="1071" t="s">
        <v>3068</v>
      </c>
      <c r="T615" s="1199"/>
      <c r="U615" s="1072"/>
      <c r="V615" s="1203">
        <f t="shared" ref="V615:BA615" si="947">V196</f>
        <v>0</v>
      </c>
      <c r="W615" s="1203">
        <f t="shared" si="947"/>
        <v>0</v>
      </c>
      <c r="X615" s="1203">
        <f t="shared" si="947"/>
        <v>0</v>
      </c>
      <c r="Y615" s="1203">
        <f t="shared" si="947"/>
        <v>0</v>
      </c>
      <c r="Z615" s="1203">
        <f t="shared" si="947"/>
        <v>180367.52739132344</v>
      </c>
      <c r="AA615" s="1203">
        <f t="shared" si="947"/>
        <v>182034.81738604393</v>
      </c>
      <c r="AB615" s="1203">
        <f t="shared" si="947"/>
        <v>183648.47773717099</v>
      </c>
      <c r="AC615" s="1203">
        <f t="shared" si="947"/>
        <v>185257.28269929008</v>
      </c>
      <c r="AD615" s="1203">
        <f t="shared" si="947"/>
        <v>186880.19947410031</v>
      </c>
      <c r="AE615" s="1203">
        <f t="shared" si="947"/>
        <v>188517.32988521576</v>
      </c>
      <c r="AF615" s="1203">
        <f t="shared" si="947"/>
        <v>190168.77639993452</v>
      </c>
      <c r="AG615" s="1203">
        <f t="shared" si="947"/>
        <v>191834.64213316151</v>
      </c>
      <c r="AH615" s="1203">
        <f t="shared" si="947"/>
        <v>192611.33104317036</v>
      </c>
      <c r="AI615" s="1203">
        <f t="shared" si="947"/>
        <v>193391.31989178321</v>
      </c>
      <c r="AJ615" s="1203">
        <f t="shared" si="947"/>
        <v>194174.62955647308</v>
      </c>
      <c r="AK615" s="1203">
        <f t="shared" si="947"/>
        <v>194958.28900506243</v>
      </c>
      <c r="AL615" s="1203">
        <f t="shared" si="947"/>
        <v>195744.52046498415</v>
      </c>
      <c r="AM615" s="1203">
        <f t="shared" si="947"/>
        <v>196534.29025549919</v>
      </c>
      <c r="AN615" s="1203">
        <f t="shared" si="947"/>
        <v>197327.6085839491</v>
      </c>
      <c r="AO615" s="1203">
        <f t="shared" si="947"/>
        <v>198124.48563733537</v>
      </c>
      <c r="AP615" s="1203">
        <f t="shared" si="947"/>
        <v>198924.93159624457</v>
      </c>
      <c r="AQ615" s="1203">
        <f t="shared" si="947"/>
        <v>199728.9566475685</v>
      </c>
      <c r="AR615" s="1203">
        <f t="shared" si="947"/>
        <v>200539.48035474308</v>
      </c>
      <c r="AS615" s="1203">
        <f t="shared" si="947"/>
        <v>201353.68323026062</v>
      </c>
      <c r="AT615" s="1203">
        <f t="shared" si="947"/>
        <v>202171.57279649645</v>
      </c>
      <c r="AU615" s="1203">
        <f t="shared" si="947"/>
        <v>202993.15683053678</v>
      </c>
      <c r="AV615" s="1203">
        <f t="shared" si="947"/>
        <v>203818.44335913056</v>
      </c>
      <c r="AW615" s="1203">
        <f t="shared" si="947"/>
        <v>204643.35918011304</v>
      </c>
      <c r="AX615" s="1203">
        <f t="shared" si="947"/>
        <v>205470.93503170542</v>
      </c>
      <c r="AY615" s="1203">
        <f t="shared" si="947"/>
        <v>206302.16145016204</v>
      </c>
      <c r="AZ615" s="1203">
        <f t="shared" si="947"/>
        <v>207137.0492645269</v>
      </c>
      <c r="BA615" s="1204">
        <f t="shared" si="947"/>
        <v>207975.60937762336</v>
      </c>
    </row>
    <row r="616" spans="19:53" ht="20.100000000000001" customHeight="1" thickBot="1">
      <c r="S616" s="1071" t="s">
        <v>3069</v>
      </c>
      <c r="T616" s="1199"/>
      <c r="U616" s="1072"/>
      <c r="V616" s="1075">
        <f>SUM(V607:V615)</f>
        <v>0</v>
      </c>
      <c r="W616" s="1075">
        <f t="shared" ref="W616:BA616" si="948">SUM(W607:W614)</f>
        <v>0</v>
      </c>
      <c r="X616" s="1075">
        <f t="shared" si="948"/>
        <v>0</v>
      </c>
      <c r="Y616" s="1075">
        <f t="shared" si="948"/>
        <v>0</v>
      </c>
      <c r="Z616" s="1075">
        <f t="shared" si="948"/>
        <v>180367.52739132344</v>
      </c>
      <c r="AA616" s="1075">
        <f t="shared" si="948"/>
        <v>182033.98806182054</v>
      </c>
      <c r="AB616" s="1075">
        <f t="shared" si="948"/>
        <v>169984.95683776485</v>
      </c>
      <c r="AC616" s="1075">
        <f t="shared" si="948"/>
        <v>157684.78384951304</v>
      </c>
      <c r="AD616" s="1075">
        <f t="shared" si="948"/>
        <v>145149.0875214487</v>
      </c>
      <c r="AE616" s="1075">
        <f t="shared" si="948"/>
        <v>132374.58747127731</v>
      </c>
      <c r="AF616" s="1075">
        <f t="shared" si="948"/>
        <v>119357.97025874579</v>
      </c>
      <c r="AG616" s="1075">
        <f t="shared" si="948"/>
        <v>157416.7487155897</v>
      </c>
      <c r="AH616" s="1075">
        <f t="shared" si="948"/>
        <v>207369.21038216402</v>
      </c>
      <c r="AI616" s="1075">
        <f t="shared" si="948"/>
        <v>256182.78676784493</v>
      </c>
      <c r="AJ616" s="1075">
        <f t="shared" si="948"/>
        <v>304253.49955028569</v>
      </c>
      <c r="AK616" s="1075">
        <f t="shared" si="948"/>
        <v>351826.65044255776</v>
      </c>
      <c r="AL616" s="1075">
        <f t="shared" si="948"/>
        <v>399074.51052522135</v>
      </c>
      <c r="AM616" s="1075">
        <f t="shared" si="948"/>
        <v>400669.86926899425</v>
      </c>
      <c r="AN616" s="1075">
        <f t="shared" si="948"/>
        <v>402272.46213672956</v>
      </c>
      <c r="AO616" s="1075">
        <f t="shared" si="948"/>
        <v>403882.29767089704</v>
      </c>
      <c r="AP616" s="1075">
        <f t="shared" si="948"/>
        <v>405497.99162402272</v>
      </c>
      <c r="AQ616" s="1075">
        <f t="shared" si="948"/>
        <v>407120.94222070102</v>
      </c>
      <c r="AR616" s="1075">
        <f t="shared" si="948"/>
        <v>408753.25422643125</v>
      </c>
      <c r="AS616" s="1075">
        <f t="shared" si="948"/>
        <v>410392.90101973573</v>
      </c>
      <c r="AT616" s="1075">
        <f t="shared" si="948"/>
        <v>412039.89296786999</v>
      </c>
      <c r="AU616" s="1075">
        <f t="shared" si="948"/>
        <v>413692.83383465756</v>
      </c>
      <c r="AV616" s="1075">
        <f t="shared" si="948"/>
        <v>415353.13743825053</v>
      </c>
      <c r="AW616" s="1075">
        <f t="shared" si="948"/>
        <v>417017.43283429573</v>
      </c>
      <c r="AX616" s="1075">
        <f t="shared" si="948"/>
        <v>418688.98914228834</v>
      </c>
      <c r="AY616" s="1075">
        <f t="shared" si="948"/>
        <v>420367.89473451849</v>
      </c>
      <c r="AZ616" s="1075">
        <f t="shared" si="948"/>
        <v>422054.16567620629</v>
      </c>
      <c r="BA616" s="1205">
        <f t="shared" si="948"/>
        <v>423746.39433144539</v>
      </c>
    </row>
  </sheetData>
  <mergeCells count="74">
    <mergeCell ref="S138:T138"/>
    <mergeCell ref="U138:W138"/>
    <mergeCell ref="U276:X276"/>
    <mergeCell ref="U288:X288"/>
    <mergeCell ref="T128:U128"/>
    <mergeCell ref="T129:U129"/>
    <mergeCell ref="T131:U131"/>
    <mergeCell ref="T135:U135"/>
    <mergeCell ref="T136:U136"/>
    <mergeCell ref="T115:U115"/>
    <mergeCell ref="T116:U116"/>
    <mergeCell ref="T117:U117"/>
    <mergeCell ref="T124:U124"/>
    <mergeCell ref="T127:U127"/>
    <mergeCell ref="T119:U119"/>
    <mergeCell ref="U38:V38"/>
    <mergeCell ref="BH37:BK37"/>
    <mergeCell ref="BH31:BK31"/>
    <mergeCell ref="BH32:BK32"/>
    <mergeCell ref="BH33:BK33"/>
    <mergeCell ref="BH34:BK34"/>
    <mergeCell ref="BH35:BK35"/>
    <mergeCell ref="BH36:BK36"/>
    <mergeCell ref="B8:F8"/>
    <mergeCell ref="B9:F9"/>
    <mergeCell ref="B10:F10"/>
    <mergeCell ref="B11:F11"/>
    <mergeCell ref="X27:BA27"/>
    <mergeCell ref="B12:F12"/>
    <mergeCell ref="U27:W27"/>
    <mergeCell ref="G225:G226"/>
    <mergeCell ref="F147:F148"/>
    <mergeCell ref="G147:G148"/>
    <mergeCell ref="H201:H202"/>
    <mergeCell ref="F156:F157"/>
    <mergeCell ref="G188:G189"/>
    <mergeCell ref="F188:F189"/>
    <mergeCell ref="F224:F226"/>
    <mergeCell ref="F167:F168"/>
    <mergeCell ref="G167:G168"/>
    <mergeCell ref="H167:H169"/>
    <mergeCell ref="F179:F180"/>
    <mergeCell ref="G179:G180"/>
    <mergeCell ref="H180:H181"/>
    <mergeCell ref="B142:F142"/>
    <mergeCell ref="B124:O124"/>
    <mergeCell ref="B138:F138"/>
    <mergeCell ref="B139:F139"/>
    <mergeCell ref="B140:F140"/>
    <mergeCell ref="B141:F141"/>
    <mergeCell ref="X138:BA138"/>
    <mergeCell ref="U272:X272"/>
    <mergeCell ref="U273:X273"/>
    <mergeCell ref="U274:X274"/>
    <mergeCell ref="U275:X275"/>
    <mergeCell ref="U265:X265"/>
    <mergeCell ref="U266:X266"/>
    <mergeCell ref="U267:X267"/>
    <mergeCell ref="U268:X268"/>
    <mergeCell ref="U269:X269"/>
    <mergeCell ref="U458:V458"/>
    <mergeCell ref="U466:V466"/>
    <mergeCell ref="U277:X277"/>
    <mergeCell ref="T341:U341"/>
    <mergeCell ref="T342:U342"/>
    <mergeCell ref="T343:U343"/>
    <mergeCell ref="T344:U344"/>
    <mergeCell ref="T345:U345"/>
    <mergeCell ref="U450:V450"/>
    <mergeCell ref="V281:X281"/>
    <mergeCell ref="V282:X282"/>
    <mergeCell ref="V283:X283"/>
    <mergeCell ref="U286:X286"/>
    <mergeCell ref="U287:X287"/>
  </mergeCells>
  <pageMargins left="0.7" right="0.7" top="0.75" bottom="0.75" header="0.3" footer="0.3"/>
  <pageSetup paperSize="9" scale="98" orientation="portrait" r:id="rId1"/>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452" r:id="rId4" name="Drop Down 284">
              <controlPr defaultSize="0" autoLine="0" autoPict="0">
                <anchor moveWithCells="1">
                  <from>
                    <xdr:col>5</xdr:col>
                    <xdr:colOff>314325</xdr:colOff>
                    <xdr:row>17</xdr:row>
                    <xdr:rowOff>228600</xdr:rowOff>
                  </from>
                  <to>
                    <xdr:col>6</xdr:col>
                    <xdr:colOff>838200</xdr:colOff>
                    <xdr:row>18</xdr:row>
                    <xdr:rowOff>219075</xdr:rowOff>
                  </to>
                </anchor>
              </controlPr>
            </control>
          </mc:Choice>
        </mc:AlternateContent>
        <mc:AlternateContent xmlns:mc="http://schemas.openxmlformats.org/markup-compatibility/2006">
          <mc:Choice Requires="x14">
            <control shapeId="7453" r:id="rId5" name="Drop Down 285">
              <controlPr defaultSize="0" autoLine="0" autoPict="0">
                <anchor moveWithCells="1">
                  <from>
                    <xdr:col>5</xdr:col>
                    <xdr:colOff>314325</xdr:colOff>
                    <xdr:row>18</xdr:row>
                    <xdr:rowOff>238125</xdr:rowOff>
                  </from>
                  <to>
                    <xdr:col>6</xdr:col>
                    <xdr:colOff>838200</xdr:colOff>
                    <xdr:row>19</xdr:row>
                    <xdr:rowOff>219075</xdr:rowOff>
                  </to>
                </anchor>
              </controlPr>
            </control>
          </mc:Choice>
        </mc:AlternateContent>
        <mc:AlternateContent xmlns:mc="http://schemas.openxmlformats.org/markup-compatibility/2006">
          <mc:Choice Requires="x14">
            <control shapeId="7454" r:id="rId6" name="Drop Down 286">
              <controlPr defaultSize="0" autoLine="0" autoPict="0">
                <anchor moveWithCells="1">
                  <from>
                    <xdr:col>5</xdr:col>
                    <xdr:colOff>314325</xdr:colOff>
                    <xdr:row>19</xdr:row>
                    <xdr:rowOff>238125</xdr:rowOff>
                  </from>
                  <to>
                    <xdr:col>6</xdr:col>
                    <xdr:colOff>838200</xdr:colOff>
                    <xdr:row>20</xdr:row>
                    <xdr:rowOff>219075</xdr:rowOff>
                  </to>
                </anchor>
              </controlPr>
            </control>
          </mc:Choice>
        </mc:AlternateContent>
        <mc:AlternateContent xmlns:mc="http://schemas.openxmlformats.org/markup-compatibility/2006">
          <mc:Choice Requires="x14">
            <control shapeId="7455" r:id="rId7" name="Drop Down 287">
              <controlPr defaultSize="0" autoLine="0" autoPict="0">
                <anchor moveWithCells="1">
                  <from>
                    <xdr:col>5</xdr:col>
                    <xdr:colOff>314325</xdr:colOff>
                    <xdr:row>20</xdr:row>
                    <xdr:rowOff>238125</xdr:rowOff>
                  </from>
                  <to>
                    <xdr:col>6</xdr:col>
                    <xdr:colOff>838200</xdr:colOff>
                    <xdr:row>21</xdr:row>
                    <xdr:rowOff>219075</xdr:rowOff>
                  </to>
                </anchor>
              </controlPr>
            </control>
          </mc:Choice>
        </mc:AlternateContent>
        <mc:AlternateContent xmlns:mc="http://schemas.openxmlformats.org/markup-compatibility/2006">
          <mc:Choice Requires="x14">
            <control shapeId="7458" r:id="rId8" name="Drop Down 290">
              <controlPr defaultSize="0" autoLine="0" autoPict="0">
                <anchor moveWithCells="1">
                  <from>
                    <xdr:col>4</xdr:col>
                    <xdr:colOff>619125</xdr:colOff>
                    <xdr:row>128</xdr:row>
                    <xdr:rowOff>9525</xdr:rowOff>
                  </from>
                  <to>
                    <xdr:col>5</xdr:col>
                    <xdr:colOff>685800</xdr:colOff>
                    <xdr:row>129</xdr:row>
                    <xdr:rowOff>0</xdr:rowOff>
                  </to>
                </anchor>
              </controlPr>
            </control>
          </mc:Choice>
        </mc:AlternateContent>
        <mc:AlternateContent xmlns:mc="http://schemas.openxmlformats.org/markup-compatibility/2006">
          <mc:Choice Requires="x14">
            <control shapeId="7459" r:id="rId9" name="Drop Down 291">
              <controlPr defaultSize="0" autoLine="0" autoPict="0">
                <anchor moveWithCells="1">
                  <from>
                    <xdr:col>5</xdr:col>
                    <xdr:colOff>752475</xdr:colOff>
                    <xdr:row>128</xdr:row>
                    <xdr:rowOff>9525</xdr:rowOff>
                  </from>
                  <to>
                    <xdr:col>6</xdr:col>
                    <xdr:colOff>828675</xdr:colOff>
                    <xdr:row>129</xdr:row>
                    <xdr:rowOff>0</xdr:rowOff>
                  </to>
                </anchor>
              </controlPr>
            </control>
          </mc:Choice>
        </mc:AlternateContent>
        <mc:AlternateContent xmlns:mc="http://schemas.openxmlformats.org/markup-compatibility/2006">
          <mc:Choice Requires="x14">
            <control shapeId="7462" r:id="rId10" name="Drop Down 294">
              <controlPr defaultSize="0" autoLine="0" autoPict="0">
                <anchor moveWithCells="1">
                  <from>
                    <xdr:col>4</xdr:col>
                    <xdr:colOff>809625</xdr:colOff>
                    <xdr:row>150</xdr:row>
                    <xdr:rowOff>9525</xdr:rowOff>
                  </from>
                  <to>
                    <xdr:col>6</xdr:col>
                    <xdr:colOff>9525</xdr:colOff>
                    <xdr:row>151</xdr:row>
                    <xdr:rowOff>0</xdr:rowOff>
                  </to>
                </anchor>
              </controlPr>
            </control>
          </mc:Choice>
        </mc:AlternateContent>
        <mc:AlternateContent xmlns:mc="http://schemas.openxmlformats.org/markup-compatibility/2006">
          <mc:Choice Requires="x14">
            <control shapeId="7463" r:id="rId11" name="Drop Down 295">
              <controlPr defaultSize="0" autoLine="0" autoPict="0">
                <anchor moveWithCells="1">
                  <from>
                    <xdr:col>6</xdr:col>
                    <xdr:colOff>0</xdr:colOff>
                    <xdr:row>150</xdr:row>
                    <xdr:rowOff>9525</xdr:rowOff>
                  </from>
                  <to>
                    <xdr:col>7</xdr:col>
                    <xdr:colOff>57150</xdr:colOff>
                    <xdr:row>151</xdr:row>
                    <xdr:rowOff>0</xdr:rowOff>
                  </to>
                </anchor>
              </controlPr>
            </control>
          </mc:Choice>
        </mc:AlternateContent>
        <mc:AlternateContent xmlns:mc="http://schemas.openxmlformats.org/markup-compatibility/2006">
          <mc:Choice Requires="x14">
            <control shapeId="7475" r:id="rId12" name="Drop Down 307">
              <controlPr defaultSize="0" autoLine="0" autoPict="0">
                <anchor moveWithCells="1">
                  <from>
                    <xdr:col>6</xdr:col>
                    <xdr:colOff>0</xdr:colOff>
                    <xdr:row>176</xdr:row>
                    <xdr:rowOff>9525</xdr:rowOff>
                  </from>
                  <to>
                    <xdr:col>7</xdr:col>
                    <xdr:colOff>57150</xdr:colOff>
                    <xdr:row>177</xdr:row>
                    <xdr:rowOff>0</xdr:rowOff>
                  </to>
                </anchor>
              </controlPr>
            </control>
          </mc:Choice>
        </mc:AlternateContent>
        <mc:AlternateContent xmlns:mc="http://schemas.openxmlformats.org/markup-compatibility/2006">
          <mc:Choice Requires="x14">
            <control shapeId="7476" r:id="rId13" name="Drop Down 308">
              <controlPr defaultSize="0" autoLine="0" autoPict="0">
                <anchor moveWithCells="1">
                  <from>
                    <xdr:col>4</xdr:col>
                    <xdr:colOff>800100</xdr:colOff>
                    <xdr:row>176</xdr:row>
                    <xdr:rowOff>9525</xdr:rowOff>
                  </from>
                  <to>
                    <xdr:col>6</xdr:col>
                    <xdr:colOff>0</xdr:colOff>
                    <xdr:row>177</xdr:row>
                    <xdr:rowOff>0</xdr:rowOff>
                  </to>
                </anchor>
              </controlPr>
            </control>
          </mc:Choice>
        </mc:AlternateContent>
        <mc:AlternateContent xmlns:mc="http://schemas.openxmlformats.org/markup-compatibility/2006">
          <mc:Choice Requires="x14">
            <control shapeId="7486" r:id="rId14" name="Drop Down 318">
              <controlPr defaultSize="0" autoLine="0" autoPict="0">
                <anchor moveWithCells="1">
                  <from>
                    <xdr:col>4</xdr:col>
                    <xdr:colOff>809625</xdr:colOff>
                    <xdr:row>159</xdr:row>
                    <xdr:rowOff>9525</xdr:rowOff>
                  </from>
                  <to>
                    <xdr:col>6</xdr:col>
                    <xdr:colOff>9525</xdr:colOff>
                    <xdr:row>160</xdr:row>
                    <xdr:rowOff>0</xdr:rowOff>
                  </to>
                </anchor>
              </controlPr>
            </control>
          </mc:Choice>
        </mc:AlternateContent>
        <mc:AlternateContent xmlns:mc="http://schemas.openxmlformats.org/markup-compatibility/2006">
          <mc:Choice Requires="x14">
            <control shapeId="7487" r:id="rId15" name="Drop Down 319">
              <controlPr defaultSize="0" autoLine="0" autoPict="0">
                <anchor moveWithCells="1">
                  <from>
                    <xdr:col>6</xdr:col>
                    <xdr:colOff>0</xdr:colOff>
                    <xdr:row>159</xdr:row>
                    <xdr:rowOff>9525</xdr:rowOff>
                  </from>
                  <to>
                    <xdr:col>7</xdr:col>
                    <xdr:colOff>57150</xdr:colOff>
                    <xdr:row>160</xdr:row>
                    <xdr:rowOff>0</xdr:rowOff>
                  </to>
                </anchor>
              </controlPr>
            </control>
          </mc:Choice>
        </mc:AlternateContent>
        <mc:AlternateContent xmlns:mc="http://schemas.openxmlformats.org/markup-compatibility/2006">
          <mc:Choice Requires="x14">
            <control shapeId="7522" r:id="rId16" name="Drop Down 354">
              <controlPr defaultSize="0" autoLine="0" autoPict="0">
                <anchor moveWithCells="1">
                  <from>
                    <xdr:col>6</xdr:col>
                    <xdr:colOff>0</xdr:colOff>
                    <xdr:row>186</xdr:row>
                    <xdr:rowOff>9525</xdr:rowOff>
                  </from>
                  <to>
                    <xdr:col>7</xdr:col>
                    <xdr:colOff>57150</xdr:colOff>
                    <xdr:row>187</xdr:row>
                    <xdr:rowOff>0</xdr:rowOff>
                  </to>
                </anchor>
              </controlPr>
            </control>
          </mc:Choice>
        </mc:AlternateContent>
        <mc:AlternateContent xmlns:mc="http://schemas.openxmlformats.org/markup-compatibility/2006">
          <mc:Choice Requires="x14">
            <control shapeId="7523" r:id="rId17" name="Drop Down 355">
              <controlPr defaultSize="0" autoLine="0" autoPict="0">
                <anchor moveWithCells="1">
                  <from>
                    <xdr:col>4</xdr:col>
                    <xdr:colOff>800100</xdr:colOff>
                    <xdr:row>186</xdr:row>
                    <xdr:rowOff>9525</xdr:rowOff>
                  </from>
                  <to>
                    <xdr:col>6</xdr:col>
                    <xdr:colOff>0</xdr:colOff>
                    <xdr:row>187</xdr:row>
                    <xdr:rowOff>0</xdr:rowOff>
                  </to>
                </anchor>
              </controlPr>
            </control>
          </mc:Choice>
        </mc:AlternateContent>
        <mc:AlternateContent xmlns:mc="http://schemas.openxmlformats.org/markup-compatibility/2006">
          <mc:Choice Requires="x14">
            <control shapeId="7526" r:id="rId18" name="Drop Down 358">
              <controlPr defaultSize="0" autoLine="0" autoPict="0">
                <anchor moveWithCells="1">
                  <from>
                    <xdr:col>6</xdr:col>
                    <xdr:colOff>9525</xdr:colOff>
                    <xdr:row>197</xdr:row>
                    <xdr:rowOff>19050</xdr:rowOff>
                  </from>
                  <to>
                    <xdr:col>7</xdr:col>
                    <xdr:colOff>57150</xdr:colOff>
                    <xdr:row>198</xdr:row>
                    <xdr:rowOff>9525</xdr:rowOff>
                  </to>
                </anchor>
              </controlPr>
            </control>
          </mc:Choice>
        </mc:AlternateContent>
        <mc:AlternateContent xmlns:mc="http://schemas.openxmlformats.org/markup-compatibility/2006">
          <mc:Choice Requires="x14">
            <control shapeId="7527" r:id="rId19" name="Drop Down 359">
              <controlPr defaultSize="0" autoLine="0" autoPict="0">
                <anchor moveWithCells="1">
                  <from>
                    <xdr:col>4</xdr:col>
                    <xdr:colOff>819150</xdr:colOff>
                    <xdr:row>197</xdr:row>
                    <xdr:rowOff>28575</xdr:rowOff>
                  </from>
                  <to>
                    <xdr:col>6</xdr:col>
                    <xdr:colOff>19050</xdr:colOff>
                    <xdr:row>198</xdr:row>
                    <xdr:rowOff>19050</xdr:rowOff>
                  </to>
                </anchor>
              </controlPr>
            </control>
          </mc:Choice>
        </mc:AlternateContent>
        <mc:AlternateContent xmlns:mc="http://schemas.openxmlformats.org/markup-compatibility/2006">
          <mc:Choice Requires="x14">
            <control shapeId="7530" r:id="rId20" name="Drop Down 362">
              <controlPr defaultSize="0" autoLine="0" autoPict="0">
                <anchor moveWithCells="1">
                  <from>
                    <xdr:col>6</xdr:col>
                    <xdr:colOff>9525</xdr:colOff>
                    <xdr:row>219</xdr:row>
                    <xdr:rowOff>19050</xdr:rowOff>
                  </from>
                  <to>
                    <xdr:col>7</xdr:col>
                    <xdr:colOff>57150</xdr:colOff>
                    <xdr:row>220</xdr:row>
                    <xdr:rowOff>9525</xdr:rowOff>
                  </to>
                </anchor>
              </controlPr>
            </control>
          </mc:Choice>
        </mc:AlternateContent>
        <mc:AlternateContent xmlns:mc="http://schemas.openxmlformats.org/markup-compatibility/2006">
          <mc:Choice Requires="x14">
            <control shapeId="7531" r:id="rId21" name="Drop Down 363">
              <controlPr defaultSize="0" autoLine="0" autoPict="0">
                <anchor moveWithCells="1">
                  <from>
                    <xdr:col>4</xdr:col>
                    <xdr:colOff>809625</xdr:colOff>
                    <xdr:row>219</xdr:row>
                    <xdr:rowOff>19050</xdr:rowOff>
                  </from>
                  <to>
                    <xdr:col>6</xdr:col>
                    <xdr:colOff>9525</xdr:colOff>
                    <xdr:row>220</xdr:row>
                    <xdr:rowOff>9525</xdr:rowOff>
                  </to>
                </anchor>
              </controlPr>
            </control>
          </mc:Choice>
        </mc:AlternateContent>
        <mc:AlternateContent xmlns:mc="http://schemas.openxmlformats.org/markup-compatibility/2006">
          <mc:Choice Requires="x14">
            <control shapeId="7534" r:id="rId22" name="Drop Down 366">
              <controlPr defaultSize="0" autoLine="0" autoPict="0">
                <anchor moveWithCells="1">
                  <from>
                    <xdr:col>6</xdr:col>
                    <xdr:colOff>19050</xdr:colOff>
                    <xdr:row>229</xdr:row>
                    <xdr:rowOff>19050</xdr:rowOff>
                  </from>
                  <to>
                    <xdr:col>7</xdr:col>
                    <xdr:colOff>85725</xdr:colOff>
                    <xdr:row>230</xdr:row>
                    <xdr:rowOff>9525</xdr:rowOff>
                  </to>
                </anchor>
              </controlPr>
            </control>
          </mc:Choice>
        </mc:AlternateContent>
        <mc:AlternateContent xmlns:mc="http://schemas.openxmlformats.org/markup-compatibility/2006">
          <mc:Choice Requires="x14">
            <control shapeId="7535" r:id="rId23" name="Drop Down 367">
              <controlPr defaultSize="0" autoLine="0" autoPict="0">
                <anchor moveWithCells="1">
                  <from>
                    <xdr:col>4</xdr:col>
                    <xdr:colOff>809625</xdr:colOff>
                    <xdr:row>229</xdr:row>
                    <xdr:rowOff>19050</xdr:rowOff>
                  </from>
                  <to>
                    <xdr:col>6</xdr:col>
                    <xdr:colOff>19050</xdr:colOff>
                    <xdr:row>230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V104"/>
  <sheetViews>
    <sheetView showRowColHeaders="0" zoomScaleNormal="100" zoomScaleSheetLayoutView="100" workbookViewId="0">
      <pane ySplit="1" topLeftCell="A2" activePane="bottomLeft" state="frozen"/>
      <selection pane="bottomLeft"/>
    </sheetView>
  </sheetViews>
  <sheetFormatPr defaultRowHeight="20.100000000000001" customHeight="1" outlineLevelRow="1"/>
  <cols>
    <col min="1" max="1" width="4.7109375" style="417" customWidth="1"/>
    <col min="2" max="2" width="30.7109375" style="417" customWidth="1"/>
    <col min="3" max="8" width="12.7109375" style="417" customWidth="1"/>
    <col min="9" max="9" width="9.140625" style="417"/>
    <col min="10" max="10" width="120.7109375" style="417" customWidth="1"/>
    <col min="11" max="13" width="9.140625" style="417"/>
    <col min="14" max="14" width="12.7109375" style="417" customWidth="1"/>
    <col min="15" max="15" width="50.7109375" style="417" customWidth="1"/>
    <col min="16" max="45" width="10.7109375" style="417" customWidth="1"/>
    <col min="46" max="46" width="9.140625" style="417"/>
    <col min="47" max="47" width="10.7109375" style="417" customWidth="1"/>
    <col min="48" max="48" width="22.5703125" style="417" bestFit="1" customWidth="1"/>
    <col min="49" max="16384" width="9.140625" style="417"/>
  </cols>
  <sheetData>
    <row r="1" spans="1:45" s="415" customFormat="1" ht="30" customHeight="1">
      <c r="B1" s="53" t="s">
        <v>1510</v>
      </c>
    </row>
    <row r="2" spans="1:45" s="1339" customFormat="1" ht="249.95" hidden="1" customHeight="1" outlineLevel="1">
      <c r="B2" s="1337"/>
    </row>
    <row r="3" spans="1:45" ht="20.100000000000001" customHeight="1" collapsed="1">
      <c r="B3" s="1456" t="s">
        <v>272</v>
      </c>
      <c r="C3" s="1456"/>
      <c r="D3" s="1456"/>
      <c r="E3" s="1456"/>
      <c r="F3" s="1456"/>
      <c r="G3" s="1456"/>
      <c r="H3" s="1456"/>
      <c r="I3" s="1456"/>
      <c r="J3" s="416"/>
    </row>
    <row r="4" spans="1:45" ht="20.100000000000001" customHeight="1">
      <c r="B4" s="222"/>
      <c r="C4" s="399"/>
      <c r="D4" s="399"/>
      <c r="E4" s="399"/>
      <c r="F4" s="399"/>
      <c r="G4" s="399"/>
      <c r="H4" s="399"/>
      <c r="I4" s="273"/>
      <c r="J4" s="273"/>
      <c r="O4" s="418" t="s">
        <v>814</v>
      </c>
    </row>
    <row r="5" spans="1:45" ht="20.100000000000001" customHeight="1">
      <c r="B5" s="1340" t="s">
        <v>840</v>
      </c>
      <c r="C5" s="399"/>
      <c r="D5" s="399"/>
      <c r="E5" s="399"/>
      <c r="F5" s="399"/>
      <c r="G5" s="399"/>
      <c r="H5" s="399"/>
      <c r="I5" s="273"/>
      <c r="J5" s="273"/>
      <c r="O5" s="419"/>
      <c r="P5" s="220">
        <v>2021</v>
      </c>
      <c r="Q5" s="220">
        <f>P5+1</f>
        <v>2022</v>
      </c>
      <c r="R5" s="220">
        <f t="shared" ref="R5:AS5" si="0">Q5+1</f>
        <v>2023</v>
      </c>
      <c r="S5" s="220">
        <f t="shared" si="0"/>
        <v>2024</v>
      </c>
      <c r="T5" s="220">
        <f t="shared" si="0"/>
        <v>2025</v>
      </c>
      <c r="U5" s="220">
        <f t="shared" si="0"/>
        <v>2026</v>
      </c>
      <c r="V5" s="220">
        <f t="shared" si="0"/>
        <v>2027</v>
      </c>
      <c r="W5" s="220">
        <f t="shared" si="0"/>
        <v>2028</v>
      </c>
      <c r="X5" s="220">
        <f t="shared" si="0"/>
        <v>2029</v>
      </c>
      <c r="Y5" s="220">
        <f t="shared" si="0"/>
        <v>2030</v>
      </c>
      <c r="Z5" s="220">
        <f t="shared" si="0"/>
        <v>2031</v>
      </c>
      <c r="AA5" s="220">
        <f t="shared" si="0"/>
        <v>2032</v>
      </c>
      <c r="AB5" s="220">
        <f t="shared" si="0"/>
        <v>2033</v>
      </c>
      <c r="AC5" s="220">
        <f t="shared" si="0"/>
        <v>2034</v>
      </c>
      <c r="AD5" s="220">
        <f t="shared" si="0"/>
        <v>2035</v>
      </c>
      <c r="AE5" s="220">
        <f t="shared" si="0"/>
        <v>2036</v>
      </c>
      <c r="AF5" s="220">
        <f t="shared" si="0"/>
        <v>2037</v>
      </c>
      <c r="AG5" s="220">
        <f t="shared" si="0"/>
        <v>2038</v>
      </c>
      <c r="AH5" s="220">
        <f t="shared" si="0"/>
        <v>2039</v>
      </c>
      <c r="AI5" s="220">
        <f t="shared" si="0"/>
        <v>2040</v>
      </c>
      <c r="AJ5" s="220">
        <f t="shared" si="0"/>
        <v>2041</v>
      </c>
      <c r="AK5" s="220">
        <f t="shared" si="0"/>
        <v>2042</v>
      </c>
      <c r="AL5" s="220">
        <f t="shared" si="0"/>
        <v>2043</v>
      </c>
      <c r="AM5" s="220">
        <f t="shared" si="0"/>
        <v>2044</v>
      </c>
      <c r="AN5" s="220">
        <f t="shared" si="0"/>
        <v>2045</v>
      </c>
      <c r="AO5" s="220">
        <f t="shared" si="0"/>
        <v>2046</v>
      </c>
      <c r="AP5" s="220">
        <f t="shared" si="0"/>
        <v>2047</v>
      </c>
      <c r="AQ5" s="220">
        <f t="shared" si="0"/>
        <v>2048</v>
      </c>
      <c r="AR5" s="220">
        <f t="shared" si="0"/>
        <v>2049</v>
      </c>
      <c r="AS5" s="220">
        <f t="shared" si="0"/>
        <v>2050</v>
      </c>
    </row>
    <row r="6" spans="1:45" ht="20.100000000000001" customHeight="1">
      <c r="B6" s="222"/>
      <c r="C6" s="399"/>
      <c r="D6" s="399"/>
      <c r="E6" s="399"/>
      <c r="F6" s="399"/>
      <c r="G6" s="399"/>
      <c r="H6" s="399"/>
      <c r="I6" s="273"/>
      <c r="J6" s="273"/>
      <c r="O6" s="280" t="s">
        <v>813</v>
      </c>
      <c r="P6" s="420">
        <f>TRANSPORT!X204</f>
        <v>0</v>
      </c>
      <c r="Q6" s="282">
        <f>TRANSPORT!Y204</f>
        <v>0</v>
      </c>
      <c r="R6" s="282">
        <f>TRANSPORT!Z204</f>
        <v>194942</v>
      </c>
      <c r="S6" s="282">
        <f>TRANSPORT!AA204</f>
        <v>195916</v>
      </c>
      <c r="T6" s="282">
        <f>TRANSPORT!AB204</f>
        <v>196895</v>
      </c>
      <c r="U6" s="282">
        <f>TRANSPORT!AC204</f>
        <v>197879</v>
      </c>
      <c r="V6" s="282">
        <f>TRANSPORT!AD204</f>
        <v>198868</v>
      </c>
      <c r="W6" s="282">
        <f>TRANSPORT!AE204</f>
        <v>199862</v>
      </c>
      <c r="X6" s="282">
        <f>TRANSPORT!AF204</f>
        <v>200861</v>
      </c>
      <c r="Y6" s="282">
        <f>TRANSPORT!AG204</f>
        <v>235198</v>
      </c>
      <c r="Z6" s="282">
        <f>TRANSPORT!AH204</f>
        <v>268934</v>
      </c>
      <c r="AA6" s="282">
        <f>TRANSPORT!AI204</f>
        <v>302671</v>
      </c>
      <c r="AB6" s="282">
        <f>TRANSPORT!AJ204</f>
        <v>336409</v>
      </c>
      <c r="AC6" s="282">
        <f>TRANSPORT!AK204</f>
        <v>370148</v>
      </c>
      <c r="AD6" s="282">
        <f>TRANSPORT!AL204</f>
        <v>403887</v>
      </c>
      <c r="AE6" s="282">
        <f>TRANSPORT!AM204</f>
        <v>404694</v>
      </c>
      <c r="AF6" s="282">
        <f>TRANSPORT!AN204</f>
        <v>405503</v>
      </c>
      <c r="AG6" s="282">
        <f>TRANSPORT!AO204</f>
        <v>406314</v>
      </c>
      <c r="AH6" s="282">
        <f>TRANSPORT!AP204</f>
        <v>407126</v>
      </c>
      <c r="AI6" s="282">
        <f>TRANSPORT!AQ204</f>
        <v>407940</v>
      </c>
      <c r="AJ6" s="282">
        <f>TRANSPORT!AR204</f>
        <v>408755</v>
      </c>
      <c r="AK6" s="282">
        <f>TRANSPORT!AS204</f>
        <v>409572</v>
      </c>
      <c r="AL6" s="282">
        <f>TRANSPORT!AT204</f>
        <v>410391</v>
      </c>
      <c r="AM6" s="282">
        <f>TRANSPORT!AU204</f>
        <v>411211</v>
      </c>
      <c r="AN6" s="282">
        <f>TRANSPORT!AV204</f>
        <v>412033</v>
      </c>
      <c r="AO6" s="282">
        <f>TRANSPORT!AW204</f>
        <v>412856</v>
      </c>
      <c r="AP6" s="282">
        <f>TRANSPORT!AX204</f>
        <v>413681</v>
      </c>
      <c r="AQ6" s="282">
        <f>TRANSPORT!AY204</f>
        <v>414508</v>
      </c>
      <c r="AR6" s="282">
        <f>TRANSPORT!AZ204</f>
        <v>415337</v>
      </c>
      <c r="AS6" s="282">
        <f>TRANSPORT!BA204</f>
        <v>416167</v>
      </c>
    </row>
    <row r="7" spans="1:45" ht="20.100000000000001" customHeight="1">
      <c r="B7" s="222"/>
      <c r="C7" s="399"/>
      <c r="D7" s="399"/>
      <c r="E7" s="399"/>
      <c r="F7" s="399"/>
      <c r="G7" s="399"/>
      <c r="H7" s="399"/>
      <c r="I7" s="273"/>
      <c r="J7" s="273"/>
    </row>
    <row r="8" spans="1:45" ht="20.100000000000001" customHeight="1">
      <c r="B8" s="222"/>
      <c r="C8" s="399"/>
      <c r="D8" s="399"/>
      <c r="E8" s="399"/>
      <c r="F8" s="399"/>
      <c r="G8" s="399"/>
      <c r="H8" s="399"/>
      <c r="I8" s="273"/>
      <c r="J8" s="273"/>
      <c r="O8" s="418" t="s">
        <v>841</v>
      </c>
    </row>
    <row r="9" spans="1:45" ht="20.100000000000001" customHeight="1">
      <c r="B9" s="222"/>
      <c r="C9" s="399"/>
      <c r="D9" s="399"/>
      <c r="E9" s="399"/>
      <c r="F9" s="399"/>
      <c r="G9" s="399"/>
      <c r="H9" s="399"/>
      <c r="I9" s="273"/>
      <c r="J9" s="273"/>
      <c r="O9" s="280" t="s">
        <v>311</v>
      </c>
      <c r="P9" s="270">
        <v>2021</v>
      </c>
      <c r="Q9" s="220">
        <f>P9+1</f>
        <v>2022</v>
      </c>
      <c r="R9" s="220">
        <f t="shared" ref="R9:AR9" si="1">Q9+1</f>
        <v>2023</v>
      </c>
      <c r="S9" s="220">
        <f t="shared" si="1"/>
        <v>2024</v>
      </c>
      <c r="T9" s="220">
        <f t="shared" si="1"/>
        <v>2025</v>
      </c>
      <c r="U9" s="220">
        <f t="shared" si="1"/>
        <v>2026</v>
      </c>
      <c r="V9" s="220">
        <f t="shared" si="1"/>
        <v>2027</v>
      </c>
      <c r="W9" s="220">
        <f t="shared" si="1"/>
        <v>2028</v>
      </c>
      <c r="X9" s="220">
        <f t="shared" si="1"/>
        <v>2029</v>
      </c>
      <c r="Y9" s="220">
        <f t="shared" si="1"/>
        <v>2030</v>
      </c>
      <c r="Z9" s="220">
        <f t="shared" si="1"/>
        <v>2031</v>
      </c>
      <c r="AA9" s="220">
        <f t="shared" si="1"/>
        <v>2032</v>
      </c>
      <c r="AB9" s="220">
        <f t="shared" si="1"/>
        <v>2033</v>
      </c>
      <c r="AC9" s="220">
        <f t="shared" si="1"/>
        <v>2034</v>
      </c>
      <c r="AD9" s="220">
        <f t="shared" si="1"/>
        <v>2035</v>
      </c>
      <c r="AE9" s="220">
        <f t="shared" si="1"/>
        <v>2036</v>
      </c>
      <c r="AF9" s="220">
        <f t="shared" si="1"/>
        <v>2037</v>
      </c>
      <c r="AG9" s="220">
        <f t="shared" si="1"/>
        <v>2038</v>
      </c>
      <c r="AH9" s="220">
        <f t="shared" si="1"/>
        <v>2039</v>
      </c>
      <c r="AI9" s="220">
        <f t="shared" si="1"/>
        <v>2040</v>
      </c>
      <c r="AJ9" s="220">
        <f t="shared" si="1"/>
        <v>2041</v>
      </c>
      <c r="AK9" s="220">
        <f t="shared" si="1"/>
        <v>2042</v>
      </c>
      <c r="AL9" s="220">
        <f t="shared" si="1"/>
        <v>2043</v>
      </c>
      <c r="AM9" s="220">
        <f t="shared" si="1"/>
        <v>2044</v>
      </c>
      <c r="AN9" s="220">
        <f t="shared" si="1"/>
        <v>2045</v>
      </c>
      <c r="AO9" s="220">
        <f t="shared" si="1"/>
        <v>2046</v>
      </c>
      <c r="AP9" s="220">
        <f t="shared" si="1"/>
        <v>2047</v>
      </c>
      <c r="AQ9" s="220">
        <f t="shared" si="1"/>
        <v>2048</v>
      </c>
      <c r="AR9" s="220">
        <f t="shared" si="1"/>
        <v>2049</v>
      </c>
      <c r="AS9" s="220">
        <f>AR9+1</f>
        <v>2050</v>
      </c>
    </row>
    <row r="10" spans="1:45" ht="20.100000000000001" customHeight="1">
      <c r="B10" s="222"/>
      <c r="C10" s="399"/>
      <c r="D10" s="399"/>
      <c r="E10" s="399"/>
      <c r="F10" s="399"/>
      <c r="G10" s="399"/>
      <c r="H10" s="399"/>
      <c r="I10" s="273"/>
      <c r="J10" s="273"/>
      <c r="O10" s="280" t="s">
        <v>781</v>
      </c>
      <c r="P10" s="280"/>
      <c r="Q10" s="262">
        <f>INDEX('DEFAULT DATA'!LY9:LY41,START!C3,1)</f>
        <v>0</v>
      </c>
      <c r="R10" s="262">
        <f>Q10*(100+INDEX('DEFAULT DATA'!$LZ$9:$MB$41,START!$C$3,1))/100</f>
        <v>0</v>
      </c>
      <c r="S10" s="262">
        <f>R10*(100+INDEX('DEFAULT DATA'!$LZ$9:$MB$41,START!$C$3,1))/100</f>
        <v>0</v>
      </c>
      <c r="T10" s="262">
        <f>S10*(100+INDEX('DEFAULT DATA'!$LZ$9:$MB$41,START!$C$3,1))/100</f>
        <v>0</v>
      </c>
      <c r="U10" s="262">
        <f>T10*(100+INDEX('DEFAULT DATA'!$LZ$9:$MB$41,START!$C$3,1))/100</f>
        <v>0</v>
      </c>
      <c r="V10" s="262">
        <f>U10*(100+INDEX('DEFAULT DATA'!$LZ$9:$MB$41,START!$C$3,1))/100</f>
        <v>0</v>
      </c>
      <c r="W10" s="262">
        <f>V10*(100+INDEX('DEFAULT DATA'!$LZ$9:$MB$41,START!$C$3,1))/100</f>
        <v>0</v>
      </c>
      <c r="X10" s="262">
        <f>W10*(100+INDEX('DEFAULT DATA'!$LZ$9:$MB$41,START!$C$3,1))/100</f>
        <v>0</v>
      </c>
      <c r="Y10" s="262">
        <f>X10*(100+INDEX('DEFAULT DATA'!$LZ$9:$MB$41,START!$C$3,1))/100</f>
        <v>0</v>
      </c>
      <c r="Z10" s="262">
        <f>Y10*(100+INDEX('DEFAULT DATA'!$LZ$9:$MB$41,START!$C$3,2))/100</f>
        <v>0</v>
      </c>
      <c r="AA10" s="262">
        <f>Z10*(100+INDEX('DEFAULT DATA'!$LZ$9:$MB$41,START!$C$3,2))/100</f>
        <v>0</v>
      </c>
      <c r="AB10" s="262">
        <f>AA10*(100+INDEX('DEFAULT DATA'!$LZ$9:$MB$41,START!$C$3,2))/100</f>
        <v>0</v>
      </c>
      <c r="AC10" s="262">
        <f>AB10*(100+INDEX('DEFAULT DATA'!$LZ$9:$MB$41,START!$C$3,2))/100</f>
        <v>0</v>
      </c>
      <c r="AD10" s="262">
        <f>AC10*(100+INDEX('DEFAULT DATA'!$LZ$9:$MB$41,START!$C$3,2))/100</f>
        <v>0</v>
      </c>
      <c r="AE10" s="262">
        <f>AD10*(100+INDEX('DEFAULT DATA'!$LZ$9:$MB$41,START!$C$3,2))/100</f>
        <v>0</v>
      </c>
      <c r="AF10" s="262">
        <f>AE10*(100+INDEX('DEFAULT DATA'!$LZ$9:$MB$41,START!$C$3,2))/100</f>
        <v>0</v>
      </c>
      <c r="AG10" s="262">
        <f>AF10*(100+INDEX('DEFAULT DATA'!$LZ$9:$MB$41,START!$C$3,2))/100</f>
        <v>0</v>
      </c>
      <c r="AH10" s="262">
        <f>AG10*(100+INDEX('DEFAULT DATA'!$LZ$9:$MB$41,START!$C$3,2))/100</f>
        <v>0</v>
      </c>
      <c r="AI10" s="262">
        <f>AH10*(100+INDEX('DEFAULT DATA'!$LZ$9:$MB$41,START!$C$3,2))/100</f>
        <v>0</v>
      </c>
      <c r="AJ10" s="262">
        <f>AI10*(100+INDEX('DEFAULT DATA'!$LZ$9:$MB$41,START!$C$3,3))/100</f>
        <v>0</v>
      </c>
      <c r="AK10" s="262">
        <f>AJ10*(100+INDEX('DEFAULT DATA'!$LZ$9:$MB$41,START!$C$3,3))/100</f>
        <v>0</v>
      </c>
      <c r="AL10" s="262">
        <f>AK10*(100+INDEX('DEFAULT DATA'!$LZ$9:$MB$41,START!$C$3,3))/100</f>
        <v>0</v>
      </c>
      <c r="AM10" s="262">
        <f>AL10*(100+INDEX('DEFAULT DATA'!$LZ$9:$MB$41,START!$C$3,3))/100</f>
        <v>0</v>
      </c>
      <c r="AN10" s="262">
        <f>AM10*(100+INDEX('DEFAULT DATA'!$LZ$9:$MB$41,START!$C$3,3))/100</f>
        <v>0</v>
      </c>
      <c r="AO10" s="262">
        <f>AN10*(100+INDEX('DEFAULT DATA'!$LZ$9:$MB$41,START!$C$3,3))/100</f>
        <v>0</v>
      </c>
      <c r="AP10" s="262">
        <f>AO10*(100+INDEX('DEFAULT DATA'!$LZ$9:$MB$41,START!$C$3,3))/100</f>
        <v>0</v>
      </c>
      <c r="AQ10" s="262">
        <f>AP10*(100+INDEX('DEFAULT DATA'!$LZ$9:$MB$41,START!$C$3,3))/100</f>
        <v>0</v>
      </c>
      <c r="AR10" s="262">
        <f>AQ10*(100+INDEX('DEFAULT DATA'!$LZ$9:$MB$41,START!$C$3,3))/100</f>
        <v>0</v>
      </c>
      <c r="AS10" s="262">
        <f>AR10*(100+INDEX('DEFAULT DATA'!$LZ$9:$MB$41,START!$C$3,3))/100</f>
        <v>0</v>
      </c>
    </row>
    <row r="11" spans="1:45" ht="20.100000000000001" customHeight="1">
      <c r="B11" s="222"/>
      <c r="C11" s="399"/>
      <c r="D11" s="399"/>
      <c r="E11" s="399"/>
      <c r="F11" s="399"/>
      <c r="G11" s="399"/>
      <c r="H11" s="399"/>
      <c r="I11" s="273"/>
      <c r="J11" s="273"/>
      <c r="O11" s="280" t="s">
        <v>268</v>
      </c>
      <c r="P11" s="280"/>
      <c r="Q11" s="262">
        <f>INDEX('DEFAULT DATA'!MC9:MC41,START!C3,1)</f>
        <v>0</v>
      </c>
      <c r="R11" s="262">
        <f>Q11*(100+INDEX('DEFAULT DATA'!$MD$9:$MF$41,START!$C$3,1))/100</f>
        <v>0</v>
      </c>
      <c r="S11" s="262">
        <f>R11*(100+INDEX('DEFAULT DATA'!$MD$9:$MF$41,START!$C$3,1))/100</f>
        <v>0</v>
      </c>
      <c r="T11" s="262">
        <f>S11*(100+INDEX('DEFAULT DATA'!$MD$9:$MF$41,START!$C$3,1))/100</f>
        <v>0</v>
      </c>
      <c r="U11" s="262">
        <f>T11*(100+INDEX('DEFAULT DATA'!$MD$9:$MF$41,START!$C$3,1))/100</f>
        <v>0</v>
      </c>
      <c r="V11" s="262">
        <f>U11*(100+INDEX('DEFAULT DATA'!$MD$9:$MF$41,START!$C$3,1))/100</f>
        <v>0</v>
      </c>
      <c r="W11" s="262">
        <f>V11*(100+INDEX('DEFAULT DATA'!$MD$9:$MF$41,START!$C$3,1))/100</f>
        <v>0</v>
      </c>
      <c r="X11" s="262">
        <f>W11*(100+INDEX('DEFAULT DATA'!$MD$9:$MF$41,START!$C$3,1))/100</f>
        <v>0</v>
      </c>
      <c r="Y11" s="262">
        <f>X11*(100+INDEX('DEFAULT DATA'!$MD$9:$MF$41,START!$C$3,1))/100</f>
        <v>0</v>
      </c>
      <c r="Z11" s="262">
        <f>Y11*(100+INDEX('DEFAULT DATA'!$MD$9:$MF$41,START!$C$3,2))/100</f>
        <v>0</v>
      </c>
      <c r="AA11" s="262">
        <f>Z11*(100+INDEX('DEFAULT DATA'!$MD$9:$MF$41,START!$C$3,2))/100</f>
        <v>0</v>
      </c>
      <c r="AB11" s="262">
        <f>AA11*(100+INDEX('DEFAULT DATA'!$MD$9:$MF$41,START!$C$3,2))/100</f>
        <v>0</v>
      </c>
      <c r="AC11" s="262">
        <f>AB11*(100+INDEX('DEFAULT DATA'!$MD$9:$MF$41,START!$C$3,2))/100</f>
        <v>0</v>
      </c>
      <c r="AD11" s="262">
        <f>AC11*(100+INDEX('DEFAULT DATA'!$MD$9:$MF$41,START!$C$3,2))/100</f>
        <v>0</v>
      </c>
      <c r="AE11" s="262">
        <f>AD11*(100+INDEX('DEFAULT DATA'!$MD$9:$MF$41,START!$C$3,2))/100</f>
        <v>0</v>
      </c>
      <c r="AF11" s="262">
        <f>AE11*(100+INDEX('DEFAULT DATA'!$MD$9:$MF$41,START!$C$3,2))/100</f>
        <v>0</v>
      </c>
      <c r="AG11" s="262">
        <f>AF11*(100+INDEX('DEFAULT DATA'!$MD$9:$MF$41,START!$C$3,2))/100</f>
        <v>0</v>
      </c>
      <c r="AH11" s="262">
        <f>AG11*(100+INDEX('DEFAULT DATA'!$MD$9:$MF$41,START!$C$3,2))/100</f>
        <v>0</v>
      </c>
      <c r="AI11" s="262">
        <f>AH11*(100+INDEX('DEFAULT DATA'!$MD$9:$MF$41,START!$C$3,2))/100</f>
        <v>0</v>
      </c>
      <c r="AJ11" s="262">
        <f>AI11*(100+INDEX('DEFAULT DATA'!$MD$9:$MF$41,START!$C$3,3))/100</f>
        <v>0</v>
      </c>
      <c r="AK11" s="262">
        <f>AJ11*(100+INDEX('DEFAULT DATA'!$MD$9:$MF$41,START!$C$3,3))/100</f>
        <v>0</v>
      </c>
      <c r="AL11" s="262">
        <f>AK11*(100+INDEX('DEFAULT DATA'!$MD$9:$MF$41,START!$C$3,3))/100</f>
        <v>0</v>
      </c>
      <c r="AM11" s="262">
        <f>AL11*(100+INDEX('DEFAULT DATA'!$MD$9:$MF$41,START!$C$3,3))/100</f>
        <v>0</v>
      </c>
      <c r="AN11" s="262">
        <f>AM11*(100+INDEX('DEFAULT DATA'!$MD$9:$MF$41,START!$C$3,3))/100</f>
        <v>0</v>
      </c>
      <c r="AO11" s="262">
        <f>AN11*(100+INDEX('DEFAULT DATA'!$MD$9:$MF$41,START!$C$3,3))/100</f>
        <v>0</v>
      </c>
      <c r="AP11" s="262">
        <f>AO11*(100+INDEX('DEFAULT DATA'!$MD$9:$MF$41,START!$C$3,3))/100</f>
        <v>0</v>
      </c>
      <c r="AQ11" s="262">
        <f>AP11*(100+INDEX('DEFAULT DATA'!$MD$9:$MF$41,START!$C$3,3))/100</f>
        <v>0</v>
      </c>
      <c r="AR11" s="262">
        <f>AQ11*(100+INDEX('DEFAULT DATA'!$MD$9:$MF$41,START!$C$3,3))/100</f>
        <v>0</v>
      </c>
      <c r="AS11" s="262">
        <f>AR11*(100+INDEX('DEFAULT DATA'!$MD$9:$MF$41,START!$C$3,3))/100</f>
        <v>0</v>
      </c>
    </row>
    <row r="12" spans="1:45" ht="20.100000000000001" customHeight="1" thickBot="1">
      <c r="B12" s="1024"/>
      <c r="C12" s="273"/>
      <c r="D12" s="273"/>
      <c r="E12" s="273"/>
      <c r="F12" s="273"/>
      <c r="G12" s="273"/>
      <c r="H12" s="273"/>
      <c r="I12" s="273"/>
      <c r="J12" s="273"/>
      <c r="O12" s="280" t="s">
        <v>269</v>
      </c>
      <c r="P12" s="280"/>
      <c r="Q12" s="262">
        <f>INDEX('DEFAULT DATA'!MG9:MG41,START!C3,1)</f>
        <v>0</v>
      </c>
      <c r="R12" s="262">
        <f>Q12*(100+INDEX('DEFAULT DATA'!$MH$9:$MJ$41,START!$C$3,1))/100</f>
        <v>0</v>
      </c>
      <c r="S12" s="262">
        <f>R12*(100+INDEX('DEFAULT DATA'!$MH$9:$MJ$41,START!$C$3,1))/100</f>
        <v>0</v>
      </c>
      <c r="T12" s="262">
        <f>S12*(100+INDEX('DEFAULT DATA'!$MH$9:$MJ$41,START!$C$3,1))/100</f>
        <v>0</v>
      </c>
      <c r="U12" s="262">
        <f>T12*(100+INDEX('DEFAULT DATA'!$MH$9:$MJ$41,START!$C$3,1))/100</f>
        <v>0</v>
      </c>
      <c r="V12" s="262">
        <f>U12*(100+INDEX('DEFAULT DATA'!$MH$9:$MJ$41,START!$C$3,1))/100</f>
        <v>0</v>
      </c>
      <c r="W12" s="262">
        <f>V12*(100+INDEX('DEFAULT DATA'!$MH$9:$MJ$41,START!$C$3,1))/100</f>
        <v>0</v>
      </c>
      <c r="X12" s="262">
        <f>W12*(100+INDEX('DEFAULT DATA'!$MH$9:$MJ$41,START!$C$3,1))/100</f>
        <v>0</v>
      </c>
      <c r="Y12" s="262">
        <f>X12*(100+INDEX('DEFAULT DATA'!$MH$9:$MJ$41,START!$C$3,1))/100</f>
        <v>0</v>
      </c>
      <c r="Z12" s="262">
        <f>Y12*(100+INDEX('DEFAULT DATA'!$MH$9:$MJ$41,START!$C$3,2))/100</f>
        <v>0</v>
      </c>
      <c r="AA12" s="262">
        <f>Z12*(100+INDEX('DEFAULT DATA'!$MH$9:$MJ$41,START!$C$3,2))/100</f>
        <v>0</v>
      </c>
      <c r="AB12" s="262">
        <f>AA12*(100+INDEX('DEFAULT DATA'!$MH$9:$MJ$41,START!$C$3,2))/100</f>
        <v>0</v>
      </c>
      <c r="AC12" s="262">
        <f>AB12*(100+INDEX('DEFAULT DATA'!$MH$9:$MJ$41,START!$C$3,2))/100</f>
        <v>0</v>
      </c>
      <c r="AD12" s="262">
        <f>AC12*(100+INDEX('DEFAULT DATA'!$MH$9:$MJ$41,START!$C$3,2))/100</f>
        <v>0</v>
      </c>
      <c r="AE12" s="262">
        <f>AD12*(100+INDEX('DEFAULT DATA'!$MH$9:$MJ$41,START!$C$3,2))/100</f>
        <v>0</v>
      </c>
      <c r="AF12" s="262">
        <f>AE12*(100+INDEX('DEFAULT DATA'!$MH$9:$MJ$41,START!$C$3,2))/100</f>
        <v>0</v>
      </c>
      <c r="AG12" s="262">
        <f>AF12*(100+INDEX('DEFAULT DATA'!$MH$9:$MJ$41,START!$C$3,2))/100</f>
        <v>0</v>
      </c>
      <c r="AH12" s="262">
        <f>AG12*(100+INDEX('DEFAULT DATA'!$MH$9:$MJ$41,START!$C$3,2))/100</f>
        <v>0</v>
      </c>
      <c r="AI12" s="262">
        <f>AH12*(100+INDEX('DEFAULT DATA'!$MH$9:$MJ$41,START!$C$3,2))/100</f>
        <v>0</v>
      </c>
      <c r="AJ12" s="262">
        <f>AI12*(100+INDEX('DEFAULT DATA'!$MH$9:$MJ$41,START!$C$3,3))/100</f>
        <v>0</v>
      </c>
      <c r="AK12" s="262">
        <f>AJ12*(100+INDEX('DEFAULT DATA'!$MH$9:$MJ$41,START!$C$3,3))/100</f>
        <v>0</v>
      </c>
      <c r="AL12" s="262">
        <f>AK12*(100+INDEX('DEFAULT DATA'!$MH$9:$MJ$41,START!$C$3,3))/100</f>
        <v>0</v>
      </c>
      <c r="AM12" s="262">
        <f>AL12*(100+INDEX('DEFAULT DATA'!$MH$9:$MJ$41,START!$C$3,3))/100</f>
        <v>0</v>
      </c>
      <c r="AN12" s="262">
        <f>AM12*(100+INDEX('DEFAULT DATA'!$MH$9:$MJ$41,START!$C$3,3))/100</f>
        <v>0</v>
      </c>
      <c r="AO12" s="262">
        <f>AN12*(100+INDEX('DEFAULT DATA'!$MH$9:$MJ$41,START!$C$3,3))/100</f>
        <v>0</v>
      </c>
      <c r="AP12" s="262">
        <f>AO12*(100+INDEX('DEFAULT DATA'!$MH$9:$MJ$41,START!$C$3,3))/100</f>
        <v>0</v>
      </c>
      <c r="AQ12" s="262">
        <f>AP12*(100+INDEX('DEFAULT DATA'!$MH$9:$MJ$41,START!$C$3,3))/100</f>
        <v>0</v>
      </c>
      <c r="AR12" s="262">
        <f>AQ12*(100+INDEX('DEFAULT DATA'!$MH$9:$MJ$41,START!$C$3,3))/100</f>
        <v>0</v>
      </c>
      <c r="AS12" s="262">
        <f>AR12*(100+INDEX('DEFAULT DATA'!$MH$9:$MJ$41,START!$C$3,3))/100</f>
        <v>0</v>
      </c>
    </row>
    <row r="13" spans="1:45" ht="20.100000000000001" customHeight="1">
      <c r="A13" s="472"/>
      <c r="B13" s="1341" t="s">
        <v>242</v>
      </c>
      <c r="C13" s="422"/>
      <c r="D13" s="423"/>
      <c r="E13" s="423"/>
      <c r="F13" s="423"/>
      <c r="G13" s="423"/>
      <c r="H13" s="423"/>
      <c r="I13" s="424"/>
      <c r="J13" s="273"/>
      <c r="O13" s="280" t="s">
        <v>270</v>
      </c>
      <c r="P13" s="280"/>
      <c r="Q13" s="262">
        <f>INDEX('DEFAULT DATA'!MK9:MK41,START!C3,1)</f>
        <v>0</v>
      </c>
      <c r="R13" s="262">
        <f>Q13*(100+INDEX('DEFAULT DATA'!$ML$9:$MN$41,START!$C$3,1))/100</f>
        <v>0</v>
      </c>
      <c r="S13" s="262">
        <f>R13*(100+INDEX('DEFAULT DATA'!$ML$9:$MN$41,START!$C$3,1))/100</f>
        <v>0</v>
      </c>
      <c r="T13" s="262">
        <f>S13*(100+INDEX('DEFAULT DATA'!$ML$9:$MN$41,START!$C$3,1))/100</f>
        <v>0</v>
      </c>
      <c r="U13" s="262">
        <f>T13*(100+INDEX('DEFAULT DATA'!$ML$9:$MN$41,START!$C$3,1))/100</f>
        <v>0</v>
      </c>
      <c r="V13" s="262">
        <f>U13*(100+INDEX('DEFAULT DATA'!$ML$9:$MN$41,START!$C$3,1))/100</f>
        <v>0</v>
      </c>
      <c r="W13" s="262">
        <f>V13*(100+INDEX('DEFAULT DATA'!$ML$9:$MN$41,START!$C$3,1))/100</f>
        <v>0</v>
      </c>
      <c r="X13" s="262">
        <f>W13*(100+INDEX('DEFAULT DATA'!$ML$9:$MN$41,START!$C$3,1))/100</f>
        <v>0</v>
      </c>
      <c r="Y13" s="262">
        <f>X13*(100+INDEX('DEFAULT DATA'!$ML$9:$MN$41,START!$C$3,1))/100</f>
        <v>0</v>
      </c>
      <c r="Z13" s="262">
        <f>Y13*(100+INDEX('DEFAULT DATA'!$ML$9:$MN$41,START!$C$3,2))/100</f>
        <v>0</v>
      </c>
      <c r="AA13" s="262">
        <f>Z13*(100+INDEX('DEFAULT DATA'!$ML$9:$MN$41,START!$C$3,2))/100</f>
        <v>0</v>
      </c>
      <c r="AB13" s="262">
        <f>AA13*(100+INDEX('DEFAULT DATA'!$ML$9:$MN$41,START!$C$3,2))/100</f>
        <v>0</v>
      </c>
      <c r="AC13" s="262">
        <f>AB13*(100+INDEX('DEFAULT DATA'!$ML$9:$MN$41,START!$C$3,2))/100</f>
        <v>0</v>
      </c>
      <c r="AD13" s="262">
        <f>AC13*(100+INDEX('DEFAULT DATA'!$ML$9:$MN$41,START!$C$3,2))/100</f>
        <v>0</v>
      </c>
      <c r="AE13" s="262">
        <f>AD13*(100+INDEX('DEFAULT DATA'!$ML$9:$MN$41,START!$C$3,2))/100</f>
        <v>0</v>
      </c>
      <c r="AF13" s="262">
        <f>AE13*(100+INDEX('DEFAULT DATA'!$ML$9:$MN$41,START!$C$3,2))/100</f>
        <v>0</v>
      </c>
      <c r="AG13" s="262">
        <f>AF13*(100+INDEX('DEFAULT DATA'!$ML$9:$MN$41,START!$C$3,2))/100</f>
        <v>0</v>
      </c>
      <c r="AH13" s="262">
        <f>AG13*(100+INDEX('DEFAULT DATA'!$ML$9:$MN$41,START!$C$3,2))/100</f>
        <v>0</v>
      </c>
      <c r="AI13" s="262">
        <f>AH13*(100+INDEX('DEFAULT DATA'!$ML$9:$MN$41,START!$C$3,2))/100</f>
        <v>0</v>
      </c>
      <c r="AJ13" s="262">
        <f>AI13*(100+INDEX('DEFAULT DATA'!$ML$9:$MN$41,START!$C$3,3))/100</f>
        <v>0</v>
      </c>
      <c r="AK13" s="262">
        <f>AJ13*(100+INDEX('DEFAULT DATA'!$ML$9:$MN$41,START!$C$3,3))/100</f>
        <v>0</v>
      </c>
      <c r="AL13" s="262">
        <f>AK13*(100+INDEX('DEFAULT DATA'!$ML$9:$MN$41,START!$C$3,3))/100</f>
        <v>0</v>
      </c>
      <c r="AM13" s="262">
        <f>AL13*(100+INDEX('DEFAULT DATA'!$ML$9:$MN$41,START!$C$3,3))/100</f>
        <v>0</v>
      </c>
      <c r="AN13" s="262">
        <f>AM13*(100+INDEX('DEFAULT DATA'!$ML$9:$MN$41,START!$C$3,3))/100</f>
        <v>0</v>
      </c>
      <c r="AO13" s="262">
        <f>AN13*(100+INDEX('DEFAULT DATA'!$ML$9:$MN$41,START!$C$3,3))/100</f>
        <v>0</v>
      </c>
      <c r="AP13" s="262">
        <f>AO13*(100+INDEX('DEFAULT DATA'!$ML$9:$MN$41,START!$C$3,3))/100</f>
        <v>0</v>
      </c>
      <c r="AQ13" s="262">
        <f>AP13*(100+INDEX('DEFAULT DATA'!$ML$9:$MN$41,START!$C$3,3))/100</f>
        <v>0</v>
      </c>
      <c r="AR13" s="262">
        <f>AQ13*(100+INDEX('DEFAULT DATA'!$ML$9:$MN$41,START!$C$3,3))/100</f>
        <v>0</v>
      </c>
      <c r="AS13" s="262">
        <f>AR13*(100+INDEX('DEFAULT DATA'!$ML$9:$MN$41,START!$C$3,3))/100</f>
        <v>0</v>
      </c>
    </row>
    <row r="14" spans="1:45" ht="20.100000000000001" customHeight="1">
      <c r="A14" s="432"/>
      <c r="B14" s="1342">
        <f>INDEX('MENU OPTIONS'!A1:A29,START!C2,1)</f>
        <v>2023</v>
      </c>
      <c r="C14" s="1294"/>
      <c r="D14" s="425"/>
      <c r="E14" s="425"/>
      <c r="F14" s="425"/>
      <c r="G14" s="425"/>
      <c r="H14" s="425"/>
      <c r="I14" s="426"/>
      <c r="J14" s="273"/>
      <c r="O14" s="280" t="s">
        <v>267</v>
      </c>
      <c r="P14" s="280"/>
      <c r="Q14" s="262">
        <f>INDEX('DEFAULT DATA'!MO9:MO41,START!C3,1)</f>
        <v>0</v>
      </c>
      <c r="R14" s="262">
        <f>Q14*(100+INDEX('DEFAULT DATA'!$MP$9:$MR$41,START!$C$3,1))/100</f>
        <v>0</v>
      </c>
      <c r="S14" s="262">
        <f>R14*(100+INDEX('DEFAULT DATA'!$MP$9:$MR$41,START!$C$3,1))/100</f>
        <v>0</v>
      </c>
      <c r="T14" s="262">
        <f>S14*(100+INDEX('DEFAULT DATA'!$MP$9:$MR$41,START!$C$3,1))/100</f>
        <v>0</v>
      </c>
      <c r="U14" s="262">
        <f>T14*(100+INDEX('DEFAULT DATA'!$MP$9:$MR$41,START!$C$3,1))/100</f>
        <v>0</v>
      </c>
      <c r="V14" s="262">
        <f>U14*(100+INDEX('DEFAULT DATA'!$MP$9:$MR$41,START!$C$3,1))/100</f>
        <v>0</v>
      </c>
      <c r="W14" s="262">
        <f>V14*(100+INDEX('DEFAULT DATA'!$MP$9:$MR$41,START!$C$3,1))/100</f>
        <v>0</v>
      </c>
      <c r="X14" s="262">
        <f>W14*(100+INDEX('DEFAULT DATA'!$MP$9:$MR$41,START!$C$3,1))/100</f>
        <v>0</v>
      </c>
      <c r="Y14" s="262">
        <f>X14*(100+INDEX('DEFAULT DATA'!$MP$9:$MR$41,START!$C$3,1))/100</f>
        <v>0</v>
      </c>
      <c r="Z14" s="262">
        <f>Y14*(100+INDEX('DEFAULT DATA'!$MP$9:$MR$41,START!$C$3,2))/100</f>
        <v>0</v>
      </c>
      <c r="AA14" s="262">
        <f>Z14*(100+INDEX('DEFAULT DATA'!$MP$9:$MR$41,START!$C$3,2))/100</f>
        <v>0</v>
      </c>
      <c r="AB14" s="262">
        <f>AA14*(100+INDEX('DEFAULT DATA'!$MP$9:$MR$41,START!$C$3,2))/100</f>
        <v>0</v>
      </c>
      <c r="AC14" s="262">
        <f>AB14*(100+INDEX('DEFAULT DATA'!$MP$9:$MR$41,START!$C$3,2))/100</f>
        <v>0</v>
      </c>
      <c r="AD14" s="262">
        <f>AC14*(100+INDEX('DEFAULT DATA'!$MP$9:$MR$41,START!$C$3,2))/100</f>
        <v>0</v>
      </c>
      <c r="AE14" s="262">
        <f>AD14*(100+INDEX('DEFAULT DATA'!$MP$9:$MR$41,START!$C$3,2))/100</f>
        <v>0</v>
      </c>
      <c r="AF14" s="262">
        <f>AE14*(100+INDEX('DEFAULT DATA'!$MP$9:$MR$41,START!$C$3,2))/100</f>
        <v>0</v>
      </c>
      <c r="AG14" s="262">
        <f>AF14*(100+INDEX('DEFAULT DATA'!$MP$9:$MR$41,START!$C$3,2))/100</f>
        <v>0</v>
      </c>
      <c r="AH14" s="262">
        <f>AG14*(100+INDEX('DEFAULT DATA'!$MP$9:$MR$41,START!$C$3,2))/100</f>
        <v>0</v>
      </c>
      <c r="AI14" s="262">
        <f>AH14*(100+INDEX('DEFAULT DATA'!$MP$9:$MR$41,START!$C$3,2))/100</f>
        <v>0</v>
      </c>
      <c r="AJ14" s="262">
        <f>AI14*(100+INDEX('DEFAULT DATA'!$MP$9:$MR$41,START!$C$3,3))/100</f>
        <v>0</v>
      </c>
      <c r="AK14" s="262">
        <f>AJ14*(100+INDEX('DEFAULT DATA'!$MP$9:$MR$41,START!$C$3,3))/100</f>
        <v>0</v>
      </c>
      <c r="AL14" s="262">
        <f>AK14*(100+INDEX('DEFAULT DATA'!$MP$9:$MR$41,START!$C$3,3))/100</f>
        <v>0</v>
      </c>
      <c r="AM14" s="262">
        <f>AL14*(100+INDEX('DEFAULT DATA'!$MP$9:$MR$41,START!$C$3,3))/100</f>
        <v>0</v>
      </c>
      <c r="AN14" s="262">
        <f>AM14*(100+INDEX('DEFAULT DATA'!$MP$9:$MR$41,START!$C$3,3))/100</f>
        <v>0</v>
      </c>
      <c r="AO14" s="262">
        <f>AN14*(100+INDEX('DEFAULT DATA'!$MP$9:$MR$41,START!$C$3,3))/100</f>
        <v>0</v>
      </c>
      <c r="AP14" s="262">
        <f>AO14*(100+INDEX('DEFAULT DATA'!$MP$9:$MR$41,START!$C$3,3))/100</f>
        <v>0</v>
      </c>
      <c r="AQ14" s="262">
        <f>AP14*(100+INDEX('DEFAULT DATA'!$MP$9:$MR$41,START!$C$3,3))/100</f>
        <v>0</v>
      </c>
      <c r="AR14" s="262">
        <f>AQ14*(100+INDEX('DEFAULT DATA'!$MP$9:$MR$41,START!$C$3,3))/100</f>
        <v>0</v>
      </c>
      <c r="AS14" s="262">
        <f>AR14*(100+INDEX('DEFAULT DATA'!$MP$9:$MR$41,START!$C$3,3))/100</f>
        <v>0</v>
      </c>
    </row>
    <row r="15" spans="1:45" ht="20.100000000000001" customHeight="1">
      <c r="A15" s="432"/>
      <c r="B15" s="1342" t="s">
        <v>35</v>
      </c>
      <c r="C15" s="1454" t="s">
        <v>1876</v>
      </c>
      <c r="D15" s="425"/>
      <c r="E15" s="425"/>
      <c r="F15" s="425"/>
      <c r="G15" s="425"/>
      <c r="H15" s="425"/>
      <c r="I15" s="426"/>
      <c r="J15" s="273"/>
      <c r="O15" s="280" t="s">
        <v>271</v>
      </c>
      <c r="P15" s="280"/>
      <c r="Q15" s="262">
        <f>INDEX('DEFAULT DATA'!MS9:MS41,START!C3,1)</f>
        <v>0</v>
      </c>
      <c r="R15" s="262">
        <f>Q15*(100+INDEX('DEFAULT DATA'!$MT$9:$MV$41,START!$C$3,1))/100</f>
        <v>0</v>
      </c>
      <c r="S15" s="262">
        <f>R15*(100+INDEX('DEFAULT DATA'!$MT$9:$MV$41,START!$C$3,1))/100</f>
        <v>0</v>
      </c>
      <c r="T15" s="262">
        <f>S15*(100+INDEX('DEFAULT DATA'!$MT$9:$MV$41,START!$C$3,1))/100</f>
        <v>0</v>
      </c>
      <c r="U15" s="262">
        <f>T15*(100+INDEX('DEFAULT DATA'!$MT$9:$MV$41,START!$C$3,1))/100</f>
        <v>0</v>
      </c>
      <c r="V15" s="262">
        <f>U15*(100+INDEX('DEFAULT DATA'!$MT$9:$MV$41,START!$C$3,1))/100</f>
        <v>0</v>
      </c>
      <c r="W15" s="262">
        <f>V15*(100+INDEX('DEFAULT DATA'!$MT$9:$MV$41,START!$C$3,1))/100</f>
        <v>0</v>
      </c>
      <c r="X15" s="262">
        <f>W15*(100+INDEX('DEFAULT DATA'!$MT$9:$MV$41,START!$C$3,1))/100</f>
        <v>0</v>
      </c>
      <c r="Y15" s="262">
        <f>X15*(100+INDEX('DEFAULT DATA'!$MT$9:$MV$41,START!$C$3,1))/100</f>
        <v>0</v>
      </c>
      <c r="Z15" s="262">
        <f>Y15*(100+INDEX('DEFAULT DATA'!$MT$9:$MV$41,START!$C$3,2))/100</f>
        <v>0</v>
      </c>
      <c r="AA15" s="262">
        <f>Z15*(100+INDEX('DEFAULT DATA'!$MT$9:$MV$41,START!$C$3,2))/100</f>
        <v>0</v>
      </c>
      <c r="AB15" s="262">
        <f>AA15*(100+INDEX('DEFAULT DATA'!$MT$9:$MV$41,START!$C$3,2))/100</f>
        <v>0</v>
      </c>
      <c r="AC15" s="262">
        <f>AB15*(100+INDEX('DEFAULT DATA'!$MT$9:$MV$41,START!$C$3,2))/100</f>
        <v>0</v>
      </c>
      <c r="AD15" s="262">
        <f>AC15*(100+INDEX('DEFAULT DATA'!$MT$9:$MV$41,START!$C$3,2))/100</f>
        <v>0</v>
      </c>
      <c r="AE15" s="262">
        <f>AD15*(100+INDEX('DEFAULT DATA'!$MT$9:$MV$41,START!$C$3,2))/100</f>
        <v>0</v>
      </c>
      <c r="AF15" s="262">
        <f>AE15*(100+INDEX('DEFAULT DATA'!$MT$9:$MV$41,START!$C$3,2))/100</f>
        <v>0</v>
      </c>
      <c r="AG15" s="262">
        <f>AF15*(100+INDEX('DEFAULT DATA'!$MT$9:$MV$41,START!$C$3,2))/100</f>
        <v>0</v>
      </c>
      <c r="AH15" s="262">
        <f>AG15*(100+INDEX('DEFAULT DATA'!$MT$9:$MV$41,START!$C$3,2))/100</f>
        <v>0</v>
      </c>
      <c r="AI15" s="262">
        <f>AH15*(100+INDEX('DEFAULT DATA'!$MT$9:$MV$41,START!$C$3,2))/100</f>
        <v>0</v>
      </c>
      <c r="AJ15" s="262">
        <f>AI15*(100+INDEX('DEFAULT DATA'!$MT$9:$MV$41,START!$C$3,3))/100</f>
        <v>0</v>
      </c>
      <c r="AK15" s="262">
        <f>AJ15*(100+INDEX('DEFAULT DATA'!$MT$9:$MV$41,START!$C$3,3))/100</f>
        <v>0</v>
      </c>
      <c r="AL15" s="262">
        <f>AK15*(100+INDEX('DEFAULT DATA'!$MT$9:$MV$41,START!$C$3,3))/100</f>
        <v>0</v>
      </c>
      <c r="AM15" s="262">
        <f>AL15*(100+INDEX('DEFAULT DATA'!$MT$9:$MV$41,START!$C$3,3))/100</f>
        <v>0</v>
      </c>
      <c r="AN15" s="262">
        <f>AM15*(100+INDEX('DEFAULT DATA'!$MT$9:$MV$41,START!$C$3,3))/100</f>
        <v>0</v>
      </c>
      <c r="AO15" s="262">
        <f>AN15*(100+INDEX('DEFAULT DATA'!$MT$9:$MV$41,START!$C$3,3))/100</f>
        <v>0</v>
      </c>
      <c r="AP15" s="262">
        <f>AO15*(100+INDEX('DEFAULT DATA'!$MT$9:$MV$41,START!$C$3,3))/100</f>
        <v>0</v>
      </c>
      <c r="AQ15" s="262">
        <f>AP15*(100+INDEX('DEFAULT DATA'!$MT$9:$MV$41,START!$C$3,3))/100</f>
        <v>0</v>
      </c>
      <c r="AR15" s="262">
        <f>AQ15*(100+INDEX('DEFAULT DATA'!$MT$9:$MV$41,START!$C$3,3))/100</f>
        <v>0</v>
      </c>
      <c r="AS15" s="262">
        <f>AR15*(100+INDEX('DEFAULT DATA'!$MT$9:$MV$41,START!$C$3,3))/100</f>
        <v>0</v>
      </c>
    </row>
    <row r="16" spans="1:45" ht="20.100000000000001" customHeight="1">
      <c r="A16" s="432"/>
      <c r="B16" s="1343" t="s">
        <v>273</v>
      </c>
      <c r="C16" s="1455"/>
      <c r="D16" s="425"/>
      <c r="E16" s="425"/>
      <c r="F16" s="425"/>
      <c r="G16" s="425"/>
      <c r="H16" s="425"/>
      <c r="I16" s="426"/>
      <c r="J16" s="273"/>
      <c r="O16" s="280" t="s">
        <v>310</v>
      </c>
      <c r="P16" s="280"/>
      <c r="Q16" s="262">
        <f>SUM(Q10:Q15)</f>
        <v>0</v>
      </c>
      <c r="R16" s="262">
        <f t="shared" ref="R16" si="2">SUM(R10:R15)</f>
        <v>0</v>
      </c>
      <c r="S16" s="262">
        <f t="shared" ref="S16" si="3">SUM(S10:S15)</f>
        <v>0</v>
      </c>
      <c r="T16" s="262">
        <f t="shared" ref="T16" si="4">SUM(T10:T15)</f>
        <v>0</v>
      </c>
      <c r="U16" s="262">
        <f t="shared" ref="U16" si="5">SUM(U10:U15)</f>
        <v>0</v>
      </c>
      <c r="V16" s="262">
        <f t="shared" ref="V16" si="6">SUM(V10:V15)</f>
        <v>0</v>
      </c>
      <c r="W16" s="262">
        <f t="shared" ref="W16" si="7">SUM(W10:W15)</f>
        <v>0</v>
      </c>
      <c r="X16" s="262">
        <f t="shared" ref="X16" si="8">SUM(X10:X15)</f>
        <v>0</v>
      </c>
      <c r="Y16" s="262">
        <f t="shared" ref="Y16" si="9">SUM(Y10:Y15)</f>
        <v>0</v>
      </c>
      <c r="Z16" s="262">
        <f t="shared" ref="Z16" si="10">SUM(Z10:Z15)</f>
        <v>0</v>
      </c>
      <c r="AA16" s="262">
        <f t="shared" ref="AA16" si="11">SUM(AA10:AA15)</f>
        <v>0</v>
      </c>
      <c r="AB16" s="262">
        <f t="shared" ref="AB16" si="12">SUM(AB10:AB15)</f>
        <v>0</v>
      </c>
      <c r="AC16" s="262">
        <f t="shared" ref="AC16" si="13">SUM(AC10:AC15)</f>
        <v>0</v>
      </c>
      <c r="AD16" s="262">
        <f t="shared" ref="AD16" si="14">SUM(AD10:AD15)</f>
        <v>0</v>
      </c>
      <c r="AE16" s="262">
        <f t="shared" ref="AE16" si="15">SUM(AE10:AE15)</f>
        <v>0</v>
      </c>
      <c r="AF16" s="262">
        <f t="shared" ref="AF16" si="16">SUM(AF10:AF15)</f>
        <v>0</v>
      </c>
      <c r="AG16" s="262">
        <f t="shared" ref="AG16" si="17">SUM(AG10:AG15)</f>
        <v>0</v>
      </c>
      <c r="AH16" s="262">
        <f t="shared" ref="AH16" si="18">SUM(AH10:AH15)</f>
        <v>0</v>
      </c>
      <c r="AI16" s="262">
        <f t="shared" ref="AI16" si="19">SUM(AI10:AI15)</f>
        <v>0</v>
      </c>
      <c r="AJ16" s="262">
        <f t="shared" ref="AJ16" si="20">SUM(AJ10:AJ15)</f>
        <v>0</v>
      </c>
      <c r="AK16" s="262">
        <f t="shared" ref="AK16" si="21">SUM(AK10:AK15)</f>
        <v>0</v>
      </c>
      <c r="AL16" s="262">
        <f t="shared" ref="AL16" si="22">SUM(AL10:AL15)</f>
        <v>0</v>
      </c>
      <c r="AM16" s="262">
        <f t="shared" ref="AM16" si="23">SUM(AM10:AM15)</f>
        <v>0</v>
      </c>
      <c r="AN16" s="262">
        <f t="shared" ref="AN16" si="24">SUM(AN10:AN15)</f>
        <v>0</v>
      </c>
      <c r="AO16" s="262">
        <f t="shared" ref="AO16" si="25">SUM(AO10:AO15)</f>
        <v>0</v>
      </c>
      <c r="AP16" s="262">
        <f t="shared" ref="AP16" si="26">SUM(AP10:AP15)</f>
        <v>0</v>
      </c>
      <c r="AQ16" s="262">
        <f t="shared" ref="AQ16" si="27">SUM(AQ10:AQ15)</f>
        <v>0</v>
      </c>
      <c r="AR16" s="262">
        <f t="shared" ref="AR16" si="28">SUM(AR10:AR15)</f>
        <v>0</v>
      </c>
      <c r="AS16" s="262">
        <f t="shared" ref="AS16" si="29">SUM(AS10:AS15)</f>
        <v>0</v>
      </c>
    </row>
    <row r="17" spans="1:45" ht="20.100000000000001" customHeight="1">
      <c r="A17" s="432"/>
      <c r="B17" s="1344" t="str">
        <f>O10</f>
        <v>Forestland</v>
      </c>
      <c r="C17" s="427">
        <f>INDEX($Q$20:$AS$25,1,START!$C$2)</f>
        <v>0</v>
      </c>
      <c r="D17" s="425"/>
      <c r="E17" s="425"/>
      <c r="F17" s="425"/>
      <c r="G17" s="425"/>
      <c r="H17" s="425"/>
      <c r="I17" s="426"/>
      <c r="J17" s="273"/>
    </row>
    <row r="18" spans="1:45" ht="20.100000000000001" customHeight="1">
      <c r="A18" s="432"/>
      <c r="B18" s="1344" t="str">
        <f t="shared" ref="B18:B22" si="30">O11</f>
        <v>Cropland</v>
      </c>
      <c r="C18" s="427">
        <f>INDEX($Q$20:$AS$25,2,START!$C$2)</f>
        <v>0</v>
      </c>
      <c r="D18" s="425"/>
      <c r="E18" s="425"/>
      <c r="F18" s="425"/>
      <c r="G18" s="425"/>
      <c r="H18" s="425"/>
      <c r="I18" s="426"/>
      <c r="J18" s="273"/>
      <c r="O18" s="428" t="s">
        <v>842</v>
      </c>
      <c r="P18" s="429"/>
      <c r="Q18" s="429"/>
      <c r="R18" s="429"/>
      <c r="S18" s="429"/>
      <c r="T18" s="429"/>
      <c r="U18" s="429"/>
      <c r="V18" s="429"/>
      <c r="W18" s="429"/>
      <c r="X18" s="429"/>
      <c r="Y18" s="429"/>
      <c r="Z18" s="429"/>
      <c r="AA18" s="429"/>
      <c r="AB18" s="429"/>
      <c r="AC18" s="429"/>
      <c r="AD18" s="429"/>
      <c r="AE18" s="429"/>
      <c r="AF18" s="429"/>
      <c r="AG18" s="429"/>
      <c r="AH18" s="429"/>
      <c r="AI18" s="429"/>
      <c r="AJ18" s="429"/>
      <c r="AK18" s="429"/>
      <c r="AL18" s="429"/>
      <c r="AM18" s="429"/>
      <c r="AN18" s="429"/>
      <c r="AO18" s="429"/>
      <c r="AP18" s="429"/>
      <c r="AQ18" s="429"/>
      <c r="AR18" s="429"/>
      <c r="AS18" s="429"/>
    </row>
    <row r="19" spans="1:45" ht="20.100000000000001" customHeight="1">
      <c r="A19" s="432"/>
      <c r="B19" s="1344" t="str">
        <f t="shared" si="30"/>
        <v>Grassland</v>
      </c>
      <c r="C19" s="427">
        <f>INDEX($Q$20:$AS$25,3,START!$C$2)</f>
        <v>0</v>
      </c>
      <c r="D19" s="425"/>
      <c r="E19" s="425"/>
      <c r="F19" s="425"/>
      <c r="G19" s="425"/>
      <c r="H19" s="425"/>
      <c r="I19" s="426"/>
      <c r="J19" s="273"/>
      <c r="O19" s="285" t="s">
        <v>311</v>
      </c>
      <c r="P19" s="316">
        <v>2021</v>
      </c>
      <c r="Q19" s="316">
        <f>P19+1</f>
        <v>2022</v>
      </c>
      <c r="R19" s="316">
        <f t="shared" ref="R19:AR19" si="31">Q19+1</f>
        <v>2023</v>
      </c>
      <c r="S19" s="316">
        <f t="shared" si="31"/>
        <v>2024</v>
      </c>
      <c r="T19" s="316">
        <f t="shared" si="31"/>
        <v>2025</v>
      </c>
      <c r="U19" s="316">
        <f t="shared" si="31"/>
        <v>2026</v>
      </c>
      <c r="V19" s="316">
        <f t="shared" si="31"/>
        <v>2027</v>
      </c>
      <c r="W19" s="316">
        <f t="shared" si="31"/>
        <v>2028</v>
      </c>
      <c r="X19" s="316">
        <f t="shared" si="31"/>
        <v>2029</v>
      </c>
      <c r="Y19" s="316">
        <f t="shared" si="31"/>
        <v>2030</v>
      </c>
      <c r="Z19" s="316">
        <f t="shared" si="31"/>
        <v>2031</v>
      </c>
      <c r="AA19" s="316">
        <f t="shared" si="31"/>
        <v>2032</v>
      </c>
      <c r="AB19" s="316">
        <f t="shared" si="31"/>
        <v>2033</v>
      </c>
      <c r="AC19" s="316">
        <f t="shared" si="31"/>
        <v>2034</v>
      </c>
      <c r="AD19" s="316">
        <f t="shared" si="31"/>
        <v>2035</v>
      </c>
      <c r="AE19" s="316">
        <f t="shared" si="31"/>
        <v>2036</v>
      </c>
      <c r="AF19" s="316">
        <f t="shared" si="31"/>
        <v>2037</v>
      </c>
      <c r="AG19" s="316">
        <f t="shared" si="31"/>
        <v>2038</v>
      </c>
      <c r="AH19" s="316">
        <f t="shared" si="31"/>
        <v>2039</v>
      </c>
      <c r="AI19" s="316">
        <f t="shared" si="31"/>
        <v>2040</v>
      </c>
      <c r="AJ19" s="316">
        <f t="shared" si="31"/>
        <v>2041</v>
      </c>
      <c r="AK19" s="316">
        <f t="shared" si="31"/>
        <v>2042</v>
      </c>
      <c r="AL19" s="316">
        <f t="shared" si="31"/>
        <v>2043</v>
      </c>
      <c r="AM19" s="316">
        <f t="shared" si="31"/>
        <v>2044</v>
      </c>
      <c r="AN19" s="316">
        <f t="shared" si="31"/>
        <v>2045</v>
      </c>
      <c r="AO19" s="316">
        <f t="shared" si="31"/>
        <v>2046</v>
      </c>
      <c r="AP19" s="316">
        <f t="shared" si="31"/>
        <v>2047</v>
      </c>
      <c r="AQ19" s="316">
        <f t="shared" si="31"/>
        <v>2048</v>
      </c>
      <c r="AR19" s="316">
        <f t="shared" si="31"/>
        <v>2049</v>
      </c>
      <c r="AS19" s="316">
        <f>AR19+1</f>
        <v>2050</v>
      </c>
    </row>
    <row r="20" spans="1:45" ht="20.100000000000001" customHeight="1">
      <c r="A20" s="432"/>
      <c r="B20" s="1344" t="str">
        <f t="shared" si="30"/>
        <v>Wetland</v>
      </c>
      <c r="C20" s="427">
        <f>INDEX($Q$20:$AS$25,4,START!$C$2)</f>
        <v>0</v>
      </c>
      <c r="D20" s="425"/>
      <c r="E20" s="425"/>
      <c r="F20" s="425"/>
      <c r="G20" s="425"/>
      <c r="H20" s="425"/>
      <c r="I20" s="426"/>
      <c r="J20" s="273"/>
      <c r="O20" s="280" t="s">
        <v>781</v>
      </c>
      <c r="P20" s="419"/>
      <c r="Q20" s="272" t="str">
        <f>IF(Q$6=0,"",Q10/Q$6)</f>
        <v/>
      </c>
      <c r="R20" s="272">
        <f t="shared" ref="R20:AS20" si="32">IF(R6=0,"",R10/R$6)</f>
        <v>0</v>
      </c>
      <c r="S20" s="272">
        <f t="shared" si="32"/>
        <v>0</v>
      </c>
      <c r="T20" s="272">
        <f t="shared" si="32"/>
        <v>0</v>
      </c>
      <c r="U20" s="272">
        <f t="shared" si="32"/>
        <v>0</v>
      </c>
      <c r="V20" s="272">
        <f t="shared" si="32"/>
        <v>0</v>
      </c>
      <c r="W20" s="272">
        <f t="shared" si="32"/>
        <v>0</v>
      </c>
      <c r="X20" s="272">
        <f t="shared" si="32"/>
        <v>0</v>
      </c>
      <c r="Y20" s="272">
        <f t="shared" si="32"/>
        <v>0</v>
      </c>
      <c r="Z20" s="272">
        <f t="shared" si="32"/>
        <v>0</v>
      </c>
      <c r="AA20" s="272">
        <f t="shared" si="32"/>
        <v>0</v>
      </c>
      <c r="AB20" s="272">
        <f t="shared" si="32"/>
        <v>0</v>
      </c>
      <c r="AC20" s="272">
        <f t="shared" si="32"/>
        <v>0</v>
      </c>
      <c r="AD20" s="272">
        <f t="shared" si="32"/>
        <v>0</v>
      </c>
      <c r="AE20" s="272">
        <f t="shared" si="32"/>
        <v>0</v>
      </c>
      <c r="AF20" s="272">
        <f t="shared" si="32"/>
        <v>0</v>
      </c>
      <c r="AG20" s="272">
        <f t="shared" si="32"/>
        <v>0</v>
      </c>
      <c r="AH20" s="272">
        <f t="shared" si="32"/>
        <v>0</v>
      </c>
      <c r="AI20" s="272">
        <f t="shared" si="32"/>
        <v>0</v>
      </c>
      <c r="AJ20" s="272">
        <f t="shared" si="32"/>
        <v>0</v>
      </c>
      <c r="AK20" s="272">
        <f t="shared" si="32"/>
        <v>0</v>
      </c>
      <c r="AL20" s="272">
        <f t="shared" si="32"/>
        <v>0</v>
      </c>
      <c r="AM20" s="272">
        <f t="shared" si="32"/>
        <v>0</v>
      </c>
      <c r="AN20" s="272">
        <f t="shared" si="32"/>
        <v>0</v>
      </c>
      <c r="AO20" s="272">
        <f t="shared" si="32"/>
        <v>0</v>
      </c>
      <c r="AP20" s="272">
        <f t="shared" si="32"/>
        <v>0</v>
      </c>
      <c r="AQ20" s="272">
        <f t="shared" si="32"/>
        <v>0</v>
      </c>
      <c r="AR20" s="272">
        <f t="shared" si="32"/>
        <v>0</v>
      </c>
      <c r="AS20" s="272">
        <f t="shared" si="32"/>
        <v>0</v>
      </c>
    </row>
    <row r="21" spans="1:45" ht="20.100000000000001" customHeight="1">
      <c r="A21" s="432"/>
      <c r="B21" s="1344" t="str">
        <f t="shared" si="30"/>
        <v>Settlements</v>
      </c>
      <c r="C21" s="427">
        <f>INDEX($Q$20:$AS$25,5,START!$C$2)</f>
        <v>0</v>
      </c>
      <c r="D21" s="425"/>
      <c r="E21" s="425"/>
      <c r="F21" s="425"/>
      <c r="G21" s="425"/>
      <c r="H21" s="425"/>
      <c r="I21" s="426"/>
      <c r="J21" s="273"/>
      <c r="O21" s="280" t="s">
        <v>268</v>
      </c>
      <c r="P21" s="419"/>
      <c r="Q21" s="272" t="str">
        <f>IF(Q$6=0,"",Q11/Q$6)</f>
        <v/>
      </c>
      <c r="R21" s="272">
        <f t="shared" ref="R21:AS25" si="33">IF(R$6=0,"",R11/R$6)</f>
        <v>0</v>
      </c>
      <c r="S21" s="272">
        <f t="shared" si="33"/>
        <v>0</v>
      </c>
      <c r="T21" s="272">
        <f t="shared" si="33"/>
        <v>0</v>
      </c>
      <c r="U21" s="272">
        <f t="shared" si="33"/>
        <v>0</v>
      </c>
      <c r="V21" s="272">
        <f t="shared" si="33"/>
        <v>0</v>
      </c>
      <c r="W21" s="272">
        <f t="shared" si="33"/>
        <v>0</v>
      </c>
      <c r="X21" s="272">
        <f t="shared" si="33"/>
        <v>0</v>
      </c>
      <c r="Y21" s="272">
        <f t="shared" si="33"/>
        <v>0</v>
      </c>
      <c r="Z21" s="272">
        <f t="shared" si="33"/>
        <v>0</v>
      </c>
      <c r="AA21" s="272">
        <f t="shared" si="33"/>
        <v>0</v>
      </c>
      <c r="AB21" s="272">
        <f t="shared" si="33"/>
        <v>0</v>
      </c>
      <c r="AC21" s="272">
        <f t="shared" si="33"/>
        <v>0</v>
      </c>
      <c r="AD21" s="272">
        <f t="shared" si="33"/>
        <v>0</v>
      </c>
      <c r="AE21" s="272">
        <f t="shared" si="33"/>
        <v>0</v>
      </c>
      <c r="AF21" s="272">
        <f t="shared" si="33"/>
        <v>0</v>
      </c>
      <c r="AG21" s="272">
        <f t="shared" si="33"/>
        <v>0</v>
      </c>
      <c r="AH21" s="272">
        <f t="shared" si="33"/>
        <v>0</v>
      </c>
      <c r="AI21" s="272">
        <f t="shared" si="33"/>
        <v>0</v>
      </c>
      <c r="AJ21" s="272">
        <f t="shared" si="33"/>
        <v>0</v>
      </c>
      <c r="AK21" s="272">
        <f t="shared" si="33"/>
        <v>0</v>
      </c>
      <c r="AL21" s="272">
        <f t="shared" si="33"/>
        <v>0</v>
      </c>
      <c r="AM21" s="272">
        <f t="shared" si="33"/>
        <v>0</v>
      </c>
      <c r="AN21" s="272">
        <f t="shared" si="33"/>
        <v>0</v>
      </c>
      <c r="AO21" s="272">
        <f t="shared" si="33"/>
        <v>0</v>
      </c>
      <c r="AP21" s="272">
        <f t="shared" si="33"/>
        <v>0</v>
      </c>
      <c r="AQ21" s="272">
        <f t="shared" si="33"/>
        <v>0</v>
      </c>
      <c r="AR21" s="272">
        <f t="shared" si="33"/>
        <v>0</v>
      </c>
      <c r="AS21" s="272">
        <f t="shared" si="33"/>
        <v>0</v>
      </c>
    </row>
    <row r="22" spans="1:45" ht="20.100000000000001" customHeight="1">
      <c r="A22" s="432"/>
      <c r="B22" s="1343" t="str">
        <f t="shared" si="30"/>
        <v>Other land</v>
      </c>
      <c r="C22" s="430">
        <f>INDEX($Q$20:$AS$25,6,START!$C$2)</f>
        <v>0</v>
      </c>
      <c r="D22" s="425"/>
      <c r="E22" s="425"/>
      <c r="F22" s="425"/>
      <c r="G22" s="425"/>
      <c r="H22" s="425"/>
      <c r="I22" s="426"/>
      <c r="J22" s="273"/>
      <c r="O22" s="280" t="s">
        <v>269</v>
      </c>
      <c r="P22" s="419"/>
      <c r="Q22" s="272" t="str">
        <f t="shared" ref="Q22:AF25" si="34">IF(Q$6=0,"",Q12/Q$6)</f>
        <v/>
      </c>
      <c r="R22" s="272">
        <f t="shared" si="34"/>
        <v>0</v>
      </c>
      <c r="S22" s="272">
        <f t="shared" si="34"/>
        <v>0</v>
      </c>
      <c r="T22" s="272">
        <f t="shared" si="34"/>
        <v>0</v>
      </c>
      <c r="U22" s="272">
        <f t="shared" si="34"/>
        <v>0</v>
      </c>
      <c r="V22" s="272">
        <f t="shared" si="34"/>
        <v>0</v>
      </c>
      <c r="W22" s="272">
        <f t="shared" si="34"/>
        <v>0</v>
      </c>
      <c r="X22" s="272">
        <f t="shared" si="34"/>
        <v>0</v>
      </c>
      <c r="Y22" s="272">
        <f t="shared" si="34"/>
        <v>0</v>
      </c>
      <c r="Z22" s="272">
        <f t="shared" si="34"/>
        <v>0</v>
      </c>
      <c r="AA22" s="272">
        <f t="shared" si="34"/>
        <v>0</v>
      </c>
      <c r="AB22" s="272">
        <f t="shared" si="34"/>
        <v>0</v>
      </c>
      <c r="AC22" s="272">
        <f t="shared" si="34"/>
        <v>0</v>
      </c>
      <c r="AD22" s="272">
        <f t="shared" si="34"/>
        <v>0</v>
      </c>
      <c r="AE22" s="272">
        <f t="shared" si="34"/>
        <v>0</v>
      </c>
      <c r="AF22" s="272">
        <f t="shared" si="34"/>
        <v>0</v>
      </c>
      <c r="AG22" s="272">
        <f t="shared" si="33"/>
        <v>0</v>
      </c>
      <c r="AH22" s="272">
        <f t="shared" si="33"/>
        <v>0</v>
      </c>
      <c r="AI22" s="272">
        <f t="shared" si="33"/>
        <v>0</v>
      </c>
      <c r="AJ22" s="272">
        <f t="shared" si="33"/>
        <v>0</v>
      </c>
      <c r="AK22" s="272">
        <f t="shared" si="33"/>
        <v>0</v>
      </c>
      <c r="AL22" s="272">
        <f t="shared" si="33"/>
        <v>0</v>
      </c>
      <c r="AM22" s="272">
        <f t="shared" si="33"/>
        <v>0</v>
      </c>
      <c r="AN22" s="272">
        <f t="shared" si="33"/>
        <v>0</v>
      </c>
      <c r="AO22" s="272">
        <f t="shared" si="33"/>
        <v>0</v>
      </c>
      <c r="AP22" s="272">
        <f t="shared" si="33"/>
        <v>0</v>
      </c>
      <c r="AQ22" s="272">
        <f t="shared" si="33"/>
        <v>0</v>
      </c>
      <c r="AR22" s="272">
        <f t="shared" si="33"/>
        <v>0</v>
      </c>
      <c r="AS22" s="272">
        <f t="shared" si="33"/>
        <v>0</v>
      </c>
    </row>
    <row r="23" spans="1:45" ht="20.100000000000001" customHeight="1">
      <c r="A23" s="432"/>
      <c r="B23" s="1344" t="s">
        <v>377</v>
      </c>
      <c r="C23" s="431">
        <f>SUM(C17:C22)</f>
        <v>0</v>
      </c>
      <c r="D23" s="425"/>
      <c r="E23" s="425"/>
      <c r="F23" s="425"/>
      <c r="G23" s="425"/>
      <c r="H23" s="425"/>
      <c r="I23" s="426"/>
      <c r="J23" s="273"/>
      <c r="O23" s="280" t="s">
        <v>270</v>
      </c>
      <c r="P23" s="419"/>
      <c r="Q23" s="272" t="str">
        <f t="shared" si="34"/>
        <v/>
      </c>
      <c r="R23" s="272">
        <f t="shared" si="33"/>
        <v>0</v>
      </c>
      <c r="S23" s="272">
        <f t="shared" si="33"/>
        <v>0</v>
      </c>
      <c r="T23" s="272">
        <f t="shared" si="33"/>
        <v>0</v>
      </c>
      <c r="U23" s="272">
        <f t="shared" si="33"/>
        <v>0</v>
      </c>
      <c r="V23" s="272">
        <f t="shared" si="33"/>
        <v>0</v>
      </c>
      <c r="W23" s="272">
        <f t="shared" si="33"/>
        <v>0</v>
      </c>
      <c r="X23" s="272">
        <f t="shared" si="33"/>
        <v>0</v>
      </c>
      <c r="Y23" s="272">
        <f t="shared" si="33"/>
        <v>0</v>
      </c>
      <c r="Z23" s="272">
        <f t="shared" si="33"/>
        <v>0</v>
      </c>
      <c r="AA23" s="272">
        <f t="shared" si="33"/>
        <v>0</v>
      </c>
      <c r="AB23" s="272">
        <f t="shared" si="33"/>
        <v>0</v>
      </c>
      <c r="AC23" s="272">
        <f t="shared" si="33"/>
        <v>0</v>
      </c>
      <c r="AD23" s="272">
        <f t="shared" si="33"/>
        <v>0</v>
      </c>
      <c r="AE23" s="272">
        <f t="shared" si="33"/>
        <v>0</v>
      </c>
      <c r="AF23" s="272">
        <f t="shared" si="33"/>
        <v>0</v>
      </c>
      <c r="AG23" s="272">
        <f t="shared" si="33"/>
        <v>0</v>
      </c>
      <c r="AH23" s="272">
        <f t="shared" si="33"/>
        <v>0</v>
      </c>
      <c r="AI23" s="272">
        <f t="shared" si="33"/>
        <v>0</v>
      </c>
      <c r="AJ23" s="272">
        <f t="shared" si="33"/>
        <v>0</v>
      </c>
      <c r="AK23" s="272">
        <f t="shared" si="33"/>
        <v>0</v>
      </c>
      <c r="AL23" s="272">
        <f t="shared" si="33"/>
        <v>0</v>
      </c>
      <c r="AM23" s="272">
        <f t="shared" si="33"/>
        <v>0</v>
      </c>
      <c r="AN23" s="272">
        <f t="shared" si="33"/>
        <v>0</v>
      </c>
      <c r="AO23" s="272">
        <f t="shared" si="33"/>
        <v>0</v>
      </c>
      <c r="AP23" s="272">
        <f t="shared" si="33"/>
        <v>0</v>
      </c>
      <c r="AQ23" s="272">
        <f t="shared" si="33"/>
        <v>0</v>
      </c>
      <c r="AR23" s="272">
        <f t="shared" si="33"/>
        <v>0</v>
      </c>
      <c r="AS23" s="272">
        <f t="shared" si="33"/>
        <v>0</v>
      </c>
    </row>
    <row r="24" spans="1:45" ht="20.100000000000001" customHeight="1">
      <c r="A24" s="432"/>
      <c r="B24" s="425"/>
      <c r="C24" s="425"/>
      <c r="D24" s="425"/>
      <c r="E24" s="425"/>
      <c r="F24" s="425"/>
      <c r="G24" s="425"/>
      <c r="H24" s="425"/>
      <c r="I24" s="426"/>
      <c r="J24" s="273"/>
      <c r="O24" s="280" t="s">
        <v>267</v>
      </c>
      <c r="P24" s="419"/>
      <c r="Q24" s="272" t="str">
        <f t="shared" si="34"/>
        <v/>
      </c>
      <c r="R24" s="272">
        <f t="shared" si="33"/>
        <v>0</v>
      </c>
      <c r="S24" s="272">
        <f t="shared" si="33"/>
        <v>0</v>
      </c>
      <c r="T24" s="272">
        <f t="shared" si="33"/>
        <v>0</v>
      </c>
      <c r="U24" s="272">
        <f t="shared" si="33"/>
        <v>0</v>
      </c>
      <c r="V24" s="272">
        <f t="shared" si="33"/>
        <v>0</v>
      </c>
      <c r="W24" s="272">
        <f t="shared" si="33"/>
        <v>0</v>
      </c>
      <c r="X24" s="272">
        <f t="shared" si="33"/>
        <v>0</v>
      </c>
      <c r="Y24" s="272">
        <f t="shared" si="33"/>
        <v>0</v>
      </c>
      <c r="Z24" s="272">
        <f t="shared" si="33"/>
        <v>0</v>
      </c>
      <c r="AA24" s="272">
        <f t="shared" si="33"/>
        <v>0</v>
      </c>
      <c r="AB24" s="272">
        <f t="shared" si="33"/>
        <v>0</v>
      </c>
      <c r="AC24" s="272">
        <f t="shared" si="33"/>
        <v>0</v>
      </c>
      <c r="AD24" s="272">
        <f t="shared" si="33"/>
        <v>0</v>
      </c>
      <c r="AE24" s="272">
        <f t="shared" si="33"/>
        <v>0</v>
      </c>
      <c r="AF24" s="272">
        <f t="shared" si="33"/>
        <v>0</v>
      </c>
      <c r="AG24" s="272">
        <f t="shared" si="33"/>
        <v>0</v>
      </c>
      <c r="AH24" s="272">
        <f t="shared" si="33"/>
        <v>0</v>
      </c>
      <c r="AI24" s="272">
        <f t="shared" si="33"/>
        <v>0</v>
      </c>
      <c r="AJ24" s="272">
        <f t="shared" si="33"/>
        <v>0</v>
      </c>
      <c r="AK24" s="272">
        <f t="shared" si="33"/>
        <v>0</v>
      </c>
      <c r="AL24" s="272">
        <f t="shared" si="33"/>
        <v>0</v>
      </c>
      <c r="AM24" s="272">
        <f t="shared" si="33"/>
        <v>0</v>
      </c>
      <c r="AN24" s="272">
        <f t="shared" si="33"/>
        <v>0</v>
      </c>
      <c r="AO24" s="272">
        <f t="shared" si="33"/>
        <v>0</v>
      </c>
      <c r="AP24" s="272">
        <f t="shared" si="33"/>
        <v>0</v>
      </c>
      <c r="AQ24" s="272">
        <f t="shared" si="33"/>
        <v>0</v>
      </c>
      <c r="AR24" s="272">
        <f t="shared" si="33"/>
        <v>0</v>
      </c>
      <c r="AS24" s="272">
        <f t="shared" si="33"/>
        <v>0</v>
      </c>
    </row>
    <row r="25" spans="1:45" ht="20.100000000000001" customHeight="1">
      <c r="A25" s="432"/>
      <c r="B25" s="425"/>
      <c r="C25" s="425"/>
      <c r="D25" s="425"/>
      <c r="E25" s="425"/>
      <c r="F25" s="425"/>
      <c r="G25" s="425"/>
      <c r="H25" s="425"/>
      <c r="I25" s="426"/>
      <c r="J25" s="273"/>
      <c r="O25" s="280" t="s">
        <v>271</v>
      </c>
      <c r="P25" s="419"/>
      <c r="Q25" s="272" t="str">
        <f t="shared" si="34"/>
        <v/>
      </c>
      <c r="R25" s="272">
        <f t="shared" si="33"/>
        <v>0</v>
      </c>
      <c r="S25" s="272">
        <f t="shared" si="33"/>
        <v>0</v>
      </c>
      <c r="T25" s="272">
        <f t="shared" si="33"/>
        <v>0</v>
      </c>
      <c r="U25" s="272">
        <f t="shared" si="33"/>
        <v>0</v>
      </c>
      <c r="V25" s="272">
        <f t="shared" si="33"/>
        <v>0</v>
      </c>
      <c r="W25" s="272">
        <f t="shared" si="33"/>
        <v>0</v>
      </c>
      <c r="X25" s="272">
        <f t="shared" si="33"/>
        <v>0</v>
      </c>
      <c r="Y25" s="272">
        <f t="shared" si="33"/>
        <v>0</v>
      </c>
      <c r="Z25" s="272">
        <f t="shared" si="33"/>
        <v>0</v>
      </c>
      <c r="AA25" s="272">
        <f t="shared" si="33"/>
        <v>0</v>
      </c>
      <c r="AB25" s="272">
        <f t="shared" si="33"/>
        <v>0</v>
      </c>
      <c r="AC25" s="272">
        <f t="shared" si="33"/>
        <v>0</v>
      </c>
      <c r="AD25" s="272">
        <f t="shared" si="33"/>
        <v>0</v>
      </c>
      <c r="AE25" s="272">
        <f t="shared" si="33"/>
        <v>0</v>
      </c>
      <c r="AF25" s="272">
        <f t="shared" si="33"/>
        <v>0</v>
      </c>
      <c r="AG25" s="272">
        <f t="shared" si="33"/>
        <v>0</v>
      </c>
      <c r="AH25" s="272">
        <f t="shared" si="33"/>
        <v>0</v>
      </c>
      <c r="AI25" s="272">
        <f t="shared" si="33"/>
        <v>0</v>
      </c>
      <c r="AJ25" s="272">
        <f t="shared" si="33"/>
        <v>0</v>
      </c>
      <c r="AK25" s="272">
        <f t="shared" si="33"/>
        <v>0</v>
      </c>
      <c r="AL25" s="272">
        <f t="shared" si="33"/>
        <v>0</v>
      </c>
      <c r="AM25" s="272">
        <f t="shared" si="33"/>
        <v>0</v>
      </c>
      <c r="AN25" s="272">
        <f t="shared" si="33"/>
        <v>0</v>
      </c>
      <c r="AO25" s="272">
        <f t="shared" si="33"/>
        <v>0</v>
      </c>
      <c r="AP25" s="272">
        <f t="shared" si="33"/>
        <v>0</v>
      </c>
      <c r="AQ25" s="272">
        <f t="shared" si="33"/>
        <v>0</v>
      </c>
      <c r="AR25" s="272">
        <f t="shared" si="33"/>
        <v>0</v>
      </c>
      <c r="AS25" s="272">
        <f t="shared" si="33"/>
        <v>0</v>
      </c>
    </row>
    <row r="26" spans="1:45" ht="20.100000000000001" customHeight="1">
      <c r="A26" s="432"/>
      <c r="B26" s="425"/>
      <c r="C26" s="425"/>
      <c r="D26" s="425"/>
      <c r="E26" s="425"/>
      <c r="F26" s="425"/>
      <c r="G26" s="425"/>
      <c r="H26" s="425"/>
      <c r="I26" s="426"/>
      <c r="J26" s="273"/>
      <c r="O26" s="280" t="s">
        <v>310</v>
      </c>
      <c r="P26" s="419"/>
      <c r="Q26" s="272">
        <f>SUM(Q20:Q25)</f>
        <v>0</v>
      </c>
      <c r="R26" s="272">
        <f t="shared" ref="R26:AS26" si="35">SUM(R20:R25)</f>
        <v>0</v>
      </c>
      <c r="S26" s="272">
        <f t="shared" si="35"/>
        <v>0</v>
      </c>
      <c r="T26" s="272">
        <f t="shared" si="35"/>
        <v>0</v>
      </c>
      <c r="U26" s="272">
        <f t="shared" si="35"/>
        <v>0</v>
      </c>
      <c r="V26" s="272">
        <f t="shared" si="35"/>
        <v>0</v>
      </c>
      <c r="W26" s="272">
        <f t="shared" si="35"/>
        <v>0</v>
      </c>
      <c r="X26" s="272">
        <f t="shared" si="35"/>
        <v>0</v>
      </c>
      <c r="Y26" s="272">
        <f t="shared" si="35"/>
        <v>0</v>
      </c>
      <c r="Z26" s="272">
        <f t="shared" si="35"/>
        <v>0</v>
      </c>
      <c r="AA26" s="272">
        <f t="shared" si="35"/>
        <v>0</v>
      </c>
      <c r="AB26" s="272">
        <f t="shared" si="35"/>
        <v>0</v>
      </c>
      <c r="AC26" s="272">
        <f t="shared" si="35"/>
        <v>0</v>
      </c>
      <c r="AD26" s="272">
        <f t="shared" si="35"/>
        <v>0</v>
      </c>
      <c r="AE26" s="272">
        <f t="shared" si="35"/>
        <v>0</v>
      </c>
      <c r="AF26" s="272">
        <f t="shared" si="35"/>
        <v>0</v>
      </c>
      <c r="AG26" s="272">
        <f t="shared" si="35"/>
        <v>0</v>
      </c>
      <c r="AH26" s="272">
        <f t="shared" si="35"/>
        <v>0</v>
      </c>
      <c r="AI26" s="272">
        <f t="shared" si="35"/>
        <v>0</v>
      </c>
      <c r="AJ26" s="272">
        <f t="shared" si="35"/>
        <v>0</v>
      </c>
      <c r="AK26" s="272">
        <f t="shared" si="35"/>
        <v>0</v>
      </c>
      <c r="AL26" s="272">
        <f t="shared" si="35"/>
        <v>0</v>
      </c>
      <c r="AM26" s="272">
        <f t="shared" si="35"/>
        <v>0</v>
      </c>
      <c r="AN26" s="272">
        <f t="shared" si="35"/>
        <v>0</v>
      </c>
      <c r="AO26" s="272">
        <f t="shared" si="35"/>
        <v>0</v>
      </c>
      <c r="AP26" s="272">
        <f t="shared" si="35"/>
        <v>0</v>
      </c>
      <c r="AQ26" s="272">
        <f t="shared" si="35"/>
        <v>0</v>
      </c>
      <c r="AR26" s="272">
        <f t="shared" si="35"/>
        <v>0</v>
      </c>
      <c r="AS26" s="272">
        <f t="shared" si="35"/>
        <v>0</v>
      </c>
    </row>
    <row r="27" spans="1:45" ht="20.100000000000001" customHeight="1">
      <c r="A27" s="432"/>
      <c r="B27" s="425"/>
      <c r="C27" s="425"/>
      <c r="D27" s="425"/>
      <c r="E27" s="425"/>
      <c r="F27" s="425"/>
      <c r="G27" s="425"/>
      <c r="H27" s="425"/>
      <c r="I27" s="426"/>
      <c r="J27" s="273"/>
    </row>
    <row r="28" spans="1:45" ht="20.100000000000001" customHeight="1">
      <c r="A28" s="432"/>
      <c r="B28" s="425"/>
      <c r="C28" s="425"/>
      <c r="D28" s="425"/>
      <c r="E28" s="425"/>
      <c r="F28" s="425"/>
      <c r="G28" s="425"/>
      <c r="H28" s="425"/>
      <c r="I28" s="426"/>
      <c r="J28" s="273"/>
    </row>
    <row r="29" spans="1:45" ht="20.100000000000001" customHeight="1">
      <c r="A29" s="432"/>
      <c r="B29" s="425"/>
      <c r="C29" s="425"/>
      <c r="D29" s="425"/>
      <c r="E29" s="425"/>
      <c r="F29" s="425"/>
      <c r="G29" s="425"/>
      <c r="H29" s="425"/>
      <c r="I29" s="426"/>
      <c r="J29" s="273"/>
    </row>
    <row r="30" spans="1:45" ht="20.100000000000001" customHeight="1">
      <c r="A30" s="432"/>
      <c r="B30" s="425"/>
      <c r="C30" s="425"/>
      <c r="D30" s="425"/>
      <c r="E30" s="425"/>
      <c r="F30" s="425"/>
      <c r="G30" s="425"/>
      <c r="H30" s="425"/>
      <c r="I30" s="426"/>
      <c r="J30" s="273"/>
    </row>
    <row r="31" spans="1:45" ht="20.100000000000001" customHeight="1">
      <c r="A31" s="432"/>
      <c r="B31" s="425"/>
      <c r="C31" s="425"/>
      <c r="D31" s="425"/>
      <c r="E31" s="425"/>
      <c r="F31" s="425"/>
      <c r="G31" s="425"/>
      <c r="H31" s="425"/>
      <c r="I31" s="426"/>
      <c r="J31" s="273"/>
    </row>
    <row r="32" spans="1:45" ht="20.100000000000001" customHeight="1" thickBot="1">
      <c r="A32" s="432"/>
      <c r="B32" s="425"/>
      <c r="C32" s="425"/>
      <c r="D32" s="425"/>
      <c r="E32" s="425"/>
      <c r="F32" s="425"/>
      <c r="G32" s="425"/>
      <c r="H32" s="425"/>
      <c r="I32" s="426"/>
      <c r="J32" s="273"/>
      <c r="K32" s="418" t="s">
        <v>382</v>
      </c>
    </row>
    <row r="33" spans="1:48" ht="20.100000000000001" customHeight="1" thickBot="1">
      <c r="A33" s="432"/>
      <c r="B33" s="425"/>
      <c r="C33" s="425"/>
      <c r="D33" s="425"/>
      <c r="E33" s="425"/>
      <c r="F33" s="425"/>
      <c r="G33" s="425"/>
      <c r="H33" s="425"/>
      <c r="I33" s="426"/>
      <c r="J33" s="273"/>
      <c r="K33" s="1464" t="s">
        <v>952</v>
      </c>
      <c r="L33" s="1462" t="s">
        <v>953</v>
      </c>
      <c r="M33" s="1463"/>
      <c r="N33" s="1466" t="s">
        <v>957</v>
      </c>
      <c r="O33" s="1468" t="s">
        <v>381</v>
      </c>
      <c r="P33" s="1459" t="s">
        <v>954</v>
      </c>
      <c r="Q33" s="423"/>
      <c r="R33" s="423"/>
      <c r="S33" s="423"/>
      <c r="T33" s="423"/>
      <c r="U33" s="423"/>
      <c r="V33" s="423"/>
      <c r="W33" s="423"/>
      <c r="X33" s="423"/>
      <c r="Y33" s="423"/>
      <c r="Z33" s="423"/>
      <c r="AA33" s="423"/>
      <c r="AB33" s="423"/>
      <c r="AC33" s="423"/>
      <c r="AD33" s="423"/>
      <c r="AE33" s="423"/>
      <c r="AF33" s="423"/>
      <c r="AG33" s="423"/>
      <c r="AH33" s="423"/>
      <c r="AI33" s="423"/>
      <c r="AJ33" s="423"/>
      <c r="AK33" s="423"/>
      <c r="AL33" s="423"/>
      <c r="AM33" s="423"/>
      <c r="AN33" s="423"/>
      <c r="AO33" s="423"/>
      <c r="AP33" s="423"/>
      <c r="AQ33" s="423"/>
      <c r="AR33" s="423"/>
      <c r="AS33" s="423"/>
      <c r="AT33" s="424"/>
    </row>
    <row r="34" spans="1:48" ht="20.100000000000001" customHeight="1" thickBot="1">
      <c r="A34" s="432"/>
      <c r="B34" s="425"/>
      <c r="C34" s="425"/>
      <c r="D34" s="425"/>
      <c r="E34" s="425"/>
      <c r="F34" s="425"/>
      <c r="G34" s="425"/>
      <c r="H34" s="425"/>
      <c r="I34" s="426"/>
      <c r="J34" s="273"/>
      <c r="K34" s="1465"/>
      <c r="L34" s="320" t="s">
        <v>888</v>
      </c>
      <c r="M34" s="320" t="s">
        <v>889</v>
      </c>
      <c r="N34" s="1467"/>
      <c r="O34" s="1469"/>
      <c r="P34" s="1460"/>
      <c r="Q34" s="434">
        <v>1</v>
      </c>
      <c r="R34" s="435">
        <f t="shared" ref="R34:AT34" si="36">Q34+1</f>
        <v>2</v>
      </c>
      <c r="S34" s="435">
        <f t="shared" si="36"/>
        <v>3</v>
      </c>
      <c r="T34" s="435">
        <f t="shared" si="36"/>
        <v>4</v>
      </c>
      <c r="U34" s="435">
        <f t="shared" si="36"/>
        <v>5</v>
      </c>
      <c r="V34" s="435">
        <f t="shared" si="36"/>
        <v>6</v>
      </c>
      <c r="W34" s="435">
        <f t="shared" si="36"/>
        <v>7</v>
      </c>
      <c r="X34" s="435">
        <f t="shared" si="36"/>
        <v>8</v>
      </c>
      <c r="Y34" s="435">
        <f t="shared" si="36"/>
        <v>9</v>
      </c>
      <c r="Z34" s="435">
        <f t="shared" si="36"/>
        <v>10</v>
      </c>
      <c r="AA34" s="435">
        <f t="shared" si="36"/>
        <v>11</v>
      </c>
      <c r="AB34" s="435">
        <f t="shared" si="36"/>
        <v>12</v>
      </c>
      <c r="AC34" s="435">
        <f t="shared" si="36"/>
        <v>13</v>
      </c>
      <c r="AD34" s="435">
        <f t="shared" si="36"/>
        <v>14</v>
      </c>
      <c r="AE34" s="435">
        <f t="shared" si="36"/>
        <v>15</v>
      </c>
      <c r="AF34" s="435">
        <f t="shared" si="36"/>
        <v>16</v>
      </c>
      <c r="AG34" s="435">
        <f t="shared" si="36"/>
        <v>17</v>
      </c>
      <c r="AH34" s="435">
        <f t="shared" si="36"/>
        <v>18</v>
      </c>
      <c r="AI34" s="435">
        <f t="shared" si="36"/>
        <v>19</v>
      </c>
      <c r="AJ34" s="435">
        <f t="shared" si="36"/>
        <v>20</v>
      </c>
      <c r="AK34" s="435">
        <f t="shared" si="36"/>
        <v>21</v>
      </c>
      <c r="AL34" s="435">
        <f t="shared" si="36"/>
        <v>22</v>
      </c>
      <c r="AM34" s="435">
        <f t="shared" si="36"/>
        <v>23</v>
      </c>
      <c r="AN34" s="435">
        <f t="shared" si="36"/>
        <v>24</v>
      </c>
      <c r="AO34" s="435">
        <f t="shared" si="36"/>
        <v>25</v>
      </c>
      <c r="AP34" s="435">
        <f t="shared" si="36"/>
        <v>26</v>
      </c>
      <c r="AQ34" s="435">
        <f t="shared" si="36"/>
        <v>27</v>
      </c>
      <c r="AR34" s="436">
        <f t="shared" si="36"/>
        <v>28</v>
      </c>
      <c r="AS34" s="435">
        <f t="shared" si="36"/>
        <v>29</v>
      </c>
      <c r="AT34" s="437">
        <f t="shared" si="36"/>
        <v>30</v>
      </c>
    </row>
    <row r="35" spans="1:48" ht="20.100000000000001" customHeight="1">
      <c r="A35" s="432"/>
      <c r="B35" s="425"/>
      <c r="C35" s="425"/>
      <c r="D35" s="425"/>
      <c r="E35" s="425"/>
      <c r="F35" s="425"/>
      <c r="G35" s="425"/>
      <c r="H35" s="425"/>
      <c r="I35" s="426"/>
      <c r="J35" s="273"/>
      <c r="K35" s="475">
        <f t="shared" ref="K35:K64" si="37">E47</f>
        <v>5000</v>
      </c>
      <c r="L35" s="375">
        <f t="shared" ref="L35:L64" si="38">F47</f>
        <v>0</v>
      </c>
      <c r="M35" s="375">
        <f t="shared" ref="M35:M64" si="39">G47</f>
        <v>0</v>
      </c>
      <c r="N35" s="317">
        <v>1</v>
      </c>
      <c r="O35" s="476" t="s">
        <v>815</v>
      </c>
      <c r="P35" s="477">
        <f t="shared" ref="P35:P64" si="40">2021+H47</f>
        <v>2025</v>
      </c>
      <c r="Q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R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S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T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U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V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W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X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Y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Z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A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B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C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D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E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F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G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H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I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J35" s="370">
        <f>($K35*INDEX('DEFAULT DATA'!$MW$9:$VD$41,START!$C$3,($N35))*-44/12)+($K35*INDEX('DEFAULT DATA'!$MW$9:$VD$41,START!$C$3,($N35+1))*-44/12)+($K35*INDEX('DEFAULT DATA'!$MW$9:$VD$41,START!$C$3,($N35+2))*-44/12)+($K35*INDEX('DEFAULT DATA'!$MW$9:$VD$41,START!$C$3,($N35+3))*-44/12)+($L35*INDEX('DEFAULT DATA'!$MW$9:$VD$41,START!$C$3,($N35+4))*-44/12)+($M35*INDEX('DEFAULT DATA'!$MW$9:$VD$41,START!$C$3,($N35+5))*-44/12)</f>
        <v>-18657.084688751667</v>
      </c>
      <c r="AK35" s="370">
        <f>(($K35*INDEX('DEFAULT DATA'!$TU$9:$TZ$41,START!$C$3,1)*-44/12)+($K35*INDEX('DEFAULT DATA'!$TU$9:$TZ$41,START!$C$3,2)*-44/12)+($K35*INDEX('DEFAULT DATA'!$TU$9:$TZ$41,START!$C$3,3)*-44/12)+($K35*INDEX('DEFAULT DATA'!$TU$9:$TZ$41,START!$C$3,4)*-44/12)+($L35*INDEX('DEFAULT DATA'!$TU$9:$TZ$41,START!$C$3,5)*-44/12)+($M35*INDEX('DEFAULT DATA'!$TU$9:$TZ$41,START!$C$3,6)*-44/12))</f>
        <v>-4891.7006119963671</v>
      </c>
      <c r="AL35" s="370">
        <f>(($K35*INDEX('DEFAULT DATA'!$TU$9:$TZ$41,START!$C$3,1)*-44/12)+($K35*INDEX('DEFAULT DATA'!$TU$9:$TZ$41,START!$C$3,2)*-44/12)+($K35*INDEX('DEFAULT DATA'!$TU$9:$TZ$41,START!$C$3,3)*-44/12)+($K35*INDEX('DEFAULT DATA'!$TU$9:$TZ$41,START!$C$3,4)*-44/12)+($L35*INDEX('DEFAULT DATA'!$TU$9:$TZ$41,START!$C$3,5)*-44/12)+($M35*INDEX('DEFAULT DATA'!$TU$9:$TZ$41,START!$C$3,6)*-44/12))</f>
        <v>-4891.7006119963671</v>
      </c>
      <c r="AM35" s="370">
        <f>(($K35*INDEX('DEFAULT DATA'!$TU$9:$TZ$41,START!$C$3,1)*-44/12)+($K35*INDEX('DEFAULT DATA'!$TU$9:$TZ$41,START!$C$3,2)*-44/12)+($K35*INDEX('DEFAULT DATA'!$TU$9:$TZ$41,START!$C$3,3)*-44/12)+($K35*INDEX('DEFAULT DATA'!$TU$9:$TZ$41,START!$C$3,4)*-44/12)+($L35*INDEX('DEFAULT DATA'!$TU$9:$TZ$41,START!$C$3,5)*-44/12)+($M35*INDEX('DEFAULT DATA'!$TU$9:$TZ$41,START!$C$3,6)*-44/12))</f>
        <v>-4891.7006119963671</v>
      </c>
      <c r="AN35" s="370">
        <f>(($K35*INDEX('DEFAULT DATA'!$TU$9:$TZ$41,START!$C$3,1)*-44/12)+($K35*INDEX('DEFAULT DATA'!$TU$9:$TZ$41,START!$C$3,2)*-44/12)+($K35*INDEX('DEFAULT DATA'!$TU$9:$TZ$41,START!$C$3,3)*-44/12)+($K35*INDEX('DEFAULT DATA'!$TU$9:$TZ$41,START!$C$3,4)*-44/12)+($L35*INDEX('DEFAULT DATA'!$TU$9:$TZ$41,START!$C$3,5)*-44/12)+($M35*INDEX('DEFAULT DATA'!$TU$9:$TZ$41,START!$C$3,6)*-44/12))</f>
        <v>-4891.7006119963671</v>
      </c>
      <c r="AO35" s="370">
        <f>(($K35*INDEX('DEFAULT DATA'!$TU$9:$TZ$41,START!$C$3,1)*-44/12)+($K35*INDEX('DEFAULT DATA'!$TU$9:$TZ$41,START!$C$3,2)*-44/12)+($K35*INDEX('DEFAULT DATA'!$TU$9:$TZ$41,START!$C$3,3)*-44/12)+($K35*INDEX('DEFAULT DATA'!$TU$9:$TZ$41,START!$C$3,4)*-44/12)+($L35*INDEX('DEFAULT DATA'!$TU$9:$TZ$41,START!$C$3,5)*-44/12)+($M35*INDEX('DEFAULT DATA'!$TU$9:$TZ$41,START!$C$3,6)*-44/12))</f>
        <v>-4891.7006119963671</v>
      </c>
      <c r="AP35" s="370">
        <f>(($K35*INDEX('DEFAULT DATA'!$TU$9:$TZ$41,START!$C$3,1)*-44/12)+($K35*INDEX('DEFAULT DATA'!$TU$9:$TZ$41,START!$C$3,2)*-44/12)+($K35*INDEX('DEFAULT DATA'!$TU$9:$TZ$41,START!$C$3,3)*-44/12)+($K35*INDEX('DEFAULT DATA'!$TU$9:$TZ$41,START!$C$3,4)*-44/12)+($L35*INDEX('DEFAULT DATA'!$TU$9:$TZ$41,START!$C$3,5)*-44/12)+($M35*INDEX('DEFAULT DATA'!$TU$9:$TZ$41,START!$C$3,6)*-44/12))</f>
        <v>-4891.7006119963671</v>
      </c>
      <c r="AQ35" s="370">
        <f>(($K35*INDEX('DEFAULT DATA'!$TU$9:$TZ$41,START!$C$3,1)*-44/12)+($K35*INDEX('DEFAULT DATA'!$TU$9:$TZ$41,START!$C$3,2)*-44/12)+($K35*INDEX('DEFAULT DATA'!$TU$9:$TZ$41,START!$C$3,3)*-44/12)+($K35*INDEX('DEFAULT DATA'!$TU$9:$TZ$41,START!$C$3,4)*-44/12)+($L35*INDEX('DEFAULT DATA'!$TU$9:$TZ$41,START!$C$3,5)*-44/12)+($M35*INDEX('DEFAULT DATA'!$TU$9:$TZ$41,START!$C$3,6)*-44/12))</f>
        <v>-4891.7006119963671</v>
      </c>
      <c r="AR35" s="370">
        <f>(($K35*INDEX('DEFAULT DATA'!$TU$9:$TZ$41,START!$C$3,1)*-44/12)+($K35*INDEX('DEFAULT DATA'!$TU$9:$TZ$41,START!$C$3,2)*-44/12)+($K35*INDEX('DEFAULT DATA'!$TU$9:$TZ$41,START!$C$3,3)*-44/12)+($K35*INDEX('DEFAULT DATA'!$TU$9:$TZ$41,START!$C$3,4)*-44/12)+($L35*INDEX('DEFAULT DATA'!$TU$9:$TZ$41,START!$C$3,5)*-44/12)+($M35*INDEX('DEFAULT DATA'!$TU$9:$TZ$41,START!$C$3,6)*-44/12))</f>
        <v>-4891.7006119963671</v>
      </c>
      <c r="AS35" s="370">
        <f>(($K35*INDEX('DEFAULT DATA'!$TU$9:$TZ$41,START!$C$3,1)*-44/12)+($K35*INDEX('DEFAULT DATA'!$TU$9:$TZ$41,START!$C$3,2)*-44/12)+($K35*INDEX('DEFAULT DATA'!$TU$9:$TZ$41,START!$C$3,3)*-44/12)+($K35*INDEX('DEFAULT DATA'!$TU$9:$TZ$41,START!$C$3,4)*-44/12)+($L35*INDEX('DEFAULT DATA'!$TU$9:$TZ$41,START!$C$3,5)*-44/12)+($M35*INDEX('DEFAULT DATA'!$TU$9:$TZ$41,START!$C$3,6)*-44/12))</f>
        <v>-4891.7006119963671</v>
      </c>
      <c r="AT35" s="371">
        <f>(($K35*INDEX('DEFAULT DATA'!$TU$9:$TZ$41,START!$C$3,1)*-44/12)+($K35*INDEX('DEFAULT DATA'!$TU$9:$TZ$41,START!$C$3,2)*-44/12)+($K35*INDEX('DEFAULT DATA'!$TU$9:$TZ$41,START!$C$3,3)*-44/12)+($K35*INDEX('DEFAULT DATA'!$TU$9:$TZ$41,START!$C$3,4)*-44/12)+($L35*INDEX('DEFAULT DATA'!$TU$9:$TZ$41,START!$C$3,5)*-44/12)+($M35*INDEX('DEFAULT DATA'!$TU$9:$TZ$41,START!$C$3,6)*-44/12))</f>
        <v>-4891.7006119963671</v>
      </c>
    </row>
    <row r="36" spans="1:48" ht="20.100000000000001" customHeight="1">
      <c r="A36" s="432"/>
      <c r="B36" s="425"/>
      <c r="C36" s="425"/>
      <c r="D36" s="425"/>
      <c r="E36" s="425"/>
      <c r="F36" s="425"/>
      <c r="G36" s="425"/>
      <c r="H36" s="425"/>
      <c r="I36" s="426"/>
      <c r="J36" s="273"/>
      <c r="K36" s="478">
        <f t="shared" si="37"/>
        <v>1000</v>
      </c>
      <c r="L36" s="479">
        <f t="shared" si="38"/>
        <v>0</v>
      </c>
      <c r="M36" s="479">
        <f t="shared" si="39"/>
        <v>0</v>
      </c>
      <c r="N36" s="220">
        <f>N35+6</f>
        <v>7</v>
      </c>
      <c r="O36" s="480" t="s">
        <v>816</v>
      </c>
      <c r="P36" s="481">
        <f t="shared" si="40"/>
        <v>2025</v>
      </c>
      <c r="Q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R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S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T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U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V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W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X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Y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Z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A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B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C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D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E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F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G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H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I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J36" s="216">
        <f>($K36*INDEX('DEFAULT DATA'!$MW$9:$VD$41,START!$C$3,($N36))*-44/12)+($K36*INDEX('DEFAULT DATA'!$MW$9:$VD$41,START!$C$3,($N36+1))*-44/12)+($K36*INDEX('DEFAULT DATA'!$MW$9:$VD$41,START!$C$3,($N36+2))*-44/12)+($K36*INDEX('DEFAULT DATA'!$MW$9:$VD$41,START!$C$3,($N36+3))*-44/12)+($L36*INDEX('DEFAULT DATA'!$MW$9:$VD$41,START!$C$3,($N36+4))*-44/12)+($M36*INDEX('DEFAULT DATA'!$MW$9:$VD$41,START!$C$3,($N36+5))*-44/12)</f>
        <v>-5727.1473601260959</v>
      </c>
      <c r="AK36" s="438">
        <f>(($K36*INDEX('DEFAULT DATA'!$TU$9:$TZ$41,START!$C$3,1)*-44/12)+($K36*INDEX('DEFAULT DATA'!$TU$9:$TZ$41,START!$C$3,2)*-44/12)+($K36*INDEX('DEFAULT DATA'!$TU$9:$TZ$41,START!$C$3,3)*-44/12)+($K36*INDEX('DEFAULT DATA'!$TU$9:$TZ$41,START!$C$3,4)*-44/12)+($L36*INDEX('DEFAULT DATA'!$TU$9:$TZ$41,START!$C$3,5)*-44/12)+($M36*INDEX('DEFAULT DATA'!$TU$9:$TZ$41,START!$C$3,6)*-44/12))</f>
        <v>-978.34012239927335</v>
      </c>
      <c r="AL36" s="438">
        <f>(($K36*INDEX('DEFAULT DATA'!$TU$9:$TZ$41,START!$C$3,1)*-44/12)+($K36*INDEX('DEFAULT DATA'!$TU$9:$TZ$41,START!$C$3,2)*-44/12)+($K36*INDEX('DEFAULT DATA'!$TU$9:$TZ$41,START!$C$3,3)*-44/12)+($K36*INDEX('DEFAULT DATA'!$TU$9:$TZ$41,START!$C$3,4)*-44/12)+($L36*INDEX('DEFAULT DATA'!$TU$9:$TZ$41,START!$C$3,5)*-44/12)+($M36*INDEX('DEFAULT DATA'!$TU$9:$TZ$41,START!$C$3,6)*-44/12))</f>
        <v>-978.34012239927335</v>
      </c>
      <c r="AM36" s="438">
        <f>(($K36*INDEX('DEFAULT DATA'!$TU$9:$TZ$41,START!$C$3,1)*-44/12)+($K36*INDEX('DEFAULT DATA'!$TU$9:$TZ$41,START!$C$3,2)*-44/12)+($K36*INDEX('DEFAULT DATA'!$TU$9:$TZ$41,START!$C$3,3)*-44/12)+($K36*INDEX('DEFAULT DATA'!$TU$9:$TZ$41,START!$C$3,4)*-44/12)+($L36*INDEX('DEFAULT DATA'!$TU$9:$TZ$41,START!$C$3,5)*-44/12)+($M36*INDEX('DEFAULT DATA'!$TU$9:$TZ$41,START!$C$3,6)*-44/12))</f>
        <v>-978.34012239927335</v>
      </c>
      <c r="AN36" s="438">
        <f>(($K36*INDEX('DEFAULT DATA'!$TU$9:$TZ$41,START!$C$3,1)*-44/12)+($K36*INDEX('DEFAULT DATA'!$TU$9:$TZ$41,START!$C$3,2)*-44/12)+($K36*INDEX('DEFAULT DATA'!$TU$9:$TZ$41,START!$C$3,3)*-44/12)+($K36*INDEX('DEFAULT DATA'!$TU$9:$TZ$41,START!$C$3,4)*-44/12)+($L36*INDEX('DEFAULT DATA'!$TU$9:$TZ$41,START!$C$3,5)*-44/12)+($M36*INDEX('DEFAULT DATA'!$TU$9:$TZ$41,START!$C$3,6)*-44/12))</f>
        <v>-978.34012239927335</v>
      </c>
      <c r="AO36" s="438">
        <f>(($K36*INDEX('DEFAULT DATA'!$TU$9:$TZ$41,START!$C$3,1)*-44/12)+($K36*INDEX('DEFAULT DATA'!$TU$9:$TZ$41,START!$C$3,2)*-44/12)+($K36*INDEX('DEFAULT DATA'!$TU$9:$TZ$41,START!$C$3,3)*-44/12)+($K36*INDEX('DEFAULT DATA'!$TU$9:$TZ$41,START!$C$3,4)*-44/12)+($L36*INDEX('DEFAULT DATA'!$TU$9:$TZ$41,START!$C$3,5)*-44/12)+($M36*INDEX('DEFAULT DATA'!$TU$9:$TZ$41,START!$C$3,6)*-44/12))</f>
        <v>-978.34012239927335</v>
      </c>
      <c r="AP36" s="438">
        <f>(($K36*INDEX('DEFAULT DATA'!$TU$9:$TZ$41,START!$C$3,1)*-44/12)+($K36*INDEX('DEFAULT DATA'!$TU$9:$TZ$41,START!$C$3,2)*-44/12)+($K36*INDEX('DEFAULT DATA'!$TU$9:$TZ$41,START!$C$3,3)*-44/12)+($K36*INDEX('DEFAULT DATA'!$TU$9:$TZ$41,START!$C$3,4)*-44/12)+($L36*INDEX('DEFAULT DATA'!$TU$9:$TZ$41,START!$C$3,5)*-44/12)+($M36*INDEX('DEFAULT DATA'!$TU$9:$TZ$41,START!$C$3,6)*-44/12))</f>
        <v>-978.34012239927335</v>
      </c>
      <c r="AQ36" s="438">
        <f>(($K36*INDEX('DEFAULT DATA'!$TU$9:$TZ$41,START!$C$3,1)*-44/12)+($K36*INDEX('DEFAULT DATA'!$TU$9:$TZ$41,START!$C$3,2)*-44/12)+($K36*INDEX('DEFAULT DATA'!$TU$9:$TZ$41,START!$C$3,3)*-44/12)+($K36*INDEX('DEFAULT DATA'!$TU$9:$TZ$41,START!$C$3,4)*-44/12)+($L36*INDEX('DEFAULT DATA'!$TU$9:$TZ$41,START!$C$3,5)*-44/12)+($M36*INDEX('DEFAULT DATA'!$TU$9:$TZ$41,START!$C$3,6)*-44/12))</f>
        <v>-978.34012239927335</v>
      </c>
      <c r="AR36" s="438">
        <f>(($K36*INDEX('DEFAULT DATA'!$TU$9:$TZ$41,START!$C$3,1)*-44/12)+($K36*INDEX('DEFAULT DATA'!$TU$9:$TZ$41,START!$C$3,2)*-44/12)+($K36*INDEX('DEFAULT DATA'!$TU$9:$TZ$41,START!$C$3,3)*-44/12)+($K36*INDEX('DEFAULT DATA'!$TU$9:$TZ$41,START!$C$3,4)*-44/12)+($L36*INDEX('DEFAULT DATA'!$TU$9:$TZ$41,START!$C$3,5)*-44/12)+($M36*INDEX('DEFAULT DATA'!$TU$9:$TZ$41,START!$C$3,6)*-44/12))</f>
        <v>-978.34012239927335</v>
      </c>
      <c r="AS36" s="438">
        <f>(($K36*INDEX('DEFAULT DATA'!$TU$9:$TZ$41,START!$C$3,1)*-44/12)+($K36*INDEX('DEFAULT DATA'!$TU$9:$TZ$41,START!$C$3,2)*-44/12)+($K36*INDEX('DEFAULT DATA'!$TU$9:$TZ$41,START!$C$3,3)*-44/12)+($K36*INDEX('DEFAULT DATA'!$TU$9:$TZ$41,START!$C$3,4)*-44/12)+($L36*INDEX('DEFAULT DATA'!$TU$9:$TZ$41,START!$C$3,5)*-44/12)+($M36*INDEX('DEFAULT DATA'!$TU$9:$TZ$41,START!$C$3,6)*-44/12))</f>
        <v>-978.34012239927335</v>
      </c>
      <c r="AT36" s="439">
        <f>(($K36*INDEX('DEFAULT DATA'!$TU$9:$TZ$41,START!$C$3,1)*-44/12)+($K36*INDEX('DEFAULT DATA'!$TU$9:$TZ$41,START!$C$3,2)*-44/12)+($K36*INDEX('DEFAULT DATA'!$TU$9:$TZ$41,START!$C$3,3)*-44/12)+($K36*INDEX('DEFAULT DATA'!$TU$9:$TZ$41,START!$C$3,4)*-44/12)+($L36*INDEX('DEFAULT DATA'!$TU$9:$TZ$41,START!$C$3,5)*-44/12)+($M36*INDEX('DEFAULT DATA'!$TU$9:$TZ$41,START!$C$3,6)*-44/12))</f>
        <v>-978.34012239927335</v>
      </c>
    </row>
    <row r="37" spans="1:48" ht="20.100000000000001" customHeight="1">
      <c r="A37" s="432"/>
      <c r="B37" s="425"/>
      <c r="C37" s="425"/>
      <c r="D37" s="425"/>
      <c r="E37" s="425"/>
      <c r="F37" s="425"/>
      <c r="G37" s="425"/>
      <c r="H37" s="425"/>
      <c r="I37" s="426"/>
      <c r="J37" s="273"/>
      <c r="K37" s="478">
        <f t="shared" si="37"/>
        <v>1000</v>
      </c>
      <c r="L37" s="479">
        <f t="shared" si="38"/>
        <v>0</v>
      </c>
      <c r="M37" s="479">
        <f t="shared" si="39"/>
        <v>0</v>
      </c>
      <c r="N37" s="220">
        <f t="shared" ref="N37:N64" si="41">N36+6</f>
        <v>13</v>
      </c>
      <c r="O37" s="480" t="s">
        <v>817</v>
      </c>
      <c r="P37" s="481">
        <f t="shared" si="40"/>
        <v>2025</v>
      </c>
      <c r="Q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R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S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T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U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V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W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X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Y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Z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A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B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C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D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E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F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G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H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I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J37" s="216">
        <f>($K37*INDEX('DEFAULT DATA'!$MW$9:$VD$41,START!$C$3,($N37))*-44/12)+($K37*INDEX('DEFAULT DATA'!$MW$9:$VD$41,START!$C$3,($N37+1))*-44/12)+($K37*INDEX('DEFAULT DATA'!$MW$9:$VD$41,START!$C$3,($N37+2))*-44/12)+($K37*INDEX('DEFAULT DATA'!$MW$9:$VD$41,START!$C$3,($N37+3))*-44/12)+($L37*INDEX('DEFAULT DATA'!$MW$9:$VD$41,START!$C$3,($N37+4))*-44/12)+($M37*INDEX('DEFAULT DATA'!$MW$9:$VD$41,START!$C$3,($N37+5))*-44/12)</f>
        <v>-2270.57917973744</v>
      </c>
      <c r="AK37" s="438">
        <f>(($K37*INDEX('DEFAULT DATA'!$TU$9:$TZ$41,START!$C$3,1)*-44/12)+($K37*INDEX('DEFAULT DATA'!$TU$9:$TZ$41,START!$C$3,2)*-44/12)+($K37*INDEX('DEFAULT DATA'!$TU$9:$TZ$41,START!$C$3,3)*-44/12)+($K37*INDEX('DEFAULT DATA'!$TU$9:$TZ$41,START!$C$3,4)*-44/12)+($L37*INDEX('DEFAULT DATA'!$TU$9:$TZ$41,START!$C$3,5)*-44/12)+($M37*INDEX('DEFAULT DATA'!$TU$9:$TZ$41,START!$C$3,6)*-44/12))</f>
        <v>-978.34012239927335</v>
      </c>
      <c r="AL37" s="438">
        <f>(($K37*INDEX('DEFAULT DATA'!$TU$9:$TZ$41,START!$C$3,1)*-44/12)+($K37*INDEX('DEFAULT DATA'!$TU$9:$TZ$41,START!$C$3,2)*-44/12)+($K37*INDEX('DEFAULT DATA'!$TU$9:$TZ$41,START!$C$3,3)*-44/12)+($K37*INDEX('DEFAULT DATA'!$TU$9:$TZ$41,START!$C$3,4)*-44/12)+($L37*INDEX('DEFAULT DATA'!$TU$9:$TZ$41,START!$C$3,5)*-44/12)+($M37*INDEX('DEFAULT DATA'!$TU$9:$TZ$41,START!$C$3,6)*-44/12))</f>
        <v>-978.34012239927335</v>
      </c>
      <c r="AM37" s="438">
        <f>(($K37*INDEX('DEFAULT DATA'!$TU$9:$TZ$41,START!$C$3,1)*-44/12)+($K37*INDEX('DEFAULT DATA'!$TU$9:$TZ$41,START!$C$3,2)*-44/12)+($K37*INDEX('DEFAULT DATA'!$TU$9:$TZ$41,START!$C$3,3)*-44/12)+($K37*INDEX('DEFAULT DATA'!$TU$9:$TZ$41,START!$C$3,4)*-44/12)+($L37*INDEX('DEFAULT DATA'!$TU$9:$TZ$41,START!$C$3,5)*-44/12)+($M37*INDEX('DEFAULT DATA'!$TU$9:$TZ$41,START!$C$3,6)*-44/12))</f>
        <v>-978.34012239927335</v>
      </c>
      <c r="AN37" s="438">
        <f>(($K37*INDEX('DEFAULT DATA'!$TU$9:$TZ$41,START!$C$3,1)*-44/12)+($K37*INDEX('DEFAULT DATA'!$TU$9:$TZ$41,START!$C$3,2)*-44/12)+($K37*INDEX('DEFAULT DATA'!$TU$9:$TZ$41,START!$C$3,3)*-44/12)+($K37*INDEX('DEFAULT DATA'!$TU$9:$TZ$41,START!$C$3,4)*-44/12)+($L37*INDEX('DEFAULT DATA'!$TU$9:$TZ$41,START!$C$3,5)*-44/12)+($M37*INDEX('DEFAULT DATA'!$TU$9:$TZ$41,START!$C$3,6)*-44/12))</f>
        <v>-978.34012239927335</v>
      </c>
      <c r="AO37" s="438">
        <f>(($K37*INDEX('DEFAULT DATA'!$TU$9:$TZ$41,START!$C$3,1)*-44/12)+($K37*INDEX('DEFAULT DATA'!$TU$9:$TZ$41,START!$C$3,2)*-44/12)+($K37*INDEX('DEFAULT DATA'!$TU$9:$TZ$41,START!$C$3,3)*-44/12)+($K37*INDEX('DEFAULT DATA'!$TU$9:$TZ$41,START!$C$3,4)*-44/12)+($L37*INDEX('DEFAULT DATA'!$TU$9:$TZ$41,START!$C$3,5)*-44/12)+($M37*INDEX('DEFAULT DATA'!$TU$9:$TZ$41,START!$C$3,6)*-44/12))</f>
        <v>-978.34012239927335</v>
      </c>
      <c r="AP37" s="438">
        <f>(($K37*INDEX('DEFAULT DATA'!$TU$9:$TZ$41,START!$C$3,1)*-44/12)+($K37*INDEX('DEFAULT DATA'!$TU$9:$TZ$41,START!$C$3,2)*-44/12)+($K37*INDEX('DEFAULT DATA'!$TU$9:$TZ$41,START!$C$3,3)*-44/12)+($K37*INDEX('DEFAULT DATA'!$TU$9:$TZ$41,START!$C$3,4)*-44/12)+($L37*INDEX('DEFAULT DATA'!$TU$9:$TZ$41,START!$C$3,5)*-44/12)+($M37*INDEX('DEFAULT DATA'!$TU$9:$TZ$41,START!$C$3,6)*-44/12))</f>
        <v>-978.34012239927335</v>
      </c>
      <c r="AQ37" s="438">
        <f>(($K37*INDEX('DEFAULT DATA'!$TU$9:$TZ$41,START!$C$3,1)*-44/12)+($K37*INDEX('DEFAULT DATA'!$TU$9:$TZ$41,START!$C$3,2)*-44/12)+($K37*INDEX('DEFAULT DATA'!$TU$9:$TZ$41,START!$C$3,3)*-44/12)+($K37*INDEX('DEFAULT DATA'!$TU$9:$TZ$41,START!$C$3,4)*-44/12)+($L37*INDEX('DEFAULT DATA'!$TU$9:$TZ$41,START!$C$3,5)*-44/12)+($M37*INDEX('DEFAULT DATA'!$TU$9:$TZ$41,START!$C$3,6)*-44/12))</f>
        <v>-978.34012239927335</v>
      </c>
      <c r="AR37" s="438">
        <f>(($K37*INDEX('DEFAULT DATA'!$TU$9:$TZ$41,START!$C$3,1)*-44/12)+($K37*INDEX('DEFAULT DATA'!$TU$9:$TZ$41,START!$C$3,2)*-44/12)+($K37*INDEX('DEFAULT DATA'!$TU$9:$TZ$41,START!$C$3,3)*-44/12)+($K37*INDEX('DEFAULT DATA'!$TU$9:$TZ$41,START!$C$3,4)*-44/12)+($L37*INDEX('DEFAULT DATA'!$TU$9:$TZ$41,START!$C$3,5)*-44/12)+($M37*INDEX('DEFAULT DATA'!$TU$9:$TZ$41,START!$C$3,6)*-44/12))</f>
        <v>-978.34012239927335</v>
      </c>
      <c r="AS37" s="438">
        <f>(($K37*INDEX('DEFAULT DATA'!$TU$9:$TZ$41,START!$C$3,1)*-44/12)+($K37*INDEX('DEFAULT DATA'!$TU$9:$TZ$41,START!$C$3,2)*-44/12)+($K37*INDEX('DEFAULT DATA'!$TU$9:$TZ$41,START!$C$3,3)*-44/12)+($K37*INDEX('DEFAULT DATA'!$TU$9:$TZ$41,START!$C$3,4)*-44/12)+($L37*INDEX('DEFAULT DATA'!$TU$9:$TZ$41,START!$C$3,5)*-44/12)+($M37*INDEX('DEFAULT DATA'!$TU$9:$TZ$41,START!$C$3,6)*-44/12))</f>
        <v>-978.34012239927335</v>
      </c>
      <c r="AT37" s="439">
        <f>(($K37*INDEX('DEFAULT DATA'!$TU$9:$TZ$41,START!$C$3,1)*-44/12)+($K37*INDEX('DEFAULT DATA'!$TU$9:$TZ$41,START!$C$3,2)*-44/12)+($K37*INDEX('DEFAULT DATA'!$TU$9:$TZ$41,START!$C$3,3)*-44/12)+($K37*INDEX('DEFAULT DATA'!$TU$9:$TZ$41,START!$C$3,4)*-44/12)+($L37*INDEX('DEFAULT DATA'!$TU$9:$TZ$41,START!$C$3,5)*-44/12)+($M37*INDEX('DEFAULT DATA'!$TU$9:$TZ$41,START!$C$3,6)*-44/12))</f>
        <v>-978.34012239927335</v>
      </c>
    </row>
    <row r="38" spans="1:48" ht="20.100000000000001" customHeight="1">
      <c r="A38" s="432"/>
      <c r="B38" s="425"/>
      <c r="C38" s="425"/>
      <c r="D38" s="425"/>
      <c r="E38" s="425"/>
      <c r="F38" s="425"/>
      <c r="G38" s="425"/>
      <c r="H38" s="425"/>
      <c r="I38" s="426"/>
      <c r="J38" s="273"/>
      <c r="K38" s="478">
        <f t="shared" si="37"/>
        <v>1000</v>
      </c>
      <c r="L38" s="479">
        <f t="shared" si="38"/>
        <v>0</v>
      </c>
      <c r="M38" s="479">
        <f t="shared" si="39"/>
        <v>0</v>
      </c>
      <c r="N38" s="220">
        <f t="shared" si="41"/>
        <v>19</v>
      </c>
      <c r="O38" s="480" t="s">
        <v>818</v>
      </c>
      <c r="P38" s="481">
        <f t="shared" si="40"/>
        <v>2025</v>
      </c>
      <c r="Q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R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S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T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U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V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W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X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Y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Z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A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B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C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D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E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F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G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H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I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J38" s="216">
        <f>($K38*INDEX('DEFAULT DATA'!$MW$9:$VD$41,START!$C$3,($N38))*-44/12)+($K38*INDEX('DEFAULT DATA'!$MW$9:$VD$41,START!$C$3,($N38+1))*-44/12)+($K38*INDEX('DEFAULT DATA'!$MW$9:$VD$41,START!$C$3,($N38+2))*-44/12)+($K38*INDEX('DEFAULT DATA'!$MW$9:$VD$41,START!$C$3,($N38+3))*-44/12)+($L38*INDEX('DEFAULT DATA'!$MW$9:$VD$41,START!$C$3,($N38+4))*-44/12)+($M38*INDEX('DEFAULT DATA'!$MW$9:$VD$41,START!$C$3,($N38+5))*-44/12)</f>
        <v>-3476.7418240909933</v>
      </c>
      <c r="AK38" s="438">
        <f>(($K38*INDEX('DEFAULT DATA'!$TU$9:$TZ$41,START!$C$3,1)*-44/12)+($K38*INDEX('DEFAULT DATA'!$TU$9:$TZ$41,START!$C$3,2)*-44/12)+($K38*INDEX('DEFAULT DATA'!$TU$9:$TZ$41,START!$C$3,3)*-44/12)+($K38*INDEX('DEFAULT DATA'!$TU$9:$TZ$41,START!$C$3,4)*-44/12)+($L38*INDEX('DEFAULT DATA'!$TU$9:$TZ$41,START!$C$3,5)*-44/12)+($M38*INDEX('DEFAULT DATA'!$TU$9:$TZ$41,START!$C$3,6)*-44/12))</f>
        <v>-978.34012239927335</v>
      </c>
      <c r="AL38" s="438">
        <f>(($K38*INDEX('DEFAULT DATA'!$TU$9:$TZ$41,START!$C$3,1)*-44/12)+($K38*INDEX('DEFAULT DATA'!$TU$9:$TZ$41,START!$C$3,2)*-44/12)+($K38*INDEX('DEFAULT DATA'!$TU$9:$TZ$41,START!$C$3,3)*-44/12)+($K38*INDEX('DEFAULT DATA'!$TU$9:$TZ$41,START!$C$3,4)*-44/12)+($L38*INDEX('DEFAULT DATA'!$TU$9:$TZ$41,START!$C$3,5)*-44/12)+($M38*INDEX('DEFAULT DATA'!$TU$9:$TZ$41,START!$C$3,6)*-44/12))</f>
        <v>-978.34012239927335</v>
      </c>
      <c r="AM38" s="438">
        <f>(($K38*INDEX('DEFAULT DATA'!$TU$9:$TZ$41,START!$C$3,1)*-44/12)+($K38*INDEX('DEFAULT DATA'!$TU$9:$TZ$41,START!$C$3,2)*-44/12)+($K38*INDEX('DEFAULT DATA'!$TU$9:$TZ$41,START!$C$3,3)*-44/12)+($K38*INDEX('DEFAULT DATA'!$TU$9:$TZ$41,START!$C$3,4)*-44/12)+($L38*INDEX('DEFAULT DATA'!$TU$9:$TZ$41,START!$C$3,5)*-44/12)+($M38*INDEX('DEFAULT DATA'!$TU$9:$TZ$41,START!$C$3,6)*-44/12))</f>
        <v>-978.34012239927335</v>
      </c>
      <c r="AN38" s="438">
        <f>(($K38*INDEX('DEFAULT DATA'!$TU$9:$TZ$41,START!$C$3,1)*-44/12)+($K38*INDEX('DEFAULT DATA'!$TU$9:$TZ$41,START!$C$3,2)*-44/12)+($K38*INDEX('DEFAULT DATA'!$TU$9:$TZ$41,START!$C$3,3)*-44/12)+($K38*INDEX('DEFAULT DATA'!$TU$9:$TZ$41,START!$C$3,4)*-44/12)+($L38*INDEX('DEFAULT DATA'!$TU$9:$TZ$41,START!$C$3,5)*-44/12)+($M38*INDEX('DEFAULT DATA'!$TU$9:$TZ$41,START!$C$3,6)*-44/12))</f>
        <v>-978.34012239927335</v>
      </c>
      <c r="AO38" s="438">
        <f>(($K38*INDEX('DEFAULT DATA'!$TU$9:$TZ$41,START!$C$3,1)*-44/12)+($K38*INDEX('DEFAULT DATA'!$TU$9:$TZ$41,START!$C$3,2)*-44/12)+($K38*INDEX('DEFAULT DATA'!$TU$9:$TZ$41,START!$C$3,3)*-44/12)+($K38*INDEX('DEFAULT DATA'!$TU$9:$TZ$41,START!$C$3,4)*-44/12)+($L38*INDEX('DEFAULT DATA'!$TU$9:$TZ$41,START!$C$3,5)*-44/12)+($M38*INDEX('DEFAULT DATA'!$TU$9:$TZ$41,START!$C$3,6)*-44/12))</f>
        <v>-978.34012239927335</v>
      </c>
      <c r="AP38" s="438">
        <f>(($K38*INDEX('DEFAULT DATA'!$TU$9:$TZ$41,START!$C$3,1)*-44/12)+($K38*INDEX('DEFAULT DATA'!$TU$9:$TZ$41,START!$C$3,2)*-44/12)+($K38*INDEX('DEFAULT DATA'!$TU$9:$TZ$41,START!$C$3,3)*-44/12)+($K38*INDEX('DEFAULT DATA'!$TU$9:$TZ$41,START!$C$3,4)*-44/12)+($L38*INDEX('DEFAULT DATA'!$TU$9:$TZ$41,START!$C$3,5)*-44/12)+($M38*INDEX('DEFAULT DATA'!$TU$9:$TZ$41,START!$C$3,6)*-44/12))</f>
        <v>-978.34012239927335</v>
      </c>
      <c r="AQ38" s="438">
        <f>(($K38*INDEX('DEFAULT DATA'!$TU$9:$TZ$41,START!$C$3,1)*-44/12)+($K38*INDEX('DEFAULT DATA'!$TU$9:$TZ$41,START!$C$3,2)*-44/12)+($K38*INDEX('DEFAULT DATA'!$TU$9:$TZ$41,START!$C$3,3)*-44/12)+($K38*INDEX('DEFAULT DATA'!$TU$9:$TZ$41,START!$C$3,4)*-44/12)+($L38*INDEX('DEFAULT DATA'!$TU$9:$TZ$41,START!$C$3,5)*-44/12)+($M38*INDEX('DEFAULT DATA'!$TU$9:$TZ$41,START!$C$3,6)*-44/12))</f>
        <v>-978.34012239927335</v>
      </c>
      <c r="AR38" s="438">
        <f>(($K38*INDEX('DEFAULT DATA'!$TU$9:$TZ$41,START!$C$3,1)*-44/12)+($K38*INDEX('DEFAULT DATA'!$TU$9:$TZ$41,START!$C$3,2)*-44/12)+($K38*INDEX('DEFAULT DATA'!$TU$9:$TZ$41,START!$C$3,3)*-44/12)+($K38*INDEX('DEFAULT DATA'!$TU$9:$TZ$41,START!$C$3,4)*-44/12)+($L38*INDEX('DEFAULT DATA'!$TU$9:$TZ$41,START!$C$3,5)*-44/12)+($M38*INDEX('DEFAULT DATA'!$TU$9:$TZ$41,START!$C$3,6)*-44/12))</f>
        <v>-978.34012239927335</v>
      </c>
      <c r="AS38" s="438">
        <f>(($K38*INDEX('DEFAULT DATA'!$TU$9:$TZ$41,START!$C$3,1)*-44/12)+($K38*INDEX('DEFAULT DATA'!$TU$9:$TZ$41,START!$C$3,2)*-44/12)+($K38*INDEX('DEFAULT DATA'!$TU$9:$TZ$41,START!$C$3,3)*-44/12)+($K38*INDEX('DEFAULT DATA'!$TU$9:$TZ$41,START!$C$3,4)*-44/12)+($L38*INDEX('DEFAULT DATA'!$TU$9:$TZ$41,START!$C$3,5)*-44/12)+($M38*INDEX('DEFAULT DATA'!$TU$9:$TZ$41,START!$C$3,6)*-44/12))</f>
        <v>-978.34012239927335</v>
      </c>
      <c r="AT38" s="439">
        <f>(($K38*INDEX('DEFAULT DATA'!$TU$9:$TZ$41,START!$C$3,1)*-44/12)+($K38*INDEX('DEFAULT DATA'!$TU$9:$TZ$41,START!$C$3,2)*-44/12)+($K38*INDEX('DEFAULT DATA'!$TU$9:$TZ$41,START!$C$3,3)*-44/12)+($K38*INDEX('DEFAULT DATA'!$TU$9:$TZ$41,START!$C$3,4)*-44/12)+($L38*INDEX('DEFAULT DATA'!$TU$9:$TZ$41,START!$C$3,5)*-44/12)+($M38*INDEX('DEFAULT DATA'!$TU$9:$TZ$41,START!$C$3,6)*-44/12))</f>
        <v>-978.34012239927335</v>
      </c>
    </row>
    <row r="39" spans="1:48" ht="20.100000000000001" customHeight="1" thickBot="1">
      <c r="A39" s="432"/>
      <c r="B39" s="425"/>
      <c r="C39" s="425"/>
      <c r="D39" s="425"/>
      <c r="E39" s="425"/>
      <c r="F39" s="425"/>
      <c r="G39" s="425"/>
      <c r="H39" s="425"/>
      <c r="I39" s="426"/>
      <c r="J39" s="273"/>
      <c r="K39" s="482">
        <f t="shared" si="37"/>
        <v>1000</v>
      </c>
      <c r="L39" s="483">
        <f t="shared" si="38"/>
        <v>0</v>
      </c>
      <c r="M39" s="483">
        <f t="shared" si="39"/>
        <v>0</v>
      </c>
      <c r="N39" s="320">
        <f t="shared" si="41"/>
        <v>25</v>
      </c>
      <c r="O39" s="484" t="s">
        <v>819</v>
      </c>
      <c r="P39" s="485">
        <f t="shared" si="40"/>
        <v>2025</v>
      </c>
      <c r="Q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R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S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T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U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V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W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X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Y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Z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A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B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C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D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E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F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G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H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I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J39" s="440">
        <f>($K39*INDEX('DEFAULT DATA'!$MW$9:$VD$41,START!$C$3,($N39))*-44/12)+($K39*INDEX('DEFAULT DATA'!$MW$9:$VD$41,START!$C$3,($N39+1))*-44/12)+($K39*INDEX('DEFAULT DATA'!$MW$9:$VD$41,START!$C$3,($N39+2))*-44/12)+($K39*INDEX('DEFAULT DATA'!$MW$9:$VD$41,START!$C$3,($N39+3))*-44/12)+($L39*INDEX('DEFAULT DATA'!$MW$9:$VD$41,START!$C$3,($N39+4))*-44/12)+($M39*INDEX('DEFAULT DATA'!$MW$9:$VD$41,START!$C$3,($N39+5))*-44/12)</f>
        <v>-5098.2976386600867</v>
      </c>
      <c r="AK39" s="441">
        <f>(($K39*INDEX('DEFAULT DATA'!$TU$9:$TZ$41,START!$C$3,1)*-44/12)+($K39*INDEX('DEFAULT DATA'!$TU$9:$TZ$41,START!$C$3,2)*-44/12)+($K39*INDEX('DEFAULT DATA'!$TU$9:$TZ$41,START!$C$3,3)*-44/12)+($K39*INDEX('DEFAULT DATA'!$TU$9:$TZ$41,START!$C$3,4)*-44/12)+($L39*INDEX('DEFAULT DATA'!$TU$9:$TZ$41,START!$C$3,5)*-44/12)+($M39*INDEX('DEFAULT DATA'!$TU$9:$TZ$41,START!$C$3,6)*-44/12))</f>
        <v>-978.34012239927335</v>
      </c>
      <c r="AL39" s="441">
        <f>(($K39*INDEX('DEFAULT DATA'!$TU$9:$TZ$41,START!$C$3,1)*-44/12)+($K39*INDEX('DEFAULT DATA'!$TU$9:$TZ$41,START!$C$3,2)*-44/12)+($K39*INDEX('DEFAULT DATA'!$TU$9:$TZ$41,START!$C$3,3)*-44/12)+($K39*INDEX('DEFAULT DATA'!$TU$9:$TZ$41,START!$C$3,4)*-44/12)+($L39*INDEX('DEFAULT DATA'!$TU$9:$TZ$41,START!$C$3,5)*-44/12)+($M39*INDEX('DEFAULT DATA'!$TU$9:$TZ$41,START!$C$3,6)*-44/12))</f>
        <v>-978.34012239927335</v>
      </c>
      <c r="AM39" s="441">
        <f>(($K39*INDEX('DEFAULT DATA'!$TU$9:$TZ$41,START!$C$3,1)*-44/12)+($K39*INDEX('DEFAULT DATA'!$TU$9:$TZ$41,START!$C$3,2)*-44/12)+($K39*INDEX('DEFAULT DATA'!$TU$9:$TZ$41,START!$C$3,3)*-44/12)+($K39*INDEX('DEFAULT DATA'!$TU$9:$TZ$41,START!$C$3,4)*-44/12)+($L39*INDEX('DEFAULT DATA'!$TU$9:$TZ$41,START!$C$3,5)*-44/12)+($M39*INDEX('DEFAULT DATA'!$TU$9:$TZ$41,START!$C$3,6)*-44/12))</f>
        <v>-978.34012239927335</v>
      </c>
      <c r="AN39" s="441">
        <f>(($K39*INDEX('DEFAULT DATA'!$TU$9:$TZ$41,START!$C$3,1)*-44/12)+($K39*INDEX('DEFAULT DATA'!$TU$9:$TZ$41,START!$C$3,2)*-44/12)+($K39*INDEX('DEFAULT DATA'!$TU$9:$TZ$41,START!$C$3,3)*-44/12)+($K39*INDEX('DEFAULT DATA'!$TU$9:$TZ$41,START!$C$3,4)*-44/12)+($L39*INDEX('DEFAULT DATA'!$TU$9:$TZ$41,START!$C$3,5)*-44/12)+($M39*INDEX('DEFAULT DATA'!$TU$9:$TZ$41,START!$C$3,6)*-44/12))</f>
        <v>-978.34012239927335</v>
      </c>
      <c r="AO39" s="441">
        <f>(($K39*INDEX('DEFAULT DATA'!$TU$9:$TZ$41,START!$C$3,1)*-44/12)+($K39*INDEX('DEFAULT DATA'!$TU$9:$TZ$41,START!$C$3,2)*-44/12)+($K39*INDEX('DEFAULT DATA'!$TU$9:$TZ$41,START!$C$3,3)*-44/12)+($K39*INDEX('DEFAULT DATA'!$TU$9:$TZ$41,START!$C$3,4)*-44/12)+($L39*INDEX('DEFAULT DATA'!$TU$9:$TZ$41,START!$C$3,5)*-44/12)+($M39*INDEX('DEFAULT DATA'!$TU$9:$TZ$41,START!$C$3,6)*-44/12))</f>
        <v>-978.34012239927335</v>
      </c>
      <c r="AP39" s="441">
        <f>(($K39*INDEX('DEFAULT DATA'!$TU$9:$TZ$41,START!$C$3,1)*-44/12)+($K39*INDEX('DEFAULT DATA'!$TU$9:$TZ$41,START!$C$3,2)*-44/12)+($K39*INDEX('DEFAULT DATA'!$TU$9:$TZ$41,START!$C$3,3)*-44/12)+($K39*INDEX('DEFAULT DATA'!$TU$9:$TZ$41,START!$C$3,4)*-44/12)+($L39*INDEX('DEFAULT DATA'!$TU$9:$TZ$41,START!$C$3,5)*-44/12)+($M39*INDEX('DEFAULT DATA'!$TU$9:$TZ$41,START!$C$3,6)*-44/12))</f>
        <v>-978.34012239927335</v>
      </c>
      <c r="AQ39" s="441">
        <f>(($K39*INDEX('DEFAULT DATA'!$TU$9:$TZ$41,START!$C$3,1)*-44/12)+($K39*INDEX('DEFAULT DATA'!$TU$9:$TZ$41,START!$C$3,2)*-44/12)+($K39*INDEX('DEFAULT DATA'!$TU$9:$TZ$41,START!$C$3,3)*-44/12)+($K39*INDEX('DEFAULT DATA'!$TU$9:$TZ$41,START!$C$3,4)*-44/12)+($L39*INDEX('DEFAULT DATA'!$TU$9:$TZ$41,START!$C$3,5)*-44/12)+($M39*INDEX('DEFAULT DATA'!$TU$9:$TZ$41,START!$C$3,6)*-44/12))</f>
        <v>-978.34012239927335</v>
      </c>
      <c r="AR39" s="441">
        <f>(($K39*INDEX('DEFAULT DATA'!$TU$9:$TZ$41,START!$C$3,1)*-44/12)+($K39*INDEX('DEFAULT DATA'!$TU$9:$TZ$41,START!$C$3,2)*-44/12)+($K39*INDEX('DEFAULT DATA'!$TU$9:$TZ$41,START!$C$3,3)*-44/12)+($K39*INDEX('DEFAULT DATA'!$TU$9:$TZ$41,START!$C$3,4)*-44/12)+($L39*INDEX('DEFAULT DATA'!$TU$9:$TZ$41,START!$C$3,5)*-44/12)+($M39*INDEX('DEFAULT DATA'!$TU$9:$TZ$41,START!$C$3,6)*-44/12))</f>
        <v>-978.34012239927335</v>
      </c>
      <c r="AS39" s="441">
        <f>(($K39*INDEX('DEFAULT DATA'!$TU$9:$TZ$41,START!$C$3,1)*-44/12)+($K39*INDEX('DEFAULT DATA'!$TU$9:$TZ$41,START!$C$3,2)*-44/12)+($K39*INDEX('DEFAULT DATA'!$TU$9:$TZ$41,START!$C$3,3)*-44/12)+($K39*INDEX('DEFAULT DATA'!$TU$9:$TZ$41,START!$C$3,4)*-44/12)+($L39*INDEX('DEFAULT DATA'!$TU$9:$TZ$41,START!$C$3,5)*-44/12)+($M39*INDEX('DEFAULT DATA'!$TU$9:$TZ$41,START!$C$3,6)*-44/12))</f>
        <v>-978.34012239927335</v>
      </c>
      <c r="AT39" s="442">
        <f>(($K39*INDEX('DEFAULT DATA'!$TU$9:$TZ$41,START!$C$3,1)*-44/12)+($K39*INDEX('DEFAULT DATA'!$TU$9:$TZ$41,START!$C$3,2)*-44/12)+($K39*INDEX('DEFAULT DATA'!$TU$9:$TZ$41,START!$C$3,3)*-44/12)+($K39*INDEX('DEFAULT DATA'!$TU$9:$TZ$41,START!$C$3,4)*-44/12)+($L39*INDEX('DEFAULT DATA'!$TU$9:$TZ$41,START!$C$3,5)*-44/12)+($M39*INDEX('DEFAULT DATA'!$TU$9:$TZ$41,START!$C$3,6)*-44/12))</f>
        <v>-978.34012239927335</v>
      </c>
    </row>
    <row r="40" spans="1:48" ht="20.100000000000001" customHeight="1">
      <c r="A40" s="432"/>
      <c r="B40" s="425"/>
      <c r="C40" s="425"/>
      <c r="D40" s="425"/>
      <c r="E40" s="425"/>
      <c r="F40" s="425"/>
      <c r="G40" s="425"/>
      <c r="H40" s="425"/>
      <c r="I40" s="426"/>
      <c r="J40" s="273"/>
      <c r="K40" s="475">
        <f t="shared" si="37"/>
        <v>0</v>
      </c>
      <c r="L40" s="375">
        <f t="shared" si="38"/>
        <v>0</v>
      </c>
      <c r="M40" s="375">
        <f t="shared" si="39"/>
        <v>0</v>
      </c>
      <c r="N40" s="317">
        <f t="shared" si="41"/>
        <v>31</v>
      </c>
      <c r="O40" s="476" t="s">
        <v>820</v>
      </c>
      <c r="P40" s="477">
        <f t="shared" si="40"/>
        <v>2022</v>
      </c>
      <c r="Q40" s="370">
        <f>($K40*INDEX('DEFAULT DATA'!$MW$9:$VD$41,START!$C$3,($N40))*-44/12)+($K40*INDEX('DEFAULT DATA'!$MW$9:$VD$41,START!$C$3,($N40+1))*-44/12)+($K40*INDEX('DEFAULT DATA'!$MW$9:$VD$41,START!$C$3,($N40+2))*-44/12)+($K40*INDEX('DEFAULT DATA'!$MW$9:$VD$41,START!$C$3,($N40+3))*-44/12)+($L40*INDEX('DEFAULT DATA'!$MW$9:$VD$41,START!$C$3,($N40+4))*-44/12)+($M40*INDEX('DEFAULT DATA'!$MW$9:$VD$41,START!$C$3,($N40+5))*-44/12)</f>
        <v>0</v>
      </c>
      <c r="R40" s="370">
        <f>($L40*INDEX('DEFAULT DATA'!$MW$9:$VD$41,START!$C$3,($N40+4))*-44/12)+($M40*INDEX('DEFAULT DATA'!$MW$9:$VD$41,START!$C$3,($N40+5))*-44/12)</f>
        <v>0</v>
      </c>
      <c r="S40" s="370">
        <f>($L40*INDEX('DEFAULT DATA'!$MW$9:$VD$41,START!$C$3,($N40+4))*-44/12)+($M40*INDEX('DEFAULT DATA'!$MW$9:$VD$41,START!$C$3,($N40+5))*-44/12)</f>
        <v>0</v>
      </c>
      <c r="T40" s="370">
        <f>($L40*INDEX('DEFAULT DATA'!$MW$9:$VD$41,START!$C$3,($N40+4))*-44/12)+($M40*INDEX('DEFAULT DATA'!$MW$9:$VD$41,START!$C$3,($N40+5))*-44/12)</f>
        <v>0</v>
      </c>
      <c r="U40" s="370">
        <f>($L40*INDEX('DEFAULT DATA'!$MW$9:$VD$41,START!$C$3,($N40+4))*-44/12)+($M40*INDEX('DEFAULT DATA'!$MW$9:$VD$41,START!$C$3,($N40+5))*-44/12)</f>
        <v>0</v>
      </c>
      <c r="V40" s="370">
        <f>($L40*INDEX('DEFAULT DATA'!$MW$9:$VD$41,START!$C$3,($N40+4))*-44/12)+($M40*INDEX('DEFAULT DATA'!$MW$9:$VD$41,START!$C$3,($N40+5))*-44/12)</f>
        <v>0</v>
      </c>
      <c r="W40" s="370">
        <f>($L40*INDEX('DEFAULT DATA'!$MW$9:$VD$41,START!$C$3,($N40+4))*-44/12)+($M40*INDEX('DEFAULT DATA'!$MW$9:$VD$41,START!$C$3,($N40+5))*-44/12)</f>
        <v>0</v>
      </c>
      <c r="X40" s="370">
        <f>($L40*INDEX('DEFAULT DATA'!$MW$9:$VD$41,START!$C$3,($N40+4))*-44/12)+($M40*INDEX('DEFAULT DATA'!$MW$9:$VD$41,START!$C$3,($N40+5))*-44/12)</f>
        <v>0</v>
      </c>
      <c r="Y40" s="370">
        <f>($L40*INDEX('DEFAULT DATA'!$MW$9:$VD$41,START!$C$3,($N40+4))*-44/12)+($M40*INDEX('DEFAULT DATA'!$MW$9:$VD$41,START!$C$3,($N40+5))*-44/12)</f>
        <v>0</v>
      </c>
      <c r="Z40" s="370">
        <f>($L40*INDEX('DEFAULT DATA'!$MW$9:$VD$41,START!$C$3,($N40+4))*-44/12)+($M40*INDEX('DEFAULT DATA'!$MW$9:$VD$41,START!$C$3,($N40+5))*-44/12)</f>
        <v>0</v>
      </c>
      <c r="AA40" s="370">
        <f>($L40*INDEX('DEFAULT DATA'!$MW$9:$VD$41,START!$C$3,($N40+4))*-44/12)+($M40*INDEX('DEFAULT DATA'!$MW$9:$VD$41,START!$C$3,($N40+5))*-44/12)</f>
        <v>0</v>
      </c>
      <c r="AB40" s="370">
        <f>($L40*INDEX('DEFAULT DATA'!$MW$9:$VD$41,START!$C$3,($N40+4))*-44/12)+($M40*INDEX('DEFAULT DATA'!$MW$9:$VD$41,START!$C$3,($N40+5))*-44/12)</f>
        <v>0</v>
      </c>
      <c r="AC40" s="370">
        <f>($L40*INDEX('DEFAULT DATA'!$MW$9:$VD$41,START!$C$3,($N40+4))*-44/12)+($M40*INDEX('DEFAULT DATA'!$MW$9:$VD$41,START!$C$3,($N40+5))*-44/12)</f>
        <v>0</v>
      </c>
      <c r="AD40" s="370">
        <f>($L40*INDEX('DEFAULT DATA'!$MW$9:$VD$41,START!$C$3,($N40+4))*-44/12)+($M40*INDEX('DEFAULT DATA'!$MW$9:$VD$41,START!$C$3,($N40+5))*-44/12)</f>
        <v>0</v>
      </c>
      <c r="AE40" s="370">
        <f>($L40*INDEX('DEFAULT DATA'!$MW$9:$VD$41,START!$C$3,($N40+4))*-44/12)+($M40*INDEX('DEFAULT DATA'!$MW$9:$VD$41,START!$C$3,($N40+5))*-44/12)</f>
        <v>0</v>
      </c>
      <c r="AF40" s="370">
        <f>($L40*INDEX('DEFAULT DATA'!$MW$9:$VD$41,START!$C$3,($N40+4))*-44/12)+($M40*INDEX('DEFAULT DATA'!$MW$9:$VD$41,START!$C$3,($N40+5))*-44/12)</f>
        <v>0</v>
      </c>
      <c r="AG40" s="370">
        <f>($L40*INDEX('DEFAULT DATA'!$MW$9:$VD$41,START!$C$3,($N40+4))*-44/12)+($M40*INDEX('DEFAULT DATA'!$MW$9:$VD$41,START!$C$3,($N40+5))*-44/12)</f>
        <v>0</v>
      </c>
      <c r="AH40" s="370">
        <f>($L40*INDEX('DEFAULT DATA'!$MW$9:$VD$41,START!$C$3,($N40+4))*-44/12)+($M40*INDEX('DEFAULT DATA'!$MW$9:$VD$41,START!$C$3,($N40+5))*-44/12)</f>
        <v>0</v>
      </c>
      <c r="AI40" s="370">
        <f>($L40*INDEX('DEFAULT DATA'!$MW$9:$VD$41,START!$C$3,($N40+4))*-44/12)+($M40*INDEX('DEFAULT DATA'!$MW$9:$VD$41,START!$C$3,($N40+5))*-44/12)</f>
        <v>0</v>
      </c>
      <c r="AJ40" s="370">
        <f>($L40*INDEX('DEFAULT DATA'!$MW$9:$VD$41,START!$C$3,($N40+4))*-44/12)+($M40*INDEX('DEFAULT DATA'!$MW$9:$VD$41,START!$C$3,($N40+5))*-44/12)</f>
        <v>0</v>
      </c>
      <c r="AK40" s="370">
        <f>(($K40*INDEX('DEFAULT DATA'!$UA$9:$UF$41,START!$C$3,1)*-44/12)+($K40*INDEX('DEFAULT DATA'!$UA$9:$UF$41,START!$C$3,2)*-44/12)+($K40*INDEX('DEFAULT DATA'!$UA$9:$UF$41,START!$C$3,3)*-44/12)+($K40*INDEX('DEFAULT DATA'!$UA$9:$UF$41,START!$C$3,4)*-44/12)+($L40*INDEX('DEFAULT DATA'!$UA$9:$UF$41,START!$C$3,5)*-44/12)+($M40*INDEX('DEFAULT DATA'!$UA$9:$UF$41,START!$C$3,6)*-44/12))</f>
        <v>0</v>
      </c>
      <c r="AL40" s="370">
        <f>(($K40*INDEX('DEFAULT DATA'!$UA$9:$UF$41,START!$C$3,1)*-44/12)+($K40*INDEX('DEFAULT DATA'!$UA$9:$UF$41,START!$C$3,2)*-44/12)+($K40*INDEX('DEFAULT DATA'!$UA$9:$UF$41,START!$C$3,3)*-44/12)+($K40*INDEX('DEFAULT DATA'!$UA$9:$UF$41,START!$C$3,4)*-44/12)+($L40*INDEX('DEFAULT DATA'!$UA$9:$UF$41,START!$C$3,5)*-44/12)+($M40*INDEX('DEFAULT DATA'!$UA$9:$UF$41,START!$C$3,6)*-44/12))</f>
        <v>0</v>
      </c>
      <c r="AM40" s="370">
        <f>(($K40*INDEX('DEFAULT DATA'!$UA$9:$UF$41,START!$C$3,1)*-44/12)+($K40*INDEX('DEFAULT DATA'!$UA$9:$UF$41,START!$C$3,2)*-44/12)+($K40*INDEX('DEFAULT DATA'!$UA$9:$UF$41,START!$C$3,3)*-44/12)+($K40*INDEX('DEFAULT DATA'!$UA$9:$UF$41,START!$C$3,4)*-44/12)+($L40*INDEX('DEFAULT DATA'!$UA$9:$UF$41,START!$C$3,5)*-44/12)+($M40*INDEX('DEFAULT DATA'!$UA$9:$UF$41,START!$C$3,6)*-44/12))</f>
        <v>0</v>
      </c>
      <c r="AN40" s="370">
        <f>(($K40*INDEX('DEFAULT DATA'!$UA$9:$UF$41,START!$C$3,1)*-44/12)+($K40*INDEX('DEFAULT DATA'!$UA$9:$UF$41,START!$C$3,2)*-44/12)+($K40*INDEX('DEFAULT DATA'!$UA$9:$UF$41,START!$C$3,3)*-44/12)+($K40*INDEX('DEFAULT DATA'!$UA$9:$UF$41,START!$C$3,4)*-44/12)+($L40*INDEX('DEFAULT DATA'!$UA$9:$UF$41,START!$C$3,5)*-44/12)+($M40*INDEX('DEFAULT DATA'!$UA$9:$UF$41,START!$C$3,6)*-44/12))</f>
        <v>0</v>
      </c>
      <c r="AO40" s="370">
        <f>(($K40*INDEX('DEFAULT DATA'!$UA$9:$UF$41,START!$C$3,1)*-44/12)+($K40*INDEX('DEFAULT DATA'!$UA$9:$UF$41,START!$C$3,2)*-44/12)+($K40*INDEX('DEFAULT DATA'!$UA$9:$UF$41,START!$C$3,3)*-44/12)+($K40*INDEX('DEFAULT DATA'!$UA$9:$UF$41,START!$C$3,4)*-44/12)+($L40*INDEX('DEFAULT DATA'!$UA$9:$UF$41,START!$C$3,5)*-44/12)+($M40*INDEX('DEFAULT DATA'!$UA$9:$UF$41,START!$C$3,6)*-44/12))</f>
        <v>0</v>
      </c>
      <c r="AP40" s="370">
        <f>(($K40*INDEX('DEFAULT DATA'!$UA$9:$UF$41,START!$C$3,1)*-44/12)+($K40*INDEX('DEFAULT DATA'!$UA$9:$UF$41,START!$C$3,2)*-44/12)+($K40*INDEX('DEFAULT DATA'!$UA$9:$UF$41,START!$C$3,3)*-44/12)+($K40*INDEX('DEFAULT DATA'!$UA$9:$UF$41,START!$C$3,4)*-44/12)+($L40*INDEX('DEFAULT DATA'!$UA$9:$UF$41,START!$C$3,5)*-44/12)+($M40*INDEX('DEFAULT DATA'!$UA$9:$UF$41,START!$C$3,6)*-44/12))</f>
        <v>0</v>
      </c>
      <c r="AQ40" s="370">
        <f>(($K40*INDEX('DEFAULT DATA'!$UA$9:$UF$41,START!$C$3,1)*-44/12)+($K40*INDEX('DEFAULT DATA'!$UA$9:$UF$41,START!$C$3,2)*-44/12)+($K40*INDEX('DEFAULT DATA'!$UA$9:$UF$41,START!$C$3,3)*-44/12)+($K40*INDEX('DEFAULT DATA'!$UA$9:$UF$41,START!$C$3,4)*-44/12)+($L40*INDEX('DEFAULT DATA'!$UA$9:$UF$41,START!$C$3,5)*-44/12)+($M40*INDEX('DEFAULT DATA'!$UA$9:$UF$41,START!$C$3,6)*-44/12))</f>
        <v>0</v>
      </c>
      <c r="AR40" s="370">
        <f>(($K40*INDEX('DEFAULT DATA'!$UA$9:$UF$41,START!$C$3,1)*-44/12)+($K40*INDEX('DEFAULT DATA'!$UA$9:$UF$41,START!$C$3,2)*-44/12)+($K40*INDEX('DEFAULT DATA'!$UA$9:$UF$41,START!$C$3,3)*-44/12)+($K40*INDEX('DEFAULT DATA'!$UA$9:$UF$41,START!$C$3,4)*-44/12)+($L40*INDEX('DEFAULT DATA'!$UA$9:$UF$41,START!$C$3,5)*-44/12)+($M40*INDEX('DEFAULT DATA'!$UA$9:$UF$41,START!$C$3,6)*-44/12))</f>
        <v>0</v>
      </c>
      <c r="AS40" s="370">
        <f>(($K40*INDEX('DEFAULT DATA'!$UA$9:$UF$41,START!$C$3,1)*-44/12)+($K40*INDEX('DEFAULT DATA'!$UA$9:$UF$41,START!$C$3,2)*-44/12)+($K40*INDEX('DEFAULT DATA'!$UA$9:$UF$41,START!$C$3,3)*-44/12)+($K40*INDEX('DEFAULT DATA'!$UA$9:$UF$41,START!$C$3,4)*-44/12)+($L40*INDEX('DEFAULT DATA'!$UA$9:$UF$41,START!$C$3,5)*-44/12)+($M40*INDEX('DEFAULT DATA'!$UA$9:$UF$41,START!$C$3,6)*-44/12))</f>
        <v>0</v>
      </c>
      <c r="AT40" s="371">
        <f>(($K40*INDEX('DEFAULT DATA'!$UA$9:$UF$41,START!$C$3,1)*-44/12)+($K40*INDEX('DEFAULT DATA'!$UA$9:$UF$41,START!$C$3,2)*-44/12)+($K40*INDEX('DEFAULT DATA'!$UA$9:$UF$41,START!$C$3,3)*-44/12)+($K40*INDEX('DEFAULT DATA'!$UA$9:$UF$41,START!$C$3,4)*-44/12)+($L40*INDEX('DEFAULT DATA'!$UA$9:$UF$41,START!$C$3,5)*-44/12)+($M40*INDEX('DEFAULT DATA'!$UA$9:$UF$41,START!$C$3,6)*-44/12))</f>
        <v>0</v>
      </c>
    </row>
    <row r="41" spans="1:48" ht="20.100000000000001" customHeight="1">
      <c r="A41" s="432"/>
      <c r="B41" s="425"/>
      <c r="C41" s="425"/>
      <c r="D41" s="425"/>
      <c r="E41" s="425"/>
      <c r="F41" s="425"/>
      <c r="G41" s="425"/>
      <c r="H41" s="425"/>
      <c r="I41" s="426"/>
      <c r="J41" s="273"/>
      <c r="K41" s="478">
        <f t="shared" si="37"/>
        <v>0</v>
      </c>
      <c r="L41" s="479">
        <f t="shared" si="38"/>
        <v>0</v>
      </c>
      <c r="M41" s="479">
        <f t="shared" si="39"/>
        <v>0</v>
      </c>
      <c r="N41" s="220">
        <f t="shared" si="41"/>
        <v>37</v>
      </c>
      <c r="O41" s="480" t="s">
        <v>821</v>
      </c>
      <c r="P41" s="481">
        <f t="shared" si="40"/>
        <v>2022</v>
      </c>
      <c r="Q41" s="216">
        <f>($K41*INDEX('DEFAULT DATA'!$MW$9:$VD$41,START!$C$3,($N41))*-44/12)+($K41*INDEX('DEFAULT DATA'!$MW$9:$VD$41,START!$C$3,($N41+1))*-44/12)+($K41*INDEX('DEFAULT DATA'!$MW$9:$VD$41,START!$C$3,($N41+2))*-44/12)+($K41*INDEX('DEFAULT DATA'!$MW$9:$VD$41,START!$C$3,($N41+3))*-44/12)+($L41*INDEX('DEFAULT DATA'!$MW$9:$VD$41,START!$C$3,($N41+4))*-44/12)+($M41*INDEX('DEFAULT DATA'!$MW$9:$VD$41,START!$C$3,($N41+5))*-44/12)</f>
        <v>0</v>
      </c>
      <c r="R41" s="216">
        <f>($K41*INDEX('DEFAULT DATA'!$MW$9:$VD$41,START!$C$3,($N41))*-44/12)+($K41*INDEX('DEFAULT DATA'!$MW$9:$VD$41,START!$C$3,($N41+1))*-44/12)+($K41*INDEX('DEFAULT DATA'!$MW$9:$VD$41,START!$C$3,($N41+2))*-44/12)+($K41*INDEX('DEFAULT DATA'!$MW$9:$VD$41,START!$C$3,($N41+3))*-44/12)+($L41*INDEX('DEFAULT DATA'!$MW$9:$VD$41,START!$C$3,($N41+4))*-44/12)+($M41*INDEX('DEFAULT DATA'!$MW$9:$VD$41,START!$C$3,($N41+5))*-44/12)</f>
        <v>0</v>
      </c>
      <c r="S41" s="216">
        <f>($K41*INDEX('DEFAULT DATA'!$MW$9:$VD$41,START!$C$3,($N41))*-44/12)+($K41*INDEX('DEFAULT DATA'!$MW$9:$VD$41,START!$C$3,($N41+1))*-44/12)+($K41*INDEX('DEFAULT DATA'!$MW$9:$VD$41,START!$C$3,($N41+2))*-44/12)+($K41*INDEX('DEFAULT DATA'!$MW$9:$VD$41,START!$C$3,($N41+3))*-44/12)+($L41*INDEX('DEFAULT DATA'!$MW$9:$VD$41,START!$C$3,($N41+4))*-44/12)+($M41*INDEX('DEFAULT DATA'!$MW$9:$VD$41,START!$C$3,($N41+5))*-44/12)</f>
        <v>0</v>
      </c>
      <c r="T41" s="216">
        <f>($K41*INDEX('DEFAULT DATA'!$MW$9:$VD$41,START!$C$3,($N41))*-44/12)+($K41*INDEX('DEFAULT DATA'!$MW$9:$VD$41,START!$C$3,($N41+1))*-44/12)+($K41*INDEX('DEFAULT DATA'!$MW$9:$VD$41,START!$C$3,($N41+2))*-44/12)+($K41*INDEX('DEFAULT DATA'!$MW$9:$VD$41,START!$C$3,($N41+3))*-44/12)+($L41*INDEX('DEFAULT DATA'!$MW$9:$VD$41,START!$C$3,($N41+4))*-44/12)+($M41*INDEX('DEFAULT DATA'!$MW$9:$VD$41,START!$C$3,($N41+5))*-44/12)</f>
        <v>0</v>
      </c>
      <c r="U41" s="216">
        <f>($K41*INDEX('DEFAULT DATA'!$MW$9:$VD$41,START!$C$3,($N41))*-44/12)+($K41*INDEX('DEFAULT DATA'!$MW$9:$VD$41,START!$C$3,($N41+1))*-44/12)+($K41*INDEX('DEFAULT DATA'!$MW$9:$VD$41,START!$C$3,($N41+2))*-44/12)+($K41*INDEX('DEFAULT DATA'!$MW$9:$VD$41,START!$C$3,($N41+3))*-44/12)+($L41*INDEX('DEFAULT DATA'!$MW$9:$VD$41,START!$C$3,($N41+4))*-44/12)+($M41*INDEX('DEFAULT DATA'!$MW$9:$VD$41,START!$C$3,($N41+5))*-44/12)</f>
        <v>0</v>
      </c>
      <c r="V41" s="216">
        <f>($K41*INDEX('DEFAULT DATA'!$MW$9:$VD$41,START!$C$3,($N41))*-44/12)+($K41*INDEX('DEFAULT DATA'!$MW$9:$VD$41,START!$C$3,($N41+1))*-44/12)+($K41*INDEX('DEFAULT DATA'!$MW$9:$VD$41,START!$C$3,($N41+2))*-44/12)+($K41*INDEX('DEFAULT DATA'!$MW$9:$VD$41,START!$C$3,($N41+3))*-44/12)+($L41*INDEX('DEFAULT DATA'!$MW$9:$VD$41,START!$C$3,($N41+4))*-44/12)+($M41*INDEX('DEFAULT DATA'!$MW$9:$VD$41,START!$C$3,($N41+5))*-44/12)</f>
        <v>0</v>
      </c>
      <c r="W41" s="216">
        <f>($K41*INDEX('DEFAULT DATA'!$MW$9:$VD$41,START!$C$3,($N41))*-44/12)+($K41*INDEX('DEFAULT DATA'!$MW$9:$VD$41,START!$C$3,($N41+1))*-44/12)+($K41*INDEX('DEFAULT DATA'!$MW$9:$VD$41,START!$C$3,($N41+2))*-44/12)+($K41*INDEX('DEFAULT DATA'!$MW$9:$VD$41,START!$C$3,($N41+3))*-44/12)+($L41*INDEX('DEFAULT DATA'!$MW$9:$VD$41,START!$C$3,($N41+4))*-44/12)+($M41*INDEX('DEFAULT DATA'!$MW$9:$VD$41,START!$C$3,($N41+5))*-44/12)</f>
        <v>0</v>
      </c>
      <c r="X41" s="216">
        <f>($K41*INDEX('DEFAULT DATA'!$MW$9:$VD$41,START!$C$3,($N41))*-44/12)+($K41*INDEX('DEFAULT DATA'!$MW$9:$VD$41,START!$C$3,($N41+1))*-44/12)+($K41*INDEX('DEFAULT DATA'!$MW$9:$VD$41,START!$C$3,($N41+2))*-44/12)+($K41*INDEX('DEFAULT DATA'!$MW$9:$VD$41,START!$C$3,($N41+3))*-44/12)+($L41*INDEX('DEFAULT DATA'!$MW$9:$VD$41,START!$C$3,($N41+4))*-44/12)+($M41*INDEX('DEFAULT DATA'!$MW$9:$VD$41,START!$C$3,($N41+5))*-44/12)</f>
        <v>0</v>
      </c>
      <c r="Y41" s="216">
        <f>($K41*INDEX('DEFAULT DATA'!$MW$9:$VD$41,START!$C$3,($N41))*-44/12)+($K41*INDEX('DEFAULT DATA'!$MW$9:$VD$41,START!$C$3,($N41+1))*-44/12)+($K41*INDEX('DEFAULT DATA'!$MW$9:$VD$41,START!$C$3,($N41+2))*-44/12)+($K41*INDEX('DEFAULT DATA'!$MW$9:$VD$41,START!$C$3,($N41+3))*-44/12)+($L41*INDEX('DEFAULT DATA'!$MW$9:$VD$41,START!$C$3,($N41+4))*-44/12)+($M41*INDEX('DEFAULT DATA'!$MW$9:$VD$41,START!$C$3,($N41+5))*-44/12)</f>
        <v>0</v>
      </c>
      <c r="Z41" s="216">
        <f>($K41*INDEX('DEFAULT DATA'!$MW$9:$VD$41,START!$C$3,($N41))*-44/12)+($K41*INDEX('DEFAULT DATA'!$MW$9:$VD$41,START!$C$3,($N41+1))*-44/12)+($K41*INDEX('DEFAULT DATA'!$MW$9:$VD$41,START!$C$3,($N41+2))*-44/12)+($K41*INDEX('DEFAULT DATA'!$MW$9:$VD$41,START!$C$3,($N41+3))*-44/12)+($L41*INDEX('DEFAULT DATA'!$MW$9:$VD$41,START!$C$3,($N41+4))*-44/12)+($M41*INDEX('DEFAULT DATA'!$MW$9:$VD$41,START!$C$3,($N41+5))*-44/12)</f>
        <v>0</v>
      </c>
      <c r="AA41" s="216">
        <f>($K41*INDEX('DEFAULT DATA'!$MW$9:$VD$41,START!$C$3,($N41))*-44/12)+($K41*INDEX('DEFAULT DATA'!$MW$9:$VD$41,START!$C$3,($N41+1))*-44/12)+($K41*INDEX('DEFAULT DATA'!$MW$9:$VD$41,START!$C$3,($N41+2))*-44/12)+($K41*INDEX('DEFAULT DATA'!$MW$9:$VD$41,START!$C$3,($N41+3))*-44/12)+($L41*INDEX('DEFAULT DATA'!$MW$9:$VD$41,START!$C$3,($N41+4))*-44/12)+($M41*INDEX('DEFAULT DATA'!$MW$9:$VD$41,START!$C$3,($N41+5))*-44/12)</f>
        <v>0</v>
      </c>
      <c r="AB41" s="216">
        <f>($K41*INDEX('DEFAULT DATA'!$MW$9:$VD$41,START!$C$3,($N41))*-44/12)+($K41*INDEX('DEFAULT DATA'!$MW$9:$VD$41,START!$C$3,($N41+1))*-44/12)+($K41*INDEX('DEFAULT DATA'!$MW$9:$VD$41,START!$C$3,($N41+2))*-44/12)+($K41*INDEX('DEFAULT DATA'!$MW$9:$VD$41,START!$C$3,($N41+3))*-44/12)+($L41*INDEX('DEFAULT DATA'!$MW$9:$VD$41,START!$C$3,($N41+4))*-44/12)+($M41*INDEX('DEFAULT DATA'!$MW$9:$VD$41,START!$C$3,($N41+5))*-44/12)</f>
        <v>0</v>
      </c>
      <c r="AC41" s="216">
        <f>($K41*INDEX('DEFAULT DATA'!$MW$9:$VD$41,START!$C$3,($N41))*-44/12)+($K41*INDEX('DEFAULT DATA'!$MW$9:$VD$41,START!$C$3,($N41+1))*-44/12)+($K41*INDEX('DEFAULT DATA'!$MW$9:$VD$41,START!$C$3,($N41+2))*-44/12)+($K41*INDEX('DEFAULT DATA'!$MW$9:$VD$41,START!$C$3,($N41+3))*-44/12)+($L41*INDEX('DEFAULT DATA'!$MW$9:$VD$41,START!$C$3,($N41+4))*-44/12)+($M41*INDEX('DEFAULT DATA'!$MW$9:$VD$41,START!$C$3,($N41+5))*-44/12)</f>
        <v>0</v>
      </c>
      <c r="AD41" s="216">
        <f>($K41*INDEX('DEFAULT DATA'!$MW$9:$VD$41,START!$C$3,($N41))*-44/12)+($K41*INDEX('DEFAULT DATA'!$MW$9:$VD$41,START!$C$3,($N41+1))*-44/12)+($K41*INDEX('DEFAULT DATA'!$MW$9:$VD$41,START!$C$3,($N41+2))*-44/12)+($K41*INDEX('DEFAULT DATA'!$MW$9:$VD$41,START!$C$3,($N41+3))*-44/12)+($L41*INDEX('DEFAULT DATA'!$MW$9:$VD$41,START!$C$3,($N41+4))*-44/12)+($M41*INDEX('DEFAULT DATA'!$MW$9:$VD$41,START!$C$3,($N41+5))*-44/12)</f>
        <v>0</v>
      </c>
      <c r="AE41" s="216">
        <f>($K41*INDEX('DEFAULT DATA'!$MW$9:$VD$41,START!$C$3,($N41))*-44/12)+($K41*INDEX('DEFAULT DATA'!$MW$9:$VD$41,START!$C$3,($N41+1))*-44/12)+($K41*INDEX('DEFAULT DATA'!$MW$9:$VD$41,START!$C$3,($N41+2))*-44/12)+($K41*INDEX('DEFAULT DATA'!$MW$9:$VD$41,START!$C$3,($N41+3))*-44/12)+($L41*INDEX('DEFAULT DATA'!$MW$9:$VD$41,START!$C$3,($N41+4))*-44/12)+($M41*INDEX('DEFAULT DATA'!$MW$9:$VD$41,START!$C$3,($N41+5))*-44/12)</f>
        <v>0</v>
      </c>
      <c r="AF41" s="216">
        <f>($K41*INDEX('DEFAULT DATA'!$MW$9:$VD$41,START!$C$3,($N41))*-44/12)+($K41*INDEX('DEFAULT DATA'!$MW$9:$VD$41,START!$C$3,($N41+1))*-44/12)+($K41*INDEX('DEFAULT DATA'!$MW$9:$VD$41,START!$C$3,($N41+2))*-44/12)+($K41*INDEX('DEFAULT DATA'!$MW$9:$VD$41,START!$C$3,($N41+3))*-44/12)+($L41*INDEX('DEFAULT DATA'!$MW$9:$VD$41,START!$C$3,($N41+4))*-44/12)+($M41*INDEX('DEFAULT DATA'!$MW$9:$VD$41,START!$C$3,($N41+5))*-44/12)</f>
        <v>0</v>
      </c>
      <c r="AG41" s="216">
        <f>($K41*INDEX('DEFAULT DATA'!$MW$9:$VD$41,START!$C$3,($N41))*-44/12)+($K41*INDEX('DEFAULT DATA'!$MW$9:$VD$41,START!$C$3,($N41+1))*-44/12)+($K41*INDEX('DEFAULT DATA'!$MW$9:$VD$41,START!$C$3,($N41+2))*-44/12)+($K41*INDEX('DEFAULT DATA'!$MW$9:$VD$41,START!$C$3,($N41+3))*-44/12)+($L41*INDEX('DEFAULT DATA'!$MW$9:$VD$41,START!$C$3,($N41+4))*-44/12)+($M41*INDEX('DEFAULT DATA'!$MW$9:$VD$41,START!$C$3,($N41+5))*-44/12)</f>
        <v>0</v>
      </c>
      <c r="AH41" s="216">
        <f>($K41*INDEX('DEFAULT DATA'!$MW$9:$VD$41,START!$C$3,($N41))*-44/12)+($K41*INDEX('DEFAULT DATA'!$MW$9:$VD$41,START!$C$3,($N41+1))*-44/12)+($K41*INDEX('DEFAULT DATA'!$MW$9:$VD$41,START!$C$3,($N41+2))*-44/12)+($K41*INDEX('DEFAULT DATA'!$MW$9:$VD$41,START!$C$3,($N41+3))*-44/12)+($L41*INDEX('DEFAULT DATA'!$MW$9:$VD$41,START!$C$3,($N41+4))*-44/12)+($M41*INDEX('DEFAULT DATA'!$MW$9:$VD$41,START!$C$3,($N41+5))*-44/12)</f>
        <v>0</v>
      </c>
      <c r="AI41" s="216">
        <f>($K41*INDEX('DEFAULT DATA'!$MW$9:$VD$41,START!$C$3,($N41))*-44/12)+($K41*INDEX('DEFAULT DATA'!$MW$9:$VD$41,START!$C$3,($N41+1))*-44/12)+($K41*INDEX('DEFAULT DATA'!$MW$9:$VD$41,START!$C$3,($N41+2))*-44/12)+($K41*INDEX('DEFAULT DATA'!$MW$9:$VD$41,START!$C$3,($N41+3))*-44/12)+($L41*INDEX('DEFAULT DATA'!$MW$9:$VD$41,START!$C$3,($N41+4))*-44/12)+($M41*INDEX('DEFAULT DATA'!$MW$9:$VD$41,START!$C$3,($N41+5))*-44/12)</f>
        <v>0</v>
      </c>
      <c r="AJ41" s="216">
        <f>($K41*INDEX('DEFAULT DATA'!$MW$9:$VD$41,START!$C$3,($N41))*-44/12)+($K41*INDEX('DEFAULT DATA'!$MW$9:$VD$41,START!$C$3,($N41+1))*-44/12)+($K41*INDEX('DEFAULT DATA'!$MW$9:$VD$41,START!$C$3,($N41+2))*-44/12)+($K41*INDEX('DEFAULT DATA'!$MW$9:$VD$41,START!$C$3,($N41+3))*-44/12)+($L41*INDEX('DEFAULT DATA'!$MW$9:$VD$41,START!$C$3,($N41+4))*-44/12)+($M41*INDEX('DEFAULT DATA'!$MW$9:$VD$41,START!$C$3,($N41+5))*-44/12)</f>
        <v>0</v>
      </c>
      <c r="AK41" s="216">
        <f>(($K41*INDEX('DEFAULT DATA'!$UA$9:$UF$41,START!$C$3,1)*-44/12)+($K41*INDEX('DEFAULT DATA'!$UA$9:$UF$41,START!$C$3,2)*-44/12)+($K41*INDEX('DEFAULT DATA'!$UA$9:$UF$41,START!$C$3,3)*-44/12)+($K41*INDEX('DEFAULT DATA'!$UA$9:$UF$41,START!$C$3,4)*-44/12)+($L41*INDEX('DEFAULT DATA'!$UA$9:$UF$41,START!$C$3,5)*-44/12)+($M41*INDEX('DEFAULT DATA'!$UA$9:$UF$41,START!$C$3,6)*-44/12))</f>
        <v>0</v>
      </c>
      <c r="AL41" s="216">
        <f>(($K41*INDEX('DEFAULT DATA'!$UA$9:$UF$41,START!$C$3,1)*-44/12)+($K41*INDEX('DEFAULT DATA'!$UA$9:$UF$41,START!$C$3,2)*-44/12)+($K41*INDEX('DEFAULT DATA'!$UA$9:$UF$41,START!$C$3,3)*-44/12)+($K41*INDEX('DEFAULT DATA'!$UA$9:$UF$41,START!$C$3,4)*-44/12)+($L41*INDEX('DEFAULT DATA'!$UA$9:$UF$41,START!$C$3,5)*-44/12)+($M41*INDEX('DEFAULT DATA'!$UA$9:$UF$41,START!$C$3,6)*-44/12))</f>
        <v>0</v>
      </c>
      <c r="AM41" s="216">
        <f>(($K41*INDEX('DEFAULT DATA'!$UA$9:$UF$41,START!$C$3,1)*-44/12)+($K41*INDEX('DEFAULT DATA'!$UA$9:$UF$41,START!$C$3,2)*-44/12)+($K41*INDEX('DEFAULT DATA'!$UA$9:$UF$41,START!$C$3,3)*-44/12)+($K41*INDEX('DEFAULT DATA'!$UA$9:$UF$41,START!$C$3,4)*-44/12)+($L41*INDEX('DEFAULT DATA'!$UA$9:$UF$41,START!$C$3,5)*-44/12)+($M41*INDEX('DEFAULT DATA'!$UA$9:$UF$41,START!$C$3,6)*-44/12))</f>
        <v>0</v>
      </c>
      <c r="AN41" s="216">
        <f>(($K41*INDEX('DEFAULT DATA'!$UA$9:$UF$41,START!$C$3,1)*-44/12)+($K41*INDEX('DEFAULT DATA'!$UA$9:$UF$41,START!$C$3,2)*-44/12)+($K41*INDEX('DEFAULT DATA'!$UA$9:$UF$41,START!$C$3,3)*-44/12)+($K41*INDEX('DEFAULT DATA'!$UA$9:$UF$41,START!$C$3,4)*-44/12)+($L41*INDEX('DEFAULT DATA'!$UA$9:$UF$41,START!$C$3,5)*-44/12)+($M41*INDEX('DEFAULT DATA'!$UA$9:$UF$41,START!$C$3,6)*-44/12))</f>
        <v>0</v>
      </c>
      <c r="AO41" s="216">
        <f>(($K41*INDEX('DEFAULT DATA'!$UA$9:$UF$41,START!$C$3,1)*-44/12)+($K41*INDEX('DEFAULT DATA'!$UA$9:$UF$41,START!$C$3,2)*-44/12)+($K41*INDEX('DEFAULT DATA'!$UA$9:$UF$41,START!$C$3,3)*-44/12)+($K41*INDEX('DEFAULT DATA'!$UA$9:$UF$41,START!$C$3,4)*-44/12)+($L41*INDEX('DEFAULT DATA'!$UA$9:$UF$41,START!$C$3,5)*-44/12)+($M41*INDEX('DEFAULT DATA'!$UA$9:$UF$41,START!$C$3,6)*-44/12))</f>
        <v>0</v>
      </c>
      <c r="AP41" s="216">
        <f>(($K41*INDEX('DEFAULT DATA'!$UA$9:$UF$41,START!$C$3,1)*-44/12)+($K41*INDEX('DEFAULT DATA'!$UA$9:$UF$41,START!$C$3,2)*-44/12)+($K41*INDEX('DEFAULT DATA'!$UA$9:$UF$41,START!$C$3,3)*-44/12)+($K41*INDEX('DEFAULT DATA'!$UA$9:$UF$41,START!$C$3,4)*-44/12)+($L41*INDEX('DEFAULT DATA'!$UA$9:$UF$41,START!$C$3,5)*-44/12)+($M41*INDEX('DEFAULT DATA'!$UA$9:$UF$41,START!$C$3,6)*-44/12))</f>
        <v>0</v>
      </c>
      <c r="AQ41" s="216">
        <f>(($K41*INDEX('DEFAULT DATA'!$UA$9:$UF$41,START!$C$3,1)*-44/12)+($K41*INDEX('DEFAULT DATA'!$UA$9:$UF$41,START!$C$3,2)*-44/12)+($K41*INDEX('DEFAULT DATA'!$UA$9:$UF$41,START!$C$3,3)*-44/12)+($K41*INDEX('DEFAULT DATA'!$UA$9:$UF$41,START!$C$3,4)*-44/12)+($L41*INDEX('DEFAULT DATA'!$UA$9:$UF$41,START!$C$3,5)*-44/12)+($M41*INDEX('DEFAULT DATA'!$UA$9:$UF$41,START!$C$3,6)*-44/12))</f>
        <v>0</v>
      </c>
      <c r="AR41" s="216">
        <f>(($K41*INDEX('DEFAULT DATA'!$UA$9:$UF$41,START!$C$3,1)*-44/12)+($K41*INDEX('DEFAULT DATA'!$UA$9:$UF$41,START!$C$3,2)*-44/12)+($K41*INDEX('DEFAULT DATA'!$UA$9:$UF$41,START!$C$3,3)*-44/12)+($K41*INDEX('DEFAULT DATA'!$UA$9:$UF$41,START!$C$3,4)*-44/12)+($L41*INDEX('DEFAULT DATA'!$UA$9:$UF$41,START!$C$3,5)*-44/12)+($M41*INDEX('DEFAULT DATA'!$UA$9:$UF$41,START!$C$3,6)*-44/12))</f>
        <v>0</v>
      </c>
      <c r="AS41" s="216">
        <f>(($K41*INDEX('DEFAULT DATA'!$UA$9:$UF$41,START!$C$3,1)*-44/12)+($K41*INDEX('DEFAULT DATA'!$UA$9:$UF$41,START!$C$3,2)*-44/12)+($K41*INDEX('DEFAULT DATA'!$UA$9:$UF$41,START!$C$3,3)*-44/12)+($K41*INDEX('DEFAULT DATA'!$UA$9:$UF$41,START!$C$3,4)*-44/12)+($L41*INDEX('DEFAULT DATA'!$UA$9:$UF$41,START!$C$3,5)*-44/12)+($M41*INDEX('DEFAULT DATA'!$UA$9:$UF$41,START!$C$3,6)*-44/12))</f>
        <v>0</v>
      </c>
      <c r="AT41" s="443">
        <f>(($K41*INDEX('DEFAULT DATA'!$UA$9:$UF$41,START!$C$3,1)*-44/12)+($K41*INDEX('DEFAULT DATA'!$UA$9:$UF$41,START!$C$3,2)*-44/12)+($K41*INDEX('DEFAULT DATA'!$UA$9:$UF$41,START!$C$3,3)*-44/12)+($K41*INDEX('DEFAULT DATA'!$UA$9:$UF$41,START!$C$3,4)*-44/12)+($L41*INDEX('DEFAULT DATA'!$UA$9:$UF$41,START!$C$3,5)*-44/12)+($M41*INDEX('DEFAULT DATA'!$UA$9:$UF$41,START!$C$3,6)*-44/12))</f>
        <v>0</v>
      </c>
      <c r="AV41" s="444"/>
    </row>
    <row r="42" spans="1:48" ht="20.100000000000001" customHeight="1" thickBot="1">
      <c r="A42" s="432"/>
      <c r="B42" s="425"/>
      <c r="C42" s="425"/>
      <c r="D42" s="425"/>
      <c r="E42" s="425"/>
      <c r="F42" s="425"/>
      <c r="G42" s="425"/>
      <c r="H42" s="425"/>
      <c r="I42" s="426"/>
      <c r="J42" s="273"/>
      <c r="K42" s="478">
        <f t="shared" si="37"/>
        <v>0</v>
      </c>
      <c r="L42" s="479">
        <f t="shared" si="38"/>
        <v>0</v>
      </c>
      <c r="M42" s="479">
        <f t="shared" si="39"/>
        <v>0</v>
      </c>
      <c r="N42" s="220">
        <f t="shared" si="41"/>
        <v>43</v>
      </c>
      <c r="O42" s="480" t="s">
        <v>822</v>
      </c>
      <c r="P42" s="481">
        <f t="shared" si="40"/>
        <v>2022</v>
      </c>
      <c r="Q42" s="216">
        <f>($K42*INDEX('DEFAULT DATA'!$MW$9:$VD$41,START!$C$3,($N42))*-44/12)+($K42*INDEX('DEFAULT DATA'!$MW$9:$VD$41,START!$C$3,($N42+1))*-44/12)+($K42*INDEX('DEFAULT DATA'!$MW$9:$VD$41,START!$C$3,($N42+2))*-44/12)+($K42*INDEX('DEFAULT DATA'!$MW$9:$VD$41,START!$C$3,($N42+3))*-44/12)+($L42*INDEX('DEFAULT DATA'!$MW$9:$VD$41,START!$C$3,($N42+4))*-44/12)+($M42*INDEX('DEFAULT DATA'!$MW$9:$VD$41,START!$C$3,($N42+5))*-44/12)</f>
        <v>0</v>
      </c>
      <c r="R42" s="216">
        <f>($K42*INDEX('DEFAULT DATA'!$MW$9:$VD$41,START!$C$3,($N42))*-44/12)+($K42*INDEX('DEFAULT DATA'!$MW$9:$VD$41,START!$C$3,($N42+1))*-44/12)+($K42*INDEX('DEFAULT DATA'!$MW$9:$VD$41,START!$C$3,($N42+2))*-44/12)+($K42*INDEX('DEFAULT DATA'!$MW$9:$VD$41,START!$C$3,($N42+3))*-44/12)+($L42*INDEX('DEFAULT DATA'!$MW$9:$VD$41,START!$C$3,($N42+4))*-44/12)+($M42*INDEX('DEFAULT DATA'!$MW$9:$VD$41,START!$C$3,($N42+5))*-44/12)</f>
        <v>0</v>
      </c>
      <c r="S42" s="216">
        <f>($K42*INDEX('DEFAULT DATA'!$MW$9:$VD$41,START!$C$3,($N42))*-44/12)+($K42*INDEX('DEFAULT DATA'!$MW$9:$VD$41,START!$C$3,($N42+1))*-44/12)+($K42*INDEX('DEFAULT DATA'!$MW$9:$VD$41,START!$C$3,($N42+2))*-44/12)+($K42*INDEX('DEFAULT DATA'!$MW$9:$VD$41,START!$C$3,($N42+3))*-44/12)+($L42*INDEX('DEFAULT DATA'!$MW$9:$VD$41,START!$C$3,($N42+4))*-44/12)+($M42*INDEX('DEFAULT DATA'!$MW$9:$VD$41,START!$C$3,($N42+5))*-44/12)</f>
        <v>0</v>
      </c>
      <c r="T42" s="216">
        <f>($K42*INDEX('DEFAULT DATA'!$MW$9:$VD$41,START!$C$3,($N42))*-44/12)+($K42*INDEX('DEFAULT DATA'!$MW$9:$VD$41,START!$C$3,($N42+1))*-44/12)+($K42*INDEX('DEFAULT DATA'!$MW$9:$VD$41,START!$C$3,($N42+2))*-44/12)+($K42*INDEX('DEFAULT DATA'!$MW$9:$VD$41,START!$C$3,($N42+3))*-44/12)+($L42*INDEX('DEFAULT DATA'!$MW$9:$VD$41,START!$C$3,($N42+4))*-44/12)+($M42*INDEX('DEFAULT DATA'!$MW$9:$VD$41,START!$C$3,($N42+5))*-44/12)</f>
        <v>0</v>
      </c>
      <c r="U42" s="216">
        <f>($K42*INDEX('DEFAULT DATA'!$MW$9:$VD$41,START!$C$3,($N42))*-44/12)+($K42*INDEX('DEFAULT DATA'!$MW$9:$VD$41,START!$C$3,($N42+1))*-44/12)+($K42*INDEX('DEFAULT DATA'!$MW$9:$VD$41,START!$C$3,($N42+2))*-44/12)+($K42*INDEX('DEFAULT DATA'!$MW$9:$VD$41,START!$C$3,($N42+3))*-44/12)+($L42*INDEX('DEFAULT DATA'!$MW$9:$VD$41,START!$C$3,($N42+4))*-44/12)+($M42*INDEX('DEFAULT DATA'!$MW$9:$VD$41,START!$C$3,($N42+5))*-44/12)</f>
        <v>0</v>
      </c>
      <c r="V42" s="216">
        <f>($K42*INDEX('DEFAULT DATA'!$MW$9:$VD$41,START!$C$3,($N42))*-44/12)+($K42*INDEX('DEFAULT DATA'!$MW$9:$VD$41,START!$C$3,($N42+1))*-44/12)+($K42*INDEX('DEFAULT DATA'!$MW$9:$VD$41,START!$C$3,($N42+2))*-44/12)+($K42*INDEX('DEFAULT DATA'!$MW$9:$VD$41,START!$C$3,($N42+3))*-44/12)+($L42*INDEX('DEFAULT DATA'!$MW$9:$VD$41,START!$C$3,($N42+4))*-44/12)+($M42*INDEX('DEFAULT DATA'!$MW$9:$VD$41,START!$C$3,($N42+5))*-44/12)</f>
        <v>0</v>
      </c>
      <c r="W42" s="216">
        <f>($K42*INDEX('DEFAULT DATA'!$MW$9:$VD$41,START!$C$3,($N42))*-44/12)+($K42*INDEX('DEFAULT DATA'!$MW$9:$VD$41,START!$C$3,($N42+1))*-44/12)+($K42*INDEX('DEFAULT DATA'!$MW$9:$VD$41,START!$C$3,($N42+2))*-44/12)+($K42*INDEX('DEFAULT DATA'!$MW$9:$VD$41,START!$C$3,($N42+3))*-44/12)+($L42*INDEX('DEFAULT DATA'!$MW$9:$VD$41,START!$C$3,($N42+4))*-44/12)+($M42*INDEX('DEFAULT DATA'!$MW$9:$VD$41,START!$C$3,($N42+5))*-44/12)</f>
        <v>0</v>
      </c>
      <c r="X42" s="216">
        <f>($K42*INDEX('DEFAULT DATA'!$MW$9:$VD$41,START!$C$3,($N42))*-44/12)+($K42*INDEX('DEFAULT DATA'!$MW$9:$VD$41,START!$C$3,($N42+1))*-44/12)+($K42*INDEX('DEFAULT DATA'!$MW$9:$VD$41,START!$C$3,($N42+2))*-44/12)+($K42*INDEX('DEFAULT DATA'!$MW$9:$VD$41,START!$C$3,($N42+3))*-44/12)+($L42*INDEX('DEFAULT DATA'!$MW$9:$VD$41,START!$C$3,($N42+4))*-44/12)+($M42*INDEX('DEFAULT DATA'!$MW$9:$VD$41,START!$C$3,($N42+5))*-44/12)</f>
        <v>0</v>
      </c>
      <c r="Y42" s="216">
        <f>($K42*INDEX('DEFAULT DATA'!$MW$9:$VD$41,START!$C$3,($N42))*-44/12)+($K42*INDEX('DEFAULT DATA'!$MW$9:$VD$41,START!$C$3,($N42+1))*-44/12)+($K42*INDEX('DEFAULT DATA'!$MW$9:$VD$41,START!$C$3,($N42+2))*-44/12)+($K42*INDEX('DEFAULT DATA'!$MW$9:$VD$41,START!$C$3,($N42+3))*-44/12)+($L42*INDEX('DEFAULT DATA'!$MW$9:$VD$41,START!$C$3,($N42+4))*-44/12)+($M42*INDEX('DEFAULT DATA'!$MW$9:$VD$41,START!$C$3,($N42+5))*-44/12)</f>
        <v>0</v>
      </c>
      <c r="Z42" s="216">
        <f>($K42*INDEX('DEFAULT DATA'!$MW$9:$VD$41,START!$C$3,($N42))*-44/12)+($K42*INDEX('DEFAULT DATA'!$MW$9:$VD$41,START!$C$3,($N42+1))*-44/12)+($K42*INDEX('DEFAULT DATA'!$MW$9:$VD$41,START!$C$3,($N42+2))*-44/12)+($K42*INDEX('DEFAULT DATA'!$MW$9:$VD$41,START!$C$3,($N42+3))*-44/12)+($L42*INDEX('DEFAULT DATA'!$MW$9:$VD$41,START!$C$3,($N42+4))*-44/12)+($M42*INDEX('DEFAULT DATA'!$MW$9:$VD$41,START!$C$3,($N42+5))*-44/12)</f>
        <v>0</v>
      </c>
      <c r="AA42" s="216">
        <f>($K42*INDEX('DEFAULT DATA'!$MW$9:$VD$41,START!$C$3,($N42))*-44/12)+($K42*INDEX('DEFAULT DATA'!$MW$9:$VD$41,START!$C$3,($N42+1))*-44/12)+($K42*INDEX('DEFAULT DATA'!$MW$9:$VD$41,START!$C$3,($N42+2))*-44/12)+($K42*INDEX('DEFAULT DATA'!$MW$9:$VD$41,START!$C$3,($N42+3))*-44/12)+($L42*INDEX('DEFAULT DATA'!$MW$9:$VD$41,START!$C$3,($N42+4))*-44/12)+($M42*INDEX('DEFAULT DATA'!$MW$9:$VD$41,START!$C$3,($N42+5))*-44/12)</f>
        <v>0</v>
      </c>
      <c r="AB42" s="216">
        <f>($K42*INDEX('DEFAULT DATA'!$MW$9:$VD$41,START!$C$3,($N42))*-44/12)+($K42*INDEX('DEFAULT DATA'!$MW$9:$VD$41,START!$C$3,($N42+1))*-44/12)+($K42*INDEX('DEFAULT DATA'!$MW$9:$VD$41,START!$C$3,($N42+2))*-44/12)+($K42*INDEX('DEFAULT DATA'!$MW$9:$VD$41,START!$C$3,($N42+3))*-44/12)+($L42*INDEX('DEFAULT DATA'!$MW$9:$VD$41,START!$C$3,($N42+4))*-44/12)+($M42*INDEX('DEFAULT DATA'!$MW$9:$VD$41,START!$C$3,($N42+5))*-44/12)</f>
        <v>0</v>
      </c>
      <c r="AC42" s="216">
        <f>($K42*INDEX('DEFAULT DATA'!$MW$9:$VD$41,START!$C$3,($N42))*-44/12)+($K42*INDEX('DEFAULT DATA'!$MW$9:$VD$41,START!$C$3,($N42+1))*-44/12)+($K42*INDEX('DEFAULT DATA'!$MW$9:$VD$41,START!$C$3,($N42+2))*-44/12)+($K42*INDEX('DEFAULT DATA'!$MW$9:$VD$41,START!$C$3,($N42+3))*-44/12)+($L42*INDEX('DEFAULT DATA'!$MW$9:$VD$41,START!$C$3,($N42+4))*-44/12)+($M42*INDEX('DEFAULT DATA'!$MW$9:$VD$41,START!$C$3,($N42+5))*-44/12)</f>
        <v>0</v>
      </c>
      <c r="AD42" s="216">
        <f>($K42*INDEX('DEFAULT DATA'!$MW$9:$VD$41,START!$C$3,($N42))*-44/12)+($K42*INDEX('DEFAULT DATA'!$MW$9:$VD$41,START!$C$3,($N42+1))*-44/12)+($K42*INDEX('DEFAULT DATA'!$MW$9:$VD$41,START!$C$3,($N42+2))*-44/12)+($K42*INDEX('DEFAULT DATA'!$MW$9:$VD$41,START!$C$3,($N42+3))*-44/12)+($L42*INDEX('DEFAULT DATA'!$MW$9:$VD$41,START!$C$3,($N42+4))*-44/12)+($M42*INDEX('DEFAULT DATA'!$MW$9:$VD$41,START!$C$3,($N42+5))*-44/12)</f>
        <v>0</v>
      </c>
      <c r="AE42" s="216">
        <f>($K42*INDEX('DEFAULT DATA'!$MW$9:$VD$41,START!$C$3,($N42))*-44/12)+($K42*INDEX('DEFAULT DATA'!$MW$9:$VD$41,START!$C$3,($N42+1))*-44/12)+($K42*INDEX('DEFAULT DATA'!$MW$9:$VD$41,START!$C$3,($N42+2))*-44/12)+($K42*INDEX('DEFAULT DATA'!$MW$9:$VD$41,START!$C$3,($N42+3))*-44/12)+($L42*INDEX('DEFAULT DATA'!$MW$9:$VD$41,START!$C$3,($N42+4))*-44/12)+($M42*INDEX('DEFAULT DATA'!$MW$9:$VD$41,START!$C$3,($N42+5))*-44/12)</f>
        <v>0</v>
      </c>
      <c r="AF42" s="216">
        <f>($K42*INDEX('DEFAULT DATA'!$MW$9:$VD$41,START!$C$3,($N42))*-44/12)+($K42*INDEX('DEFAULT DATA'!$MW$9:$VD$41,START!$C$3,($N42+1))*-44/12)+($K42*INDEX('DEFAULT DATA'!$MW$9:$VD$41,START!$C$3,($N42+2))*-44/12)+($K42*INDEX('DEFAULT DATA'!$MW$9:$VD$41,START!$C$3,($N42+3))*-44/12)+($L42*INDEX('DEFAULT DATA'!$MW$9:$VD$41,START!$C$3,($N42+4))*-44/12)+($M42*INDEX('DEFAULT DATA'!$MW$9:$VD$41,START!$C$3,($N42+5))*-44/12)</f>
        <v>0</v>
      </c>
      <c r="AG42" s="216">
        <f>($K42*INDEX('DEFAULT DATA'!$MW$9:$VD$41,START!$C$3,($N42))*-44/12)+($K42*INDEX('DEFAULT DATA'!$MW$9:$VD$41,START!$C$3,($N42+1))*-44/12)+($K42*INDEX('DEFAULT DATA'!$MW$9:$VD$41,START!$C$3,($N42+2))*-44/12)+($K42*INDEX('DEFAULT DATA'!$MW$9:$VD$41,START!$C$3,($N42+3))*-44/12)+($L42*INDEX('DEFAULT DATA'!$MW$9:$VD$41,START!$C$3,($N42+4))*-44/12)+($M42*INDEX('DEFAULT DATA'!$MW$9:$VD$41,START!$C$3,($N42+5))*-44/12)</f>
        <v>0</v>
      </c>
      <c r="AH42" s="216">
        <f>($K42*INDEX('DEFAULT DATA'!$MW$9:$VD$41,START!$C$3,($N42))*-44/12)+($K42*INDEX('DEFAULT DATA'!$MW$9:$VD$41,START!$C$3,($N42+1))*-44/12)+($K42*INDEX('DEFAULT DATA'!$MW$9:$VD$41,START!$C$3,($N42+2))*-44/12)+($K42*INDEX('DEFAULT DATA'!$MW$9:$VD$41,START!$C$3,($N42+3))*-44/12)+($L42*INDEX('DEFAULT DATA'!$MW$9:$VD$41,START!$C$3,($N42+4))*-44/12)+($M42*INDEX('DEFAULT DATA'!$MW$9:$VD$41,START!$C$3,($N42+5))*-44/12)</f>
        <v>0</v>
      </c>
      <c r="AI42" s="216">
        <f>($K42*INDEX('DEFAULT DATA'!$MW$9:$VD$41,START!$C$3,($N42))*-44/12)+($K42*INDEX('DEFAULT DATA'!$MW$9:$VD$41,START!$C$3,($N42+1))*-44/12)+($K42*INDEX('DEFAULT DATA'!$MW$9:$VD$41,START!$C$3,($N42+2))*-44/12)+($K42*INDEX('DEFAULT DATA'!$MW$9:$VD$41,START!$C$3,($N42+3))*-44/12)+($L42*INDEX('DEFAULT DATA'!$MW$9:$VD$41,START!$C$3,($N42+4))*-44/12)+($M42*INDEX('DEFAULT DATA'!$MW$9:$VD$41,START!$C$3,($N42+5))*-44/12)</f>
        <v>0</v>
      </c>
      <c r="AJ42" s="216">
        <f>($K42*INDEX('DEFAULT DATA'!$MW$9:$VD$41,START!$C$3,($N42))*-44/12)+($K42*INDEX('DEFAULT DATA'!$MW$9:$VD$41,START!$C$3,($N42+1))*-44/12)+($K42*INDEX('DEFAULT DATA'!$MW$9:$VD$41,START!$C$3,($N42+2))*-44/12)+($K42*INDEX('DEFAULT DATA'!$MW$9:$VD$41,START!$C$3,($N42+3))*-44/12)+($L42*INDEX('DEFAULT DATA'!$MW$9:$VD$41,START!$C$3,($N42+4))*-44/12)+($M42*INDEX('DEFAULT DATA'!$MW$9:$VD$41,START!$C$3,($N42+5))*-44/12)</f>
        <v>0</v>
      </c>
      <c r="AK42" s="216">
        <f>(($K42*INDEX('DEFAULT DATA'!$UA$9:$UF$41,START!$C$3,1)*-44/12)+($K42*INDEX('DEFAULT DATA'!$UA$9:$UF$41,START!$C$3,2)*-44/12)+($K42*INDEX('DEFAULT DATA'!$UA$9:$UF$41,START!$C$3,3)*-44/12)+($K42*INDEX('DEFAULT DATA'!$UA$9:$UF$41,START!$C$3,4)*-44/12)+($L42*INDEX('DEFAULT DATA'!$UA$9:$UF$41,START!$C$3,5)*-44/12)+($M42*INDEX('DEFAULT DATA'!$UA$9:$UF$41,START!$C$3,6)*-44/12))</f>
        <v>0</v>
      </c>
      <c r="AL42" s="216">
        <f>(($K42*INDEX('DEFAULT DATA'!$UA$9:$UF$41,START!$C$3,1)*-44/12)+($K42*INDEX('DEFAULT DATA'!$UA$9:$UF$41,START!$C$3,2)*-44/12)+($K42*INDEX('DEFAULT DATA'!$UA$9:$UF$41,START!$C$3,3)*-44/12)+($K42*INDEX('DEFAULT DATA'!$UA$9:$UF$41,START!$C$3,4)*-44/12)+($L42*INDEX('DEFAULT DATA'!$UA$9:$UF$41,START!$C$3,5)*-44/12)+($M42*INDEX('DEFAULT DATA'!$UA$9:$UF$41,START!$C$3,6)*-44/12))</f>
        <v>0</v>
      </c>
      <c r="AM42" s="216">
        <f>(($K42*INDEX('DEFAULT DATA'!$UA$9:$UF$41,START!$C$3,1)*-44/12)+($K42*INDEX('DEFAULT DATA'!$UA$9:$UF$41,START!$C$3,2)*-44/12)+($K42*INDEX('DEFAULT DATA'!$UA$9:$UF$41,START!$C$3,3)*-44/12)+($K42*INDEX('DEFAULT DATA'!$UA$9:$UF$41,START!$C$3,4)*-44/12)+($L42*INDEX('DEFAULT DATA'!$UA$9:$UF$41,START!$C$3,5)*-44/12)+($M42*INDEX('DEFAULT DATA'!$UA$9:$UF$41,START!$C$3,6)*-44/12))</f>
        <v>0</v>
      </c>
      <c r="AN42" s="216">
        <f>(($K42*INDEX('DEFAULT DATA'!$UA$9:$UF$41,START!$C$3,1)*-44/12)+($K42*INDEX('DEFAULT DATA'!$UA$9:$UF$41,START!$C$3,2)*-44/12)+($K42*INDEX('DEFAULT DATA'!$UA$9:$UF$41,START!$C$3,3)*-44/12)+($K42*INDEX('DEFAULT DATA'!$UA$9:$UF$41,START!$C$3,4)*-44/12)+($L42*INDEX('DEFAULT DATA'!$UA$9:$UF$41,START!$C$3,5)*-44/12)+($M42*INDEX('DEFAULT DATA'!$UA$9:$UF$41,START!$C$3,6)*-44/12))</f>
        <v>0</v>
      </c>
      <c r="AO42" s="216">
        <f>(($K42*INDEX('DEFAULT DATA'!$UA$9:$UF$41,START!$C$3,1)*-44/12)+($K42*INDEX('DEFAULT DATA'!$UA$9:$UF$41,START!$C$3,2)*-44/12)+($K42*INDEX('DEFAULT DATA'!$UA$9:$UF$41,START!$C$3,3)*-44/12)+($K42*INDEX('DEFAULT DATA'!$UA$9:$UF$41,START!$C$3,4)*-44/12)+($L42*INDEX('DEFAULT DATA'!$UA$9:$UF$41,START!$C$3,5)*-44/12)+($M42*INDEX('DEFAULT DATA'!$UA$9:$UF$41,START!$C$3,6)*-44/12))</f>
        <v>0</v>
      </c>
      <c r="AP42" s="216">
        <f>(($K42*INDEX('DEFAULT DATA'!$UA$9:$UF$41,START!$C$3,1)*-44/12)+($K42*INDEX('DEFAULT DATA'!$UA$9:$UF$41,START!$C$3,2)*-44/12)+($K42*INDEX('DEFAULT DATA'!$UA$9:$UF$41,START!$C$3,3)*-44/12)+($K42*INDEX('DEFAULT DATA'!$UA$9:$UF$41,START!$C$3,4)*-44/12)+($L42*INDEX('DEFAULT DATA'!$UA$9:$UF$41,START!$C$3,5)*-44/12)+($M42*INDEX('DEFAULT DATA'!$UA$9:$UF$41,START!$C$3,6)*-44/12))</f>
        <v>0</v>
      </c>
      <c r="AQ42" s="216">
        <f>(($K42*INDEX('DEFAULT DATA'!$UA$9:$UF$41,START!$C$3,1)*-44/12)+($K42*INDEX('DEFAULT DATA'!$UA$9:$UF$41,START!$C$3,2)*-44/12)+($K42*INDEX('DEFAULT DATA'!$UA$9:$UF$41,START!$C$3,3)*-44/12)+($K42*INDEX('DEFAULT DATA'!$UA$9:$UF$41,START!$C$3,4)*-44/12)+($L42*INDEX('DEFAULT DATA'!$UA$9:$UF$41,START!$C$3,5)*-44/12)+($M42*INDEX('DEFAULT DATA'!$UA$9:$UF$41,START!$C$3,6)*-44/12))</f>
        <v>0</v>
      </c>
      <c r="AR42" s="216">
        <f>(($K42*INDEX('DEFAULT DATA'!$UA$9:$UF$41,START!$C$3,1)*-44/12)+($K42*INDEX('DEFAULT DATA'!$UA$9:$UF$41,START!$C$3,2)*-44/12)+($K42*INDEX('DEFAULT DATA'!$UA$9:$UF$41,START!$C$3,3)*-44/12)+($K42*INDEX('DEFAULT DATA'!$UA$9:$UF$41,START!$C$3,4)*-44/12)+($L42*INDEX('DEFAULT DATA'!$UA$9:$UF$41,START!$C$3,5)*-44/12)+($M42*INDEX('DEFAULT DATA'!$UA$9:$UF$41,START!$C$3,6)*-44/12))</f>
        <v>0</v>
      </c>
      <c r="AS42" s="216">
        <f>(($K42*INDEX('DEFAULT DATA'!$UA$9:$UF$41,START!$C$3,1)*-44/12)+($K42*INDEX('DEFAULT DATA'!$UA$9:$UF$41,START!$C$3,2)*-44/12)+($K42*INDEX('DEFAULT DATA'!$UA$9:$UF$41,START!$C$3,3)*-44/12)+($K42*INDEX('DEFAULT DATA'!$UA$9:$UF$41,START!$C$3,4)*-44/12)+($L42*INDEX('DEFAULT DATA'!$UA$9:$UF$41,START!$C$3,5)*-44/12)+($M42*INDEX('DEFAULT DATA'!$UA$9:$UF$41,START!$C$3,6)*-44/12))</f>
        <v>0</v>
      </c>
      <c r="AT42" s="443">
        <f>(($K42*INDEX('DEFAULT DATA'!$UA$9:$UF$41,START!$C$3,1)*-44/12)+($K42*INDEX('DEFAULT DATA'!$UA$9:$UF$41,START!$C$3,2)*-44/12)+($K42*INDEX('DEFAULT DATA'!$UA$9:$UF$41,START!$C$3,3)*-44/12)+($K42*INDEX('DEFAULT DATA'!$UA$9:$UF$41,START!$C$3,4)*-44/12)+($L42*INDEX('DEFAULT DATA'!$UA$9:$UF$41,START!$C$3,5)*-44/12)+($M42*INDEX('DEFAULT DATA'!$UA$9:$UF$41,START!$C$3,6)*-44/12))</f>
        <v>0</v>
      </c>
    </row>
    <row r="43" spans="1:48" ht="20.100000000000001" customHeight="1" thickBot="1">
      <c r="A43" s="1345"/>
      <c r="B43" s="1457" t="s">
        <v>383</v>
      </c>
      <c r="C43" s="1457"/>
      <c r="D43" s="1457"/>
      <c r="E43" s="1457"/>
      <c r="F43" s="1457"/>
      <c r="G43" s="1457"/>
      <c r="H43" s="1457"/>
      <c r="I43" s="1458"/>
      <c r="J43" s="448"/>
      <c r="K43" s="478">
        <f t="shared" si="37"/>
        <v>0</v>
      </c>
      <c r="L43" s="479">
        <f t="shared" si="38"/>
        <v>0</v>
      </c>
      <c r="M43" s="479">
        <f t="shared" si="39"/>
        <v>0</v>
      </c>
      <c r="N43" s="220">
        <f t="shared" si="41"/>
        <v>49</v>
      </c>
      <c r="O43" s="480" t="s">
        <v>823</v>
      </c>
      <c r="P43" s="481">
        <f t="shared" si="40"/>
        <v>2022</v>
      </c>
      <c r="Q43" s="216">
        <f>($K43*INDEX('DEFAULT DATA'!$MW$9:$VD$41,START!$C$3,($N43))*-44/12)+($K43*INDEX('DEFAULT DATA'!$MW$9:$VD$41,START!$C$3,($N43+1))*-44/12)+($K43*INDEX('DEFAULT DATA'!$MW$9:$VD$41,START!$C$3,($N43+2))*-44/12)+($K43*INDEX('DEFAULT DATA'!$MW$9:$VD$41,START!$C$3,($N43+3))*-44/12)+($L43*INDEX('DEFAULT DATA'!$MW$9:$VD$41,START!$C$3,($N43+4))*-44/12)+($M43*INDEX('DEFAULT DATA'!$MW$9:$VD$41,START!$C$3,($N43+5))*-44/12)</f>
        <v>0</v>
      </c>
      <c r="R43" s="216">
        <f>($K43*INDEX('DEFAULT DATA'!$MW$9:$VD$41,START!$C$3,($N43))*-44/12)+($K43*INDEX('DEFAULT DATA'!$MW$9:$VD$41,START!$C$3,($N43+1))*-44/12)+($K43*INDEX('DEFAULT DATA'!$MW$9:$VD$41,START!$C$3,($N43+2))*-44/12)+($K43*INDEX('DEFAULT DATA'!$MW$9:$VD$41,START!$C$3,($N43+3))*-44/12)+($L43*INDEX('DEFAULT DATA'!$MW$9:$VD$41,START!$C$3,($N43+4))*-44/12)+($M43*INDEX('DEFAULT DATA'!$MW$9:$VD$41,START!$C$3,($N43+5))*-44/12)</f>
        <v>0</v>
      </c>
      <c r="S43" s="216">
        <f>($K43*INDEX('DEFAULT DATA'!$MW$9:$VD$41,START!$C$3,($N43))*-44/12)+($K43*INDEX('DEFAULT DATA'!$MW$9:$VD$41,START!$C$3,($N43+1))*-44/12)+($K43*INDEX('DEFAULT DATA'!$MW$9:$VD$41,START!$C$3,($N43+2))*-44/12)+($K43*INDEX('DEFAULT DATA'!$MW$9:$VD$41,START!$C$3,($N43+3))*-44/12)+($L43*INDEX('DEFAULT DATA'!$MW$9:$VD$41,START!$C$3,($N43+4))*-44/12)+($M43*INDEX('DEFAULT DATA'!$MW$9:$VD$41,START!$C$3,($N43+5))*-44/12)</f>
        <v>0</v>
      </c>
      <c r="T43" s="216">
        <f>($K43*INDEX('DEFAULT DATA'!$MW$9:$VD$41,START!$C$3,($N43))*-44/12)+($K43*INDEX('DEFAULT DATA'!$MW$9:$VD$41,START!$C$3,($N43+1))*-44/12)+($K43*INDEX('DEFAULT DATA'!$MW$9:$VD$41,START!$C$3,($N43+2))*-44/12)+($K43*INDEX('DEFAULT DATA'!$MW$9:$VD$41,START!$C$3,($N43+3))*-44/12)+($L43*INDEX('DEFAULT DATA'!$MW$9:$VD$41,START!$C$3,($N43+4))*-44/12)+($M43*INDEX('DEFAULT DATA'!$MW$9:$VD$41,START!$C$3,($N43+5))*-44/12)</f>
        <v>0</v>
      </c>
      <c r="U43" s="216">
        <f>($K43*INDEX('DEFAULT DATA'!$MW$9:$VD$41,START!$C$3,($N43))*-44/12)+($K43*INDEX('DEFAULT DATA'!$MW$9:$VD$41,START!$C$3,($N43+1))*-44/12)+($K43*INDEX('DEFAULT DATA'!$MW$9:$VD$41,START!$C$3,($N43+2))*-44/12)+($K43*INDEX('DEFAULT DATA'!$MW$9:$VD$41,START!$C$3,($N43+3))*-44/12)+($L43*INDEX('DEFAULT DATA'!$MW$9:$VD$41,START!$C$3,($N43+4))*-44/12)+($M43*INDEX('DEFAULT DATA'!$MW$9:$VD$41,START!$C$3,($N43+5))*-44/12)</f>
        <v>0</v>
      </c>
      <c r="V43" s="216">
        <f>($K43*INDEX('DEFAULT DATA'!$MW$9:$VD$41,START!$C$3,($N43))*-44/12)+($K43*INDEX('DEFAULT DATA'!$MW$9:$VD$41,START!$C$3,($N43+1))*-44/12)+($K43*INDEX('DEFAULT DATA'!$MW$9:$VD$41,START!$C$3,($N43+2))*-44/12)+($K43*INDEX('DEFAULT DATA'!$MW$9:$VD$41,START!$C$3,($N43+3))*-44/12)+($L43*INDEX('DEFAULT DATA'!$MW$9:$VD$41,START!$C$3,($N43+4))*-44/12)+($M43*INDEX('DEFAULT DATA'!$MW$9:$VD$41,START!$C$3,($N43+5))*-44/12)</f>
        <v>0</v>
      </c>
      <c r="W43" s="216">
        <f>($K43*INDEX('DEFAULT DATA'!$MW$9:$VD$41,START!$C$3,($N43))*-44/12)+($K43*INDEX('DEFAULT DATA'!$MW$9:$VD$41,START!$C$3,($N43+1))*-44/12)+($K43*INDEX('DEFAULT DATA'!$MW$9:$VD$41,START!$C$3,($N43+2))*-44/12)+($K43*INDEX('DEFAULT DATA'!$MW$9:$VD$41,START!$C$3,($N43+3))*-44/12)+($L43*INDEX('DEFAULT DATA'!$MW$9:$VD$41,START!$C$3,($N43+4))*-44/12)+($M43*INDEX('DEFAULT DATA'!$MW$9:$VD$41,START!$C$3,($N43+5))*-44/12)</f>
        <v>0</v>
      </c>
      <c r="X43" s="216">
        <f>($K43*INDEX('DEFAULT DATA'!$MW$9:$VD$41,START!$C$3,($N43))*-44/12)+($K43*INDEX('DEFAULT DATA'!$MW$9:$VD$41,START!$C$3,($N43+1))*-44/12)+($K43*INDEX('DEFAULT DATA'!$MW$9:$VD$41,START!$C$3,($N43+2))*-44/12)+($K43*INDEX('DEFAULT DATA'!$MW$9:$VD$41,START!$C$3,($N43+3))*-44/12)+($L43*INDEX('DEFAULT DATA'!$MW$9:$VD$41,START!$C$3,($N43+4))*-44/12)+($M43*INDEX('DEFAULT DATA'!$MW$9:$VD$41,START!$C$3,($N43+5))*-44/12)</f>
        <v>0</v>
      </c>
      <c r="Y43" s="216">
        <f>($K43*INDEX('DEFAULT DATA'!$MW$9:$VD$41,START!$C$3,($N43))*-44/12)+($K43*INDEX('DEFAULT DATA'!$MW$9:$VD$41,START!$C$3,($N43+1))*-44/12)+($K43*INDEX('DEFAULT DATA'!$MW$9:$VD$41,START!$C$3,($N43+2))*-44/12)+($K43*INDEX('DEFAULT DATA'!$MW$9:$VD$41,START!$C$3,($N43+3))*-44/12)+($L43*INDEX('DEFAULT DATA'!$MW$9:$VD$41,START!$C$3,($N43+4))*-44/12)+($M43*INDEX('DEFAULT DATA'!$MW$9:$VD$41,START!$C$3,($N43+5))*-44/12)</f>
        <v>0</v>
      </c>
      <c r="Z43" s="216">
        <f>($K43*INDEX('DEFAULT DATA'!$MW$9:$VD$41,START!$C$3,($N43))*-44/12)+($K43*INDEX('DEFAULT DATA'!$MW$9:$VD$41,START!$C$3,($N43+1))*-44/12)+($K43*INDEX('DEFAULT DATA'!$MW$9:$VD$41,START!$C$3,($N43+2))*-44/12)+($K43*INDEX('DEFAULT DATA'!$MW$9:$VD$41,START!$C$3,($N43+3))*-44/12)+($L43*INDEX('DEFAULT DATA'!$MW$9:$VD$41,START!$C$3,($N43+4))*-44/12)+($M43*INDEX('DEFAULT DATA'!$MW$9:$VD$41,START!$C$3,($N43+5))*-44/12)</f>
        <v>0</v>
      </c>
      <c r="AA43" s="216">
        <f>($K43*INDEX('DEFAULT DATA'!$MW$9:$VD$41,START!$C$3,($N43))*-44/12)+($K43*INDEX('DEFAULT DATA'!$MW$9:$VD$41,START!$C$3,($N43+1))*-44/12)+($K43*INDEX('DEFAULT DATA'!$MW$9:$VD$41,START!$C$3,($N43+2))*-44/12)+($K43*INDEX('DEFAULT DATA'!$MW$9:$VD$41,START!$C$3,($N43+3))*-44/12)+($L43*INDEX('DEFAULT DATA'!$MW$9:$VD$41,START!$C$3,($N43+4))*-44/12)+($M43*INDEX('DEFAULT DATA'!$MW$9:$VD$41,START!$C$3,($N43+5))*-44/12)</f>
        <v>0</v>
      </c>
      <c r="AB43" s="216">
        <f>($K43*INDEX('DEFAULT DATA'!$MW$9:$VD$41,START!$C$3,($N43))*-44/12)+($K43*INDEX('DEFAULT DATA'!$MW$9:$VD$41,START!$C$3,($N43+1))*-44/12)+($K43*INDEX('DEFAULT DATA'!$MW$9:$VD$41,START!$C$3,($N43+2))*-44/12)+($K43*INDEX('DEFAULT DATA'!$MW$9:$VD$41,START!$C$3,($N43+3))*-44/12)+($L43*INDEX('DEFAULT DATA'!$MW$9:$VD$41,START!$C$3,($N43+4))*-44/12)+($M43*INDEX('DEFAULT DATA'!$MW$9:$VD$41,START!$C$3,($N43+5))*-44/12)</f>
        <v>0</v>
      </c>
      <c r="AC43" s="216">
        <f>($K43*INDEX('DEFAULT DATA'!$MW$9:$VD$41,START!$C$3,($N43))*-44/12)+($K43*INDEX('DEFAULT DATA'!$MW$9:$VD$41,START!$C$3,($N43+1))*-44/12)+($K43*INDEX('DEFAULT DATA'!$MW$9:$VD$41,START!$C$3,($N43+2))*-44/12)+($K43*INDEX('DEFAULT DATA'!$MW$9:$VD$41,START!$C$3,($N43+3))*-44/12)+($L43*INDEX('DEFAULT DATA'!$MW$9:$VD$41,START!$C$3,($N43+4))*-44/12)+($M43*INDEX('DEFAULT DATA'!$MW$9:$VD$41,START!$C$3,($N43+5))*-44/12)</f>
        <v>0</v>
      </c>
      <c r="AD43" s="216">
        <f>($K43*INDEX('DEFAULT DATA'!$MW$9:$VD$41,START!$C$3,($N43))*-44/12)+($K43*INDEX('DEFAULT DATA'!$MW$9:$VD$41,START!$C$3,($N43+1))*-44/12)+($K43*INDEX('DEFAULT DATA'!$MW$9:$VD$41,START!$C$3,($N43+2))*-44/12)+($K43*INDEX('DEFAULT DATA'!$MW$9:$VD$41,START!$C$3,($N43+3))*-44/12)+($L43*INDEX('DEFAULT DATA'!$MW$9:$VD$41,START!$C$3,($N43+4))*-44/12)+($M43*INDEX('DEFAULT DATA'!$MW$9:$VD$41,START!$C$3,($N43+5))*-44/12)</f>
        <v>0</v>
      </c>
      <c r="AE43" s="216">
        <f>($K43*INDEX('DEFAULT DATA'!$MW$9:$VD$41,START!$C$3,($N43))*-44/12)+($K43*INDEX('DEFAULT DATA'!$MW$9:$VD$41,START!$C$3,($N43+1))*-44/12)+($K43*INDEX('DEFAULT DATA'!$MW$9:$VD$41,START!$C$3,($N43+2))*-44/12)+($K43*INDEX('DEFAULT DATA'!$MW$9:$VD$41,START!$C$3,($N43+3))*-44/12)+($L43*INDEX('DEFAULT DATA'!$MW$9:$VD$41,START!$C$3,($N43+4))*-44/12)+($M43*INDEX('DEFAULT DATA'!$MW$9:$VD$41,START!$C$3,($N43+5))*-44/12)</f>
        <v>0</v>
      </c>
      <c r="AF43" s="216">
        <f>($K43*INDEX('DEFAULT DATA'!$MW$9:$VD$41,START!$C$3,($N43))*-44/12)+($K43*INDEX('DEFAULT DATA'!$MW$9:$VD$41,START!$C$3,($N43+1))*-44/12)+($K43*INDEX('DEFAULT DATA'!$MW$9:$VD$41,START!$C$3,($N43+2))*-44/12)+($K43*INDEX('DEFAULT DATA'!$MW$9:$VD$41,START!$C$3,($N43+3))*-44/12)+($L43*INDEX('DEFAULT DATA'!$MW$9:$VD$41,START!$C$3,($N43+4))*-44/12)+($M43*INDEX('DEFAULT DATA'!$MW$9:$VD$41,START!$C$3,($N43+5))*-44/12)</f>
        <v>0</v>
      </c>
      <c r="AG43" s="216">
        <f>($K43*INDEX('DEFAULT DATA'!$MW$9:$VD$41,START!$C$3,($N43))*-44/12)+($K43*INDEX('DEFAULT DATA'!$MW$9:$VD$41,START!$C$3,($N43+1))*-44/12)+($K43*INDEX('DEFAULT DATA'!$MW$9:$VD$41,START!$C$3,($N43+2))*-44/12)+($K43*INDEX('DEFAULT DATA'!$MW$9:$VD$41,START!$C$3,($N43+3))*-44/12)+($L43*INDEX('DEFAULT DATA'!$MW$9:$VD$41,START!$C$3,($N43+4))*-44/12)+($M43*INDEX('DEFAULT DATA'!$MW$9:$VD$41,START!$C$3,($N43+5))*-44/12)</f>
        <v>0</v>
      </c>
      <c r="AH43" s="216">
        <f>($K43*INDEX('DEFAULT DATA'!$MW$9:$VD$41,START!$C$3,($N43))*-44/12)+($K43*INDEX('DEFAULT DATA'!$MW$9:$VD$41,START!$C$3,($N43+1))*-44/12)+($K43*INDEX('DEFAULT DATA'!$MW$9:$VD$41,START!$C$3,($N43+2))*-44/12)+($K43*INDEX('DEFAULT DATA'!$MW$9:$VD$41,START!$C$3,($N43+3))*-44/12)+($L43*INDEX('DEFAULT DATA'!$MW$9:$VD$41,START!$C$3,($N43+4))*-44/12)+($M43*INDEX('DEFAULT DATA'!$MW$9:$VD$41,START!$C$3,($N43+5))*-44/12)</f>
        <v>0</v>
      </c>
      <c r="AI43" s="216">
        <f>($K43*INDEX('DEFAULT DATA'!$MW$9:$VD$41,START!$C$3,($N43))*-44/12)+($K43*INDEX('DEFAULT DATA'!$MW$9:$VD$41,START!$C$3,($N43+1))*-44/12)+($K43*INDEX('DEFAULT DATA'!$MW$9:$VD$41,START!$C$3,($N43+2))*-44/12)+($K43*INDEX('DEFAULT DATA'!$MW$9:$VD$41,START!$C$3,($N43+3))*-44/12)+($L43*INDEX('DEFAULT DATA'!$MW$9:$VD$41,START!$C$3,($N43+4))*-44/12)+($M43*INDEX('DEFAULT DATA'!$MW$9:$VD$41,START!$C$3,($N43+5))*-44/12)</f>
        <v>0</v>
      </c>
      <c r="AJ43" s="216">
        <f>($K43*INDEX('DEFAULT DATA'!$MW$9:$VD$41,START!$C$3,($N43))*-44/12)+($K43*INDEX('DEFAULT DATA'!$MW$9:$VD$41,START!$C$3,($N43+1))*-44/12)+($K43*INDEX('DEFAULT DATA'!$MW$9:$VD$41,START!$C$3,($N43+2))*-44/12)+($K43*INDEX('DEFAULT DATA'!$MW$9:$VD$41,START!$C$3,($N43+3))*-44/12)+($L43*INDEX('DEFAULT DATA'!$MW$9:$VD$41,START!$C$3,($N43+4))*-44/12)+($M43*INDEX('DEFAULT DATA'!$MW$9:$VD$41,START!$C$3,($N43+5))*-44/12)</f>
        <v>0</v>
      </c>
      <c r="AK43" s="216">
        <f>(($K43*INDEX('DEFAULT DATA'!$UA$9:$UF$41,START!$C$3,1)*-44/12)+($K43*INDEX('DEFAULT DATA'!$UA$9:$UF$41,START!$C$3,2)*-44/12)+($K43*INDEX('DEFAULT DATA'!$UA$9:$UF$41,START!$C$3,3)*-44/12)+($K43*INDEX('DEFAULT DATA'!$UA$9:$UF$41,START!$C$3,4)*-44/12)+($L43*INDEX('DEFAULT DATA'!$UA$9:$UF$41,START!$C$3,5)*-44/12)+($M43*INDEX('DEFAULT DATA'!$UA$9:$UF$41,START!$C$3,6)*-44/12))</f>
        <v>0</v>
      </c>
      <c r="AL43" s="216">
        <f>(($K43*INDEX('DEFAULT DATA'!$UA$9:$UF$41,START!$C$3,1)*-44/12)+($K43*INDEX('DEFAULT DATA'!$UA$9:$UF$41,START!$C$3,2)*-44/12)+($K43*INDEX('DEFAULT DATA'!$UA$9:$UF$41,START!$C$3,3)*-44/12)+($K43*INDEX('DEFAULT DATA'!$UA$9:$UF$41,START!$C$3,4)*-44/12)+($L43*INDEX('DEFAULT DATA'!$UA$9:$UF$41,START!$C$3,5)*-44/12)+($M43*INDEX('DEFAULT DATA'!$UA$9:$UF$41,START!$C$3,6)*-44/12))</f>
        <v>0</v>
      </c>
      <c r="AM43" s="216">
        <f>(($K43*INDEX('DEFAULT DATA'!$UA$9:$UF$41,START!$C$3,1)*-44/12)+($K43*INDEX('DEFAULT DATA'!$UA$9:$UF$41,START!$C$3,2)*-44/12)+($K43*INDEX('DEFAULT DATA'!$UA$9:$UF$41,START!$C$3,3)*-44/12)+($K43*INDEX('DEFAULT DATA'!$UA$9:$UF$41,START!$C$3,4)*-44/12)+($L43*INDEX('DEFAULT DATA'!$UA$9:$UF$41,START!$C$3,5)*-44/12)+($M43*INDEX('DEFAULT DATA'!$UA$9:$UF$41,START!$C$3,6)*-44/12))</f>
        <v>0</v>
      </c>
      <c r="AN43" s="216">
        <f>(($K43*INDEX('DEFAULT DATA'!$UA$9:$UF$41,START!$C$3,1)*-44/12)+($K43*INDEX('DEFAULT DATA'!$UA$9:$UF$41,START!$C$3,2)*-44/12)+($K43*INDEX('DEFAULT DATA'!$UA$9:$UF$41,START!$C$3,3)*-44/12)+($K43*INDEX('DEFAULT DATA'!$UA$9:$UF$41,START!$C$3,4)*-44/12)+($L43*INDEX('DEFAULT DATA'!$UA$9:$UF$41,START!$C$3,5)*-44/12)+($M43*INDEX('DEFAULT DATA'!$UA$9:$UF$41,START!$C$3,6)*-44/12))</f>
        <v>0</v>
      </c>
      <c r="AO43" s="216">
        <f>(($K43*INDEX('DEFAULT DATA'!$UA$9:$UF$41,START!$C$3,1)*-44/12)+($K43*INDEX('DEFAULT DATA'!$UA$9:$UF$41,START!$C$3,2)*-44/12)+($K43*INDEX('DEFAULT DATA'!$UA$9:$UF$41,START!$C$3,3)*-44/12)+($K43*INDEX('DEFAULT DATA'!$UA$9:$UF$41,START!$C$3,4)*-44/12)+($L43*INDEX('DEFAULT DATA'!$UA$9:$UF$41,START!$C$3,5)*-44/12)+($M43*INDEX('DEFAULT DATA'!$UA$9:$UF$41,START!$C$3,6)*-44/12))</f>
        <v>0</v>
      </c>
      <c r="AP43" s="216">
        <f>(($K43*INDEX('DEFAULT DATA'!$UA$9:$UF$41,START!$C$3,1)*-44/12)+($K43*INDEX('DEFAULT DATA'!$UA$9:$UF$41,START!$C$3,2)*-44/12)+($K43*INDEX('DEFAULT DATA'!$UA$9:$UF$41,START!$C$3,3)*-44/12)+($K43*INDEX('DEFAULT DATA'!$UA$9:$UF$41,START!$C$3,4)*-44/12)+($L43*INDEX('DEFAULT DATA'!$UA$9:$UF$41,START!$C$3,5)*-44/12)+($M43*INDEX('DEFAULT DATA'!$UA$9:$UF$41,START!$C$3,6)*-44/12))</f>
        <v>0</v>
      </c>
      <c r="AQ43" s="216">
        <f>(($K43*INDEX('DEFAULT DATA'!$UA$9:$UF$41,START!$C$3,1)*-44/12)+($K43*INDEX('DEFAULT DATA'!$UA$9:$UF$41,START!$C$3,2)*-44/12)+($K43*INDEX('DEFAULT DATA'!$UA$9:$UF$41,START!$C$3,3)*-44/12)+($K43*INDEX('DEFAULT DATA'!$UA$9:$UF$41,START!$C$3,4)*-44/12)+($L43*INDEX('DEFAULT DATA'!$UA$9:$UF$41,START!$C$3,5)*-44/12)+($M43*INDEX('DEFAULT DATA'!$UA$9:$UF$41,START!$C$3,6)*-44/12))</f>
        <v>0</v>
      </c>
      <c r="AR43" s="216">
        <f>(($K43*INDEX('DEFAULT DATA'!$UA$9:$UF$41,START!$C$3,1)*-44/12)+($K43*INDEX('DEFAULT DATA'!$UA$9:$UF$41,START!$C$3,2)*-44/12)+($K43*INDEX('DEFAULT DATA'!$UA$9:$UF$41,START!$C$3,3)*-44/12)+($K43*INDEX('DEFAULT DATA'!$UA$9:$UF$41,START!$C$3,4)*-44/12)+($L43*INDEX('DEFAULT DATA'!$UA$9:$UF$41,START!$C$3,5)*-44/12)+($M43*INDEX('DEFAULT DATA'!$UA$9:$UF$41,START!$C$3,6)*-44/12))</f>
        <v>0</v>
      </c>
      <c r="AS43" s="216">
        <f>(($K43*INDEX('DEFAULT DATA'!$UA$9:$UF$41,START!$C$3,1)*-44/12)+($K43*INDEX('DEFAULT DATA'!$UA$9:$UF$41,START!$C$3,2)*-44/12)+($K43*INDEX('DEFAULT DATA'!$UA$9:$UF$41,START!$C$3,3)*-44/12)+($K43*INDEX('DEFAULT DATA'!$UA$9:$UF$41,START!$C$3,4)*-44/12)+($L43*INDEX('DEFAULT DATA'!$UA$9:$UF$41,START!$C$3,5)*-44/12)+($M43*INDEX('DEFAULT DATA'!$UA$9:$UF$41,START!$C$3,6)*-44/12))</f>
        <v>0</v>
      </c>
      <c r="AT43" s="443">
        <f>(($K43*INDEX('DEFAULT DATA'!$UA$9:$UF$41,START!$C$3,1)*-44/12)+($K43*INDEX('DEFAULT DATA'!$UA$9:$UF$41,START!$C$3,2)*-44/12)+($K43*INDEX('DEFAULT DATA'!$UA$9:$UF$41,START!$C$3,3)*-44/12)+($K43*INDEX('DEFAULT DATA'!$UA$9:$UF$41,START!$C$3,4)*-44/12)+($L43*INDEX('DEFAULT DATA'!$UA$9:$UF$41,START!$C$3,5)*-44/12)+($M43*INDEX('DEFAULT DATA'!$UA$9:$UF$41,START!$C$3,6)*-44/12))</f>
        <v>0</v>
      </c>
    </row>
    <row r="44" spans="1:48" ht="20.100000000000001" customHeight="1" thickBot="1">
      <c r="A44" s="449"/>
      <c r="B44" s="383"/>
      <c r="C44" s="383"/>
      <c r="D44" s="383"/>
      <c r="E44" s="383"/>
      <c r="F44" s="383"/>
      <c r="G44" s="383"/>
      <c r="H44" s="383"/>
      <c r="I44" s="433"/>
      <c r="J44" s="273"/>
      <c r="K44" s="482">
        <f t="shared" si="37"/>
        <v>0</v>
      </c>
      <c r="L44" s="483">
        <f t="shared" si="38"/>
        <v>0</v>
      </c>
      <c r="M44" s="483">
        <f t="shared" si="39"/>
        <v>0</v>
      </c>
      <c r="N44" s="320">
        <f t="shared" si="41"/>
        <v>55</v>
      </c>
      <c r="O44" s="484" t="s">
        <v>824</v>
      </c>
      <c r="P44" s="485">
        <f t="shared" si="40"/>
        <v>2022</v>
      </c>
      <c r="Q44" s="440">
        <f>($K44*INDEX('DEFAULT DATA'!$MW$9:$VD$41,START!$C$3,($N44))*-44/12)+($K44*INDEX('DEFAULT DATA'!$MW$9:$VD$41,START!$C$3,($N44+1))*-44/12)+($K44*INDEX('DEFAULT DATA'!$MW$9:$VD$41,START!$C$3,($N44+2))*-44/12)+($K44*INDEX('DEFAULT DATA'!$MW$9:$VD$41,START!$C$3,($N44+3))*-44/12)+($L44*INDEX('DEFAULT DATA'!$MW$9:$VD$41,START!$C$3,($N44+4))*-44/12)+($M44*INDEX('DEFAULT DATA'!$MW$9:$VD$41,START!$C$3,($N44+5))*-44/12)</f>
        <v>0</v>
      </c>
      <c r="R44" s="440">
        <f>($K44*INDEX('DEFAULT DATA'!$MW$9:$VD$41,START!$C$3,($N44))*-44/12)+($K44*INDEX('DEFAULT DATA'!$MW$9:$VD$41,START!$C$3,($N44+1))*-44/12)+($K44*INDEX('DEFAULT DATA'!$MW$9:$VD$41,START!$C$3,($N44+2))*-44/12)+($K44*INDEX('DEFAULT DATA'!$MW$9:$VD$41,START!$C$3,($N44+3))*-44/12)+($L44*INDEX('DEFAULT DATA'!$MW$9:$VD$41,START!$C$3,($N44+4))*-44/12)+($M44*INDEX('DEFAULT DATA'!$MW$9:$VD$41,START!$C$3,($N44+5))*-44/12)</f>
        <v>0</v>
      </c>
      <c r="S44" s="440">
        <f>($K44*INDEX('DEFAULT DATA'!$MW$9:$VD$41,START!$C$3,($N44))*-44/12)+($K44*INDEX('DEFAULT DATA'!$MW$9:$VD$41,START!$C$3,($N44+1))*-44/12)+($K44*INDEX('DEFAULT DATA'!$MW$9:$VD$41,START!$C$3,($N44+2))*-44/12)+($K44*INDEX('DEFAULT DATA'!$MW$9:$VD$41,START!$C$3,($N44+3))*-44/12)+($L44*INDEX('DEFAULT DATA'!$MW$9:$VD$41,START!$C$3,($N44+4))*-44/12)+($M44*INDEX('DEFAULT DATA'!$MW$9:$VD$41,START!$C$3,($N44+5))*-44/12)</f>
        <v>0</v>
      </c>
      <c r="T44" s="440">
        <f>($K44*INDEX('DEFAULT DATA'!$MW$9:$VD$41,START!$C$3,($N44))*-44/12)+($K44*INDEX('DEFAULT DATA'!$MW$9:$VD$41,START!$C$3,($N44+1))*-44/12)+($K44*INDEX('DEFAULT DATA'!$MW$9:$VD$41,START!$C$3,($N44+2))*-44/12)+($K44*INDEX('DEFAULT DATA'!$MW$9:$VD$41,START!$C$3,($N44+3))*-44/12)+($L44*INDEX('DEFAULT DATA'!$MW$9:$VD$41,START!$C$3,($N44+4))*-44/12)+($M44*INDEX('DEFAULT DATA'!$MW$9:$VD$41,START!$C$3,($N44+5))*-44/12)</f>
        <v>0</v>
      </c>
      <c r="U44" s="440">
        <f>($K44*INDEX('DEFAULT DATA'!$MW$9:$VD$41,START!$C$3,($N44))*-44/12)+($K44*INDEX('DEFAULT DATA'!$MW$9:$VD$41,START!$C$3,($N44+1))*-44/12)+($K44*INDEX('DEFAULT DATA'!$MW$9:$VD$41,START!$C$3,($N44+2))*-44/12)+($K44*INDEX('DEFAULT DATA'!$MW$9:$VD$41,START!$C$3,($N44+3))*-44/12)+($L44*INDEX('DEFAULT DATA'!$MW$9:$VD$41,START!$C$3,($N44+4))*-44/12)+($M44*INDEX('DEFAULT DATA'!$MW$9:$VD$41,START!$C$3,($N44+5))*-44/12)</f>
        <v>0</v>
      </c>
      <c r="V44" s="440">
        <f>($K44*INDEX('DEFAULT DATA'!$MW$9:$VD$41,START!$C$3,($N44))*-44/12)+($K44*INDEX('DEFAULT DATA'!$MW$9:$VD$41,START!$C$3,($N44+1))*-44/12)+($K44*INDEX('DEFAULT DATA'!$MW$9:$VD$41,START!$C$3,($N44+2))*-44/12)+($K44*INDEX('DEFAULT DATA'!$MW$9:$VD$41,START!$C$3,($N44+3))*-44/12)+($L44*INDEX('DEFAULT DATA'!$MW$9:$VD$41,START!$C$3,($N44+4))*-44/12)+($M44*INDEX('DEFAULT DATA'!$MW$9:$VD$41,START!$C$3,($N44+5))*-44/12)</f>
        <v>0</v>
      </c>
      <c r="W44" s="440">
        <f>($K44*INDEX('DEFAULT DATA'!$MW$9:$VD$41,START!$C$3,($N44))*-44/12)+($K44*INDEX('DEFAULT DATA'!$MW$9:$VD$41,START!$C$3,($N44+1))*-44/12)+($K44*INDEX('DEFAULT DATA'!$MW$9:$VD$41,START!$C$3,($N44+2))*-44/12)+($K44*INDEX('DEFAULT DATA'!$MW$9:$VD$41,START!$C$3,($N44+3))*-44/12)+($L44*INDEX('DEFAULT DATA'!$MW$9:$VD$41,START!$C$3,($N44+4))*-44/12)+($M44*INDEX('DEFAULT DATA'!$MW$9:$VD$41,START!$C$3,($N44+5))*-44/12)</f>
        <v>0</v>
      </c>
      <c r="X44" s="440">
        <f>($K44*INDEX('DEFAULT DATA'!$MW$9:$VD$41,START!$C$3,($N44))*-44/12)+($K44*INDEX('DEFAULT DATA'!$MW$9:$VD$41,START!$C$3,($N44+1))*-44/12)+($K44*INDEX('DEFAULT DATA'!$MW$9:$VD$41,START!$C$3,($N44+2))*-44/12)+($K44*INDEX('DEFAULT DATA'!$MW$9:$VD$41,START!$C$3,($N44+3))*-44/12)+($L44*INDEX('DEFAULT DATA'!$MW$9:$VD$41,START!$C$3,($N44+4))*-44/12)+($M44*INDEX('DEFAULT DATA'!$MW$9:$VD$41,START!$C$3,($N44+5))*-44/12)</f>
        <v>0</v>
      </c>
      <c r="Y44" s="440">
        <f>($K44*INDEX('DEFAULT DATA'!$MW$9:$VD$41,START!$C$3,($N44))*-44/12)+($K44*INDEX('DEFAULT DATA'!$MW$9:$VD$41,START!$C$3,($N44+1))*-44/12)+($K44*INDEX('DEFAULT DATA'!$MW$9:$VD$41,START!$C$3,($N44+2))*-44/12)+($K44*INDEX('DEFAULT DATA'!$MW$9:$VD$41,START!$C$3,($N44+3))*-44/12)+($L44*INDEX('DEFAULT DATA'!$MW$9:$VD$41,START!$C$3,($N44+4))*-44/12)+($M44*INDEX('DEFAULT DATA'!$MW$9:$VD$41,START!$C$3,($N44+5))*-44/12)</f>
        <v>0</v>
      </c>
      <c r="Z44" s="440">
        <f>($K44*INDEX('DEFAULT DATA'!$MW$9:$VD$41,START!$C$3,($N44))*-44/12)+($K44*INDEX('DEFAULT DATA'!$MW$9:$VD$41,START!$C$3,($N44+1))*-44/12)+($K44*INDEX('DEFAULT DATA'!$MW$9:$VD$41,START!$C$3,($N44+2))*-44/12)+($K44*INDEX('DEFAULT DATA'!$MW$9:$VD$41,START!$C$3,($N44+3))*-44/12)+($L44*INDEX('DEFAULT DATA'!$MW$9:$VD$41,START!$C$3,($N44+4))*-44/12)+($M44*INDEX('DEFAULT DATA'!$MW$9:$VD$41,START!$C$3,($N44+5))*-44/12)</f>
        <v>0</v>
      </c>
      <c r="AA44" s="440">
        <f>($K44*INDEX('DEFAULT DATA'!$MW$9:$VD$41,START!$C$3,($N44))*-44/12)+($K44*INDEX('DEFAULT DATA'!$MW$9:$VD$41,START!$C$3,($N44+1))*-44/12)+($K44*INDEX('DEFAULT DATA'!$MW$9:$VD$41,START!$C$3,($N44+2))*-44/12)+($K44*INDEX('DEFAULT DATA'!$MW$9:$VD$41,START!$C$3,($N44+3))*-44/12)+($L44*INDEX('DEFAULT DATA'!$MW$9:$VD$41,START!$C$3,($N44+4))*-44/12)+($M44*INDEX('DEFAULT DATA'!$MW$9:$VD$41,START!$C$3,($N44+5))*-44/12)</f>
        <v>0</v>
      </c>
      <c r="AB44" s="440">
        <f>($K44*INDEX('DEFAULT DATA'!$MW$9:$VD$41,START!$C$3,($N44))*-44/12)+($K44*INDEX('DEFAULT DATA'!$MW$9:$VD$41,START!$C$3,($N44+1))*-44/12)+($K44*INDEX('DEFAULT DATA'!$MW$9:$VD$41,START!$C$3,($N44+2))*-44/12)+($K44*INDEX('DEFAULT DATA'!$MW$9:$VD$41,START!$C$3,($N44+3))*-44/12)+($L44*INDEX('DEFAULT DATA'!$MW$9:$VD$41,START!$C$3,($N44+4))*-44/12)+($M44*INDEX('DEFAULT DATA'!$MW$9:$VD$41,START!$C$3,($N44+5))*-44/12)</f>
        <v>0</v>
      </c>
      <c r="AC44" s="440">
        <f>($K44*INDEX('DEFAULT DATA'!$MW$9:$VD$41,START!$C$3,($N44))*-44/12)+($K44*INDEX('DEFAULT DATA'!$MW$9:$VD$41,START!$C$3,($N44+1))*-44/12)+($K44*INDEX('DEFAULT DATA'!$MW$9:$VD$41,START!$C$3,($N44+2))*-44/12)+($K44*INDEX('DEFAULT DATA'!$MW$9:$VD$41,START!$C$3,($N44+3))*-44/12)+($L44*INDEX('DEFAULT DATA'!$MW$9:$VD$41,START!$C$3,($N44+4))*-44/12)+($M44*INDEX('DEFAULT DATA'!$MW$9:$VD$41,START!$C$3,($N44+5))*-44/12)</f>
        <v>0</v>
      </c>
      <c r="AD44" s="440">
        <f>($K44*INDEX('DEFAULT DATA'!$MW$9:$VD$41,START!$C$3,($N44))*-44/12)+($K44*INDEX('DEFAULT DATA'!$MW$9:$VD$41,START!$C$3,($N44+1))*-44/12)+($K44*INDEX('DEFAULT DATA'!$MW$9:$VD$41,START!$C$3,($N44+2))*-44/12)+($K44*INDEX('DEFAULT DATA'!$MW$9:$VD$41,START!$C$3,($N44+3))*-44/12)+($L44*INDEX('DEFAULT DATA'!$MW$9:$VD$41,START!$C$3,($N44+4))*-44/12)+($M44*INDEX('DEFAULT DATA'!$MW$9:$VD$41,START!$C$3,($N44+5))*-44/12)</f>
        <v>0</v>
      </c>
      <c r="AE44" s="440">
        <f>($K44*INDEX('DEFAULT DATA'!$MW$9:$VD$41,START!$C$3,($N44))*-44/12)+($K44*INDEX('DEFAULT DATA'!$MW$9:$VD$41,START!$C$3,($N44+1))*-44/12)+($K44*INDEX('DEFAULT DATA'!$MW$9:$VD$41,START!$C$3,($N44+2))*-44/12)+($K44*INDEX('DEFAULT DATA'!$MW$9:$VD$41,START!$C$3,($N44+3))*-44/12)+($L44*INDEX('DEFAULT DATA'!$MW$9:$VD$41,START!$C$3,($N44+4))*-44/12)+($M44*INDEX('DEFAULT DATA'!$MW$9:$VD$41,START!$C$3,($N44+5))*-44/12)</f>
        <v>0</v>
      </c>
      <c r="AF44" s="440">
        <f>($K44*INDEX('DEFAULT DATA'!$MW$9:$VD$41,START!$C$3,($N44))*-44/12)+($K44*INDEX('DEFAULT DATA'!$MW$9:$VD$41,START!$C$3,($N44+1))*-44/12)+($K44*INDEX('DEFAULT DATA'!$MW$9:$VD$41,START!$C$3,($N44+2))*-44/12)+($K44*INDEX('DEFAULT DATA'!$MW$9:$VD$41,START!$C$3,($N44+3))*-44/12)+($L44*INDEX('DEFAULT DATA'!$MW$9:$VD$41,START!$C$3,($N44+4))*-44/12)+($M44*INDEX('DEFAULT DATA'!$MW$9:$VD$41,START!$C$3,($N44+5))*-44/12)</f>
        <v>0</v>
      </c>
      <c r="AG44" s="440">
        <f>($K44*INDEX('DEFAULT DATA'!$MW$9:$VD$41,START!$C$3,($N44))*-44/12)+($K44*INDEX('DEFAULT DATA'!$MW$9:$VD$41,START!$C$3,($N44+1))*-44/12)+($K44*INDEX('DEFAULT DATA'!$MW$9:$VD$41,START!$C$3,($N44+2))*-44/12)+($K44*INDEX('DEFAULT DATA'!$MW$9:$VD$41,START!$C$3,($N44+3))*-44/12)+($L44*INDEX('DEFAULT DATA'!$MW$9:$VD$41,START!$C$3,($N44+4))*-44/12)+($M44*INDEX('DEFAULT DATA'!$MW$9:$VD$41,START!$C$3,($N44+5))*-44/12)</f>
        <v>0</v>
      </c>
      <c r="AH44" s="440">
        <f>($K44*INDEX('DEFAULT DATA'!$MW$9:$VD$41,START!$C$3,($N44))*-44/12)+($K44*INDEX('DEFAULT DATA'!$MW$9:$VD$41,START!$C$3,($N44+1))*-44/12)+($K44*INDEX('DEFAULT DATA'!$MW$9:$VD$41,START!$C$3,($N44+2))*-44/12)+($K44*INDEX('DEFAULT DATA'!$MW$9:$VD$41,START!$C$3,($N44+3))*-44/12)+($L44*INDEX('DEFAULT DATA'!$MW$9:$VD$41,START!$C$3,($N44+4))*-44/12)+($M44*INDEX('DEFAULT DATA'!$MW$9:$VD$41,START!$C$3,($N44+5))*-44/12)</f>
        <v>0</v>
      </c>
      <c r="AI44" s="440">
        <f>($K44*INDEX('DEFAULT DATA'!$MW$9:$VD$41,START!$C$3,($N44))*-44/12)+($K44*INDEX('DEFAULT DATA'!$MW$9:$VD$41,START!$C$3,($N44+1))*-44/12)+($K44*INDEX('DEFAULT DATA'!$MW$9:$VD$41,START!$C$3,($N44+2))*-44/12)+($K44*INDEX('DEFAULT DATA'!$MW$9:$VD$41,START!$C$3,($N44+3))*-44/12)+($L44*INDEX('DEFAULT DATA'!$MW$9:$VD$41,START!$C$3,($N44+4))*-44/12)+($M44*INDEX('DEFAULT DATA'!$MW$9:$VD$41,START!$C$3,($N44+5))*-44/12)</f>
        <v>0</v>
      </c>
      <c r="AJ44" s="440">
        <f>($K44*INDEX('DEFAULT DATA'!$MW$9:$VD$41,START!$C$3,($N44))*-44/12)+($K44*INDEX('DEFAULT DATA'!$MW$9:$VD$41,START!$C$3,($N44+1))*-44/12)+($K44*INDEX('DEFAULT DATA'!$MW$9:$VD$41,START!$C$3,($N44+2))*-44/12)+($K44*INDEX('DEFAULT DATA'!$MW$9:$VD$41,START!$C$3,($N44+3))*-44/12)+($L44*INDEX('DEFAULT DATA'!$MW$9:$VD$41,START!$C$3,($N44+4))*-44/12)+($M44*INDEX('DEFAULT DATA'!$MW$9:$VD$41,START!$C$3,($N44+5))*-44/12)</f>
        <v>0</v>
      </c>
      <c r="AK44" s="440">
        <f>(($K44*INDEX('DEFAULT DATA'!$UA$9:$UF$41,START!$C$3,1)*-44/12)+($K44*INDEX('DEFAULT DATA'!$UA$9:$UF$41,START!$C$3,2)*-44/12)+($K44*INDEX('DEFAULT DATA'!$UA$9:$UF$41,START!$C$3,3)*-44/12)+($K44*INDEX('DEFAULT DATA'!$UA$9:$UF$41,START!$C$3,4)*-44/12)+($L44*INDEX('DEFAULT DATA'!$UA$9:$UF$41,START!$C$3,5)*-44/12)+($M44*INDEX('DEFAULT DATA'!$UA$9:$UF$41,START!$C$3,6)*-44/12))</f>
        <v>0</v>
      </c>
      <c r="AL44" s="440">
        <f>(($K44*INDEX('DEFAULT DATA'!$UA$9:$UF$41,START!$C$3,1)*-44/12)+($K44*INDEX('DEFAULT DATA'!$UA$9:$UF$41,START!$C$3,2)*-44/12)+($K44*INDEX('DEFAULT DATA'!$UA$9:$UF$41,START!$C$3,3)*-44/12)+($K44*INDEX('DEFAULT DATA'!$UA$9:$UF$41,START!$C$3,4)*-44/12)+($L44*INDEX('DEFAULT DATA'!$UA$9:$UF$41,START!$C$3,5)*-44/12)+($M44*INDEX('DEFAULT DATA'!$UA$9:$UF$41,START!$C$3,6)*-44/12))</f>
        <v>0</v>
      </c>
      <c r="AM44" s="440">
        <f>(($K44*INDEX('DEFAULT DATA'!$UA$9:$UF$41,START!$C$3,1)*-44/12)+($K44*INDEX('DEFAULT DATA'!$UA$9:$UF$41,START!$C$3,2)*-44/12)+($K44*INDEX('DEFAULT DATA'!$UA$9:$UF$41,START!$C$3,3)*-44/12)+($K44*INDEX('DEFAULT DATA'!$UA$9:$UF$41,START!$C$3,4)*-44/12)+($L44*INDEX('DEFAULT DATA'!$UA$9:$UF$41,START!$C$3,5)*-44/12)+($M44*INDEX('DEFAULT DATA'!$UA$9:$UF$41,START!$C$3,6)*-44/12))</f>
        <v>0</v>
      </c>
      <c r="AN44" s="440">
        <f>(($K44*INDEX('DEFAULT DATA'!$UA$9:$UF$41,START!$C$3,1)*-44/12)+($K44*INDEX('DEFAULT DATA'!$UA$9:$UF$41,START!$C$3,2)*-44/12)+($K44*INDEX('DEFAULT DATA'!$UA$9:$UF$41,START!$C$3,3)*-44/12)+($K44*INDEX('DEFAULT DATA'!$UA$9:$UF$41,START!$C$3,4)*-44/12)+($L44*INDEX('DEFAULT DATA'!$UA$9:$UF$41,START!$C$3,5)*-44/12)+($M44*INDEX('DEFAULT DATA'!$UA$9:$UF$41,START!$C$3,6)*-44/12))</f>
        <v>0</v>
      </c>
      <c r="AO44" s="440">
        <f>(($K44*INDEX('DEFAULT DATA'!$UA$9:$UF$41,START!$C$3,1)*-44/12)+($K44*INDEX('DEFAULT DATA'!$UA$9:$UF$41,START!$C$3,2)*-44/12)+($K44*INDEX('DEFAULT DATA'!$UA$9:$UF$41,START!$C$3,3)*-44/12)+($K44*INDEX('DEFAULT DATA'!$UA$9:$UF$41,START!$C$3,4)*-44/12)+($L44*INDEX('DEFAULT DATA'!$UA$9:$UF$41,START!$C$3,5)*-44/12)+($M44*INDEX('DEFAULT DATA'!$UA$9:$UF$41,START!$C$3,6)*-44/12))</f>
        <v>0</v>
      </c>
      <c r="AP44" s="440">
        <f>(($K44*INDEX('DEFAULT DATA'!$UA$9:$UF$41,START!$C$3,1)*-44/12)+($K44*INDEX('DEFAULT DATA'!$UA$9:$UF$41,START!$C$3,2)*-44/12)+($K44*INDEX('DEFAULT DATA'!$UA$9:$UF$41,START!$C$3,3)*-44/12)+($K44*INDEX('DEFAULT DATA'!$UA$9:$UF$41,START!$C$3,4)*-44/12)+($L44*INDEX('DEFAULT DATA'!$UA$9:$UF$41,START!$C$3,5)*-44/12)+($M44*INDEX('DEFAULT DATA'!$UA$9:$UF$41,START!$C$3,6)*-44/12))</f>
        <v>0</v>
      </c>
      <c r="AQ44" s="440">
        <f>(($K44*INDEX('DEFAULT DATA'!$UA$9:$UF$41,START!$C$3,1)*-44/12)+($K44*INDEX('DEFAULT DATA'!$UA$9:$UF$41,START!$C$3,2)*-44/12)+($K44*INDEX('DEFAULT DATA'!$UA$9:$UF$41,START!$C$3,3)*-44/12)+($K44*INDEX('DEFAULT DATA'!$UA$9:$UF$41,START!$C$3,4)*-44/12)+($L44*INDEX('DEFAULT DATA'!$UA$9:$UF$41,START!$C$3,5)*-44/12)+($M44*INDEX('DEFAULT DATA'!$UA$9:$UF$41,START!$C$3,6)*-44/12))</f>
        <v>0</v>
      </c>
      <c r="AR44" s="440">
        <f>(($K44*INDEX('DEFAULT DATA'!$UA$9:$UF$41,START!$C$3,1)*-44/12)+($K44*INDEX('DEFAULT DATA'!$UA$9:$UF$41,START!$C$3,2)*-44/12)+($K44*INDEX('DEFAULT DATA'!$UA$9:$UF$41,START!$C$3,3)*-44/12)+($K44*INDEX('DEFAULT DATA'!$UA$9:$UF$41,START!$C$3,4)*-44/12)+($L44*INDEX('DEFAULT DATA'!$UA$9:$UF$41,START!$C$3,5)*-44/12)+($M44*INDEX('DEFAULT DATA'!$UA$9:$UF$41,START!$C$3,6)*-44/12))</f>
        <v>0</v>
      </c>
      <c r="AS44" s="440">
        <f>(($K44*INDEX('DEFAULT DATA'!$UA$9:$UF$41,START!$C$3,1)*-44/12)+($K44*INDEX('DEFAULT DATA'!$UA$9:$UF$41,START!$C$3,2)*-44/12)+($K44*INDEX('DEFAULT DATA'!$UA$9:$UF$41,START!$C$3,3)*-44/12)+($K44*INDEX('DEFAULT DATA'!$UA$9:$UF$41,START!$C$3,4)*-44/12)+($L44*INDEX('DEFAULT DATA'!$UA$9:$UF$41,START!$C$3,5)*-44/12)+($M44*INDEX('DEFAULT DATA'!$UA$9:$UF$41,START!$C$3,6)*-44/12))</f>
        <v>0</v>
      </c>
      <c r="AT44" s="450">
        <f>(($K44*INDEX('DEFAULT DATA'!$UA$9:$UF$41,START!$C$3,1)*-44/12)+($K44*INDEX('DEFAULT DATA'!$UA$9:$UF$41,START!$C$3,2)*-44/12)+($K44*INDEX('DEFAULT DATA'!$UA$9:$UF$41,START!$C$3,3)*-44/12)+($K44*INDEX('DEFAULT DATA'!$UA$9:$UF$41,START!$C$3,4)*-44/12)+($L44*INDEX('DEFAULT DATA'!$UA$9:$UF$41,START!$C$3,5)*-44/12)+($M44*INDEX('DEFAULT DATA'!$UA$9:$UF$41,START!$C$3,6)*-44/12))</f>
        <v>0</v>
      </c>
    </row>
    <row r="45" spans="1:48" ht="20.100000000000001" customHeight="1">
      <c r="A45" s="421"/>
      <c r="B45" s="454"/>
      <c r="C45" s="452"/>
      <c r="D45" s="452"/>
      <c r="E45" s="454"/>
      <c r="F45" s="1461" t="s">
        <v>947</v>
      </c>
      <c r="G45" s="1461"/>
      <c r="H45" s="452" t="s">
        <v>955</v>
      </c>
      <c r="I45" s="453"/>
      <c r="J45" s="454"/>
      <c r="K45" s="475">
        <f t="shared" si="37"/>
        <v>0</v>
      </c>
      <c r="L45" s="375">
        <f t="shared" si="38"/>
        <v>0</v>
      </c>
      <c r="M45" s="375">
        <f t="shared" si="39"/>
        <v>0</v>
      </c>
      <c r="N45" s="317">
        <f t="shared" si="41"/>
        <v>61</v>
      </c>
      <c r="O45" s="476" t="s">
        <v>825</v>
      </c>
      <c r="P45" s="477">
        <f t="shared" si="40"/>
        <v>2022</v>
      </c>
      <c r="Q45" s="370">
        <f>($K45*INDEX('DEFAULT DATA'!$MW$9:$VD$41,START!$C$3,($N45))*-44/12)+($K45*INDEX('DEFAULT DATA'!$MW$9:$VD$41,START!$C$3,($N45+1))*-44/12)+($K45*INDEX('DEFAULT DATA'!$MW$9:$VD$41,START!$C$3,($N45+2))*-44/12)+($K45*INDEX('DEFAULT DATA'!$MW$9:$VD$41,START!$C$3,($N45+3))*-44/12)+($L45*INDEX('DEFAULT DATA'!$MW$9:$VD$41,START!$C$3,($N45+4))*-44/12)+($M45*INDEX('DEFAULT DATA'!$MW$9:$VD$41,START!$C$3,($N45+5))*-44/12)</f>
        <v>0</v>
      </c>
      <c r="R45" s="370">
        <f>($L45*INDEX('DEFAULT DATA'!$MW$9:$VD$41,START!$C$3,($N45+4))*-44/12)+($M45*INDEX('DEFAULT DATA'!$MW$9:$VD$41,START!$C$3,($N45+5))*-44/12)</f>
        <v>0</v>
      </c>
      <c r="S45" s="370">
        <f>($L45*INDEX('DEFAULT DATA'!$MW$9:$VD$41,START!$C$3,($N45+4))*-44/12)+($M45*INDEX('DEFAULT DATA'!$MW$9:$VD$41,START!$C$3,($N45+5))*-44/12)</f>
        <v>0</v>
      </c>
      <c r="T45" s="370">
        <f>($L45*INDEX('DEFAULT DATA'!$MW$9:$VD$41,START!$C$3,($N45+4))*-44/12)+($M45*INDEX('DEFAULT DATA'!$MW$9:$VD$41,START!$C$3,($N45+5))*-44/12)</f>
        <v>0</v>
      </c>
      <c r="U45" s="370">
        <f>($L45*INDEX('DEFAULT DATA'!$MW$9:$VD$41,START!$C$3,($N45+4))*-44/12)+($M45*INDEX('DEFAULT DATA'!$MW$9:$VD$41,START!$C$3,($N45+5))*-44/12)</f>
        <v>0</v>
      </c>
      <c r="V45" s="370">
        <f>($L45*INDEX('DEFAULT DATA'!$MW$9:$VD$41,START!$C$3,($N45+4))*-44/12)+($M45*INDEX('DEFAULT DATA'!$MW$9:$VD$41,START!$C$3,($N45+5))*-44/12)</f>
        <v>0</v>
      </c>
      <c r="W45" s="370">
        <f>($L45*INDEX('DEFAULT DATA'!$MW$9:$VD$41,START!$C$3,($N45+4))*-44/12)+($M45*INDEX('DEFAULT DATA'!$MW$9:$VD$41,START!$C$3,($N45+5))*-44/12)</f>
        <v>0</v>
      </c>
      <c r="X45" s="370">
        <f>($L45*INDEX('DEFAULT DATA'!$MW$9:$VD$41,START!$C$3,($N45+4))*-44/12)+($M45*INDEX('DEFAULT DATA'!$MW$9:$VD$41,START!$C$3,($N45+5))*-44/12)</f>
        <v>0</v>
      </c>
      <c r="Y45" s="370">
        <f>($L45*INDEX('DEFAULT DATA'!$MW$9:$VD$41,START!$C$3,($N45+4))*-44/12)+($M45*INDEX('DEFAULT DATA'!$MW$9:$VD$41,START!$C$3,($N45+5))*-44/12)</f>
        <v>0</v>
      </c>
      <c r="Z45" s="370">
        <f>($L45*INDEX('DEFAULT DATA'!$MW$9:$VD$41,START!$C$3,($N45+4))*-44/12)+($M45*INDEX('DEFAULT DATA'!$MW$9:$VD$41,START!$C$3,($N45+5))*-44/12)</f>
        <v>0</v>
      </c>
      <c r="AA45" s="370">
        <f>($L45*INDEX('DEFAULT DATA'!$MW$9:$VD$41,START!$C$3,($N45+4))*-44/12)+($M45*INDEX('DEFAULT DATA'!$MW$9:$VD$41,START!$C$3,($N45+5))*-44/12)</f>
        <v>0</v>
      </c>
      <c r="AB45" s="370">
        <f>($L45*INDEX('DEFAULT DATA'!$MW$9:$VD$41,START!$C$3,($N45+4))*-44/12)+($M45*INDEX('DEFAULT DATA'!$MW$9:$VD$41,START!$C$3,($N45+5))*-44/12)</f>
        <v>0</v>
      </c>
      <c r="AC45" s="370">
        <f>($L45*INDEX('DEFAULT DATA'!$MW$9:$VD$41,START!$C$3,($N45+4))*-44/12)+($M45*INDEX('DEFAULT DATA'!$MW$9:$VD$41,START!$C$3,($N45+5))*-44/12)</f>
        <v>0</v>
      </c>
      <c r="AD45" s="370">
        <f>($L45*INDEX('DEFAULT DATA'!$MW$9:$VD$41,START!$C$3,($N45+4))*-44/12)+($M45*INDEX('DEFAULT DATA'!$MW$9:$VD$41,START!$C$3,($N45+5))*-44/12)</f>
        <v>0</v>
      </c>
      <c r="AE45" s="370">
        <f>($L45*INDEX('DEFAULT DATA'!$MW$9:$VD$41,START!$C$3,($N45+4))*-44/12)+($M45*INDEX('DEFAULT DATA'!$MW$9:$VD$41,START!$C$3,($N45+5))*-44/12)</f>
        <v>0</v>
      </c>
      <c r="AF45" s="370">
        <f>($L45*INDEX('DEFAULT DATA'!$MW$9:$VD$41,START!$C$3,($N45+4))*-44/12)+($M45*INDEX('DEFAULT DATA'!$MW$9:$VD$41,START!$C$3,($N45+5))*-44/12)</f>
        <v>0</v>
      </c>
      <c r="AG45" s="370">
        <f>($L45*INDEX('DEFAULT DATA'!$MW$9:$VD$41,START!$C$3,($N45+4))*-44/12)+($M45*INDEX('DEFAULT DATA'!$MW$9:$VD$41,START!$C$3,($N45+5))*-44/12)</f>
        <v>0</v>
      </c>
      <c r="AH45" s="370">
        <f>($L45*INDEX('DEFAULT DATA'!$MW$9:$VD$41,START!$C$3,($N45+4))*-44/12)+($M45*INDEX('DEFAULT DATA'!$MW$9:$VD$41,START!$C$3,($N45+5))*-44/12)</f>
        <v>0</v>
      </c>
      <c r="AI45" s="370">
        <f>($L45*INDEX('DEFAULT DATA'!$MW$9:$VD$41,START!$C$3,($N45+4))*-44/12)+($M45*INDEX('DEFAULT DATA'!$MW$9:$VD$41,START!$C$3,($N45+5))*-44/12)</f>
        <v>0</v>
      </c>
      <c r="AJ45" s="370">
        <f>($L45*INDEX('DEFAULT DATA'!$MW$9:$VD$41,START!$C$3,($N45+4))*-44/12)+($M45*INDEX('DEFAULT DATA'!$MW$9:$VD$41,START!$C$3,($N45+5))*-44/12)</f>
        <v>0</v>
      </c>
      <c r="AK45" s="370">
        <f>(($K45*INDEX('DEFAULT DATA'!$UG$9:$UL$41,START!$C$3,1)*-44/12)+($K45*INDEX('DEFAULT DATA'!$UG$9:$UL$41,START!$C$3,2)*-44/12)+($K45*INDEX('DEFAULT DATA'!$UG$9:$UL$41,START!$C$3,3)*-44/12)+($K45*INDEX('DEFAULT DATA'!$UG$9:$UL$41,START!$C$3,4)*-44/12)+($L45*INDEX('DEFAULT DATA'!$UG$9:$UL$41,START!$C$3,5)*-44/12)+($M45*INDEX('DEFAULT DATA'!$UG$9:$UL$41,START!$C$3,6)*-44/12))</f>
        <v>0</v>
      </c>
      <c r="AL45" s="370">
        <f>(($K45*INDEX('DEFAULT DATA'!$UG$9:$UL$41,START!$C$3,1)*-44/12)+($K45*INDEX('DEFAULT DATA'!$UG$9:$UL$41,START!$C$3,2)*-44/12)+($K45*INDEX('DEFAULT DATA'!$UG$9:$UL$41,START!$C$3,3)*-44/12)+($K45*INDEX('DEFAULT DATA'!$UG$9:$UL$41,START!$C$3,4)*-44/12)+($L45*INDEX('DEFAULT DATA'!$UG$9:$UL$41,START!$C$3,5)*-44/12)+($M45*INDEX('DEFAULT DATA'!$UG$9:$UL$41,START!$C$3,6)*-44/12))</f>
        <v>0</v>
      </c>
      <c r="AM45" s="370">
        <f>(($K45*INDEX('DEFAULT DATA'!$UG$9:$UL$41,START!$C$3,1)*-44/12)+($K45*INDEX('DEFAULT DATA'!$UG$9:$UL$41,START!$C$3,2)*-44/12)+($K45*INDEX('DEFAULT DATA'!$UG$9:$UL$41,START!$C$3,3)*-44/12)+($K45*INDEX('DEFAULT DATA'!$UG$9:$UL$41,START!$C$3,4)*-44/12)+($L45*INDEX('DEFAULT DATA'!$UG$9:$UL$41,START!$C$3,5)*-44/12)+($M45*INDEX('DEFAULT DATA'!$UG$9:$UL$41,START!$C$3,6)*-44/12))</f>
        <v>0</v>
      </c>
      <c r="AN45" s="370">
        <f>(($K45*INDEX('DEFAULT DATA'!$UG$9:$UL$41,START!$C$3,1)*-44/12)+($K45*INDEX('DEFAULT DATA'!$UG$9:$UL$41,START!$C$3,2)*-44/12)+($K45*INDEX('DEFAULT DATA'!$UG$9:$UL$41,START!$C$3,3)*-44/12)+($K45*INDEX('DEFAULT DATA'!$UG$9:$UL$41,START!$C$3,4)*-44/12)+($L45*INDEX('DEFAULT DATA'!$UG$9:$UL$41,START!$C$3,5)*-44/12)+($M45*INDEX('DEFAULT DATA'!$UG$9:$UL$41,START!$C$3,6)*-44/12))</f>
        <v>0</v>
      </c>
      <c r="AO45" s="370">
        <f>(($K45*INDEX('DEFAULT DATA'!$UG$9:$UL$41,START!$C$3,1)*-44/12)+($K45*INDEX('DEFAULT DATA'!$UG$9:$UL$41,START!$C$3,2)*-44/12)+($K45*INDEX('DEFAULT DATA'!$UG$9:$UL$41,START!$C$3,3)*-44/12)+($K45*INDEX('DEFAULT DATA'!$UG$9:$UL$41,START!$C$3,4)*-44/12)+($L45*INDEX('DEFAULT DATA'!$UG$9:$UL$41,START!$C$3,5)*-44/12)+($M45*INDEX('DEFAULT DATA'!$UG$9:$UL$41,START!$C$3,6)*-44/12))</f>
        <v>0</v>
      </c>
      <c r="AP45" s="370">
        <f>(($K45*INDEX('DEFAULT DATA'!$UG$9:$UL$41,START!$C$3,1)*-44/12)+($K45*INDEX('DEFAULT DATA'!$UG$9:$UL$41,START!$C$3,2)*-44/12)+($K45*INDEX('DEFAULT DATA'!$UG$9:$UL$41,START!$C$3,3)*-44/12)+($K45*INDEX('DEFAULT DATA'!$UG$9:$UL$41,START!$C$3,4)*-44/12)+($L45*INDEX('DEFAULT DATA'!$UG$9:$UL$41,START!$C$3,5)*-44/12)+($M45*INDEX('DEFAULT DATA'!$UG$9:$UL$41,START!$C$3,6)*-44/12))</f>
        <v>0</v>
      </c>
      <c r="AQ45" s="370">
        <f>(($K45*INDEX('DEFAULT DATA'!$UG$9:$UL$41,START!$C$3,1)*-44/12)+($K45*INDEX('DEFAULT DATA'!$UG$9:$UL$41,START!$C$3,2)*-44/12)+($K45*INDEX('DEFAULT DATA'!$UG$9:$UL$41,START!$C$3,3)*-44/12)+($K45*INDEX('DEFAULT DATA'!$UG$9:$UL$41,START!$C$3,4)*-44/12)+($L45*INDEX('DEFAULT DATA'!$UG$9:$UL$41,START!$C$3,5)*-44/12)+($M45*INDEX('DEFAULT DATA'!$UG$9:$UL$41,START!$C$3,6)*-44/12))</f>
        <v>0</v>
      </c>
      <c r="AR45" s="370">
        <f>(($K45*INDEX('DEFAULT DATA'!$UG$9:$UL$41,START!$C$3,1)*-44/12)+($K45*INDEX('DEFAULT DATA'!$UG$9:$UL$41,START!$C$3,2)*-44/12)+($K45*INDEX('DEFAULT DATA'!$UG$9:$UL$41,START!$C$3,3)*-44/12)+($K45*INDEX('DEFAULT DATA'!$UG$9:$UL$41,START!$C$3,4)*-44/12)+($L45*INDEX('DEFAULT DATA'!$UG$9:$UL$41,START!$C$3,5)*-44/12)+($M45*INDEX('DEFAULT DATA'!$UG$9:$UL$41,START!$C$3,6)*-44/12))</f>
        <v>0</v>
      </c>
      <c r="AS45" s="370">
        <f>(($K45*INDEX('DEFAULT DATA'!$UG$9:$UL$41,START!$C$3,1)*-44/12)+($K45*INDEX('DEFAULT DATA'!$UG$9:$UL$41,START!$C$3,2)*-44/12)+($K45*INDEX('DEFAULT DATA'!$UG$9:$UL$41,START!$C$3,3)*-44/12)+($K45*INDEX('DEFAULT DATA'!$UG$9:$UL$41,START!$C$3,4)*-44/12)+($L45*INDEX('DEFAULT DATA'!$UG$9:$UL$41,START!$C$3,5)*-44/12)+($M45*INDEX('DEFAULT DATA'!$UG$9:$UL$41,START!$C$3,6)*-44/12))</f>
        <v>0</v>
      </c>
      <c r="AT45" s="371">
        <f>(($K45*INDEX('DEFAULT DATA'!$UG$9:$UL$41,START!$C$3,1)*-44/12)+($K45*INDEX('DEFAULT DATA'!$UG$9:$UL$41,START!$C$3,2)*-44/12)+($K45*INDEX('DEFAULT DATA'!$UG$9:$UL$41,START!$C$3,3)*-44/12)+($K45*INDEX('DEFAULT DATA'!$UG$9:$UL$41,START!$C$3,4)*-44/12)+($L45*INDEX('DEFAULT DATA'!$UG$9:$UL$41,START!$C$3,5)*-44/12)+($M45*INDEX('DEFAULT DATA'!$UG$9:$UL$41,START!$C$3,6)*-44/12))</f>
        <v>0</v>
      </c>
    </row>
    <row r="46" spans="1:48" ht="20.100000000000001" customHeight="1" thickBot="1">
      <c r="A46" s="1352"/>
      <c r="B46" s="1353" t="s">
        <v>945</v>
      </c>
      <c r="C46" s="455"/>
      <c r="D46" s="455"/>
      <c r="E46" s="1354" t="s">
        <v>946</v>
      </c>
      <c r="F46" s="456" t="s">
        <v>888</v>
      </c>
      <c r="G46" s="457" t="s">
        <v>889</v>
      </c>
      <c r="H46" s="455" t="s">
        <v>956</v>
      </c>
      <c r="I46" s="458"/>
      <c r="J46" s="454"/>
      <c r="K46" s="478">
        <f t="shared" si="37"/>
        <v>0</v>
      </c>
      <c r="L46" s="479">
        <f t="shared" si="38"/>
        <v>0</v>
      </c>
      <c r="M46" s="479">
        <f t="shared" si="39"/>
        <v>0</v>
      </c>
      <c r="N46" s="220">
        <f t="shared" si="41"/>
        <v>67</v>
      </c>
      <c r="O46" s="480" t="s">
        <v>826</v>
      </c>
      <c r="P46" s="481">
        <f t="shared" si="40"/>
        <v>2022</v>
      </c>
      <c r="Q46" s="216">
        <f>($K46*INDEX('DEFAULT DATA'!$MW$9:$VD$41,START!$C$3,($N46))*-44/12)+($K46*INDEX('DEFAULT DATA'!$MW$9:$VD$41,START!$C$3,($N46+1))*-44/12)+($K46*INDEX('DEFAULT DATA'!$MW$9:$VD$41,START!$C$3,($N46+2))*-44/12)+($K46*INDEX('DEFAULT DATA'!$MW$9:$VD$41,START!$C$3,($N46+3))*-44/12)+($L46*INDEX('DEFAULT DATA'!$MW$9:$VD$41,START!$C$3,($N46+4))*-44/12)+($M46*INDEX('DEFAULT DATA'!$MW$9:$VD$41,START!$C$3,($N46+5))*-44/12)</f>
        <v>0</v>
      </c>
      <c r="R46" s="216">
        <f>($K46*INDEX('DEFAULT DATA'!$MW$9:$VD$41,START!$C$3,($N46))*-44/12)+($K46*INDEX('DEFAULT DATA'!$MW$9:$VD$41,START!$C$3,($N46+1))*-44/12)+($K46*INDEX('DEFAULT DATA'!$MW$9:$VD$41,START!$C$3,($N46+2))*-44/12)+($K46*INDEX('DEFAULT DATA'!$MW$9:$VD$41,START!$C$3,($N46+3))*-44/12)+($L46*INDEX('DEFAULT DATA'!$MW$9:$VD$41,START!$C$3,($N46+4))*-44/12)+($M46*INDEX('DEFAULT DATA'!$MW$9:$VD$41,START!$C$3,($N46+5))*-44/12)</f>
        <v>0</v>
      </c>
      <c r="S46" s="216">
        <f>($K46*INDEX('DEFAULT DATA'!$MW$9:$VD$41,START!$C$3,($N46))*-44/12)+($K46*INDEX('DEFAULT DATA'!$MW$9:$VD$41,START!$C$3,($N46+1))*-44/12)+($K46*INDEX('DEFAULT DATA'!$MW$9:$VD$41,START!$C$3,($N46+2))*-44/12)+($K46*INDEX('DEFAULT DATA'!$MW$9:$VD$41,START!$C$3,($N46+3))*-44/12)+($L46*INDEX('DEFAULT DATA'!$MW$9:$VD$41,START!$C$3,($N46+4))*-44/12)+($M46*INDEX('DEFAULT DATA'!$MW$9:$VD$41,START!$C$3,($N46+5))*-44/12)</f>
        <v>0</v>
      </c>
      <c r="T46" s="216">
        <f>($K46*INDEX('DEFAULT DATA'!$MW$9:$VD$41,START!$C$3,($N46))*-44/12)+($K46*INDEX('DEFAULT DATA'!$MW$9:$VD$41,START!$C$3,($N46+1))*-44/12)+($K46*INDEX('DEFAULT DATA'!$MW$9:$VD$41,START!$C$3,($N46+2))*-44/12)+($K46*INDEX('DEFAULT DATA'!$MW$9:$VD$41,START!$C$3,($N46+3))*-44/12)+($L46*INDEX('DEFAULT DATA'!$MW$9:$VD$41,START!$C$3,($N46+4))*-44/12)+($M46*INDEX('DEFAULT DATA'!$MW$9:$VD$41,START!$C$3,($N46+5))*-44/12)</f>
        <v>0</v>
      </c>
      <c r="U46" s="216">
        <f>($K46*INDEX('DEFAULT DATA'!$MW$9:$VD$41,START!$C$3,($N46))*-44/12)+($K46*INDEX('DEFAULT DATA'!$MW$9:$VD$41,START!$C$3,($N46+1))*-44/12)+($K46*INDEX('DEFAULT DATA'!$MW$9:$VD$41,START!$C$3,($N46+2))*-44/12)+($K46*INDEX('DEFAULT DATA'!$MW$9:$VD$41,START!$C$3,($N46+3))*-44/12)+($L46*INDEX('DEFAULT DATA'!$MW$9:$VD$41,START!$C$3,($N46+4))*-44/12)+($M46*INDEX('DEFAULT DATA'!$MW$9:$VD$41,START!$C$3,($N46+5))*-44/12)</f>
        <v>0</v>
      </c>
      <c r="V46" s="216">
        <f>($K46*INDEX('DEFAULT DATA'!$MW$9:$VD$41,START!$C$3,($N46))*-44/12)+($K46*INDEX('DEFAULT DATA'!$MW$9:$VD$41,START!$C$3,($N46+1))*-44/12)+($K46*INDEX('DEFAULT DATA'!$MW$9:$VD$41,START!$C$3,($N46+2))*-44/12)+($K46*INDEX('DEFAULT DATA'!$MW$9:$VD$41,START!$C$3,($N46+3))*-44/12)+($L46*INDEX('DEFAULT DATA'!$MW$9:$VD$41,START!$C$3,($N46+4))*-44/12)+($M46*INDEX('DEFAULT DATA'!$MW$9:$VD$41,START!$C$3,($N46+5))*-44/12)</f>
        <v>0</v>
      </c>
      <c r="W46" s="216">
        <f>($K46*INDEX('DEFAULT DATA'!$MW$9:$VD$41,START!$C$3,($N46))*-44/12)+($K46*INDEX('DEFAULT DATA'!$MW$9:$VD$41,START!$C$3,($N46+1))*-44/12)+($K46*INDEX('DEFAULT DATA'!$MW$9:$VD$41,START!$C$3,($N46+2))*-44/12)+($K46*INDEX('DEFAULT DATA'!$MW$9:$VD$41,START!$C$3,($N46+3))*-44/12)+($L46*INDEX('DEFAULT DATA'!$MW$9:$VD$41,START!$C$3,($N46+4))*-44/12)+($M46*INDEX('DEFAULT DATA'!$MW$9:$VD$41,START!$C$3,($N46+5))*-44/12)</f>
        <v>0</v>
      </c>
      <c r="X46" s="216">
        <f>($K46*INDEX('DEFAULT DATA'!$MW$9:$VD$41,START!$C$3,($N46))*-44/12)+($K46*INDEX('DEFAULT DATA'!$MW$9:$VD$41,START!$C$3,($N46+1))*-44/12)+($K46*INDEX('DEFAULT DATA'!$MW$9:$VD$41,START!$C$3,($N46+2))*-44/12)+($K46*INDEX('DEFAULT DATA'!$MW$9:$VD$41,START!$C$3,($N46+3))*-44/12)+($L46*INDEX('DEFAULT DATA'!$MW$9:$VD$41,START!$C$3,($N46+4))*-44/12)+($M46*INDEX('DEFAULT DATA'!$MW$9:$VD$41,START!$C$3,($N46+5))*-44/12)</f>
        <v>0</v>
      </c>
      <c r="Y46" s="216">
        <f>($K46*INDEX('DEFAULT DATA'!$MW$9:$VD$41,START!$C$3,($N46))*-44/12)+($K46*INDEX('DEFAULT DATA'!$MW$9:$VD$41,START!$C$3,($N46+1))*-44/12)+($K46*INDEX('DEFAULT DATA'!$MW$9:$VD$41,START!$C$3,($N46+2))*-44/12)+($K46*INDEX('DEFAULT DATA'!$MW$9:$VD$41,START!$C$3,($N46+3))*-44/12)+($L46*INDEX('DEFAULT DATA'!$MW$9:$VD$41,START!$C$3,($N46+4))*-44/12)+($M46*INDEX('DEFAULT DATA'!$MW$9:$VD$41,START!$C$3,($N46+5))*-44/12)</f>
        <v>0</v>
      </c>
      <c r="Z46" s="216">
        <f>($K46*INDEX('DEFAULT DATA'!$MW$9:$VD$41,START!$C$3,($N46))*-44/12)+($K46*INDEX('DEFAULT DATA'!$MW$9:$VD$41,START!$C$3,($N46+1))*-44/12)+($K46*INDEX('DEFAULT DATA'!$MW$9:$VD$41,START!$C$3,($N46+2))*-44/12)+($K46*INDEX('DEFAULT DATA'!$MW$9:$VD$41,START!$C$3,($N46+3))*-44/12)+($L46*INDEX('DEFAULT DATA'!$MW$9:$VD$41,START!$C$3,($N46+4))*-44/12)+($M46*INDEX('DEFAULT DATA'!$MW$9:$VD$41,START!$C$3,($N46+5))*-44/12)</f>
        <v>0</v>
      </c>
      <c r="AA46" s="216">
        <f>($K46*INDEX('DEFAULT DATA'!$MW$9:$VD$41,START!$C$3,($N46))*-44/12)+($K46*INDEX('DEFAULT DATA'!$MW$9:$VD$41,START!$C$3,($N46+1))*-44/12)+($K46*INDEX('DEFAULT DATA'!$MW$9:$VD$41,START!$C$3,($N46+2))*-44/12)+($K46*INDEX('DEFAULT DATA'!$MW$9:$VD$41,START!$C$3,($N46+3))*-44/12)+($L46*INDEX('DEFAULT DATA'!$MW$9:$VD$41,START!$C$3,($N46+4))*-44/12)+($M46*INDEX('DEFAULT DATA'!$MW$9:$VD$41,START!$C$3,($N46+5))*-44/12)</f>
        <v>0</v>
      </c>
      <c r="AB46" s="216">
        <f>($K46*INDEX('DEFAULT DATA'!$MW$9:$VD$41,START!$C$3,($N46))*-44/12)+($K46*INDEX('DEFAULT DATA'!$MW$9:$VD$41,START!$C$3,($N46+1))*-44/12)+($K46*INDEX('DEFAULT DATA'!$MW$9:$VD$41,START!$C$3,($N46+2))*-44/12)+($K46*INDEX('DEFAULT DATA'!$MW$9:$VD$41,START!$C$3,($N46+3))*-44/12)+($L46*INDEX('DEFAULT DATA'!$MW$9:$VD$41,START!$C$3,($N46+4))*-44/12)+($M46*INDEX('DEFAULT DATA'!$MW$9:$VD$41,START!$C$3,($N46+5))*-44/12)</f>
        <v>0</v>
      </c>
      <c r="AC46" s="216">
        <f>($K46*INDEX('DEFAULT DATA'!$MW$9:$VD$41,START!$C$3,($N46))*-44/12)+($K46*INDEX('DEFAULT DATA'!$MW$9:$VD$41,START!$C$3,($N46+1))*-44/12)+($K46*INDEX('DEFAULT DATA'!$MW$9:$VD$41,START!$C$3,($N46+2))*-44/12)+($K46*INDEX('DEFAULT DATA'!$MW$9:$VD$41,START!$C$3,($N46+3))*-44/12)+($L46*INDEX('DEFAULT DATA'!$MW$9:$VD$41,START!$C$3,($N46+4))*-44/12)+($M46*INDEX('DEFAULT DATA'!$MW$9:$VD$41,START!$C$3,($N46+5))*-44/12)</f>
        <v>0</v>
      </c>
      <c r="AD46" s="216">
        <f>($K46*INDEX('DEFAULT DATA'!$MW$9:$VD$41,START!$C$3,($N46))*-44/12)+($K46*INDEX('DEFAULT DATA'!$MW$9:$VD$41,START!$C$3,($N46+1))*-44/12)+($K46*INDEX('DEFAULT DATA'!$MW$9:$VD$41,START!$C$3,($N46+2))*-44/12)+($K46*INDEX('DEFAULT DATA'!$MW$9:$VD$41,START!$C$3,($N46+3))*-44/12)+($L46*INDEX('DEFAULT DATA'!$MW$9:$VD$41,START!$C$3,($N46+4))*-44/12)+($M46*INDEX('DEFAULT DATA'!$MW$9:$VD$41,START!$C$3,($N46+5))*-44/12)</f>
        <v>0</v>
      </c>
      <c r="AE46" s="216">
        <f>($K46*INDEX('DEFAULT DATA'!$MW$9:$VD$41,START!$C$3,($N46))*-44/12)+($K46*INDEX('DEFAULT DATA'!$MW$9:$VD$41,START!$C$3,($N46+1))*-44/12)+($K46*INDEX('DEFAULT DATA'!$MW$9:$VD$41,START!$C$3,($N46+2))*-44/12)+($K46*INDEX('DEFAULT DATA'!$MW$9:$VD$41,START!$C$3,($N46+3))*-44/12)+($L46*INDEX('DEFAULT DATA'!$MW$9:$VD$41,START!$C$3,($N46+4))*-44/12)+($M46*INDEX('DEFAULT DATA'!$MW$9:$VD$41,START!$C$3,($N46+5))*-44/12)</f>
        <v>0</v>
      </c>
      <c r="AF46" s="216">
        <f>($K46*INDEX('DEFAULT DATA'!$MW$9:$VD$41,START!$C$3,($N46))*-44/12)+($K46*INDEX('DEFAULT DATA'!$MW$9:$VD$41,START!$C$3,($N46+1))*-44/12)+($K46*INDEX('DEFAULT DATA'!$MW$9:$VD$41,START!$C$3,($N46+2))*-44/12)+($K46*INDEX('DEFAULT DATA'!$MW$9:$VD$41,START!$C$3,($N46+3))*-44/12)+($L46*INDEX('DEFAULT DATA'!$MW$9:$VD$41,START!$C$3,($N46+4))*-44/12)+($M46*INDEX('DEFAULT DATA'!$MW$9:$VD$41,START!$C$3,($N46+5))*-44/12)</f>
        <v>0</v>
      </c>
      <c r="AG46" s="216">
        <f>($K46*INDEX('DEFAULT DATA'!$MW$9:$VD$41,START!$C$3,($N46))*-44/12)+($K46*INDEX('DEFAULT DATA'!$MW$9:$VD$41,START!$C$3,($N46+1))*-44/12)+($K46*INDEX('DEFAULT DATA'!$MW$9:$VD$41,START!$C$3,($N46+2))*-44/12)+($K46*INDEX('DEFAULT DATA'!$MW$9:$VD$41,START!$C$3,($N46+3))*-44/12)+($L46*INDEX('DEFAULT DATA'!$MW$9:$VD$41,START!$C$3,($N46+4))*-44/12)+($M46*INDEX('DEFAULT DATA'!$MW$9:$VD$41,START!$C$3,($N46+5))*-44/12)</f>
        <v>0</v>
      </c>
      <c r="AH46" s="216">
        <f>($K46*INDEX('DEFAULT DATA'!$MW$9:$VD$41,START!$C$3,($N46))*-44/12)+($K46*INDEX('DEFAULT DATA'!$MW$9:$VD$41,START!$C$3,($N46+1))*-44/12)+($K46*INDEX('DEFAULT DATA'!$MW$9:$VD$41,START!$C$3,($N46+2))*-44/12)+($K46*INDEX('DEFAULT DATA'!$MW$9:$VD$41,START!$C$3,($N46+3))*-44/12)+($L46*INDEX('DEFAULT DATA'!$MW$9:$VD$41,START!$C$3,($N46+4))*-44/12)+($M46*INDEX('DEFAULT DATA'!$MW$9:$VD$41,START!$C$3,($N46+5))*-44/12)</f>
        <v>0</v>
      </c>
      <c r="AI46" s="216">
        <f>($K46*INDEX('DEFAULT DATA'!$MW$9:$VD$41,START!$C$3,($N46))*-44/12)+($K46*INDEX('DEFAULT DATA'!$MW$9:$VD$41,START!$C$3,($N46+1))*-44/12)+($K46*INDEX('DEFAULT DATA'!$MW$9:$VD$41,START!$C$3,($N46+2))*-44/12)+($K46*INDEX('DEFAULT DATA'!$MW$9:$VD$41,START!$C$3,($N46+3))*-44/12)+($L46*INDEX('DEFAULT DATA'!$MW$9:$VD$41,START!$C$3,($N46+4))*-44/12)+($M46*INDEX('DEFAULT DATA'!$MW$9:$VD$41,START!$C$3,($N46+5))*-44/12)</f>
        <v>0</v>
      </c>
      <c r="AJ46" s="216">
        <f>($K46*INDEX('DEFAULT DATA'!$MW$9:$VD$41,START!$C$3,($N46))*-44/12)+($K46*INDEX('DEFAULT DATA'!$MW$9:$VD$41,START!$C$3,($N46+1))*-44/12)+($K46*INDEX('DEFAULT DATA'!$MW$9:$VD$41,START!$C$3,($N46+2))*-44/12)+($K46*INDEX('DEFAULT DATA'!$MW$9:$VD$41,START!$C$3,($N46+3))*-44/12)+($L46*INDEX('DEFAULT DATA'!$MW$9:$VD$41,START!$C$3,($N46+4))*-44/12)+($M46*INDEX('DEFAULT DATA'!$MW$9:$VD$41,START!$C$3,($N46+5))*-44/12)</f>
        <v>0</v>
      </c>
      <c r="AK46" s="438">
        <f>(($K46*INDEX('DEFAULT DATA'!$UG$9:$UL$41,START!$C$3,1)*-44/12)+($K46*INDEX('DEFAULT DATA'!$UG$9:$UL$41,START!$C$3,2)*-44/12)+($K46*INDEX('DEFAULT DATA'!$UG$9:$UL$41,START!$C$3,3)*-44/12)+($K46*INDEX('DEFAULT DATA'!$UG$9:$UL$41,START!$C$3,4)*-44/12)+($L46*INDEX('DEFAULT DATA'!$UG$9:$UL$41,START!$C$3,5)*-44/12)+($M46*INDEX('DEFAULT DATA'!$UG$9:$UL$41,START!$C$3,6)*-44/12))</f>
        <v>0</v>
      </c>
      <c r="AL46" s="438">
        <f>(($K46*INDEX('DEFAULT DATA'!$UG$9:$UL$41,START!$C$3,1)*-44/12)+($K46*INDEX('DEFAULT DATA'!$UG$9:$UL$41,START!$C$3,2)*-44/12)+($K46*INDEX('DEFAULT DATA'!$UG$9:$UL$41,START!$C$3,3)*-44/12)+($K46*INDEX('DEFAULT DATA'!$UG$9:$UL$41,START!$C$3,4)*-44/12)+($L46*INDEX('DEFAULT DATA'!$UG$9:$UL$41,START!$C$3,5)*-44/12)+($M46*INDEX('DEFAULT DATA'!$UG$9:$UL$41,START!$C$3,6)*-44/12))</f>
        <v>0</v>
      </c>
      <c r="AM46" s="438">
        <f>(($K46*INDEX('DEFAULT DATA'!$UG$9:$UL$41,START!$C$3,1)*-44/12)+($K46*INDEX('DEFAULT DATA'!$UG$9:$UL$41,START!$C$3,2)*-44/12)+($K46*INDEX('DEFAULT DATA'!$UG$9:$UL$41,START!$C$3,3)*-44/12)+($K46*INDEX('DEFAULT DATA'!$UG$9:$UL$41,START!$C$3,4)*-44/12)+($L46*INDEX('DEFAULT DATA'!$UG$9:$UL$41,START!$C$3,5)*-44/12)+($M46*INDEX('DEFAULT DATA'!$UG$9:$UL$41,START!$C$3,6)*-44/12))</f>
        <v>0</v>
      </c>
      <c r="AN46" s="438">
        <f>(($K46*INDEX('DEFAULT DATA'!$UG$9:$UL$41,START!$C$3,1)*-44/12)+($K46*INDEX('DEFAULT DATA'!$UG$9:$UL$41,START!$C$3,2)*-44/12)+($K46*INDEX('DEFAULT DATA'!$UG$9:$UL$41,START!$C$3,3)*-44/12)+($K46*INDEX('DEFAULT DATA'!$UG$9:$UL$41,START!$C$3,4)*-44/12)+($L46*INDEX('DEFAULT DATA'!$UG$9:$UL$41,START!$C$3,5)*-44/12)+($M46*INDEX('DEFAULT DATA'!$UG$9:$UL$41,START!$C$3,6)*-44/12))</f>
        <v>0</v>
      </c>
      <c r="AO46" s="438">
        <f>(($K46*INDEX('DEFAULT DATA'!$UG$9:$UL$41,START!$C$3,1)*-44/12)+($K46*INDEX('DEFAULT DATA'!$UG$9:$UL$41,START!$C$3,2)*-44/12)+($K46*INDEX('DEFAULT DATA'!$UG$9:$UL$41,START!$C$3,3)*-44/12)+($K46*INDEX('DEFAULT DATA'!$UG$9:$UL$41,START!$C$3,4)*-44/12)+($L46*INDEX('DEFAULT DATA'!$UG$9:$UL$41,START!$C$3,5)*-44/12)+($M46*INDEX('DEFAULT DATA'!$UG$9:$UL$41,START!$C$3,6)*-44/12))</f>
        <v>0</v>
      </c>
      <c r="AP46" s="438">
        <f>(($K46*INDEX('DEFAULT DATA'!$UG$9:$UL$41,START!$C$3,1)*-44/12)+($K46*INDEX('DEFAULT DATA'!$UG$9:$UL$41,START!$C$3,2)*-44/12)+($K46*INDEX('DEFAULT DATA'!$UG$9:$UL$41,START!$C$3,3)*-44/12)+($K46*INDEX('DEFAULT DATA'!$UG$9:$UL$41,START!$C$3,4)*-44/12)+($L46*INDEX('DEFAULT DATA'!$UG$9:$UL$41,START!$C$3,5)*-44/12)+($M46*INDEX('DEFAULT DATA'!$UG$9:$UL$41,START!$C$3,6)*-44/12))</f>
        <v>0</v>
      </c>
      <c r="AQ46" s="438">
        <f>(($K46*INDEX('DEFAULT DATA'!$UG$9:$UL$41,START!$C$3,1)*-44/12)+($K46*INDEX('DEFAULT DATA'!$UG$9:$UL$41,START!$C$3,2)*-44/12)+($K46*INDEX('DEFAULT DATA'!$UG$9:$UL$41,START!$C$3,3)*-44/12)+($K46*INDEX('DEFAULT DATA'!$UG$9:$UL$41,START!$C$3,4)*-44/12)+($L46*INDEX('DEFAULT DATA'!$UG$9:$UL$41,START!$C$3,5)*-44/12)+($M46*INDEX('DEFAULT DATA'!$UG$9:$UL$41,START!$C$3,6)*-44/12))</f>
        <v>0</v>
      </c>
      <c r="AR46" s="438">
        <f>(($K46*INDEX('DEFAULT DATA'!$UG$9:$UL$41,START!$C$3,1)*-44/12)+($K46*INDEX('DEFAULT DATA'!$UG$9:$UL$41,START!$C$3,2)*-44/12)+($K46*INDEX('DEFAULT DATA'!$UG$9:$UL$41,START!$C$3,3)*-44/12)+($K46*INDEX('DEFAULT DATA'!$UG$9:$UL$41,START!$C$3,4)*-44/12)+($L46*INDEX('DEFAULT DATA'!$UG$9:$UL$41,START!$C$3,5)*-44/12)+($M46*INDEX('DEFAULT DATA'!$UG$9:$UL$41,START!$C$3,6)*-44/12))</f>
        <v>0</v>
      </c>
      <c r="AS46" s="438">
        <f>(($K46*INDEX('DEFAULT DATA'!$UG$9:$UL$41,START!$C$3,1)*-44/12)+($K46*INDEX('DEFAULT DATA'!$UG$9:$UL$41,START!$C$3,2)*-44/12)+($K46*INDEX('DEFAULT DATA'!$UG$9:$UL$41,START!$C$3,3)*-44/12)+($K46*INDEX('DEFAULT DATA'!$UG$9:$UL$41,START!$C$3,4)*-44/12)+($L46*INDEX('DEFAULT DATA'!$UG$9:$UL$41,START!$C$3,5)*-44/12)+($M46*INDEX('DEFAULT DATA'!$UG$9:$UL$41,START!$C$3,6)*-44/12))</f>
        <v>0</v>
      </c>
      <c r="AT46" s="439">
        <f>(($K46*INDEX('DEFAULT DATA'!$UG$9:$UL$41,START!$C$3,1)*-44/12)+($K46*INDEX('DEFAULT DATA'!$UG$9:$UL$41,START!$C$3,2)*-44/12)+($K46*INDEX('DEFAULT DATA'!$UG$9:$UL$41,START!$C$3,3)*-44/12)+($K46*INDEX('DEFAULT DATA'!$UG$9:$UL$41,START!$C$3,4)*-44/12)+($L46*INDEX('DEFAULT DATA'!$UG$9:$UL$41,START!$C$3,5)*-44/12)+($M46*INDEX('DEFAULT DATA'!$UG$9:$UL$41,START!$C$3,6)*-44/12))</f>
        <v>0</v>
      </c>
      <c r="AV46" s="459"/>
    </row>
    <row r="47" spans="1:48" ht="20.100000000000001" customHeight="1">
      <c r="A47" s="449"/>
      <c r="B47" s="1346" t="s">
        <v>890</v>
      </c>
      <c r="C47" s="383"/>
      <c r="D47" s="383"/>
      <c r="E47" s="951">
        <v>5000</v>
      </c>
      <c r="F47" s="951">
        <v>0</v>
      </c>
      <c r="G47" s="952">
        <v>0</v>
      </c>
      <c r="H47" s="383">
        <v>4</v>
      </c>
      <c r="I47" s="433"/>
      <c r="J47" s="273"/>
      <c r="K47" s="478">
        <f t="shared" si="37"/>
        <v>0</v>
      </c>
      <c r="L47" s="479">
        <f t="shared" si="38"/>
        <v>0</v>
      </c>
      <c r="M47" s="479">
        <f t="shared" si="39"/>
        <v>0</v>
      </c>
      <c r="N47" s="220">
        <f t="shared" si="41"/>
        <v>73</v>
      </c>
      <c r="O47" s="480" t="s">
        <v>827</v>
      </c>
      <c r="P47" s="481">
        <f t="shared" si="40"/>
        <v>2022</v>
      </c>
      <c r="Q47" s="216">
        <f>($K47*INDEX('DEFAULT DATA'!$MW$9:$VD$41,START!$C$3,($N47))*-44/12)+($K47*INDEX('DEFAULT DATA'!$MW$9:$VD$41,START!$C$3,($N47+1))*-44/12)+($K47*INDEX('DEFAULT DATA'!$MW$9:$VD$41,START!$C$3,($N47+2))*-44/12)+($K47*INDEX('DEFAULT DATA'!$MW$9:$VD$41,START!$C$3,($N47+3))*-44/12)+($L47*INDEX('DEFAULT DATA'!$MW$9:$VD$41,START!$C$3,($N47+4))*-44/12)+($M47*INDEX('DEFAULT DATA'!$MW$9:$VD$41,START!$C$3,($N47+5))*-44/12)</f>
        <v>0</v>
      </c>
      <c r="R47" s="216">
        <f>($K47*INDEX('DEFAULT DATA'!$MW$9:$VD$41,START!$C$3,($N47))*-44/12)+($K47*INDEX('DEFAULT DATA'!$MW$9:$VD$41,START!$C$3,($N47+1))*-44/12)+($K47*INDEX('DEFAULT DATA'!$MW$9:$VD$41,START!$C$3,($N47+2))*-44/12)+($K47*INDEX('DEFAULT DATA'!$MW$9:$VD$41,START!$C$3,($N47+3))*-44/12)+($L47*INDEX('DEFAULT DATA'!$MW$9:$VD$41,START!$C$3,($N47+4))*-44/12)+($M47*INDEX('DEFAULT DATA'!$MW$9:$VD$41,START!$C$3,($N47+5))*-44/12)</f>
        <v>0</v>
      </c>
      <c r="S47" s="216">
        <f>($K47*INDEX('DEFAULT DATA'!$MW$9:$VD$41,START!$C$3,($N47))*-44/12)+($K47*INDEX('DEFAULT DATA'!$MW$9:$VD$41,START!$C$3,($N47+1))*-44/12)+($K47*INDEX('DEFAULT DATA'!$MW$9:$VD$41,START!$C$3,($N47+2))*-44/12)+($K47*INDEX('DEFAULT DATA'!$MW$9:$VD$41,START!$C$3,($N47+3))*-44/12)+($L47*INDEX('DEFAULT DATA'!$MW$9:$VD$41,START!$C$3,($N47+4))*-44/12)+($M47*INDEX('DEFAULT DATA'!$MW$9:$VD$41,START!$C$3,($N47+5))*-44/12)</f>
        <v>0</v>
      </c>
      <c r="T47" s="216">
        <f>($K47*INDEX('DEFAULT DATA'!$MW$9:$VD$41,START!$C$3,($N47))*-44/12)+($K47*INDEX('DEFAULT DATA'!$MW$9:$VD$41,START!$C$3,($N47+1))*-44/12)+($K47*INDEX('DEFAULT DATA'!$MW$9:$VD$41,START!$C$3,($N47+2))*-44/12)+($K47*INDEX('DEFAULT DATA'!$MW$9:$VD$41,START!$C$3,($N47+3))*-44/12)+($L47*INDEX('DEFAULT DATA'!$MW$9:$VD$41,START!$C$3,($N47+4))*-44/12)+($M47*INDEX('DEFAULT DATA'!$MW$9:$VD$41,START!$C$3,($N47+5))*-44/12)</f>
        <v>0</v>
      </c>
      <c r="U47" s="216">
        <f>($K47*INDEX('DEFAULT DATA'!$MW$9:$VD$41,START!$C$3,($N47))*-44/12)+($K47*INDEX('DEFAULT DATA'!$MW$9:$VD$41,START!$C$3,($N47+1))*-44/12)+($K47*INDEX('DEFAULT DATA'!$MW$9:$VD$41,START!$C$3,($N47+2))*-44/12)+($K47*INDEX('DEFAULT DATA'!$MW$9:$VD$41,START!$C$3,($N47+3))*-44/12)+($L47*INDEX('DEFAULT DATA'!$MW$9:$VD$41,START!$C$3,($N47+4))*-44/12)+($M47*INDEX('DEFAULT DATA'!$MW$9:$VD$41,START!$C$3,($N47+5))*-44/12)</f>
        <v>0</v>
      </c>
      <c r="V47" s="216">
        <f>($K47*INDEX('DEFAULT DATA'!$MW$9:$VD$41,START!$C$3,($N47))*-44/12)+($K47*INDEX('DEFAULT DATA'!$MW$9:$VD$41,START!$C$3,($N47+1))*-44/12)+($K47*INDEX('DEFAULT DATA'!$MW$9:$VD$41,START!$C$3,($N47+2))*-44/12)+($K47*INDEX('DEFAULT DATA'!$MW$9:$VD$41,START!$C$3,($N47+3))*-44/12)+($L47*INDEX('DEFAULT DATA'!$MW$9:$VD$41,START!$C$3,($N47+4))*-44/12)+($M47*INDEX('DEFAULT DATA'!$MW$9:$VD$41,START!$C$3,($N47+5))*-44/12)</f>
        <v>0</v>
      </c>
      <c r="W47" s="216">
        <f>($K47*INDEX('DEFAULT DATA'!$MW$9:$VD$41,START!$C$3,($N47))*-44/12)+($K47*INDEX('DEFAULT DATA'!$MW$9:$VD$41,START!$C$3,($N47+1))*-44/12)+($K47*INDEX('DEFAULT DATA'!$MW$9:$VD$41,START!$C$3,($N47+2))*-44/12)+($K47*INDEX('DEFAULT DATA'!$MW$9:$VD$41,START!$C$3,($N47+3))*-44/12)+($L47*INDEX('DEFAULT DATA'!$MW$9:$VD$41,START!$C$3,($N47+4))*-44/12)+($M47*INDEX('DEFAULT DATA'!$MW$9:$VD$41,START!$C$3,($N47+5))*-44/12)</f>
        <v>0</v>
      </c>
      <c r="X47" s="216">
        <f>($K47*INDEX('DEFAULT DATA'!$MW$9:$VD$41,START!$C$3,($N47))*-44/12)+($K47*INDEX('DEFAULT DATA'!$MW$9:$VD$41,START!$C$3,($N47+1))*-44/12)+($K47*INDEX('DEFAULT DATA'!$MW$9:$VD$41,START!$C$3,($N47+2))*-44/12)+($K47*INDEX('DEFAULT DATA'!$MW$9:$VD$41,START!$C$3,($N47+3))*-44/12)+($L47*INDEX('DEFAULT DATA'!$MW$9:$VD$41,START!$C$3,($N47+4))*-44/12)+($M47*INDEX('DEFAULT DATA'!$MW$9:$VD$41,START!$C$3,($N47+5))*-44/12)</f>
        <v>0</v>
      </c>
      <c r="Y47" s="216">
        <f>($K47*INDEX('DEFAULT DATA'!$MW$9:$VD$41,START!$C$3,($N47))*-44/12)+($K47*INDEX('DEFAULT DATA'!$MW$9:$VD$41,START!$C$3,($N47+1))*-44/12)+($K47*INDEX('DEFAULT DATA'!$MW$9:$VD$41,START!$C$3,($N47+2))*-44/12)+($K47*INDEX('DEFAULT DATA'!$MW$9:$VD$41,START!$C$3,($N47+3))*-44/12)+($L47*INDEX('DEFAULT DATA'!$MW$9:$VD$41,START!$C$3,($N47+4))*-44/12)+($M47*INDEX('DEFAULT DATA'!$MW$9:$VD$41,START!$C$3,($N47+5))*-44/12)</f>
        <v>0</v>
      </c>
      <c r="Z47" s="216">
        <f>($K47*INDEX('DEFAULT DATA'!$MW$9:$VD$41,START!$C$3,($N47))*-44/12)+($K47*INDEX('DEFAULT DATA'!$MW$9:$VD$41,START!$C$3,($N47+1))*-44/12)+($K47*INDEX('DEFAULT DATA'!$MW$9:$VD$41,START!$C$3,($N47+2))*-44/12)+($K47*INDEX('DEFAULT DATA'!$MW$9:$VD$41,START!$C$3,($N47+3))*-44/12)+($L47*INDEX('DEFAULT DATA'!$MW$9:$VD$41,START!$C$3,($N47+4))*-44/12)+($M47*INDEX('DEFAULT DATA'!$MW$9:$VD$41,START!$C$3,($N47+5))*-44/12)</f>
        <v>0</v>
      </c>
      <c r="AA47" s="216">
        <f>($K47*INDEX('DEFAULT DATA'!$MW$9:$VD$41,START!$C$3,($N47))*-44/12)+($K47*INDEX('DEFAULT DATA'!$MW$9:$VD$41,START!$C$3,($N47+1))*-44/12)+($K47*INDEX('DEFAULT DATA'!$MW$9:$VD$41,START!$C$3,($N47+2))*-44/12)+($K47*INDEX('DEFAULT DATA'!$MW$9:$VD$41,START!$C$3,($N47+3))*-44/12)+($L47*INDEX('DEFAULT DATA'!$MW$9:$VD$41,START!$C$3,($N47+4))*-44/12)+($M47*INDEX('DEFAULT DATA'!$MW$9:$VD$41,START!$C$3,($N47+5))*-44/12)</f>
        <v>0</v>
      </c>
      <c r="AB47" s="216">
        <f>($K47*INDEX('DEFAULT DATA'!$MW$9:$VD$41,START!$C$3,($N47))*-44/12)+($K47*INDEX('DEFAULT DATA'!$MW$9:$VD$41,START!$C$3,($N47+1))*-44/12)+($K47*INDEX('DEFAULT DATA'!$MW$9:$VD$41,START!$C$3,($N47+2))*-44/12)+($K47*INDEX('DEFAULT DATA'!$MW$9:$VD$41,START!$C$3,($N47+3))*-44/12)+($L47*INDEX('DEFAULT DATA'!$MW$9:$VD$41,START!$C$3,($N47+4))*-44/12)+($M47*INDEX('DEFAULT DATA'!$MW$9:$VD$41,START!$C$3,($N47+5))*-44/12)</f>
        <v>0</v>
      </c>
      <c r="AC47" s="216">
        <f>($K47*INDEX('DEFAULT DATA'!$MW$9:$VD$41,START!$C$3,($N47))*-44/12)+($K47*INDEX('DEFAULT DATA'!$MW$9:$VD$41,START!$C$3,($N47+1))*-44/12)+($K47*INDEX('DEFAULT DATA'!$MW$9:$VD$41,START!$C$3,($N47+2))*-44/12)+($K47*INDEX('DEFAULT DATA'!$MW$9:$VD$41,START!$C$3,($N47+3))*-44/12)+($L47*INDEX('DEFAULT DATA'!$MW$9:$VD$41,START!$C$3,($N47+4))*-44/12)+($M47*INDEX('DEFAULT DATA'!$MW$9:$VD$41,START!$C$3,($N47+5))*-44/12)</f>
        <v>0</v>
      </c>
      <c r="AD47" s="216">
        <f>($K47*INDEX('DEFAULT DATA'!$MW$9:$VD$41,START!$C$3,($N47))*-44/12)+($K47*INDEX('DEFAULT DATA'!$MW$9:$VD$41,START!$C$3,($N47+1))*-44/12)+($K47*INDEX('DEFAULT DATA'!$MW$9:$VD$41,START!$C$3,($N47+2))*-44/12)+($K47*INDEX('DEFAULT DATA'!$MW$9:$VD$41,START!$C$3,($N47+3))*-44/12)+($L47*INDEX('DEFAULT DATA'!$MW$9:$VD$41,START!$C$3,($N47+4))*-44/12)+($M47*INDEX('DEFAULT DATA'!$MW$9:$VD$41,START!$C$3,($N47+5))*-44/12)</f>
        <v>0</v>
      </c>
      <c r="AE47" s="216">
        <f>($K47*INDEX('DEFAULT DATA'!$MW$9:$VD$41,START!$C$3,($N47))*-44/12)+($K47*INDEX('DEFAULT DATA'!$MW$9:$VD$41,START!$C$3,($N47+1))*-44/12)+($K47*INDEX('DEFAULT DATA'!$MW$9:$VD$41,START!$C$3,($N47+2))*-44/12)+($K47*INDEX('DEFAULT DATA'!$MW$9:$VD$41,START!$C$3,($N47+3))*-44/12)+($L47*INDEX('DEFAULT DATA'!$MW$9:$VD$41,START!$C$3,($N47+4))*-44/12)+($M47*INDEX('DEFAULT DATA'!$MW$9:$VD$41,START!$C$3,($N47+5))*-44/12)</f>
        <v>0</v>
      </c>
      <c r="AF47" s="216">
        <f>($K47*INDEX('DEFAULT DATA'!$MW$9:$VD$41,START!$C$3,($N47))*-44/12)+($K47*INDEX('DEFAULT DATA'!$MW$9:$VD$41,START!$C$3,($N47+1))*-44/12)+($K47*INDEX('DEFAULT DATA'!$MW$9:$VD$41,START!$C$3,($N47+2))*-44/12)+($K47*INDEX('DEFAULT DATA'!$MW$9:$VD$41,START!$C$3,($N47+3))*-44/12)+($L47*INDEX('DEFAULT DATA'!$MW$9:$VD$41,START!$C$3,($N47+4))*-44/12)+($M47*INDEX('DEFAULT DATA'!$MW$9:$VD$41,START!$C$3,($N47+5))*-44/12)</f>
        <v>0</v>
      </c>
      <c r="AG47" s="216">
        <f>($K47*INDEX('DEFAULT DATA'!$MW$9:$VD$41,START!$C$3,($N47))*-44/12)+($K47*INDEX('DEFAULT DATA'!$MW$9:$VD$41,START!$C$3,($N47+1))*-44/12)+($K47*INDEX('DEFAULT DATA'!$MW$9:$VD$41,START!$C$3,($N47+2))*-44/12)+($K47*INDEX('DEFAULT DATA'!$MW$9:$VD$41,START!$C$3,($N47+3))*-44/12)+($L47*INDEX('DEFAULT DATA'!$MW$9:$VD$41,START!$C$3,($N47+4))*-44/12)+($M47*INDEX('DEFAULT DATA'!$MW$9:$VD$41,START!$C$3,($N47+5))*-44/12)</f>
        <v>0</v>
      </c>
      <c r="AH47" s="216">
        <f>($K47*INDEX('DEFAULT DATA'!$MW$9:$VD$41,START!$C$3,($N47))*-44/12)+($K47*INDEX('DEFAULT DATA'!$MW$9:$VD$41,START!$C$3,($N47+1))*-44/12)+($K47*INDEX('DEFAULT DATA'!$MW$9:$VD$41,START!$C$3,($N47+2))*-44/12)+($K47*INDEX('DEFAULT DATA'!$MW$9:$VD$41,START!$C$3,($N47+3))*-44/12)+($L47*INDEX('DEFAULT DATA'!$MW$9:$VD$41,START!$C$3,($N47+4))*-44/12)+($M47*INDEX('DEFAULT DATA'!$MW$9:$VD$41,START!$C$3,($N47+5))*-44/12)</f>
        <v>0</v>
      </c>
      <c r="AI47" s="216">
        <f>($K47*INDEX('DEFAULT DATA'!$MW$9:$VD$41,START!$C$3,($N47))*-44/12)+($K47*INDEX('DEFAULT DATA'!$MW$9:$VD$41,START!$C$3,($N47+1))*-44/12)+($K47*INDEX('DEFAULT DATA'!$MW$9:$VD$41,START!$C$3,($N47+2))*-44/12)+($K47*INDEX('DEFAULT DATA'!$MW$9:$VD$41,START!$C$3,($N47+3))*-44/12)+($L47*INDEX('DEFAULT DATA'!$MW$9:$VD$41,START!$C$3,($N47+4))*-44/12)+($M47*INDEX('DEFAULT DATA'!$MW$9:$VD$41,START!$C$3,($N47+5))*-44/12)</f>
        <v>0</v>
      </c>
      <c r="AJ47" s="216">
        <f>($K47*INDEX('DEFAULT DATA'!$MW$9:$VD$41,START!$C$3,($N47))*-44/12)+($K47*INDEX('DEFAULT DATA'!$MW$9:$VD$41,START!$C$3,($N47+1))*-44/12)+($K47*INDEX('DEFAULT DATA'!$MW$9:$VD$41,START!$C$3,($N47+2))*-44/12)+($K47*INDEX('DEFAULT DATA'!$MW$9:$VD$41,START!$C$3,($N47+3))*-44/12)+($L47*INDEX('DEFAULT DATA'!$MW$9:$VD$41,START!$C$3,($N47+4))*-44/12)+($M47*INDEX('DEFAULT DATA'!$MW$9:$VD$41,START!$C$3,($N47+5))*-44/12)</f>
        <v>0</v>
      </c>
      <c r="AK47" s="438">
        <f>(($K47*INDEX('DEFAULT DATA'!$UG$9:$UL$41,START!$C$3,1)*-44/12)+($K47*INDEX('DEFAULT DATA'!$UG$9:$UL$41,START!$C$3,2)*-44/12)+($K47*INDEX('DEFAULT DATA'!$UG$9:$UL$41,START!$C$3,3)*-44/12)+($K47*INDEX('DEFAULT DATA'!$UG$9:$UL$41,START!$C$3,4)*-44/12)+($L47*INDEX('DEFAULT DATA'!$UG$9:$UL$41,START!$C$3,5)*-44/12)+($M47*INDEX('DEFAULT DATA'!$UG$9:$UL$41,START!$C$3,6)*-44/12))</f>
        <v>0</v>
      </c>
      <c r="AL47" s="438">
        <f>(($K47*INDEX('DEFAULT DATA'!$UG$9:$UL$41,START!$C$3,1)*-44/12)+($K47*INDEX('DEFAULT DATA'!$UG$9:$UL$41,START!$C$3,2)*-44/12)+($K47*INDEX('DEFAULT DATA'!$UG$9:$UL$41,START!$C$3,3)*-44/12)+($K47*INDEX('DEFAULT DATA'!$UG$9:$UL$41,START!$C$3,4)*-44/12)+($L47*INDEX('DEFAULT DATA'!$UG$9:$UL$41,START!$C$3,5)*-44/12)+($M47*INDEX('DEFAULT DATA'!$UG$9:$UL$41,START!$C$3,6)*-44/12))</f>
        <v>0</v>
      </c>
      <c r="AM47" s="438">
        <f>(($K47*INDEX('DEFAULT DATA'!$UG$9:$UL$41,START!$C$3,1)*-44/12)+($K47*INDEX('DEFAULT DATA'!$UG$9:$UL$41,START!$C$3,2)*-44/12)+($K47*INDEX('DEFAULT DATA'!$UG$9:$UL$41,START!$C$3,3)*-44/12)+($K47*INDEX('DEFAULT DATA'!$UG$9:$UL$41,START!$C$3,4)*-44/12)+($L47*INDEX('DEFAULT DATA'!$UG$9:$UL$41,START!$C$3,5)*-44/12)+($M47*INDEX('DEFAULT DATA'!$UG$9:$UL$41,START!$C$3,6)*-44/12))</f>
        <v>0</v>
      </c>
      <c r="AN47" s="438">
        <f>(($K47*INDEX('DEFAULT DATA'!$UG$9:$UL$41,START!$C$3,1)*-44/12)+($K47*INDEX('DEFAULT DATA'!$UG$9:$UL$41,START!$C$3,2)*-44/12)+($K47*INDEX('DEFAULT DATA'!$UG$9:$UL$41,START!$C$3,3)*-44/12)+($K47*INDEX('DEFAULT DATA'!$UG$9:$UL$41,START!$C$3,4)*-44/12)+($L47*INDEX('DEFAULT DATA'!$UG$9:$UL$41,START!$C$3,5)*-44/12)+($M47*INDEX('DEFAULT DATA'!$UG$9:$UL$41,START!$C$3,6)*-44/12))</f>
        <v>0</v>
      </c>
      <c r="AO47" s="438">
        <f>(($K47*INDEX('DEFAULT DATA'!$UG$9:$UL$41,START!$C$3,1)*-44/12)+($K47*INDEX('DEFAULT DATA'!$UG$9:$UL$41,START!$C$3,2)*-44/12)+($K47*INDEX('DEFAULT DATA'!$UG$9:$UL$41,START!$C$3,3)*-44/12)+($K47*INDEX('DEFAULT DATA'!$UG$9:$UL$41,START!$C$3,4)*-44/12)+($L47*INDEX('DEFAULT DATA'!$UG$9:$UL$41,START!$C$3,5)*-44/12)+($M47*INDEX('DEFAULT DATA'!$UG$9:$UL$41,START!$C$3,6)*-44/12))</f>
        <v>0</v>
      </c>
      <c r="AP47" s="438">
        <f>(($K47*INDEX('DEFAULT DATA'!$UG$9:$UL$41,START!$C$3,1)*-44/12)+($K47*INDEX('DEFAULT DATA'!$UG$9:$UL$41,START!$C$3,2)*-44/12)+($K47*INDEX('DEFAULT DATA'!$UG$9:$UL$41,START!$C$3,3)*-44/12)+($K47*INDEX('DEFAULT DATA'!$UG$9:$UL$41,START!$C$3,4)*-44/12)+($L47*INDEX('DEFAULT DATA'!$UG$9:$UL$41,START!$C$3,5)*-44/12)+($M47*INDEX('DEFAULT DATA'!$UG$9:$UL$41,START!$C$3,6)*-44/12))</f>
        <v>0</v>
      </c>
      <c r="AQ47" s="438">
        <f>(($K47*INDEX('DEFAULT DATA'!$UG$9:$UL$41,START!$C$3,1)*-44/12)+($K47*INDEX('DEFAULT DATA'!$UG$9:$UL$41,START!$C$3,2)*-44/12)+($K47*INDEX('DEFAULT DATA'!$UG$9:$UL$41,START!$C$3,3)*-44/12)+($K47*INDEX('DEFAULT DATA'!$UG$9:$UL$41,START!$C$3,4)*-44/12)+($L47*INDEX('DEFAULT DATA'!$UG$9:$UL$41,START!$C$3,5)*-44/12)+($M47*INDEX('DEFAULT DATA'!$UG$9:$UL$41,START!$C$3,6)*-44/12))</f>
        <v>0</v>
      </c>
      <c r="AR47" s="438">
        <f>(($K47*INDEX('DEFAULT DATA'!$UG$9:$UL$41,START!$C$3,1)*-44/12)+($K47*INDEX('DEFAULT DATA'!$UG$9:$UL$41,START!$C$3,2)*-44/12)+($K47*INDEX('DEFAULT DATA'!$UG$9:$UL$41,START!$C$3,3)*-44/12)+($K47*INDEX('DEFAULT DATA'!$UG$9:$UL$41,START!$C$3,4)*-44/12)+($L47*INDEX('DEFAULT DATA'!$UG$9:$UL$41,START!$C$3,5)*-44/12)+($M47*INDEX('DEFAULT DATA'!$UG$9:$UL$41,START!$C$3,6)*-44/12))</f>
        <v>0</v>
      </c>
      <c r="AS47" s="438">
        <f>(($K47*INDEX('DEFAULT DATA'!$UG$9:$UL$41,START!$C$3,1)*-44/12)+($K47*INDEX('DEFAULT DATA'!$UG$9:$UL$41,START!$C$3,2)*-44/12)+($K47*INDEX('DEFAULT DATA'!$UG$9:$UL$41,START!$C$3,3)*-44/12)+($K47*INDEX('DEFAULT DATA'!$UG$9:$UL$41,START!$C$3,4)*-44/12)+($L47*INDEX('DEFAULT DATA'!$UG$9:$UL$41,START!$C$3,5)*-44/12)+($M47*INDEX('DEFAULT DATA'!$UG$9:$UL$41,START!$C$3,6)*-44/12))</f>
        <v>0</v>
      </c>
      <c r="AT47" s="439">
        <f>(($K47*INDEX('DEFAULT DATA'!$UG$9:$UL$41,START!$C$3,1)*-44/12)+($K47*INDEX('DEFAULT DATA'!$UG$9:$UL$41,START!$C$3,2)*-44/12)+($K47*INDEX('DEFAULT DATA'!$UG$9:$UL$41,START!$C$3,3)*-44/12)+($K47*INDEX('DEFAULT DATA'!$UG$9:$UL$41,START!$C$3,4)*-44/12)+($L47*INDEX('DEFAULT DATA'!$UG$9:$UL$41,START!$C$3,5)*-44/12)+($M47*INDEX('DEFAULT DATA'!$UG$9:$UL$41,START!$C$3,6)*-44/12))</f>
        <v>0</v>
      </c>
    </row>
    <row r="48" spans="1:48" ht="20.100000000000001" customHeight="1">
      <c r="A48" s="421"/>
      <c r="B48" s="1347" t="s">
        <v>891</v>
      </c>
      <c r="C48" s="1024"/>
      <c r="D48" s="1024"/>
      <c r="E48" s="953">
        <v>1000</v>
      </c>
      <c r="F48" s="953">
        <v>0</v>
      </c>
      <c r="G48" s="954">
        <v>0</v>
      </c>
      <c r="H48" s="1024">
        <v>4</v>
      </c>
      <c r="I48" s="460"/>
      <c r="J48" s="273"/>
      <c r="K48" s="478">
        <f t="shared" si="37"/>
        <v>0</v>
      </c>
      <c r="L48" s="479">
        <f t="shared" si="38"/>
        <v>0</v>
      </c>
      <c r="M48" s="479">
        <f t="shared" si="39"/>
        <v>0</v>
      </c>
      <c r="N48" s="220">
        <f t="shared" si="41"/>
        <v>79</v>
      </c>
      <c r="O48" s="480" t="s">
        <v>828</v>
      </c>
      <c r="P48" s="481">
        <f t="shared" si="40"/>
        <v>2022</v>
      </c>
      <c r="Q48" s="216">
        <f>($K48*INDEX('DEFAULT DATA'!$MW$9:$VD$41,START!$C$3,($N48))*-44/12)+($K48*INDEX('DEFAULT DATA'!$MW$9:$VD$41,START!$C$3,($N48+1))*-44/12)+($K48*INDEX('DEFAULT DATA'!$MW$9:$VD$41,START!$C$3,($N48+2))*-44/12)+($K48*INDEX('DEFAULT DATA'!$MW$9:$VD$41,START!$C$3,($N48+3))*-44/12)+($L48*INDEX('DEFAULT DATA'!$MW$9:$VD$41,START!$C$3,($N48+4))*-44/12)+($M48*INDEX('DEFAULT DATA'!$MW$9:$VD$41,START!$C$3,($N48+5))*-44/12)</f>
        <v>0</v>
      </c>
      <c r="R48" s="216">
        <f>($K48*INDEX('DEFAULT DATA'!$MW$9:$VD$41,START!$C$3,($N48))*-44/12)+($K48*INDEX('DEFAULT DATA'!$MW$9:$VD$41,START!$C$3,($N48+1))*-44/12)+($K48*INDEX('DEFAULT DATA'!$MW$9:$VD$41,START!$C$3,($N48+2))*-44/12)+($K48*INDEX('DEFAULT DATA'!$MW$9:$VD$41,START!$C$3,($N48+3))*-44/12)+($L48*INDEX('DEFAULT DATA'!$MW$9:$VD$41,START!$C$3,($N48+4))*-44/12)+($M48*INDEX('DEFAULT DATA'!$MW$9:$VD$41,START!$C$3,($N48+5))*-44/12)</f>
        <v>0</v>
      </c>
      <c r="S48" s="216">
        <f>($K48*INDEX('DEFAULT DATA'!$MW$9:$VD$41,START!$C$3,($N48))*-44/12)+($K48*INDEX('DEFAULT DATA'!$MW$9:$VD$41,START!$C$3,($N48+1))*-44/12)+($K48*INDEX('DEFAULT DATA'!$MW$9:$VD$41,START!$C$3,($N48+2))*-44/12)+($K48*INDEX('DEFAULT DATA'!$MW$9:$VD$41,START!$C$3,($N48+3))*-44/12)+($L48*INDEX('DEFAULT DATA'!$MW$9:$VD$41,START!$C$3,($N48+4))*-44/12)+($M48*INDEX('DEFAULT DATA'!$MW$9:$VD$41,START!$C$3,($N48+5))*-44/12)</f>
        <v>0</v>
      </c>
      <c r="T48" s="216">
        <f>($K48*INDEX('DEFAULT DATA'!$MW$9:$VD$41,START!$C$3,($N48))*-44/12)+($K48*INDEX('DEFAULT DATA'!$MW$9:$VD$41,START!$C$3,($N48+1))*-44/12)+($K48*INDEX('DEFAULT DATA'!$MW$9:$VD$41,START!$C$3,($N48+2))*-44/12)+($K48*INDEX('DEFAULT DATA'!$MW$9:$VD$41,START!$C$3,($N48+3))*-44/12)+($L48*INDEX('DEFAULT DATA'!$MW$9:$VD$41,START!$C$3,($N48+4))*-44/12)+($M48*INDEX('DEFAULT DATA'!$MW$9:$VD$41,START!$C$3,($N48+5))*-44/12)</f>
        <v>0</v>
      </c>
      <c r="U48" s="216">
        <f>($K48*INDEX('DEFAULT DATA'!$MW$9:$VD$41,START!$C$3,($N48))*-44/12)+($K48*INDEX('DEFAULT DATA'!$MW$9:$VD$41,START!$C$3,($N48+1))*-44/12)+($K48*INDEX('DEFAULT DATA'!$MW$9:$VD$41,START!$C$3,($N48+2))*-44/12)+($K48*INDEX('DEFAULT DATA'!$MW$9:$VD$41,START!$C$3,($N48+3))*-44/12)+($L48*INDEX('DEFAULT DATA'!$MW$9:$VD$41,START!$C$3,($N48+4))*-44/12)+($M48*INDEX('DEFAULT DATA'!$MW$9:$VD$41,START!$C$3,($N48+5))*-44/12)</f>
        <v>0</v>
      </c>
      <c r="V48" s="216">
        <f>($K48*INDEX('DEFAULT DATA'!$MW$9:$VD$41,START!$C$3,($N48))*-44/12)+($K48*INDEX('DEFAULT DATA'!$MW$9:$VD$41,START!$C$3,($N48+1))*-44/12)+($K48*INDEX('DEFAULT DATA'!$MW$9:$VD$41,START!$C$3,($N48+2))*-44/12)+($K48*INDEX('DEFAULT DATA'!$MW$9:$VD$41,START!$C$3,($N48+3))*-44/12)+($L48*INDEX('DEFAULT DATA'!$MW$9:$VD$41,START!$C$3,($N48+4))*-44/12)+($M48*INDEX('DEFAULT DATA'!$MW$9:$VD$41,START!$C$3,($N48+5))*-44/12)</f>
        <v>0</v>
      </c>
      <c r="W48" s="216">
        <f>($K48*INDEX('DEFAULT DATA'!$MW$9:$VD$41,START!$C$3,($N48))*-44/12)+($K48*INDEX('DEFAULT DATA'!$MW$9:$VD$41,START!$C$3,($N48+1))*-44/12)+($K48*INDEX('DEFAULT DATA'!$MW$9:$VD$41,START!$C$3,($N48+2))*-44/12)+($K48*INDEX('DEFAULT DATA'!$MW$9:$VD$41,START!$C$3,($N48+3))*-44/12)+($L48*INDEX('DEFAULT DATA'!$MW$9:$VD$41,START!$C$3,($N48+4))*-44/12)+($M48*INDEX('DEFAULT DATA'!$MW$9:$VD$41,START!$C$3,($N48+5))*-44/12)</f>
        <v>0</v>
      </c>
      <c r="X48" s="216">
        <f>($K48*INDEX('DEFAULT DATA'!$MW$9:$VD$41,START!$C$3,($N48))*-44/12)+($K48*INDEX('DEFAULT DATA'!$MW$9:$VD$41,START!$C$3,($N48+1))*-44/12)+($K48*INDEX('DEFAULT DATA'!$MW$9:$VD$41,START!$C$3,($N48+2))*-44/12)+($K48*INDEX('DEFAULT DATA'!$MW$9:$VD$41,START!$C$3,($N48+3))*-44/12)+($L48*INDEX('DEFAULT DATA'!$MW$9:$VD$41,START!$C$3,($N48+4))*-44/12)+($M48*INDEX('DEFAULT DATA'!$MW$9:$VD$41,START!$C$3,($N48+5))*-44/12)</f>
        <v>0</v>
      </c>
      <c r="Y48" s="216">
        <f>($K48*INDEX('DEFAULT DATA'!$MW$9:$VD$41,START!$C$3,($N48))*-44/12)+($K48*INDEX('DEFAULT DATA'!$MW$9:$VD$41,START!$C$3,($N48+1))*-44/12)+($K48*INDEX('DEFAULT DATA'!$MW$9:$VD$41,START!$C$3,($N48+2))*-44/12)+($K48*INDEX('DEFAULT DATA'!$MW$9:$VD$41,START!$C$3,($N48+3))*-44/12)+($L48*INDEX('DEFAULT DATA'!$MW$9:$VD$41,START!$C$3,($N48+4))*-44/12)+($M48*INDEX('DEFAULT DATA'!$MW$9:$VD$41,START!$C$3,($N48+5))*-44/12)</f>
        <v>0</v>
      </c>
      <c r="Z48" s="216">
        <f>($K48*INDEX('DEFAULT DATA'!$MW$9:$VD$41,START!$C$3,($N48))*-44/12)+($K48*INDEX('DEFAULT DATA'!$MW$9:$VD$41,START!$C$3,($N48+1))*-44/12)+($K48*INDEX('DEFAULT DATA'!$MW$9:$VD$41,START!$C$3,($N48+2))*-44/12)+($K48*INDEX('DEFAULT DATA'!$MW$9:$VD$41,START!$C$3,($N48+3))*-44/12)+($L48*INDEX('DEFAULT DATA'!$MW$9:$VD$41,START!$C$3,($N48+4))*-44/12)+($M48*INDEX('DEFAULT DATA'!$MW$9:$VD$41,START!$C$3,($N48+5))*-44/12)</f>
        <v>0</v>
      </c>
      <c r="AA48" s="216">
        <f>($K48*INDEX('DEFAULT DATA'!$MW$9:$VD$41,START!$C$3,($N48))*-44/12)+($K48*INDEX('DEFAULT DATA'!$MW$9:$VD$41,START!$C$3,($N48+1))*-44/12)+($K48*INDEX('DEFAULT DATA'!$MW$9:$VD$41,START!$C$3,($N48+2))*-44/12)+($K48*INDEX('DEFAULT DATA'!$MW$9:$VD$41,START!$C$3,($N48+3))*-44/12)+($L48*INDEX('DEFAULT DATA'!$MW$9:$VD$41,START!$C$3,($N48+4))*-44/12)+($M48*INDEX('DEFAULT DATA'!$MW$9:$VD$41,START!$C$3,($N48+5))*-44/12)</f>
        <v>0</v>
      </c>
      <c r="AB48" s="216">
        <f>($K48*INDEX('DEFAULT DATA'!$MW$9:$VD$41,START!$C$3,($N48))*-44/12)+($K48*INDEX('DEFAULT DATA'!$MW$9:$VD$41,START!$C$3,($N48+1))*-44/12)+($K48*INDEX('DEFAULT DATA'!$MW$9:$VD$41,START!$C$3,($N48+2))*-44/12)+($K48*INDEX('DEFAULT DATA'!$MW$9:$VD$41,START!$C$3,($N48+3))*-44/12)+($L48*INDEX('DEFAULT DATA'!$MW$9:$VD$41,START!$C$3,($N48+4))*-44/12)+($M48*INDEX('DEFAULT DATA'!$MW$9:$VD$41,START!$C$3,($N48+5))*-44/12)</f>
        <v>0</v>
      </c>
      <c r="AC48" s="216">
        <f>($K48*INDEX('DEFAULT DATA'!$MW$9:$VD$41,START!$C$3,($N48))*-44/12)+($K48*INDEX('DEFAULT DATA'!$MW$9:$VD$41,START!$C$3,($N48+1))*-44/12)+($K48*INDEX('DEFAULT DATA'!$MW$9:$VD$41,START!$C$3,($N48+2))*-44/12)+($K48*INDEX('DEFAULT DATA'!$MW$9:$VD$41,START!$C$3,($N48+3))*-44/12)+($L48*INDEX('DEFAULT DATA'!$MW$9:$VD$41,START!$C$3,($N48+4))*-44/12)+($M48*INDEX('DEFAULT DATA'!$MW$9:$VD$41,START!$C$3,($N48+5))*-44/12)</f>
        <v>0</v>
      </c>
      <c r="AD48" s="216">
        <f>($K48*INDEX('DEFAULT DATA'!$MW$9:$VD$41,START!$C$3,($N48))*-44/12)+($K48*INDEX('DEFAULT DATA'!$MW$9:$VD$41,START!$C$3,($N48+1))*-44/12)+($K48*INDEX('DEFAULT DATA'!$MW$9:$VD$41,START!$C$3,($N48+2))*-44/12)+($K48*INDEX('DEFAULT DATA'!$MW$9:$VD$41,START!$C$3,($N48+3))*-44/12)+($L48*INDEX('DEFAULT DATA'!$MW$9:$VD$41,START!$C$3,($N48+4))*-44/12)+($M48*INDEX('DEFAULT DATA'!$MW$9:$VD$41,START!$C$3,($N48+5))*-44/12)</f>
        <v>0</v>
      </c>
      <c r="AE48" s="216">
        <f>($K48*INDEX('DEFAULT DATA'!$MW$9:$VD$41,START!$C$3,($N48))*-44/12)+($K48*INDEX('DEFAULT DATA'!$MW$9:$VD$41,START!$C$3,($N48+1))*-44/12)+($K48*INDEX('DEFAULT DATA'!$MW$9:$VD$41,START!$C$3,($N48+2))*-44/12)+($K48*INDEX('DEFAULT DATA'!$MW$9:$VD$41,START!$C$3,($N48+3))*-44/12)+($L48*INDEX('DEFAULT DATA'!$MW$9:$VD$41,START!$C$3,($N48+4))*-44/12)+($M48*INDEX('DEFAULT DATA'!$MW$9:$VD$41,START!$C$3,($N48+5))*-44/12)</f>
        <v>0</v>
      </c>
      <c r="AF48" s="216">
        <f>($K48*INDEX('DEFAULT DATA'!$MW$9:$VD$41,START!$C$3,($N48))*-44/12)+($K48*INDEX('DEFAULT DATA'!$MW$9:$VD$41,START!$C$3,($N48+1))*-44/12)+($K48*INDEX('DEFAULT DATA'!$MW$9:$VD$41,START!$C$3,($N48+2))*-44/12)+($K48*INDEX('DEFAULT DATA'!$MW$9:$VD$41,START!$C$3,($N48+3))*-44/12)+($L48*INDEX('DEFAULT DATA'!$MW$9:$VD$41,START!$C$3,($N48+4))*-44/12)+($M48*INDEX('DEFAULT DATA'!$MW$9:$VD$41,START!$C$3,($N48+5))*-44/12)</f>
        <v>0</v>
      </c>
      <c r="AG48" s="216">
        <f>($K48*INDEX('DEFAULT DATA'!$MW$9:$VD$41,START!$C$3,($N48))*-44/12)+($K48*INDEX('DEFAULT DATA'!$MW$9:$VD$41,START!$C$3,($N48+1))*-44/12)+($K48*INDEX('DEFAULT DATA'!$MW$9:$VD$41,START!$C$3,($N48+2))*-44/12)+($K48*INDEX('DEFAULT DATA'!$MW$9:$VD$41,START!$C$3,($N48+3))*-44/12)+($L48*INDEX('DEFAULT DATA'!$MW$9:$VD$41,START!$C$3,($N48+4))*-44/12)+($M48*INDEX('DEFAULT DATA'!$MW$9:$VD$41,START!$C$3,($N48+5))*-44/12)</f>
        <v>0</v>
      </c>
      <c r="AH48" s="216">
        <f>($K48*INDEX('DEFAULT DATA'!$MW$9:$VD$41,START!$C$3,($N48))*-44/12)+($K48*INDEX('DEFAULT DATA'!$MW$9:$VD$41,START!$C$3,($N48+1))*-44/12)+($K48*INDEX('DEFAULT DATA'!$MW$9:$VD$41,START!$C$3,($N48+2))*-44/12)+($K48*INDEX('DEFAULT DATA'!$MW$9:$VD$41,START!$C$3,($N48+3))*-44/12)+($L48*INDEX('DEFAULT DATA'!$MW$9:$VD$41,START!$C$3,($N48+4))*-44/12)+($M48*INDEX('DEFAULT DATA'!$MW$9:$VD$41,START!$C$3,($N48+5))*-44/12)</f>
        <v>0</v>
      </c>
      <c r="AI48" s="216">
        <f>($K48*INDEX('DEFAULT DATA'!$MW$9:$VD$41,START!$C$3,($N48))*-44/12)+($K48*INDEX('DEFAULT DATA'!$MW$9:$VD$41,START!$C$3,($N48+1))*-44/12)+($K48*INDEX('DEFAULT DATA'!$MW$9:$VD$41,START!$C$3,($N48+2))*-44/12)+($K48*INDEX('DEFAULT DATA'!$MW$9:$VD$41,START!$C$3,($N48+3))*-44/12)+($L48*INDEX('DEFAULT DATA'!$MW$9:$VD$41,START!$C$3,($N48+4))*-44/12)+($M48*INDEX('DEFAULT DATA'!$MW$9:$VD$41,START!$C$3,($N48+5))*-44/12)</f>
        <v>0</v>
      </c>
      <c r="AJ48" s="216">
        <f>($K48*INDEX('DEFAULT DATA'!$MW$9:$VD$41,START!$C$3,($N48))*-44/12)+($K48*INDEX('DEFAULT DATA'!$MW$9:$VD$41,START!$C$3,($N48+1))*-44/12)+($K48*INDEX('DEFAULT DATA'!$MW$9:$VD$41,START!$C$3,($N48+2))*-44/12)+($K48*INDEX('DEFAULT DATA'!$MW$9:$VD$41,START!$C$3,($N48+3))*-44/12)+($L48*INDEX('DEFAULT DATA'!$MW$9:$VD$41,START!$C$3,($N48+4))*-44/12)+($M48*INDEX('DEFAULT DATA'!$MW$9:$VD$41,START!$C$3,($N48+5))*-44/12)</f>
        <v>0</v>
      </c>
      <c r="AK48" s="438">
        <f>(($K48*INDEX('DEFAULT DATA'!$UG$9:$UL$41,START!$C$3,1)*-44/12)+($K48*INDEX('DEFAULT DATA'!$UG$9:$UL$41,START!$C$3,2)*-44/12)+($K48*INDEX('DEFAULT DATA'!$UG$9:$UL$41,START!$C$3,3)*-44/12)+($K48*INDEX('DEFAULT DATA'!$UG$9:$UL$41,START!$C$3,4)*-44/12)+($L48*INDEX('DEFAULT DATA'!$UG$9:$UL$41,START!$C$3,5)*-44/12)+($M48*INDEX('DEFAULT DATA'!$UG$9:$UL$41,START!$C$3,6)*-44/12))</f>
        <v>0</v>
      </c>
      <c r="AL48" s="438">
        <f>(($K48*INDEX('DEFAULT DATA'!$UG$9:$UL$41,START!$C$3,1)*-44/12)+($K48*INDEX('DEFAULT DATA'!$UG$9:$UL$41,START!$C$3,2)*-44/12)+($K48*INDEX('DEFAULT DATA'!$UG$9:$UL$41,START!$C$3,3)*-44/12)+($K48*INDEX('DEFAULT DATA'!$UG$9:$UL$41,START!$C$3,4)*-44/12)+($L48*INDEX('DEFAULT DATA'!$UG$9:$UL$41,START!$C$3,5)*-44/12)+($M48*INDEX('DEFAULT DATA'!$UG$9:$UL$41,START!$C$3,6)*-44/12))</f>
        <v>0</v>
      </c>
      <c r="AM48" s="438">
        <f>(($K48*INDEX('DEFAULT DATA'!$UG$9:$UL$41,START!$C$3,1)*-44/12)+($K48*INDEX('DEFAULT DATA'!$UG$9:$UL$41,START!$C$3,2)*-44/12)+($K48*INDEX('DEFAULT DATA'!$UG$9:$UL$41,START!$C$3,3)*-44/12)+($K48*INDEX('DEFAULT DATA'!$UG$9:$UL$41,START!$C$3,4)*-44/12)+($L48*INDEX('DEFAULT DATA'!$UG$9:$UL$41,START!$C$3,5)*-44/12)+($M48*INDEX('DEFAULT DATA'!$UG$9:$UL$41,START!$C$3,6)*-44/12))</f>
        <v>0</v>
      </c>
      <c r="AN48" s="438">
        <f>(($K48*INDEX('DEFAULT DATA'!$UG$9:$UL$41,START!$C$3,1)*-44/12)+($K48*INDEX('DEFAULT DATA'!$UG$9:$UL$41,START!$C$3,2)*-44/12)+($K48*INDEX('DEFAULT DATA'!$UG$9:$UL$41,START!$C$3,3)*-44/12)+($K48*INDEX('DEFAULT DATA'!$UG$9:$UL$41,START!$C$3,4)*-44/12)+($L48*INDEX('DEFAULT DATA'!$UG$9:$UL$41,START!$C$3,5)*-44/12)+($M48*INDEX('DEFAULT DATA'!$UG$9:$UL$41,START!$C$3,6)*-44/12))</f>
        <v>0</v>
      </c>
      <c r="AO48" s="438">
        <f>(($K48*INDEX('DEFAULT DATA'!$UG$9:$UL$41,START!$C$3,1)*-44/12)+($K48*INDEX('DEFAULT DATA'!$UG$9:$UL$41,START!$C$3,2)*-44/12)+($K48*INDEX('DEFAULT DATA'!$UG$9:$UL$41,START!$C$3,3)*-44/12)+($K48*INDEX('DEFAULT DATA'!$UG$9:$UL$41,START!$C$3,4)*-44/12)+($L48*INDEX('DEFAULT DATA'!$UG$9:$UL$41,START!$C$3,5)*-44/12)+($M48*INDEX('DEFAULT DATA'!$UG$9:$UL$41,START!$C$3,6)*-44/12))</f>
        <v>0</v>
      </c>
      <c r="AP48" s="438">
        <f>(($K48*INDEX('DEFAULT DATA'!$UG$9:$UL$41,START!$C$3,1)*-44/12)+($K48*INDEX('DEFAULT DATA'!$UG$9:$UL$41,START!$C$3,2)*-44/12)+($K48*INDEX('DEFAULT DATA'!$UG$9:$UL$41,START!$C$3,3)*-44/12)+($K48*INDEX('DEFAULT DATA'!$UG$9:$UL$41,START!$C$3,4)*-44/12)+($L48*INDEX('DEFAULT DATA'!$UG$9:$UL$41,START!$C$3,5)*-44/12)+($M48*INDEX('DEFAULT DATA'!$UG$9:$UL$41,START!$C$3,6)*-44/12))</f>
        <v>0</v>
      </c>
      <c r="AQ48" s="438">
        <f>(($K48*INDEX('DEFAULT DATA'!$UG$9:$UL$41,START!$C$3,1)*-44/12)+($K48*INDEX('DEFAULT DATA'!$UG$9:$UL$41,START!$C$3,2)*-44/12)+($K48*INDEX('DEFAULT DATA'!$UG$9:$UL$41,START!$C$3,3)*-44/12)+($K48*INDEX('DEFAULT DATA'!$UG$9:$UL$41,START!$C$3,4)*-44/12)+($L48*INDEX('DEFAULT DATA'!$UG$9:$UL$41,START!$C$3,5)*-44/12)+($M48*INDEX('DEFAULT DATA'!$UG$9:$UL$41,START!$C$3,6)*-44/12))</f>
        <v>0</v>
      </c>
      <c r="AR48" s="438">
        <f>(($K48*INDEX('DEFAULT DATA'!$UG$9:$UL$41,START!$C$3,1)*-44/12)+($K48*INDEX('DEFAULT DATA'!$UG$9:$UL$41,START!$C$3,2)*-44/12)+($K48*INDEX('DEFAULT DATA'!$UG$9:$UL$41,START!$C$3,3)*-44/12)+($K48*INDEX('DEFAULT DATA'!$UG$9:$UL$41,START!$C$3,4)*-44/12)+($L48*INDEX('DEFAULT DATA'!$UG$9:$UL$41,START!$C$3,5)*-44/12)+($M48*INDEX('DEFAULT DATA'!$UG$9:$UL$41,START!$C$3,6)*-44/12))</f>
        <v>0</v>
      </c>
      <c r="AS48" s="438">
        <f>(($K48*INDEX('DEFAULT DATA'!$UG$9:$UL$41,START!$C$3,1)*-44/12)+($K48*INDEX('DEFAULT DATA'!$UG$9:$UL$41,START!$C$3,2)*-44/12)+($K48*INDEX('DEFAULT DATA'!$UG$9:$UL$41,START!$C$3,3)*-44/12)+($K48*INDEX('DEFAULT DATA'!$UG$9:$UL$41,START!$C$3,4)*-44/12)+($L48*INDEX('DEFAULT DATA'!$UG$9:$UL$41,START!$C$3,5)*-44/12)+($M48*INDEX('DEFAULT DATA'!$UG$9:$UL$41,START!$C$3,6)*-44/12))</f>
        <v>0</v>
      </c>
      <c r="AT48" s="439">
        <f>(($K48*INDEX('DEFAULT DATA'!$UG$9:$UL$41,START!$C$3,1)*-44/12)+($K48*INDEX('DEFAULT DATA'!$UG$9:$UL$41,START!$C$3,2)*-44/12)+($K48*INDEX('DEFAULT DATA'!$UG$9:$UL$41,START!$C$3,3)*-44/12)+($K48*INDEX('DEFAULT DATA'!$UG$9:$UL$41,START!$C$3,4)*-44/12)+($L48*INDEX('DEFAULT DATA'!$UG$9:$UL$41,START!$C$3,5)*-44/12)+($M48*INDEX('DEFAULT DATA'!$UG$9:$UL$41,START!$C$3,6)*-44/12))</f>
        <v>0</v>
      </c>
    </row>
    <row r="49" spans="1:46" ht="20.100000000000001" customHeight="1" thickBot="1">
      <c r="A49" s="421"/>
      <c r="B49" s="1347" t="s">
        <v>892</v>
      </c>
      <c r="C49" s="1024"/>
      <c r="D49" s="1024"/>
      <c r="E49" s="955">
        <v>1000</v>
      </c>
      <c r="F49" s="953">
        <v>0</v>
      </c>
      <c r="G49" s="956">
        <v>0</v>
      </c>
      <c r="H49" s="1024">
        <v>4</v>
      </c>
      <c r="I49" s="460"/>
      <c r="J49" s="273"/>
      <c r="K49" s="482">
        <f t="shared" si="37"/>
        <v>0</v>
      </c>
      <c r="L49" s="483">
        <f t="shared" si="38"/>
        <v>0</v>
      </c>
      <c r="M49" s="483">
        <f t="shared" si="39"/>
        <v>0</v>
      </c>
      <c r="N49" s="320">
        <f t="shared" si="41"/>
        <v>85</v>
      </c>
      <c r="O49" s="484" t="s">
        <v>829</v>
      </c>
      <c r="P49" s="485">
        <f t="shared" si="40"/>
        <v>2022</v>
      </c>
      <c r="Q49" s="440">
        <f>($K49*INDEX('DEFAULT DATA'!$MW$9:$VD$41,START!$C$3,($N49))*-44/12)+($K49*INDEX('DEFAULT DATA'!$MW$9:$VD$41,START!$C$3,($N49+1))*-44/12)+($K49*INDEX('DEFAULT DATA'!$MW$9:$VD$41,START!$C$3,($N49+2))*-44/12)+($K49*INDEX('DEFAULT DATA'!$MW$9:$VD$41,START!$C$3,($N49+3))*-44/12)+($L49*INDEX('DEFAULT DATA'!$MW$9:$VD$41,START!$C$3,($N49+4))*-44/12)+($M49*INDEX('DEFAULT DATA'!$MW$9:$VD$41,START!$C$3,($N49+5))*-44/12)</f>
        <v>0</v>
      </c>
      <c r="R49" s="440">
        <f>($K49*INDEX('DEFAULT DATA'!$MW$9:$VD$41,START!$C$3,($N49))*-44/12)+($K49*INDEX('DEFAULT DATA'!$MW$9:$VD$41,START!$C$3,($N49+1))*-44/12)+($K49*INDEX('DEFAULT DATA'!$MW$9:$VD$41,START!$C$3,($N49+2))*-44/12)+($K49*INDEX('DEFAULT DATA'!$MW$9:$VD$41,START!$C$3,($N49+3))*-44/12)+($L49*INDEX('DEFAULT DATA'!$MW$9:$VD$41,START!$C$3,($N49+4))*-44/12)+($M49*INDEX('DEFAULT DATA'!$MW$9:$VD$41,START!$C$3,($N49+5))*-44/12)</f>
        <v>0</v>
      </c>
      <c r="S49" s="440">
        <f>($K49*INDEX('DEFAULT DATA'!$MW$9:$VD$41,START!$C$3,($N49))*-44/12)+($K49*INDEX('DEFAULT DATA'!$MW$9:$VD$41,START!$C$3,($N49+1))*-44/12)+($K49*INDEX('DEFAULT DATA'!$MW$9:$VD$41,START!$C$3,($N49+2))*-44/12)+($K49*INDEX('DEFAULT DATA'!$MW$9:$VD$41,START!$C$3,($N49+3))*-44/12)+($L49*INDEX('DEFAULT DATA'!$MW$9:$VD$41,START!$C$3,($N49+4))*-44/12)+($M49*INDEX('DEFAULT DATA'!$MW$9:$VD$41,START!$C$3,($N49+5))*-44/12)</f>
        <v>0</v>
      </c>
      <c r="T49" s="440">
        <f>($K49*INDEX('DEFAULT DATA'!$MW$9:$VD$41,START!$C$3,($N49))*-44/12)+($K49*INDEX('DEFAULT DATA'!$MW$9:$VD$41,START!$C$3,($N49+1))*-44/12)+($K49*INDEX('DEFAULT DATA'!$MW$9:$VD$41,START!$C$3,($N49+2))*-44/12)+($K49*INDEX('DEFAULT DATA'!$MW$9:$VD$41,START!$C$3,($N49+3))*-44/12)+($L49*INDEX('DEFAULT DATA'!$MW$9:$VD$41,START!$C$3,($N49+4))*-44/12)+($M49*INDEX('DEFAULT DATA'!$MW$9:$VD$41,START!$C$3,($N49+5))*-44/12)</f>
        <v>0</v>
      </c>
      <c r="U49" s="440">
        <f>($K49*INDEX('DEFAULT DATA'!$MW$9:$VD$41,START!$C$3,($N49))*-44/12)+($K49*INDEX('DEFAULT DATA'!$MW$9:$VD$41,START!$C$3,($N49+1))*-44/12)+($K49*INDEX('DEFAULT DATA'!$MW$9:$VD$41,START!$C$3,($N49+2))*-44/12)+($K49*INDEX('DEFAULT DATA'!$MW$9:$VD$41,START!$C$3,($N49+3))*-44/12)+($L49*INDEX('DEFAULT DATA'!$MW$9:$VD$41,START!$C$3,($N49+4))*-44/12)+($M49*INDEX('DEFAULT DATA'!$MW$9:$VD$41,START!$C$3,($N49+5))*-44/12)</f>
        <v>0</v>
      </c>
      <c r="V49" s="440">
        <f>($K49*INDEX('DEFAULT DATA'!$MW$9:$VD$41,START!$C$3,($N49))*-44/12)+($K49*INDEX('DEFAULT DATA'!$MW$9:$VD$41,START!$C$3,($N49+1))*-44/12)+($K49*INDEX('DEFAULT DATA'!$MW$9:$VD$41,START!$C$3,($N49+2))*-44/12)+($K49*INDEX('DEFAULT DATA'!$MW$9:$VD$41,START!$C$3,($N49+3))*-44/12)+($L49*INDEX('DEFAULT DATA'!$MW$9:$VD$41,START!$C$3,($N49+4))*-44/12)+($M49*INDEX('DEFAULT DATA'!$MW$9:$VD$41,START!$C$3,($N49+5))*-44/12)</f>
        <v>0</v>
      </c>
      <c r="W49" s="440">
        <f>($K49*INDEX('DEFAULT DATA'!$MW$9:$VD$41,START!$C$3,($N49))*-44/12)+($K49*INDEX('DEFAULT DATA'!$MW$9:$VD$41,START!$C$3,($N49+1))*-44/12)+($K49*INDEX('DEFAULT DATA'!$MW$9:$VD$41,START!$C$3,($N49+2))*-44/12)+($K49*INDEX('DEFAULT DATA'!$MW$9:$VD$41,START!$C$3,($N49+3))*-44/12)+($L49*INDEX('DEFAULT DATA'!$MW$9:$VD$41,START!$C$3,($N49+4))*-44/12)+($M49*INDEX('DEFAULT DATA'!$MW$9:$VD$41,START!$C$3,($N49+5))*-44/12)</f>
        <v>0</v>
      </c>
      <c r="X49" s="440">
        <f>($K49*INDEX('DEFAULT DATA'!$MW$9:$VD$41,START!$C$3,($N49))*-44/12)+($K49*INDEX('DEFAULT DATA'!$MW$9:$VD$41,START!$C$3,($N49+1))*-44/12)+($K49*INDEX('DEFAULT DATA'!$MW$9:$VD$41,START!$C$3,($N49+2))*-44/12)+($K49*INDEX('DEFAULT DATA'!$MW$9:$VD$41,START!$C$3,($N49+3))*-44/12)+($L49*INDEX('DEFAULT DATA'!$MW$9:$VD$41,START!$C$3,($N49+4))*-44/12)+($M49*INDEX('DEFAULT DATA'!$MW$9:$VD$41,START!$C$3,($N49+5))*-44/12)</f>
        <v>0</v>
      </c>
      <c r="Y49" s="440">
        <f>($K49*INDEX('DEFAULT DATA'!$MW$9:$VD$41,START!$C$3,($N49))*-44/12)+($K49*INDEX('DEFAULT DATA'!$MW$9:$VD$41,START!$C$3,($N49+1))*-44/12)+($K49*INDEX('DEFAULT DATA'!$MW$9:$VD$41,START!$C$3,($N49+2))*-44/12)+($K49*INDEX('DEFAULT DATA'!$MW$9:$VD$41,START!$C$3,($N49+3))*-44/12)+($L49*INDEX('DEFAULT DATA'!$MW$9:$VD$41,START!$C$3,($N49+4))*-44/12)+($M49*INDEX('DEFAULT DATA'!$MW$9:$VD$41,START!$C$3,($N49+5))*-44/12)</f>
        <v>0</v>
      </c>
      <c r="Z49" s="440">
        <f>($K49*INDEX('DEFAULT DATA'!$MW$9:$VD$41,START!$C$3,($N49))*-44/12)+($K49*INDEX('DEFAULT DATA'!$MW$9:$VD$41,START!$C$3,($N49+1))*-44/12)+($K49*INDEX('DEFAULT DATA'!$MW$9:$VD$41,START!$C$3,($N49+2))*-44/12)+($K49*INDEX('DEFAULT DATA'!$MW$9:$VD$41,START!$C$3,($N49+3))*-44/12)+($L49*INDEX('DEFAULT DATA'!$MW$9:$VD$41,START!$C$3,($N49+4))*-44/12)+($M49*INDEX('DEFAULT DATA'!$MW$9:$VD$41,START!$C$3,($N49+5))*-44/12)</f>
        <v>0</v>
      </c>
      <c r="AA49" s="440">
        <f>($K49*INDEX('DEFAULT DATA'!$MW$9:$VD$41,START!$C$3,($N49))*-44/12)+($K49*INDEX('DEFAULT DATA'!$MW$9:$VD$41,START!$C$3,($N49+1))*-44/12)+($K49*INDEX('DEFAULT DATA'!$MW$9:$VD$41,START!$C$3,($N49+2))*-44/12)+($K49*INDEX('DEFAULT DATA'!$MW$9:$VD$41,START!$C$3,($N49+3))*-44/12)+($L49*INDEX('DEFAULT DATA'!$MW$9:$VD$41,START!$C$3,($N49+4))*-44/12)+($M49*INDEX('DEFAULT DATA'!$MW$9:$VD$41,START!$C$3,($N49+5))*-44/12)</f>
        <v>0</v>
      </c>
      <c r="AB49" s="440">
        <f>($K49*INDEX('DEFAULT DATA'!$MW$9:$VD$41,START!$C$3,($N49))*-44/12)+($K49*INDEX('DEFAULT DATA'!$MW$9:$VD$41,START!$C$3,($N49+1))*-44/12)+($K49*INDEX('DEFAULT DATA'!$MW$9:$VD$41,START!$C$3,($N49+2))*-44/12)+($K49*INDEX('DEFAULT DATA'!$MW$9:$VD$41,START!$C$3,($N49+3))*-44/12)+($L49*INDEX('DEFAULT DATA'!$MW$9:$VD$41,START!$C$3,($N49+4))*-44/12)+($M49*INDEX('DEFAULT DATA'!$MW$9:$VD$41,START!$C$3,($N49+5))*-44/12)</f>
        <v>0</v>
      </c>
      <c r="AC49" s="440">
        <f>($K49*INDEX('DEFAULT DATA'!$MW$9:$VD$41,START!$C$3,($N49))*-44/12)+($K49*INDEX('DEFAULT DATA'!$MW$9:$VD$41,START!$C$3,($N49+1))*-44/12)+($K49*INDEX('DEFAULT DATA'!$MW$9:$VD$41,START!$C$3,($N49+2))*-44/12)+($K49*INDEX('DEFAULT DATA'!$MW$9:$VD$41,START!$C$3,($N49+3))*-44/12)+($L49*INDEX('DEFAULT DATA'!$MW$9:$VD$41,START!$C$3,($N49+4))*-44/12)+($M49*INDEX('DEFAULT DATA'!$MW$9:$VD$41,START!$C$3,($N49+5))*-44/12)</f>
        <v>0</v>
      </c>
      <c r="AD49" s="440">
        <f>($K49*INDEX('DEFAULT DATA'!$MW$9:$VD$41,START!$C$3,($N49))*-44/12)+($K49*INDEX('DEFAULT DATA'!$MW$9:$VD$41,START!$C$3,($N49+1))*-44/12)+($K49*INDEX('DEFAULT DATA'!$MW$9:$VD$41,START!$C$3,($N49+2))*-44/12)+($K49*INDEX('DEFAULT DATA'!$MW$9:$VD$41,START!$C$3,($N49+3))*-44/12)+($L49*INDEX('DEFAULT DATA'!$MW$9:$VD$41,START!$C$3,($N49+4))*-44/12)+($M49*INDEX('DEFAULT DATA'!$MW$9:$VD$41,START!$C$3,($N49+5))*-44/12)</f>
        <v>0</v>
      </c>
      <c r="AE49" s="440">
        <f>($K49*INDEX('DEFAULT DATA'!$MW$9:$VD$41,START!$C$3,($N49))*-44/12)+($K49*INDEX('DEFAULT DATA'!$MW$9:$VD$41,START!$C$3,($N49+1))*-44/12)+($K49*INDEX('DEFAULT DATA'!$MW$9:$VD$41,START!$C$3,($N49+2))*-44/12)+($K49*INDEX('DEFAULT DATA'!$MW$9:$VD$41,START!$C$3,($N49+3))*-44/12)+($L49*INDEX('DEFAULT DATA'!$MW$9:$VD$41,START!$C$3,($N49+4))*-44/12)+($M49*INDEX('DEFAULT DATA'!$MW$9:$VD$41,START!$C$3,($N49+5))*-44/12)</f>
        <v>0</v>
      </c>
      <c r="AF49" s="440">
        <f>($K49*INDEX('DEFAULT DATA'!$MW$9:$VD$41,START!$C$3,($N49))*-44/12)+($K49*INDEX('DEFAULT DATA'!$MW$9:$VD$41,START!$C$3,($N49+1))*-44/12)+($K49*INDEX('DEFAULT DATA'!$MW$9:$VD$41,START!$C$3,($N49+2))*-44/12)+($K49*INDEX('DEFAULT DATA'!$MW$9:$VD$41,START!$C$3,($N49+3))*-44/12)+($L49*INDEX('DEFAULT DATA'!$MW$9:$VD$41,START!$C$3,($N49+4))*-44/12)+($M49*INDEX('DEFAULT DATA'!$MW$9:$VD$41,START!$C$3,($N49+5))*-44/12)</f>
        <v>0</v>
      </c>
      <c r="AG49" s="440">
        <f>($K49*INDEX('DEFAULT DATA'!$MW$9:$VD$41,START!$C$3,($N49))*-44/12)+($K49*INDEX('DEFAULT DATA'!$MW$9:$VD$41,START!$C$3,($N49+1))*-44/12)+($K49*INDEX('DEFAULT DATA'!$MW$9:$VD$41,START!$C$3,($N49+2))*-44/12)+($K49*INDEX('DEFAULT DATA'!$MW$9:$VD$41,START!$C$3,($N49+3))*-44/12)+($L49*INDEX('DEFAULT DATA'!$MW$9:$VD$41,START!$C$3,($N49+4))*-44/12)+($M49*INDEX('DEFAULT DATA'!$MW$9:$VD$41,START!$C$3,($N49+5))*-44/12)</f>
        <v>0</v>
      </c>
      <c r="AH49" s="440">
        <f>($K49*INDEX('DEFAULT DATA'!$MW$9:$VD$41,START!$C$3,($N49))*-44/12)+($K49*INDEX('DEFAULT DATA'!$MW$9:$VD$41,START!$C$3,($N49+1))*-44/12)+($K49*INDEX('DEFAULT DATA'!$MW$9:$VD$41,START!$C$3,($N49+2))*-44/12)+($K49*INDEX('DEFAULT DATA'!$MW$9:$VD$41,START!$C$3,($N49+3))*-44/12)+($L49*INDEX('DEFAULT DATA'!$MW$9:$VD$41,START!$C$3,($N49+4))*-44/12)+($M49*INDEX('DEFAULT DATA'!$MW$9:$VD$41,START!$C$3,($N49+5))*-44/12)</f>
        <v>0</v>
      </c>
      <c r="AI49" s="440">
        <f>($K49*INDEX('DEFAULT DATA'!$MW$9:$VD$41,START!$C$3,($N49))*-44/12)+($K49*INDEX('DEFAULT DATA'!$MW$9:$VD$41,START!$C$3,($N49+1))*-44/12)+($K49*INDEX('DEFAULT DATA'!$MW$9:$VD$41,START!$C$3,($N49+2))*-44/12)+($K49*INDEX('DEFAULT DATA'!$MW$9:$VD$41,START!$C$3,($N49+3))*-44/12)+($L49*INDEX('DEFAULT DATA'!$MW$9:$VD$41,START!$C$3,($N49+4))*-44/12)+($M49*INDEX('DEFAULT DATA'!$MW$9:$VD$41,START!$C$3,($N49+5))*-44/12)</f>
        <v>0</v>
      </c>
      <c r="AJ49" s="440">
        <f>($K49*INDEX('DEFAULT DATA'!$MW$9:$VD$41,START!$C$3,($N49))*-44/12)+($K49*INDEX('DEFAULT DATA'!$MW$9:$VD$41,START!$C$3,($N49+1))*-44/12)+($K49*INDEX('DEFAULT DATA'!$MW$9:$VD$41,START!$C$3,($N49+2))*-44/12)+($K49*INDEX('DEFAULT DATA'!$MW$9:$VD$41,START!$C$3,($N49+3))*-44/12)+($L49*INDEX('DEFAULT DATA'!$MW$9:$VD$41,START!$C$3,($N49+4))*-44/12)+($M49*INDEX('DEFAULT DATA'!$MW$9:$VD$41,START!$C$3,($N49+5))*-44/12)</f>
        <v>0</v>
      </c>
      <c r="AK49" s="441">
        <f>(($K49*INDEX('DEFAULT DATA'!$UG$9:$UL$41,START!$C$3,1)*-44/12)+($K49*INDEX('DEFAULT DATA'!$UG$9:$UL$41,START!$C$3,2)*-44/12)+($K49*INDEX('DEFAULT DATA'!$UG$9:$UL$41,START!$C$3,3)*-44/12)+($K49*INDEX('DEFAULT DATA'!$UG$9:$UL$41,START!$C$3,4)*-44/12)+($L49*INDEX('DEFAULT DATA'!$UG$9:$UL$41,START!$C$3,5)*-44/12)+($M49*INDEX('DEFAULT DATA'!$UG$9:$UL$41,START!$C$3,6)*-44/12))</f>
        <v>0</v>
      </c>
      <c r="AL49" s="441">
        <f>(($K49*INDEX('DEFAULT DATA'!$UG$9:$UL$41,START!$C$3,1)*-44/12)+($K49*INDEX('DEFAULT DATA'!$UG$9:$UL$41,START!$C$3,2)*-44/12)+($K49*INDEX('DEFAULT DATA'!$UG$9:$UL$41,START!$C$3,3)*-44/12)+($K49*INDEX('DEFAULT DATA'!$UG$9:$UL$41,START!$C$3,4)*-44/12)+($L49*INDEX('DEFAULT DATA'!$UG$9:$UL$41,START!$C$3,5)*-44/12)+($M49*INDEX('DEFAULT DATA'!$UG$9:$UL$41,START!$C$3,6)*-44/12))</f>
        <v>0</v>
      </c>
      <c r="AM49" s="441">
        <f>(($K49*INDEX('DEFAULT DATA'!$UG$9:$UL$41,START!$C$3,1)*-44/12)+($K49*INDEX('DEFAULT DATA'!$UG$9:$UL$41,START!$C$3,2)*-44/12)+($K49*INDEX('DEFAULT DATA'!$UG$9:$UL$41,START!$C$3,3)*-44/12)+($K49*INDEX('DEFAULT DATA'!$UG$9:$UL$41,START!$C$3,4)*-44/12)+($L49*INDEX('DEFAULT DATA'!$UG$9:$UL$41,START!$C$3,5)*-44/12)+($M49*INDEX('DEFAULT DATA'!$UG$9:$UL$41,START!$C$3,6)*-44/12))</f>
        <v>0</v>
      </c>
      <c r="AN49" s="441">
        <f>(($K49*INDEX('DEFAULT DATA'!$UG$9:$UL$41,START!$C$3,1)*-44/12)+($K49*INDEX('DEFAULT DATA'!$UG$9:$UL$41,START!$C$3,2)*-44/12)+($K49*INDEX('DEFAULT DATA'!$UG$9:$UL$41,START!$C$3,3)*-44/12)+($K49*INDEX('DEFAULT DATA'!$UG$9:$UL$41,START!$C$3,4)*-44/12)+($L49*INDEX('DEFAULT DATA'!$UG$9:$UL$41,START!$C$3,5)*-44/12)+($M49*INDEX('DEFAULT DATA'!$UG$9:$UL$41,START!$C$3,6)*-44/12))</f>
        <v>0</v>
      </c>
      <c r="AO49" s="441">
        <f>(($K49*INDEX('DEFAULT DATA'!$UG$9:$UL$41,START!$C$3,1)*-44/12)+($K49*INDEX('DEFAULT DATA'!$UG$9:$UL$41,START!$C$3,2)*-44/12)+($K49*INDEX('DEFAULT DATA'!$UG$9:$UL$41,START!$C$3,3)*-44/12)+($K49*INDEX('DEFAULT DATA'!$UG$9:$UL$41,START!$C$3,4)*-44/12)+($L49*INDEX('DEFAULT DATA'!$UG$9:$UL$41,START!$C$3,5)*-44/12)+($M49*INDEX('DEFAULT DATA'!$UG$9:$UL$41,START!$C$3,6)*-44/12))</f>
        <v>0</v>
      </c>
      <c r="AP49" s="441">
        <f>(($K49*INDEX('DEFAULT DATA'!$UG$9:$UL$41,START!$C$3,1)*-44/12)+($K49*INDEX('DEFAULT DATA'!$UG$9:$UL$41,START!$C$3,2)*-44/12)+($K49*INDEX('DEFAULT DATA'!$UG$9:$UL$41,START!$C$3,3)*-44/12)+($K49*INDEX('DEFAULT DATA'!$UG$9:$UL$41,START!$C$3,4)*-44/12)+($L49*INDEX('DEFAULT DATA'!$UG$9:$UL$41,START!$C$3,5)*-44/12)+($M49*INDEX('DEFAULT DATA'!$UG$9:$UL$41,START!$C$3,6)*-44/12))</f>
        <v>0</v>
      </c>
      <c r="AQ49" s="441">
        <f>(($K49*INDEX('DEFAULT DATA'!$UG$9:$UL$41,START!$C$3,1)*-44/12)+($K49*INDEX('DEFAULT DATA'!$UG$9:$UL$41,START!$C$3,2)*-44/12)+($K49*INDEX('DEFAULT DATA'!$UG$9:$UL$41,START!$C$3,3)*-44/12)+($K49*INDEX('DEFAULT DATA'!$UG$9:$UL$41,START!$C$3,4)*-44/12)+($L49*INDEX('DEFAULT DATA'!$UG$9:$UL$41,START!$C$3,5)*-44/12)+($M49*INDEX('DEFAULT DATA'!$UG$9:$UL$41,START!$C$3,6)*-44/12))</f>
        <v>0</v>
      </c>
      <c r="AR49" s="441">
        <f>(($K49*INDEX('DEFAULT DATA'!$UG$9:$UL$41,START!$C$3,1)*-44/12)+($K49*INDEX('DEFAULT DATA'!$UG$9:$UL$41,START!$C$3,2)*-44/12)+($K49*INDEX('DEFAULT DATA'!$UG$9:$UL$41,START!$C$3,3)*-44/12)+($K49*INDEX('DEFAULT DATA'!$UG$9:$UL$41,START!$C$3,4)*-44/12)+($L49*INDEX('DEFAULT DATA'!$UG$9:$UL$41,START!$C$3,5)*-44/12)+($M49*INDEX('DEFAULT DATA'!$UG$9:$UL$41,START!$C$3,6)*-44/12))</f>
        <v>0</v>
      </c>
      <c r="AS49" s="441">
        <f>(($K49*INDEX('DEFAULT DATA'!$UG$9:$UL$41,START!$C$3,1)*-44/12)+($K49*INDEX('DEFAULT DATA'!$UG$9:$UL$41,START!$C$3,2)*-44/12)+($K49*INDEX('DEFAULT DATA'!$UG$9:$UL$41,START!$C$3,3)*-44/12)+($K49*INDEX('DEFAULT DATA'!$UG$9:$UL$41,START!$C$3,4)*-44/12)+($L49*INDEX('DEFAULT DATA'!$UG$9:$UL$41,START!$C$3,5)*-44/12)+($M49*INDEX('DEFAULT DATA'!$UG$9:$UL$41,START!$C$3,6)*-44/12))</f>
        <v>0</v>
      </c>
      <c r="AT49" s="442">
        <f>(($K49*INDEX('DEFAULT DATA'!$UG$9:$UL$41,START!$C$3,1)*-44/12)+($K49*INDEX('DEFAULT DATA'!$UG$9:$UL$41,START!$C$3,2)*-44/12)+($K49*INDEX('DEFAULT DATA'!$UG$9:$UL$41,START!$C$3,3)*-44/12)+($K49*INDEX('DEFAULT DATA'!$UG$9:$UL$41,START!$C$3,4)*-44/12)+($L49*INDEX('DEFAULT DATA'!$UG$9:$UL$41,START!$C$3,5)*-44/12)+($M49*INDEX('DEFAULT DATA'!$UG$9:$UL$41,START!$C$3,6)*-44/12))</f>
        <v>0</v>
      </c>
    </row>
    <row r="50" spans="1:46" ht="20.100000000000001" customHeight="1">
      <c r="A50" s="421"/>
      <c r="B50" s="1347" t="s">
        <v>893</v>
      </c>
      <c r="C50" s="1024"/>
      <c r="D50" s="1024"/>
      <c r="E50" s="955">
        <v>1000</v>
      </c>
      <c r="F50" s="953">
        <v>0</v>
      </c>
      <c r="G50" s="956">
        <v>0</v>
      </c>
      <c r="H50" s="1024">
        <v>4</v>
      </c>
      <c r="I50" s="460"/>
      <c r="J50" s="273"/>
      <c r="K50" s="475">
        <f t="shared" si="37"/>
        <v>0</v>
      </c>
      <c r="L50" s="375">
        <f t="shared" si="38"/>
        <v>0</v>
      </c>
      <c r="M50" s="375">
        <f t="shared" si="39"/>
        <v>0</v>
      </c>
      <c r="N50" s="317">
        <f t="shared" si="41"/>
        <v>91</v>
      </c>
      <c r="O50" s="476" t="s">
        <v>877</v>
      </c>
      <c r="P50" s="477">
        <f t="shared" si="40"/>
        <v>2022</v>
      </c>
      <c r="Q50" s="370">
        <f>($K50*INDEX('DEFAULT DATA'!$MW$9:$VD$41,START!$C$3,($N50))*-44/12)+($K50*INDEX('DEFAULT DATA'!$MW$9:$VD$41,START!$C$3,($N50+1))*-44/12)+($K50*INDEX('DEFAULT DATA'!$MW$9:$VD$41,START!$C$3,($N50+2))*-44/12)+($K50*INDEX('DEFAULT DATA'!$MW$9:$VD$41,START!$C$3,($N50+3))*-44/12)+($L50*INDEX('DEFAULT DATA'!$MW$9:$VD$41,START!$C$3,($N50+4))*-44/12)+($M50*INDEX('DEFAULT DATA'!$MW$9:$VD$41,START!$C$3,($N50+5))*-44/12)</f>
        <v>0</v>
      </c>
      <c r="R50" s="370">
        <f>($K50*INDEX('DEFAULT DATA'!$MW$9:$VD$41,START!$C$3,($N50))*-44/12)+($K50*INDEX('DEFAULT DATA'!$MW$9:$VD$41,START!$C$3,($N50+1))*-44/12)+($K50*INDEX('DEFAULT DATA'!$MW$9:$VD$41,START!$C$3,($N50+2))*-44/12)+($K50*INDEX('DEFAULT DATA'!$MW$9:$VD$41,START!$C$3,($N50+3))*-44/12)+($L50*INDEX('DEFAULT DATA'!$MW$9:$VD$41,START!$C$3,($N50+4))*-44/12)+($M50*INDEX('DEFAULT DATA'!$MW$9:$VD$41,START!$C$3,($N50+5))*-44/12)</f>
        <v>0</v>
      </c>
      <c r="S50" s="370">
        <f>($K50*INDEX('DEFAULT DATA'!$MW$9:$VD$41,START!$C$3,($N50))*-44/12)+($K50*INDEX('DEFAULT DATA'!$MW$9:$VD$41,START!$C$3,($N50+1))*-44/12)+($K50*INDEX('DEFAULT DATA'!$MW$9:$VD$41,START!$C$3,($N50+2))*-44/12)+($K50*INDEX('DEFAULT DATA'!$MW$9:$VD$41,START!$C$3,($N50+3))*-44/12)+($L50*INDEX('DEFAULT DATA'!$MW$9:$VD$41,START!$C$3,($N50+4))*-44/12)+($M50*INDEX('DEFAULT DATA'!$MW$9:$VD$41,START!$C$3,($N50+5))*-44/12)</f>
        <v>0</v>
      </c>
      <c r="T50" s="370">
        <f>($K50*INDEX('DEFAULT DATA'!$MW$9:$VD$41,START!$C$3,($N50))*-44/12)+($K50*INDEX('DEFAULT DATA'!$MW$9:$VD$41,START!$C$3,($N50+1))*-44/12)+($K50*INDEX('DEFAULT DATA'!$MW$9:$VD$41,START!$C$3,($N50+2))*-44/12)+($K50*INDEX('DEFAULT DATA'!$MW$9:$VD$41,START!$C$3,($N50+3))*-44/12)+($L50*INDEX('DEFAULT DATA'!$MW$9:$VD$41,START!$C$3,($N50+4))*-44/12)+($M50*INDEX('DEFAULT DATA'!$MW$9:$VD$41,START!$C$3,($N50+5))*-44/12)</f>
        <v>0</v>
      </c>
      <c r="U50" s="370">
        <f>($K50*INDEX('DEFAULT DATA'!$MW$9:$VD$41,START!$C$3,($N50))*-44/12)+($K50*INDEX('DEFAULT DATA'!$MW$9:$VD$41,START!$C$3,($N50+1))*-44/12)+($K50*INDEX('DEFAULT DATA'!$MW$9:$VD$41,START!$C$3,($N50+2))*-44/12)+($K50*INDEX('DEFAULT DATA'!$MW$9:$VD$41,START!$C$3,($N50+3))*-44/12)+($L50*INDEX('DEFAULT DATA'!$MW$9:$VD$41,START!$C$3,($N50+4))*-44/12)+($M50*INDEX('DEFAULT DATA'!$MW$9:$VD$41,START!$C$3,($N50+5))*-44/12)</f>
        <v>0</v>
      </c>
      <c r="V50" s="370">
        <f>($K50*INDEX('DEFAULT DATA'!$UM$9:$UR$41,START!$C$3,1)*-44/12)+($K50*INDEX('DEFAULT DATA'!$UM$9:$UR$41,START!$C$3,2)*-44/12)+($K50*INDEX('DEFAULT DATA'!$UM$9:$UR$41,START!$C$3,3)*-44/12)+($K50*INDEX('DEFAULT DATA'!$UM$9:$UR$41,START!$C$3,4)*-44/12)+($L50*INDEX('DEFAULT DATA'!$UM$9:$UR$41,START!$C$3,5)*-44/12)+($M50*INDEX('DEFAULT DATA'!$UM$9:$UR$41,START!$C$3,6)*-44/12)</f>
        <v>0</v>
      </c>
      <c r="W50" s="370">
        <f>($K50*INDEX('DEFAULT DATA'!$UM$9:$UR$41,START!$C$3,1)*-44/12)+($K50*INDEX('DEFAULT DATA'!$UM$9:$UR$41,START!$C$3,2)*-44/12)+($K50*INDEX('DEFAULT DATA'!$UM$9:$UR$41,START!$C$3,3)*-44/12)+($K50*INDEX('DEFAULT DATA'!$UM$9:$UR$41,START!$C$3,4)*-44/12)+($L50*INDEX('DEFAULT DATA'!$UM$9:$UR$41,START!$C$3,5)*-44/12)+($M50*INDEX('DEFAULT DATA'!$UM$9:$UR$41,START!$C$3,6)*-44/12)</f>
        <v>0</v>
      </c>
      <c r="X50" s="370">
        <f>($K50*INDEX('DEFAULT DATA'!$UM$9:$UR$41,START!$C$3,1)*-44/12)+($K50*INDEX('DEFAULT DATA'!$UM$9:$UR$41,START!$C$3,2)*-44/12)+($K50*INDEX('DEFAULT DATA'!$UM$9:$UR$41,START!$C$3,3)*-44/12)+($K50*INDEX('DEFAULT DATA'!$UM$9:$UR$41,START!$C$3,4)*-44/12)+($L50*INDEX('DEFAULT DATA'!$UM$9:$UR$41,START!$C$3,5)*-44/12)+($M50*INDEX('DEFAULT DATA'!$UM$9:$UR$41,START!$C$3,6)*-44/12)</f>
        <v>0</v>
      </c>
      <c r="Y50" s="370">
        <f>($K50*INDEX('DEFAULT DATA'!$UM$9:$UR$41,START!$C$3,1)*-44/12)+($K50*INDEX('DEFAULT DATA'!$UM$9:$UR$41,START!$C$3,2)*-44/12)+($K50*INDEX('DEFAULT DATA'!$UM$9:$UR$41,START!$C$3,3)*-44/12)+($K50*INDEX('DEFAULT DATA'!$UM$9:$UR$41,START!$C$3,4)*-44/12)+($L50*INDEX('DEFAULT DATA'!$UM$9:$UR$41,START!$C$3,5)*-44/12)+($M50*INDEX('DEFAULT DATA'!$UM$9:$UR$41,START!$C$3,6)*-44/12)</f>
        <v>0</v>
      </c>
      <c r="Z50" s="370">
        <f>($K50*INDEX('DEFAULT DATA'!$UM$9:$UR$41,START!$C$3,1)*-44/12)+($K50*INDEX('DEFAULT DATA'!$UM$9:$UR$41,START!$C$3,2)*-44/12)+($K50*INDEX('DEFAULT DATA'!$UM$9:$UR$41,START!$C$3,3)*-44/12)+($K50*INDEX('DEFAULT DATA'!$UM$9:$UR$41,START!$C$3,4)*-44/12)+($L50*INDEX('DEFAULT DATA'!$UM$9:$UR$41,START!$C$3,5)*-44/12)+($M50*INDEX('DEFAULT DATA'!$UM$9:$UR$41,START!$C$3,6)*-44/12)</f>
        <v>0</v>
      </c>
      <c r="AA50" s="370">
        <f>($K50*INDEX('DEFAULT DATA'!$UM$9:$UR$41,START!$C$3,1)*-44/12)+($K50*INDEX('DEFAULT DATA'!$UM$9:$UR$41,START!$C$3,2)*-44/12)+($K50*INDEX('DEFAULT DATA'!$UM$9:$UR$41,START!$C$3,3)*-44/12)+($K50*INDEX('DEFAULT DATA'!$UM$9:$UR$41,START!$C$3,4)*-44/12)+($L50*INDEX('DEFAULT DATA'!$UM$9:$UR$41,START!$C$3,5)*-44/12)+($M50*INDEX('DEFAULT DATA'!$UM$9:$UR$41,START!$C$3,6)*-44/12)</f>
        <v>0</v>
      </c>
      <c r="AB50" s="370">
        <f>($K50*INDEX('DEFAULT DATA'!$UM$9:$UR$41,START!$C$3,1)*-44/12)+($K50*INDEX('DEFAULT DATA'!$UM$9:$UR$41,START!$C$3,2)*-44/12)+($K50*INDEX('DEFAULT DATA'!$UM$9:$UR$41,START!$C$3,3)*-44/12)+($K50*INDEX('DEFAULT DATA'!$UM$9:$UR$41,START!$C$3,4)*-44/12)+($L50*INDEX('DEFAULT DATA'!$UM$9:$UR$41,START!$C$3,5)*-44/12)+($M50*INDEX('DEFAULT DATA'!$UM$9:$UR$41,START!$C$3,6)*-44/12)</f>
        <v>0</v>
      </c>
      <c r="AC50" s="370">
        <f>($K50*INDEX('DEFAULT DATA'!$UM$9:$UR$41,START!$C$3,1)*-44/12)+($K50*INDEX('DEFAULT DATA'!$UM$9:$UR$41,START!$C$3,2)*-44/12)+($K50*INDEX('DEFAULT DATA'!$UM$9:$UR$41,START!$C$3,3)*-44/12)+($K50*INDEX('DEFAULT DATA'!$UM$9:$UR$41,START!$C$3,4)*-44/12)+($L50*INDEX('DEFAULT DATA'!$UM$9:$UR$41,START!$C$3,5)*-44/12)+($M50*INDEX('DEFAULT DATA'!$UM$9:$UR$41,START!$C$3,6)*-44/12)</f>
        <v>0</v>
      </c>
      <c r="AD50" s="370">
        <f>($K50*INDEX('DEFAULT DATA'!$UM$9:$UR$41,START!$C$3,1)*-44/12)+($K50*INDEX('DEFAULT DATA'!$UM$9:$UR$41,START!$C$3,2)*-44/12)+($K50*INDEX('DEFAULT DATA'!$UM$9:$UR$41,START!$C$3,3)*-44/12)+($K50*INDEX('DEFAULT DATA'!$UM$9:$UR$41,START!$C$3,4)*-44/12)+($L50*INDEX('DEFAULT DATA'!$UM$9:$UR$41,START!$C$3,5)*-44/12)+($M50*INDEX('DEFAULT DATA'!$UM$9:$UR$41,START!$C$3,6)*-44/12)</f>
        <v>0</v>
      </c>
      <c r="AE50" s="370">
        <f>($K50*INDEX('DEFAULT DATA'!$UM$9:$UR$41,START!$C$3,1)*-44/12)+($K50*INDEX('DEFAULT DATA'!$UM$9:$UR$41,START!$C$3,2)*-44/12)+($K50*INDEX('DEFAULT DATA'!$UM$9:$UR$41,START!$C$3,3)*-44/12)+($K50*INDEX('DEFAULT DATA'!$UM$9:$UR$41,START!$C$3,4)*-44/12)+($L50*INDEX('DEFAULT DATA'!$UM$9:$UR$41,START!$C$3,5)*-44/12)+($M50*INDEX('DEFAULT DATA'!$UM$9:$UR$41,START!$C$3,6)*-44/12)</f>
        <v>0</v>
      </c>
      <c r="AF50" s="370">
        <f>($K50*INDEX('DEFAULT DATA'!$UM$9:$UR$41,START!$C$3,1)*-44/12)+($K50*INDEX('DEFAULT DATA'!$UM$9:$UR$41,START!$C$3,2)*-44/12)+($K50*INDEX('DEFAULT DATA'!$UM$9:$UR$41,START!$C$3,3)*-44/12)+($K50*INDEX('DEFAULT DATA'!$UM$9:$UR$41,START!$C$3,4)*-44/12)+($L50*INDEX('DEFAULT DATA'!$UM$9:$UR$41,START!$C$3,5)*-44/12)+($M50*INDEX('DEFAULT DATA'!$UM$9:$UR$41,START!$C$3,6)*-44/12)</f>
        <v>0</v>
      </c>
      <c r="AG50" s="370">
        <f>($K50*INDEX('DEFAULT DATA'!$UM$9:$UR$41,START!$C$3,1)*-44/12)+($K50*INDEX('DEFAULT DATA'!$UM$9:$UR$41,START!$C$3,2)*-44/12)+($K50*INDEX('DEFAULT DATA'!$UM$9:$UR$41,START!$C$3,3)*-44/12)+($K50*INDEX('DEFAULT DATA'!$UM$9:$UR$41,START!$C$3,4)*-44/12)+($L50*INDEX('DEFAULT DATA'!$UM$9:$UR$41,START!$C$3,5)*-44/12)+($M50*INDEX('DEFAULT DATA'!$UM$9:$UR$41,START!$C$3,6)*-44/12)</f>
        <v>0</v>
      </c>
      <c r="AH50" s="370">
        <f>($K50*INDEX('DEFAULT DATA'!$UM$9:$UR$41,START!$C$3,1)*-44/12)+($K50*INDEX('DEFAULT DATA'!$UM$9:$UR$41,START!$C$3,2)*-44/12)+($K50*INDEX('DEFAULT DATA'!$UM$9:$UR$41,START!$C$3,3)*-44/12)+($K50*INDEX('DEFAULT DATA'!$UM$9:$UR$41,START!$C$3,4)*-44/12)+($L50*INDEX('DEFAULT DATA'!$UM$9:$UR$41,START!$C$3,5)*-44/12)+($M50*INDEX('DEFAULT DATA'!$UM$9:$UR$41,START!$C$3,6)*-44/12)</f>
        <v>0</v>
      </c>
      <c r="AI50" s="370">
        <f>($K50*INDEX('DEFAULT DATA'!$UM$9:$UR$41,START!$C$3,1)*-44/12)+($K50*INDEX('DEFAULT DATA'!$UM$9:$UR$41,START!$C$3,2)*-44/12)+($K50*INDEX('DEFAULT DATA'!$UM$9:$UR$41,START!$C$3,3)*-44/12)+($K50*INDEX('DEFAULT DATA'!$UM$9:$UR$41,START!$C$3,4)*-44/12)+($L50*INDEX('DEFAULT DATA'!$UM$9:$UR$41,START!$C$3,5)*-44/12)+($M50*INDEX('DEFAULT DATA'!$UM$9:$UR$41,START!$C$3,6)*-44/12)</f>
        <v>0</v>
      </c>
      <c r="AJ50" s="370">
        <f>($K50*INDEX('DEFAULT DATA'!$UM$9:$UR$41,START!$C$3,1)*-44/12)+($K50*INDEX('DEFAULT DATA'!$UM$9:$UR$41,START!$C$3,2)*-44/12)+($K50*INDEX('DEFAULT DATA'!$UM$9:$UR$41,START!$C$3,3)*-44/12)+($K50*INDEX('DEFAULT DATA'!$UM$9:$UR$41,START!$C$3,4)*-44/12)+($L50*INDEX('DEFAULT DATA'!$UM$9:$UR$41,START!$C$3,5)*-44/12)+($M50*INDEX('DEFAULT DATA'!$UM$9:$UR$41,START!$C$3,6)*-44/12)</f>
        <v>0</v>
      </c>
      <c r="AK50" s="370">
        <f>($K50*INDEX('DEFAULT DATA'!$UM$9:$UR$41,START!$C$3,1)*-44/12)+($K50*INDEX('DEFAULT DATA'!$UM$9:$UR$41,START!$C$3,2)*-44/12)+($K50*INDEX('DEFAULT DATA'!$UM$9:$UR$41,START!$C$3,3)*-44/12)+($K50*INDEX('DEFAULT DATA'!$UM$9:$UR$41,START!$C$3,4)*-44/12)+($L50*INDEX('DEFAULT DATA'!$UM$9:$UR$41,START!$C$3,5)*-44/12)+($M50*INDEX('DEFAULT DATA'!$UM$9:$UR$41,START!$C$3,6)*-44/12)</f>
        <v>0</v>
      </c>
      <c r="AL50" s="370">
        <f>($K50*INDEX('DEFAULT DATA'!$UM$9:$UR$41,START!$C$3,1)*-44/12)+($K50*INDEX('DEFAULT DATA'!$UM$9:$UR$41,START!$C$3,2)*-44/12)+($K50*INDEX('DEFAULT DATA'!$UM$9:$UR$41,START!$C$3,3)*-44/12)+($K50*INDEX('DEFAULT DATA'!$UM$9:$UR$41,START!$C$3,4)*-44/12)+($L50*INDEX('DEFAULT DATA'!$UM$9:$UR$41,START!$C$3,5)*-44/12)+($M50*INDEX('DEFAULT DATA'!$UM$9:$UR$41,START!$C$3,6)*-44/12)</f>
        <v>0</v>
      </c>
      <c r="AM50" s="370">
        <f>($K50*INDEX('DEFAULT DATA'!$UM$9:$UR$41,START!$C$3,1)*-44/12)+($K50*INDEX('DEFAULT DATA'!$UM$9:$UR$41,START!$C$3,2)*-44/12)+($K50*INDEX('DEFAULT DATA'!$UM$9:$UR$41,START!$C$3,3)*-44/12)+($K50*INDEX('DEFAULT DATA'!$UM$9:$UR$41,START!$C$3,4)*-44/12)+($L50*INDEX('DEFAULT DATA'!$UM$9:$UR$41,START!$C$3,5)*-44/12)+($M50*INDEX('DEFAULT DATA'!$UM$9:$UR$41,START!$C$3,6)*-44/12)</f>
        <v>0</v>
      </c>
      <c r="AN50" s="370">
        <f>($K50*INDEX('DEFAULT DATA'!$UM$9:$UR$41,START!$C$3,1)*-44/12)+($K50*INDEX('DEFAULT DATA'!$UM$9:$UR$41,START!$C$3,2)*-44/12)+($K50*INDEX('DEFAULT DATA'!$UM$9:$UR$41,START!$C$3,3)*-44/12)+($K50*INDEX('DEFAULT DATA'!$UM$9:$UR$41,START!$C$3,4)*-44/12)+($L50*INDEX('DEFAULT DATA'!$UM$9:$UR$41,START!$C$3,5)*-44/12)+($M50*INDEX('DEFAULT DATA'!$UM$9:$UR$41,START!$C$3,6)*-44/12)</f>
        <v>0</v>
      </c>
      <c r="AO50" s="370">
        <f>($K50*INDEX('DEFAULT DATA'!$UM$9:$UR$41,START!$C$3,1)*-44/12)+($K50*INDEX('DEFAULT DATA'!$UM$9:$UR$41,START!$C$3,2)*-44/12)+($K50*INDEX('DEFAULT DATA'!$UM$9:$UR$41,START!$C$3,3)*-44/12)+($K50*INDEX('DEFAULT DATA'!$UM$9:$UR$41,START!$C$3,4)*-44/12)+($L50*INDEX('DEFAULT DATA'!$UM$9:$UR$41,START!$C$3,5)*-44/12)+($M50*INDEX('DEFAULT DATA'!$UM$9:$UR$41,START!$C$3,6)*-44/12)</f>
        <v>0</v>
      </c>
      <c r="AP50" s="370">
        <f>($K50*INDEX('DEFAULT DATA'!$UM$9:$UR$41,START!$C$3,1)*-44/12)+($K50*INDEX('DEFAULT DATA'!$UM$9:$UR$41,START!$C$3,2)*-44/12)+($K50*INDEX('DEFAULT DATA'!$UM$9:$UR$41,START!$C$3,3)*-44/12)+($K50*INDEX('DEFAULT DATA'!$UM$9:$UR$41,START!$C$3,4)*-44/12)+($L50*INDEX('DEFAULT DATA'!$UM$9:$UR$41,START!$C$3,5)*-44/12)+($M50*INDEX('DEFAULT DATA'!$UM$9:$UR$41,START!$C$3,6)*-44/12)</f>
        <v>0</v>
      </c>
      <c r="AQ50" s="370">
        <f>($K50*INDEX('DEFAULT DATA'!$UM$9:$UR$41,START!$C$3,1)*-44/12)+($K50*INDEX('DEFAULT DATA'!$UM$9:$UR$41,START!$C$3,2)*-44/12)+($K50*INDEX('DEFAULT DATA'!$UM$9:$UR$41,START!$C$3,3)*-44/12)+($K50*INDEX('DEFAULT DATA'!$UM$9:$UR$41,START!$C$3,4)*-44/12)+($L50*INDEX('DEFAULT DATA'!$UM$9:$UR$41,START!$C$3,5)*-44/12)+($M50*INDEX('DEFAULT DATA'!$UM$9:$UR$41,START!$C$3,6)*-44/12)</f>
        <v>0</v>
      </c>
      <c r="AR50" s="370">
        <f>($K50*INDEX('DEFAULT DATA'!$UM$9:$UR$41,START!$C$3,1)*-44/12)+($K50*INDEX('DEFAULT DATA'!$UM$9:$UR$41,START!$C$3,2)*-44/12)+($K50*INDEX('DEFAULT DATA'!$UM$9:$UR$41,START!$C$3,3)*-44/12)+($K50*INDEX('DEFAULT DATA'!$UM$9:$UR$41,START!$C$3,4)*-44/12)+($L50*INDEX('DEFAULT DATA'!$UM$9:$UR$41,START!$C$3,5)*-44/12)+($M50*INDEX('DEFAULT DATA'!$UM$9:$UR$41,START!$C$3,6)*-44/12)</f>
        <v>0</v>
      </c>
      <c r="AS50" s="370">
        <f>($K50*INDEX('DEFAULT DATA'!$UM$9:$UR$41,START!$C$3,1)*-44/12)+($K50*INDEX('DEFAULT DATA'!$UM$9:$UR$41,START!$C$3,2)*-44/12)+($K50*INDEX('DEFAULT DATA'!$UM$9:$UR$41,START!$C$3,3)*-44/12)+($K50*INDEX('DEFAULT DATA'!$UM$9:$UR$41,START!$C$3,4)*-44/12)+($L50*INDEX('DEFAULT DATA'!$UM$9:$UR$41,START!$C$3,5)*-44/12)+($M50*INDEX('DEFAULT DATA'!$UM$9:$UR$41,START!$C$3,6)*-44/12)</f>
        <v>0</v>
      </c>
      <c r="AT50" s="371">
        <f>($K50*INDEX('DEFAULT DATA'!$UM$9:$UR$41,START!$C$3,1)*-44/12)+($K50*INDEX('DEFAULT DATA'!$UM$9:$UR$41,START!$C$3,2)*-44/12)+($K50*INDEX('DEFAULT DATA'!$UM$9:$UR$41,START!$C$3,3)*-44/12)+($K50*INDEX('DEFAULT DATA'!$UM$9:$UR$41,START!$C$3,4)*-44/12)+($L50*INDEX('DEFAULT DATA'!$UM$9:$UR$41,START!$C$3,5)*-44/12)+($M50*INDEX('DEFAULT DATA'!$UM$9:$UR$41,START!$C$3,6)*-44/12)</f>
        <v>0</v>
      </c>
    </row>
    <row r="51" spans="1:46" ht="20.100000000000001" customHeight="1" thickBot="1">
      <c r="A51" s="1352"/>
      <c r="B51" s="1348" t="s">
        <v>894</v>
      </c>
      <c r="C51" s="461"/>
      <c r="D51" s="461"/>
      <c r="E51" s="957">
        <v>1000</v>
      </c>
      <c r="F51" s="958">
        <v>0</v>
      </c>
      <c r="G51" s="959">
        <v>0</v>
      </c>
      <c r="H51" s="461">
        <v>4</v>
      </c>
      <c r="I51" s="462"/>
      <c r="J51" s="273"/>
      <c r="K51" s="478">
        <f t="shared" si="37"/>
        <v>0</v>
      </c>
      <c r="L51" s="479">
        <f t="shared" si="38"/>
        <v>0</v>
      </c>
      <c r="M51" s="479">
        <f t="shared" si="39"/>
        <v>0</v>
      </c>
      <c r="N51" s="220">
        <f t="shared" si="41"/>
        <v>97</v>
      </c>
      <c r="O51" s="480" t="s">
        <v>849</v>
      </c>
      <c r="P51" s="481">
        <f t="shared" si="40"/>
        <v>2022</v>
      </c>
      <c r="Q51" s="216">
        <f>($K51*INDEX('DEFAULT DATA'!$MW$9:$VD$41,START!$C$3,($N51))*-44/12)+($K51*INDEX('DEFAULT DATA'!$MW$9:$VD$41,START!$C$3,($N51+1))*-44/12)+($K51*INDEX('DEFAULT DATA'!$MW$9:$VD$41,START!$C$3,($N51+2))*-44/12)+($K51*INDEX('DEFAULT DATA'!$MW$9:$VD$41,START!$C$3,($N51+3))*-44/12)+($L51*INDEX('DEFAULT DATA'!$MW$9:$VD$41,START!$C$3,($N51+4))*-44/12)+($M51*INDEX('DEFAULT DATA'!$MW$9:$VD$41,START!$C$3,($N51+5))*-44/12)</f>
        <v>0</v>
      </c>
      <c r="R51" s="216">
        <f>($K51*INDEX('DEFAULT DATA'!$MW$9:$VD$41,START!$C$3,($N51))*-44/12)+($K51*INDEX('DEFAULT DATA'!$MW$9:$VD$41,START!$C$3,($N51+1))*-44/12)+($K51*INDEX('DEFAULT DATA'!$MW$9:$VD$41,START!$C$3,($N51+2))*-44/12)+($K51*INDEX('DEFAULT DATA'!$MW$9:$VD$41,START!$C$3,($N51+3))*-44/12)+($L51*INDEX('DEFAULT DATA'!$MW$9:$VD$41,START!$C$3,($N51+4))*-44/12)+($M51*INDEX('DEFAULT DATA'!$MW$9:$VD$41,START!$C$3,($N51+5))*-44/12)</f>
        <v>0</v>
      </c>
      <c r="S51" s="216">
        <f>($K51*INDEX('DEFAULT DATA'!$MW$9:$VD$41,START!$C$3,($N51))*-44/12)+($K51*INDEX('DEFAULT DATA'!$MW$9:$VD$41,START!$C$3,($N51+1))*-44/12)+($K51*INDEX('DEFAULT DATA'!$MW$9:$VD$41,START!$C$3,($N51+2))*-44/12)+($K51*INDEX('DEFAULT DATA'!$MW$9:$VD$41,START!$C$3,($N51+3))*-44/12)+($L51*INDEX('DEFAULT DATA'!$MW$9:$VD$41,START!$C$3,($N51+4))*-44/12)+($M51*INDEX('DEFAULT DATA'!$MW$9:$VD$41,START!$C$3,($N51+5))*-44/12)</f>
        <v>0</v>
      </c>
      <c r="T51" s="216">
        <f>($K51*INDEX('DEFAULT DATA'!$MW$9:$VD$41,START!$C$3,($N51))*-44/12)+($K51*INDEX('DEFAULT DATA'!$MW$9:$VD$41,START!$C$3,($N51+1))*-44/12)+($K51*INDEX('DEFAULT DATA'!$MW$9:$VD$41,START!$C$3,($N51+2))*-44/12)+($K51*INDEX('DEFAULT DATA'!$MW$9:$VD$41,START!$C$3,($N51+3))*-44/12)+($L51*INDEX('DEFAULT DATA'!$MW$9:$VD$41,START!$C$3,($N51+4))*-44/12)+($M51*INDEX('DEFAULT DATA'!$MW$9:$VD$41,START!$C$3,($N51+5))*-44/12)</f>
        <v>0</v>
      </c>
      <c r="U51" s="216">
        <f>($K51*INDEX('DEFAULT DATA'!$MW$9:$VD$41,START!$C$3,($N51))*-44/12)+($K51*INDEX('DEFAULT DATA'!$MW$9:$VD$41,START!$C$3,($N51+1))*-44/12)+($K51*INDEX('DEFAULT DATA'!$MW$9:$VD$41,START!$C$3,($N51+2))*-44/12)+($K51*INDEX('DEFAULT DATA'!$MW$9:$VD$41,START!$C$3,($N51+3))*-44/12)+($L51*INDEX('DEFAULT DATA'!$MW$9:$VD$41,START!$C$3,($N51+4))*-44/12)+($M51*INDEX('DEFAULT DATA'!$MW$9:$VD$41,START!$C$3,($N51+5))*-44/12)</f>
        <v>0</v>
      </c>
      <c r="V51" s="216">
        <f>($K51*INDEX('DEFAULT DATA'!$MW$9:$VD$41,START!$C$3,($N51))*-44/12)+($K51*INDEX('DEFAULT DATA'!$MW$9:$VD$41,START!$C$3,($N51+1))*-44/12)+($K51*INDEX('DEFAULT DATA'!$MW$9:$VD$41,START!$C$3,($N51+2))*-44/12)+($K51*INDEX('DEFAULT DATA'!$MW$9:$VD$41,START!$C$3,($N51+3))*-44/12)+($L51*INDEX('DEFAULT DATA'!$MW$9:$VD$41,START!$C$3,($N51+4))*-44/12)+($M51*INDEX('DEFAULT DATA'!$MW$9:$VD$41,START!$C$3,($N51+5))*-44/12)</f>
        <v>0</v>
      </c>
      <c r="W51" s="216">
        <f>($K51*INDEX('DEFAULT DATA'!$MW$9:$VD$41,START!$C$3,($N51))*-44/12)+($K51*INDEX('DEFAULT DATA'!$MW$9:$VD$41,START!$C$3,($N51+1))*-44/12)+($K51*INDEX('DEFAULT DATA'!$MW$9:$VD$41,START!$C$3,($N51+2))*-44/12)+($K51*INDEX('DEFAULT DATA'!$MW$9:$VD$41,START!$C$3,($N51+3))*-44/12)+($L51*INDEX('DEFAULT DATA'!$MW$9:$VD$41,START!$C$3,($N51+4))*-44/12)+($M51*INDEX('DEFAULT DATA'!$MW$9:$VD$41,START!$C$3,($N51+5))*-44/12)</f>
        <v>0</v>
      </c>
      <c r="X51" s="216">
        <f>($K51*INDEX('DEFAULT DATA'!$MW$9:$VD$41,START!$C$3,($N51))*-44/12)+($K51*INDEX('DEFAULT DATA'!$MW$9:$VD$41,START!$C$3,($N51+1))*-44/12)+($K51*INDEX('DEFAULT DATA'!$MW$9:$VD$41,START!$C$3,($N51+2))*-44/12)+($K51*INDEX('DEFAULT DATA'!$MW$9:$VD$41,START!$C$3,($N51+3))*-44/12)+($L51*INDEX('DEFAULT DATA'!$MW$9:$VD$41,START!$C$3,($N51+4))*-44/12)+($M51*INDEX('DEFAULT DATA'!$MW$9:$VD$41,START!$C$3,($N51+5))*-44/12)</f>
        <v>0</v>
      </c>
      <c r="Y51" s="216">
        <f>($K51*INDEX('DEFAULT DATA'!$MW$9:$VD$41,START!$C$3,($N51))*-44/12)+($K51*INDEX('DEFAULT DATA'!$MW$9:$VD$41,START!$C$3,($N51+1))*-44/12)+($K51*INDEX('DEFAULT DATA'!$MW$9:$VD$41,START!$C$3,($N51+2))*-44/12)+($K51*INDEX('DEFAULT DATA'!$MW$9:$VD$41,START!$C$3,($N51+3))*-44/12)+($L51*INDEX('DEFAULT DATA'!$MW$9:$VD$41,START!$C$3,($N51+4))*-44/12)+($M51*INDEX('DEFAULT DATA'!$MW$9:$VD$41,START!$C$3,($N51+5))*-44/12)</f>
        <v>0</v>
      </c>
      <c r="Z51" s="216">
        <f>($K51*INDEX('DEFAULT DATA'!$MW$9:$VD$41,START!$C$3,($N51))*-44/12)+($K51*INDEX('DEFAULT DATA'!$MW$9:$VD$41,START!$C$3,($N51+1))*-44/12)+($K51*INDEX('DEFAULT DATA'!$MW$9:$VD$41,START!$C$3,($N51+2))*-44/12)+($K51*INDEX('DEFAULT DATA'!$MW$9:$VD$41,START!$C$3,($N51+3))*-44/12)+($L51*INDEX('DEFAULT DATA'!$MW$9:$VD$41,START!$C$3,($N51+4))*-44/12)+($M51*INDEX('DEFAULT DATA'!$MW$9:$VD$41,START!$C$3,($N51+5))*-44/12)</f>
        <v>0</v>
      </c>
      <c r="AA51" s="216">
        <f>($K51*INDEX('DEFAULT DATA'!$MW$9:$VD$41,START!$C$3,($N51))*-44/12)+($K51*INDEX('DEFAULT DATA'!$MW$9:$VD$41,START!$C$3,($N51+1))*-44/12)+($K51*INDEX('DEFAULT DATA'!$MW$9:$VD$41,START!$C$3,($N51+2))*-44/12)+($K51*INDEX('DEFAULT DATA'!$MW$9:$VD$41,START!$C$3,($N51+3))*-44/12)+($L51*INDEX('DEFAULT DATA'!$MW$9:$VD$41,START!$C$3,($N51+4))*-44/12)+($M51*INDEX('DEFAULT DATA'!$MW$9:$VD$41,START!$C$3,($N51+5))*-44/12)</f>
        <v>0</v>
      </c>
      <c r="AB51" s="216">
        <f>($K51*INDEX('DEFAULT DATA'!$MW$9:$VD$41,START!$C$3,($N51))*-44/12)+($K51*INDEX('DEFAULT DATA'!$MW$9:$VD$41,START!$C$3,($N51+1))*-44/12)+($K51*INDEX('DEFAULT DATA'!$MW$9:$VD$41,START!$C$3,($N51+2))*-44/12)+($K51*INDEX('DEFAULT DATA'!$MW$9:$VD$41,START!$C$3,($N51+3))*-44/12)+($L51*INDEX('DEFAULT DATA'!$MW$9:$VD$41,START!$C$3,($N51+4))*-44/12)+($M51*INDEX('DEFAULT DATA'!$MW$9:$VD$41,START!$C$3,($N51+5))*-44/12)</f>
        <v>0</v>
      </c>
      <c r="AC51" s="216">
        <f>($K51*INDEX('DEFAULT DATA'!$MW$9:$VD$41,START!$C$3,($N51))*-44/12)+($K51*INDEX('DEFAULT DATA'!$MW$9:$VD$41,START!$C$3,($N51+1))*-44/12)+($K51*INDEX('DEFAULT DATA'!$MW$9:$VD$41,START!$C$3,($N51+2))*-44/12)+($K51*INDEX('DEFAULT DATA'!$MW$9:$VD$41,START!$C$3,($N51+3))*-44/12)+($L51*INDEX('DEFAULT DATA'!$MW$9:$VD$41,START!$C$3,($N51+4))*-44/12)+($M51*INDEX('DEFAULT DATA'!$MW$9:$VD$41,START!$C$3,($N51+5))*-44/12)</f>
        <v>0</v>
      </c>
      <c r="AD51" s="216">
        <f>($K51*INDEX('DEFAULT DATA'!$MW$9:$VD$41,START!$C$3,($N51))*-44/12)+($K51*INDEX('DEFAULT DATA'!$MW$9:$VD$41,START!$C$3,($N51+1))*-44/12)+($K51*INDEX('DEFAULT DATA'!$MW$9:$VD$41,START!$C$3,($N51+2))*-44/12)+($K51*INDEX('DEFAULT DATA'!$MW$9:$VD$41,START!$C$3,($N51+3))*-44/12)+($L51*INDEX('DEFAULT DATA'!$MW$9:$VD$41,START!$C$3,($N51+4))*-44/12)+($M51*INDEX('DEFAULT DATA'!$MW$9:$VD$41,START!$C$3,($N51+5))*-44/12)</f>
        <v>0</v>
      </c>
      <c r="AE51" s="216">
        <f>($K51*INDEX('DEFAULT DATA'!$MW$9:$VD$41,START!$C$3,($N51))*-44/12)+($K51*INDEX('DEFAULT DATA'!$MW$9:$VD$41,START!$C$3,($N51+1))*-44/12)+($K51*INDEX('DEFAULT DATA'!$MW$9:$VD$41,START!$C$3,($N51+2))*-44/12)+($K51*INDEX('DEFAULT DATA'!$MW$9:$VD$41,START!$C$3,($N51+3))*-44/12)+($L51*INDEX('DEFAULT DATA'!$MW$9:$VD$41,START!$C$3,($N51+4))*-44/12)+($M51*INDEX('DEFAULT DATA'!$MW$9:$VD$41,START!$C$3,($N51+5))*-44/12)</f>
        <v>0</v>
      </c>
      <c r="AF51" s="216">
        <f>($K51*INDEX('DEFAULT DATA'!$MW$9:$VD$41,START!$C$3,($N51))*-44/12)+($K51*INDEX('DEFAULT DATA'!$MW$9:$VD$41,START!$C$3,($N51+1))*-44/12)+($K51*INDEX('DEFAULT DATA'!$MW$9:$VD$41,START!$C$3,($N51+2))*-44/12)+($K51*INDEX('DEFAULT DATA'!$MW$9:$VD$41,START!$C$3,($N51+3))*-44/12)+($L51*INDEX('DEFAULT DATA'!$MW$9:$VD$41,START!$C$3,($N51+4))*-44/12)+($M51*INDEX('DEFAULT DATA'!$MW$9:$VD$41,START!$C$3,($N51+5))*-44/12)</f>
        <v>0</v>
      </c>
      <c r="AG51" s="216">
        <f>($K51*INDEX('DEFAULT DATA'!$MW$9:$VD$41,START!$C$3,($N51))*-44/12)+($K51*INDEX('DEFAULT DATA'!$MW$9:$VD$41,START!$C$3,($N51+1))*-44/12)+($K51*INDEX('DEFAULT DATA'!$MW$9:$VD$41,START!$C$3,($N51+2))*-44/12)+($K51*INDEX('DEFAULT DATA'!$MW$9:$VD$41,START!$C$3,($N51+3))*-44/12)+($L51*INDEX('DEFAULT DATA'!$MW$9:$VD$41,START!$C$3,($N51+4))*-44/12)+($M51*INDEX('DEFAULT DATA'!$MW$9:$VD$41,START!$C$3,($N51+5))*-44/12)</f>
        <v>0</v>
      </c>
      <c r="AH51" s="216">
        <f>($K51*INDEX('DEFAULT DATA'!$MW$9:$VD$41,START!$C$3,($N51))*-44/12)+($K51*INDEX('DEFAULT DATA'!$MW$9:$VD$41,START!$C$3,($N51+1))*-44/12)+($K51*INDEX('DEFAULT DATA'!$MW$9:$VD$41,START!$C$3,($N51+2))*-44/12)+($K51*INDEX('DEFAULT DATA'!$MW$9:$VD$41,START!$C$3,($N51+3))*-44/12)+($L51*INDEX('DEFAULT DATA'!$MW$9:$VD$41,START!$C$3,($N51+4))*-44/12)+($M51*INDEX('DEFAULT DATA'!$MW$9:$VD$41,START!$C$3,($N51+5))*-44/12)</f>
        <v>0</v>
      </c>
      <c r="AI51" s="216">
        <f>($K51*INDEX('DEFAULT DATA'!$MW$9:$VD$41,START!$C$3,($N51))*-44/12)+($K51*INDEX('DEFAULT DATA'!$MW$9:$VD$41,START!$C$3,($N51+1))*-44/12)+($K51*INDEX('DEFAULT DATA'!$MW$9:$VD$41,START!$C$3,($N51+2))*-44/12)+($K51*INDEX('DEFAULT DATA'!$MW$9:$VD$41,START!$C$3,($N51+3))*-44/12)+($L51*INDEX('DEFAULT DATA'!$MW$9:$VD$41,START!$C$3,($N51+4))*-44/12)+($M51*INDEX('DEFAULT DATA'!$MW$9:$VD$41,START!$C$3,($N51+5))*-44/12)</f>
        <v>0</v>
      </c>
      <c r="AJ51" s="216">
        <f>($K51*INDEX('DEFAULT DATA'!$MW$9:$VD$41,START!$C$3,($N51))*-44/12)+($K51*INDEX('DEFAULT DATA'!$MW$9:$VD$41,START!$C$3,($N51+1))*-44/12)+($K51*INDEX('DEFAULT DATA'!$MW$9:$VD$41,START!$C$3,($N51+2))*-44/12)+($K51*INDEX('DEFAULT DATA'!$MW$9:$VD$41,START!$C$3,($N51+3))*-44/12)+($L51*INDEX('DEFAULT DATA'!$MW$9:$VD$41,START!$C$3,($N51+4))*-44/12)+($M51*INDEX('DEFAULT DATA'!$MW$9:$VD$41,START!$C$3,($N51+5))*-44/12)</f>
        <v>0</v>
      </c>
      <c r="AK51" s="216">
        <f>($K51*INDEX('DEFAULT DATA'!$MW$9:$VD$41,START!$C$3,($N51))*-44/12)+($K51*INDEX('DEFAULT DATA'!$MW$9:$VD$41,START!$C$3,($N51+1))*-44/12)+($K51*INDEX('DEFAULT DATA'!$MW$9:$VD$41,START!$C$3,($N51+2))*-44/12)+($K51*INDEX('DEFAULT DATA'!$MW$9:$VD$41,START!$C$3,($N51+3))*-44/12)+($L51*INDEX('DEFAULT DATA'!$MW$9:$VD$41,START!$C$3,($N51+4))*-44/12)+($M51*INDEX('DEFAULT DATA'!$MW$9:$VD$41,START!$C$3,($N51+5))*-44/12)</f>
        <v>0</v>
      </c>
      <c r="AL51" s="216">
        <f>($K51*INDEX('DEFAULT DATA'!$MW$9:$VD$41,START!$C$3,($N51))*-44/12)+($K51*INDEX('DEFAULT DATA'!$MW$9:$VD$41,START!$C$3,($N51+1))*-44/12)+($K51*INDEX('DEFAULT DATA'!$MW$9:$VD$41,START!$C$3,($N51+2))*-44/12)+($K51*INDEX('DEFAULT DATA'!$MW$9:$VD$41,START!$C$3,($N51+3))*-44/12)+($L51*INDEX('DEFAULT DATA'!$MW$9:$VD$41,START!$C$3,($N51+4))*-44/12)+($M51*INDEX('DEFAULT DATA'!$MW$9:$VD$41,START!$C$3,($N51+5))*-44/12)</f>
        <v>0</v>
      </c>
      <c r="AM51" s="216">
        <f>($K51*INDEX('DEFAULT DATA'!$MW$9:$VD$41,START!$C$3,($N51))*-44/12)+($K51*INDEX('DEFAULT DATA'!$MW$9:$VD$41,START!$C$3,($N51+1))*-44/12)+($K51*INDEX('DEFAULT DATA'!$MW$9:$VD$41,START!$C$3,($N51+2))*-44/12)+($K51*INDEX('DEFAULT DATA'!$MW$9:$VD$41,START!$C$3,($N51+3))*-44/12)+($L51*INDEX('DEFAULT DATA'!$MW$9:$VD$41,START!$C$3,($N51+4))*-44/12)+($M51*INDEX('DEFAULT DATA'!$MW$9:$VD$41,START!$C$3,($N51+5))*-44/12)</f>
        <v>0</v>
      </c>
      <c r="AN51" s="216">
        <f>($K51*INDEX('DEFAULT DATA'!$MW$9:$VD$41,START!$C$3,($N51))*-44/12)+($K51*INDEX('DEFAULT DATA'!$MW$9:$VD$41,START!$C$3,($N51+1))*-44/12)+($K51*INDEX('DEFAULT DATA'!$MW$9:$VD$41,START!$C$3,($N51+2))*-44/12)+($K51*INDEX('DEFAULT DATA'!$MW$9:$VD$41,START!$C$3,($N51+3))*-44/12)+($L51*INDEX('DEFAULT DATA'!$MW$9:$VD$41,START!$C$3,($N51+4))*-44/12)+($M51*INDEX('DEFAULT DATA'!$MW$9:$VD$41,START!$C$3,($N51+5))*-44/12)</f>
        <v>0</v>
      </c>
      <c r="AO51" s="216">
        <f>($K51*INDEX('DEFAULT DATA'!$MW$9:$VD$41,START!$C$3,($N51))*-44/12)+($K51*INDEX('DEFAULT DATA'!$MW$9:$VD$41,START!$C$3,($N51+1))*-44/12)+($K51*INDEX('DEFAULT DATA'!$MW$9:$VD$41,START!$C$3,($N51+2))*-44/12)+($K51*INDEX('DEFAULT DATA'!$MW$9:$VD$41,START!$C$3,($N51+3))*-44/12)+($L51*INDEX('DEFAULT DATA'!$MW$9:$VD$41,START!$C$3,($N51+4))*-44/12)+($M51*INDEX('DEFAULT DATA'!$MW$9:$VD$41,START!$C$3,($N51+5))*-44/12)</f>
        <v>0</v>
      </c>
      <c r="AP51" s="216">
        <f>($K51*INDEX('DEFAULT DATA'!$MW$9:$VD$41,START!$C$3,($N51))*-44/12)+($K51*INDEX('DEFAULT DATA'!$MW$9:$VD$41,START!$C$3,($N51+1))*-44/12)+($K51*INDEX('DEFAULT DATA'!$MW$9:$VD$41,START!$C$3,($N51+2))*-44/12)+($K51*INDEX('DEFAULT DATA'!$MW$9:$VD$41,START!$C$3,($N51+3))*-44/12)+($L51*INDEX('DEFAULT DATA'!$MW$9:$VD$41,START!$C$3,($N51+4))*-44/12)+($M51*INDEX('DEFAULT DATA'!$MW$9:$VD$41,START!$C$3,($N51+5))*-44/12)</f>
        <v>0</v>
      </c>
      <c r="AQ51" s="216">
        <f>($K51*INDEX('DEFAULT DATA'!$MW$9:$VD$41,START!$C$3,($N51))*-44/12)+($K51*INDEX('DEFAULT DATA'!$MW$9:$VD$41,START!$C$3,($N51+1))*-44/12)+($K51*INDEX('DEFAULT DATA'!$MW$9:$VD$41,START!$C$3,($N51+2))*-44/12)+($K51*INDEX('DEFAULT DATA'!$MW$9:$VD$41,START!$C$3,($N51+3))*-44/12)+($L51*INDEX('DEFAULT DATA'!$MW$9:$VD$41,START!$C$3,($N51+4))*-44/12)+($M51*INDEX('DEFAULT DATA'!$MW$9:$VD$41,START!$C$3,($N51+5))*-44/12)</f>
        <v>0</v>
      </c>
      <c r="AR51" s="216">
        <f>($K51*INDEX('DEFAULT DATA'!$MW$9:$VD$41,START!$C$3,($N51))*-44/12)+($K51*INDEX('DEFAULT DATA'!$MW$9:$VD$41,START!$C$3,($N51+1))*-44/12)+($K51*INDEX('DEFAULT DATA'!$MW$9:$VD$41,START!$C$3,($N51+2))*-44/12)+($K51*INDEX('DEFAULT DATA'!$MW$9:$VD$41,START!$C$3,($N51+3))*-44/12)+($L51*INDEX('DEFAULT DATA'!$MW$9:$VD$41,START!$C$3,($N51+4))*-44/12)+($M51*INDEX('DEFAULT DATA'!$MW$9:$VD$41,START!$C$3,($N51+5))*-44/12)</f>
        <v>0</v>
      </c>
      <c r="AS51" s="216">
        <f>($K51*INDEX('DEFAULT DATA'!$MW$9:$VD$41,START!$C$3,($N51))*-44/12)+($K51*INDEX('DEFAULT DATA'!$MW$9:$VD$41,START!$C$3,($N51+1))*-44/12)+($K51*INDEX('DEFAULT DATA'!$MW$9:$VD$41,START!$C$3,($N51+2))*-44/12)+($K51*INDEX('DEFAULT DATA'!$MW$9:$VD$41,START!$C$3,($N51+3))*-44/12)+($L51*INDEX('DEFAULT DATA'!$MW$9:$VD$41,START!$C$3,($N51+4))*-44/12)+($M51*INDEX('DEFAULT DATA'!$MW$9:$VD$41,START!$C$3,($N51+5))*-44/12)</f>
        <v>0</v>
      </c>
      <c r="AT51" s="443">
        <f>($K51*INDEX('DEFAULT DATA'!$MW$9:$VD$41,START!$C$3,($N51))*-44/12)+($K51*INDEX('DEFAULT DATA'!$MW$9:$VD$41,START!$C$3,($N51+1))*-44/12)+($K51*INDEX('DEFAULT DATA'!$MW$9:$VD$41,START!$C$3,($N51+2))*-44/12)+($K51*INDEX('DEFAULT DATA'!$MW$9:$VD$41,START!$C$3,($N51+3))*-44/12)+($L51*INDEX('DEFAULT DATA'!$MW$9:$VD$41,START!$C$3,($N51+4))*-44/12)+($M51*INDEX('DEFAULT DATA'!$MW$9:$VD$41,START!$C$3,($N51+5))*-44/12)</f>
        <v>0</v>
      </c>
    </row>
    <row r="52" spans="1:46" ht="20.100000000000001" customHeight="1">
      <c r="A52" s="449"/>
      <c r="B52" s="1346" t="s">
        <v>895</v>
      </c>
      <c r="C52" s="383"/>
      <c r="D52" s="383"/>
      <c r="E52" s="951">
        <v>0</v>
      </c>
      <c r="F52" s="960">
        <v>0</v>
      </c>
      <c r="G52" s="952">
        <v>0</v>
      </c>
      <c r="H52" s="383">
        <v>1</v>
      </c>
      <c r="I52" s="433"/>
      <c r="J52" s="273"/>
      <c r="K52" s="478">
        <f t="shared" si="37"/>
        <v>0</v>
      </c>
      <c r="L52" s="479">
        <f t="shared" si="38"/>
        <v>0</v>
      </c>
      <c r="M52" s="479">
        <f t="shared" si="39"/>
        <v>0</v>
      </c>
      <c r="N52" s="220">
        <f t="shared" si="41"/>
        <v>103</v>
      </c>
      <c r="O52" s="480" t="s">
        <v>856</v>
      </c>
      <c r="P52" s="481">
        <f t="shared" si="40"/>
        <v>2022</v>
      </c>
      <c r="Q52" s="216">
        <f>($K52*INDEX('DEFAULT DATA'!$MW$9:$VD$41,START!$C$3,($N52))*-44/12)+($K52*INDEX('DEFAULT DATA'!$MW$9:$VD$41,START!$C$3,($N52+1))*-44/12)+($K52*INDEX('DEFAULT DATA'!$MW$9:$VD$41,START!$C$3,($N52+2))*-44/12)+($K52*INDEX('DEFAULT DATA'!$MW$9:$VD$41,START!$C$3,($N52+3))*-44/12)+($L52*INDEX('DEFAULT DATA'!$MW$9:$VD$41,START!$C$3,($N52+4))*-44/12)+($M52*INDEX('DEFAULT DATA'!$MW$9:$VD$41,START!$C$3,($N52+5))*-44/12)</f>
        <v>0</v>
      </c>
      <c r="R52" s="216">
        <f>($K52*INDEX('DEFAULT DATA'!$MW$9:$VD$41,START!$C$3,($N52))*-44/12)+($K52*INDEX('DEFAULT DATA'!$MW$9:$VD$41,START!$C$3,($N52+1))*-44/12)+($K52*INDEX('DEFAULT DATA'!$MW$9:$VD$41,START!$C$3,($N52+2))*-44/12)+($K52*INDEX('DEFAULT DATA'!$MW$9:$VD$41,START!$C$3,($N52+3))*-44/12)+($L52*INDEX('DEFAULT DATA'!$MW$9:$VD$41,START!$C$3,($N52+4))*-44/12)+($M52*INDEX('DEFAULT DATA'!$MW$9:$VD$41,START!$C$3,($N52+5))*-44/12)</f>
        <v>0</v>
      </c>
      <c r="S52" s="216">
        <f>($K52*INDEX('DEFAULT DATA'!$MW$9:$VD$41,START!$C$3,($N52))*-44/12)+($K52*INDEX('DEFAULT DATA'!$MW$9:$VD$41,START!$C$3,($N52+1))*-44/12)+($K52*INDEX('DEFAULT DATA'!$MW$9:$VD$41,START!$C$3,($N52+2))*-44/12)+($K52*INDEX('DEFAULT DATA'!$MW$9:$VD$41,START!$C$3,($N52+3))*-44/12)+($L52*INDEX('DEFAULT DATA'!$MW$9:$VD$41,START!$C$3,($N52+4))*-44/12)+($M52*INDEX('DEFAULT DATA'!$MW$9:$VD$41,START!$C$3,($N52+5))*-44/12)</f>
        <v>0</v>
      </c>
      <c r="T52" s="216">
        <f>($K52*INDEX('DEFAULT DATA'!$MW$9:$VD$41,START!$C$3,($N52))*-44/12)+($K52*INDEX('DEFAULT DATA'!$MW$9:$VD$41,START!$C$3,($N52+1))*-44/12)+($K52*INDEX('DEFAULT DATA'!$MW$9:$VD$41,START!$C$3,($N52+2))*-44/12)+($K52*INDEX('DEFAULT DATA'!$MW$9:$VD$41,START!$C$3,($N52+3))*-44/12)+($L52*INDEX('DEFAULT DATA'!$MW$9:$VD$41,START!$C$3,($N52+4))*-44/12)+($M52*INDEX('DEFAULT DATA'!$MW$9:$VD$41,START!$C$3,($N52+5))*-44/12)</f>
        <v>0</v>
      </c>
      <c r="U52" s="216">
        <f>($K52*INDEX('DEFAULT DATA'!$MW$9:$VD$41,START!$C$3,($N52))*-44/12)+($K52*INDEX('DEFAULT DATA'!$MW$9:$VD$41,START!$C$3,($N52+1))*-44/12)+($K52*INDEX('DEFAULT DATA'!$MW$9:$VD$41,START!$C$3,($N52+2))*-44/12)+($K52*INDEX('DEFAULT DATA'!$MW$9:$VD$41,START!$C$3,($N52+3))*-44/12)+($L52*INDEX('DEFAULT DATA'!$MW$9:$VD$41,START!$C$3,($N52+4))*-44/12)+($M52*INDEX('DEFAULT DATA'!$MW$9:$VD$41,START!$C$3,($N52+5))*-44/12)</f>
        <v>0</v>
      </c>
      <c r="V52" s="216">
        <f>($K52*INDEX('DEFAULT DATA'!$MW$9:$VD$41,START!$C$3,($N52))*-44/12)+($K52*INDEX('DEFAULT DATA'!$MW$9:$VD$41,START!$C$3,($N52+1))*-44/12)+($K52*INDEX('DEFAULT DATA'!$MW$9:$VD$41,START!$C$3,($N52+2))*-44/12)+($K52*INDEX('DEFAULT DATA'!$MW$9:$VD$41,START!$C$3,($N52+3))*-44/12)+($L52*INDEX('DEFAULT DATA'!$MW$9:$VD$41,START!$C$3,($N52+4))*-44/12)+($M52*INDEX('DEFAULT DATA'!$MW$9:$VD$41,START!$C$3,($N52+5))*-44/12)</f>
        <v>0</v>
      </c>
      <c r="W52" s="216">
        <f>($K52*INDEX('DEFAULT DATA'!$MW$9:$VD$41,START!$C$3,($N52))*-44/12)+($K52*INDEX('DEFAULT DATA'!$MW$9:$VD$41,START!$C$3,($N52+1))*-44/12)+($K52*INDEX('DEFAULT DATA'!$MW$9:$VD$41,START!$C$3,($N52+2))*-44/12)+($K52*INDEX('DEFAULT DATA'!$MW$9:$VD$41,START!$C$3,($N52+3))*-44/12)+($L52*INDEX('DEFAULT DATA'!$MW$9:$VD$41,START!$C$3,($N52+4))*-44/12)+($M52*INDEX('DEFAULT DATA'!$MW$9:$VD$41,START!$C$3,($N52+5))*-44/12)</f>
        <v>0</v>
      </c>
      <c r="X52" s="216">
        <f>($K52*INDEX('DEFAULT DATA'!$MW$9:$VD$41,START!$C$3,($N52))*-44/12)+($K52*INDEX('DEFAULT DATA'!$MW$9:$VD$41,START!$C$3,($N52+1))*-44/12)+($K52*INDEX('DEFAULT DATA'!$MW$9:$VD$41,START!$C$3,($N52+2))*-44/12)+($K52*INDEX('DEFAULT DATA'!$MW$9:$VD$41,START!$C$3,($N52+3))*-44/12)+($L52*INDEX('DEFAULT DATA'!$MW$9:$VD$41,START!$C$3,($N52+4))*-44/12)+($M52*INDEX('DEFAULT DATA'!$MW$9:$VD$41,START!$C$3,($N52+5))*-44/12)</f>
        <v>0</v>
      </c>
      <c r="Y52" s="216">
        <f>($K52*INDEX('DEFAULT DATA'!$MW$9:$VD$41,START!$C$3,($N52))*-44/12)+($K52*INDEX('DEFAULT DATA'!$MW$9:$VD$41,START!$C$3,($N52+1))*-44/12)+($K52*INDEX('DEFAULT DATA'!$MW$9:$VD$41,START!$C$3,($N52+2))*-44/12)+($K52*INDEX('DEFAULT DATA'!$MW$9:$VD$41,START!$C$3,($N52+3))*-44/12)+($L52*INDEX('DEFAULT DATA'!$MW$9:$VD$41,START!$C$3,($N52+4))*-44/12)+($M52*INDEX('DEFAULT DATA'!$MW$9:$VD$41,START!$C$3,($N52+5))*-44/12)</f>
        <v>0</v>
      </c>
      <c r="Z52" s="216">
        <f>($K52*INDEX('DEFAULT DATA'!$MW$9:$VD$41,START!$C$3,($N52))*-44/12)+($K52*INDEX('DEFAULT DATA'!$MW$9:$VD$41,START!$C$3,($N52+1))*-44/12)+($K52*INDEX('DEFAULT DATA'!$MW$9:$VD$41,START!$C$3,($N52+2))*-44/12)+($K52*INDEX('DEFAULT DATA'!$MW$9:$VD$41,START!$C$3,($N52+3))*-44/12)+($L52*INDEX('DEFAULT DATA'!$MW$9:$VD$41,START!$C$3,($N52+4))*-44/12)+($M52*INDEX('DEFAULT DATA'!$MW$9:$VD$41,START!$C$3,($N52+5))*-44/12)</f>
        <v>0</v>
      </c>
      <c r="AA52" s="216">
        <f>($K52*INDEX('DEFAULT DATA'!$MW$9:$VD$41,START!$C$3,($N52))*-44/12)+($K52*INDEX('DEFAULT DATA'!$MW$9:$VD$41,START!$C$3,($N52+1))*-44/12)+($K52*INDEX('DEFAULT DATA'!$MW$9:$VD$41,START!$C$3,($N52+2))*-44/12)+($K52*INDEX('DEFAULT DATA'!$MW$9:$VD$41,START!$C$3,($N52+3))*-44/12)+($L52*INDEX('DEFAULT DATA'!$MW$9:$VD$41,START!$C$3,($N52+4))*-44/12)+($M52*INDEX('DEFAULT DATA'!$MW$9:$VD$41,START!$C$3,($N52+5))*-44/12)</f>
        <v>0</v>
      </c>
      <c r="AB52" s="216">
        <f>($K52*INDEX('DEFAULT DATA'!$MW$9:$VD$41,START!$C$3,($N52))*-44/12)+($K52*INDEX('DEFAULT DATA'!$MW$9:$VD$41,START!$C$3,($N52+1))*-44/12)+($K52*INDEX('DEFAULT DATA'!$MW$9:$VD$41,START!$C$3,($N52+2))*-44/12)+($K52*INDEX('DEFAULT DATA'!$MW$9:$VD$41,START!$C$3,($N52+3))*-44/12)+($L52*INDEX('DEFAULT DATA'!$MW$9:$VD$41,START!$C$3,($N52+4))*-44/12)+($M52*INDEX('DEFAULT DATA'!$MW$9:$VD$41,START!$C$3,($N52+5))*-44/12)</f>
        <v>0</v>
      </c>
      <c r="AC52" s="216">
        <f>($K52*INDEX('DEFAULT DATA'!$MW$9:$VD$41,START!$C$3,($N52))*-44/12)+($K52*INDEX('DEFAULT DATA'!$MW$9:$VD$41,START!$C$3,($N52+1))*-44/12)+($K52*INDEX('DEFAULT DATA'!$MW$9:$VD$41,START!$C$3,($N52+2))*-44/12)+($K52*INDEX('DEFAULT DATA'!$MW$9:$VD$41,START!$C$3,($N52+3))*-44/12)+($L52*INDEX('DEFAULT DATA'!$MW$9:$VD$41,START!$C$3,($N52+4))*-44/12)+($M52*INDEX('DEFAULT DATA'!$MW$9:$VD$41,START!$C$3,($N52+5))*-44/12)</f>
        <v>0</v>
      </c>
      <c r="AD52" s="216">
        <f>($K52*INDEX('DEFAULT DATA'!$MW$9:$VD$41,START!$C$3,($N52))*-44/12)+($K52*INDEX('DEFAULT DATA'!$MW$9:$VD$41,START!$C$3,($N52+1))*-44/12)+($K52*INDEX('DEFAULT DATA'!$MW$9:$VD$41,START!$C$3,($N52+2))*-44/12)+($K52*INDEX('DEFAULT DATA'!$MW$9:$VD$41,START!$C$3,($N52+3))*-44/12)+($L52*INDEX('DEFAULT DATA'!$MW$9:$VD$41,START!$C$3,($N52+4))*-44/12)+($M52*INDEX('DEFAULT DATA'!$MW$9:$VD$41,START!$C$3,($N52+5))*-44/12)</f>
        <v>0</v>
      </c>
      <c r="AE52" s="216">
        <f>($K52*INDEX('DEFAULT DATA'!$MW$9:$VD$41,START!$C$3,($N52))*-44/12)+($K52*INDEX('DEFAULT DATA'!$MW$9:$VD$41,START!$C$3,($N52+1))*-44/12)+($K52*INDEX('DEFAULT DATA'!$MW$9:$VD$41,START!$C$3,($N52+2))*-44/12)+($K52*INDEX('DEFAULT DATA'!$MW$9:$VD$41,START!$C$3,($N52+3))*-44/12)+($L52*INDEX('DEFAULT DATA'!$MW$9:$VD$41,START!$C$3,($N52+4))*-44/12)+($M52*INDEX('DEFAULT DATA'!$MW$9:$VD$41,START!$C$3,($N52+5))*-44/12)</f>
        <v>0</v>
      </c>
      <c r="AF52" s="216">
        <f>($K52*INDEX('DEFAULT DATA'!$MW$9:$VD$41,START!$C$3,($N52))*-44/12)+($K52*INDEX('DEFAULT DATA'!$MW$9:$VD$41,START!$C$3,($N52+1))*-44/12)+($K52*INDEX('DEFAULT DATA'!$MW$9:$VD$41,START!$C$3,($N52+2))*-44/12)+($K52*INDEX('DEFAULT DATA'!$MW$9:$VD$41,START!$C$3,($N52+3))*-44/12)+($L52*INDEX('DEFAULT DATA'!$MW$9:$VD$41,START!$C$3,($N52+4))*-44/12)+($M52*INDEX('DEFAULT DATA'!$MW$9:$VD$41,START!$C$3,($N52+5))*-44/12)</f>
        <v>0</v>
      </c>
      <c r="AG52" s="216">
        <f>($K52*INDEX('DEFAULT DATA'!$MW$9:$VD$41,START!$C$3,($N52))*-44/12)+($K52*INDEX('DEFAULT DATA'!$MW$9:$VD$41,START!$C$3,($N52+1))*-44/12)+($K52*INDEX('DEFAULT DATA'!$MW$9:$VD$41,START!$C$3,($N52+2))*-44/12)+($K52*INDEX('DEFAULT DATA'!$MW$9:$VD$41,START!$C$3,($N52+3))*-44/12)+($L52*INDEX('DEFAULT DATA'!$MW$9:$VD$41,START!$C$3,($N52+4))*-44/12)+($M52*INDEX('DEFAULT DATA'!$MW$9:$VD$41,START!$C$3,($N52+5))*-44/12)</f>
        <v>0</v>
      </c>
      <c r="AH52" s="216">
        <f>($K52*INDEX('DEFAULT DATA'!$MW$9:$VD$41,START!$C$3,($N52))*-44/12)+($K52*INDEX('DEFAULT DATA'!$MW$9:$VD$41,START!$C$3,($N52+1))*-44/12)+($K52*INDEX('DEFAULT DATA'!$MW$9:$VD$41,START!$C$3,($N52+2))*-44/12)+($K52*INDEX('DEFAULT DATA'!$MW$9:$VD$41,START!$C$3,($N52+3))*-44/12)+($L52*INDEX('DEFAULT DATA'!$MW$9:$VD$41,START!$C$3,($N52+4))*-44/12)+($M52*INDEX('DEFAULT DATA'!$MW$9:$VD$41,START!$C$3,($N52+5))*-44/12)</f>
        <v>0</v>
      </c>
      <c r="AI52" s="216">
        <f>($K52*INDEX('DEFAULT DATA'!$MW$9:$VD$41,START!$C$3,($N52))*-44/12)+($K52*INDEX('DEFAULT DATA'!$MW$9:$VD$41,START!$C$3,($N52+1))*-44/12)+($K52*INDEX('DEFAULT DATA'!$MW$9:$VD$41,START!$C$3,($N52+2))*-44/12)+($K52*INDEX('DEFAULT DATA'!$MW$9:$VD$41,START!$C$3,($N52+3))*-44/12)+($L52*INDEX('DEFAULT DATA'!$MW$9:$VD$41,START!$C$3,($N52+4))*-44/12)+($M52*INDEX('DEFAULT DATA'!$MW$9:$VD$41,START!$C$3,($N52+5))*-44/12)</f>
        <v>0</v>
      </c>
      <c r="AJ52" s="216">
        <f>($K52*INDEX('DEFAULT DATA'!$MW$9:$VD$41,START!$C$3,($N52))*-44/12)+($K52*INDEX('DEFAULT DATA'!$MW$9:$VD$41,START!$C$3,($N52+1))*-44/12)+($K52*INDEX('DEFAULT DATA'!$MW$9:$VD$41,START!$C$3,($N52+2))*-44/12)+($K52*INDEX('DEFAULT DATA'!$MW$9:$VD$41,START!$C$3,($N52+3))*-44/12)+($L52*INDEX('DEFAULT DATA'!$MW$9:$VD$41,START!$C$3,($N52+4))*-44/12)+($M52*INDEX('DEFAULT DATA'!$MW$9:$VD$41,START!$C$3,($N52+5))*-44/12)</f>
        <v>0</v>
      </c>
      <c r="AK52" s="216">
        <f>($K52*INDEX('DEFAULT DATA'!$US$9:$UX$41,START!$C$3,1)*-44/12)+($K52*INDEX('DEFAULT DATA'!$US$9:$UX$41,START!$C$3,2)*-44/12)+($K52*INDEX('DEFAULT DATA'!$US$9:$UX$41,START!$C$3,3)*-44/12)+($K52*INDEX('DEFAULT DATA'!$US$9:$UX$41,START!$C$3,4)*-44/12)+($L52*INDEX('DEFAULT DATA'!$US$9:$UX$41,START!$C$3,5)*-44/12)+($M52*INDEX('DEFAULT DATA'!$US$9:$UX$41,START!$C$3,6)*-44/12)</f>
        <v>0</v>
      </c>
      <c r="AL52" s="216">
        <f>($K52*INDEX('DEFAULT DATA'!$US$9:$UX$41,START!$C$3,1)*-44/12)+($K52*INDEX('DEFAULT DATA'!$US$9:$UX$41,START!$C$3,2)*-44/12)+($K52*INDEX('DEFAULT DATA'!$US$9:$UX$41,START!$C$3,3)*-44/12)+($K52*INDEX('DEFAULT DATA'!$US$9:$UX$41,START!$C$3,4)*-44/12)+($L52*INDEX('DEFAULT DATA'!$US$9:$UX$41,START!$C$3,5)*-44/12)+($M52*INDEX('DEFAULT DATA'!$US$9:$UX$41,START!$C$3,6)*-44/12)</f>
        <v>0</v>
      </c>
      <c r="AM52" s="216">
        <f>($K52*INDEX('DEFAULT DATA'!$US$9:$UX$41,START!$C$3,1)*-44/12)+($K52*INDEX('DEFAULT DATA'!$US$9:$UX$41,START!$C$3,2)*-44/12)+($K52*INDEX('DEFAULT DATA'!$US$9:$UX$41,START!$C$3,3)*-44/12)+($K52*INDEX('DEFAULT DATA'!$US$9:$UX$41,START!$C$3,4)*-44/12)+($L52*INDEX('DEFAULT DATA'!$US$9:$UX$41,START!$C$3,5)*-44/12)+($M52*INDEX('DEFAULT DATA'!$US$9:$UX$41,START!$C$3,6)*-44/12)</f>
        <v>0</v>
      </c>
      <c r="AN52" s="216">
        <f>($K52*INDEX('DEFAULT DATA'!$US$9:$UX$41,START!$C$3,1)*-44/12)+($K52*INDEX('DEFAULT DATA'!$US$9:$UX$41,START!$C$3,2)*-44/12)+($K52*INDEX('DEFAULT DATA'!$US$9:$UX$41,START!$C$3,3)*-44/12)+($K52*INDEX('DEFAULT DATA'!$US$9:$UX$41,START!$C$3,4)*-44/12)+($L52*INDEX('DEFAULT DATA'!$US$9:$UX$41,START!$C$3,5)*-44/12)+($M52*INDEX('DEFAULT DATA'!$US$9:$UX$41,START!$C$3,6)*-44/12)</f>
        <v>0</v>
      </c>
      <c r="AO52" s="216">
        <f>($K52*INDEX('DEFAULT DATA'!$US$9:$UX$41,START!$C$3,1)*-44/12)+($K52*INDEX('DEFAULT DATA'!$US$9:$UX$41,START!$C$3,2)*-44/12)+($K52*INDEX('DEFAULT DATA'!$US$9:$UX$41,START!$C$3,3)*-44/12)+($K52*INDEX('DEFAULT DATA'!$US$9:$UX$41,START!$C$3,4)*-44/12)+($L52*INDEX('DEFAULT DATA'!$US$9:$UX$41,START!$C$3,5)*-44/12)+($M52*INDEX('DEFAULT DATA'!$US$9:$UX$41,START!$C$3,6)*-44/12)</f>
        <v>0</v>
      </c>
      <c r="AP52" s="216">
        <f>($K52*INDEX('DEFAULT DATA'!$US$9:$UX$41,START!$C$3,1)*-44/12)+($K52*INDEX('DEFAULT DATA'!$US$9:$UX$41,START!$C$3,2)*-44/12)+($K52*INDEX('DEFAULT DATA'!$US$9:$UX$41,START!$C$3,3)*-44/12)+($K52*INDEX('DEFAULT DATA'!$US$9:$UX$41,START!$C$3,4)*-44/12)+($L52*INDEX('DEFAULT DATA'!$US$9:$UX$41,START!$C$3,5)*-44/12)+($M52*INDEX('DEFAULT DATA'!$US$9:$UX$41,START!$C$3,6)*-44/12)</f>
        <v>0</v>
      </c>
      <c r="AQ52" s="216">
        <f>($K52*INDEX('DEFAULT DATA'!$US$9:$UX$41,START!$C$3,1)*-44/12)+($K52*INDEX('DEFAULT DATA'!$US$9:$UX$41,START!$C$3,2)*-44/12)+($K52*INDEX('DEFAULT DATA'!$US$9:$UX$41,START!$C$3,3)*-44/12)+($K52*INDEX('DEFAULT DATA'!$US$9:$UX$41,START!$C$3,4)*-44/12)+($L52*INDEX('DEFAULT DATA'!$US$9:$UX$41,START!$C$3,5)*-44/12)+($M52*INDEX('DEFAULT DATA'!$US$9:$UX$41,START!$C$3,6)*-44/12)</f>
        <v>0</v>
      </c>
      <c r="AR52" s="216">
        <f>($K52*INDEX('DEFAULT DATA'!$US$9:$UX$41,START!$C$3,1)*-44/12)+($K52*INDEX('DEFAULT DATA'!$US$9:$UX$41,START!$C$3,2)*-44/12)+($K52*INDEX('DEFAULT DATA'!$US$9:$UX$41,START!$C$3,3)*-44/12)+($K52*INDEX('DEFAULT DATA'!$US$9:$UX$41,START!$C$3,4)*-44/12)+($L52*INDEX('DEFAULT DATA'!$US$9:$UX$41,START!$C$3,5)*-44/12)+($M52*INDEX('DEFAULT DATA'!$US$9:$UX$41,START!$C$3,6)*-44/12)</f>
        <v>0</v>
      </c>
      <c r="AS52" s="216">
        <f>($K52*INDEX('DEFAULT DATA'!$US$9:$UX$41,START!$C$3,1)*-44/12)+($K52*INDEX('DEFAULT DATA'!$US$9:$UX$41,START!$C$3,2)*-44/12)+($K52*INDEX('DEFAULT DATA'!$US$9:$UX$41,START!$C$3,3)*-44/12)+($K52*INDEX('DEFAULT DATA'!$US$9:$UX$41,START!$C$3,4)*-44/12)+($L52*INDEX('DEFAULT DATA'!$US$9:$UX$41,START!$C$3,5)*-44/12)+($M52*INDEX('DEFAULT DATA'!$US$9:$UX$41,START!$C$3,6)*-44/12)</f>
        <v>0</v>
      </c>
      <c r="AT52" s="443">
        <f>($K52*INDEX('DEFAULT DATA'!$US$9:$UX$41,START!$C$3,1)*-44/12)+($K52*INDEX('DEFAULT DATA'!$US$9:$UX$41,START!$C$3,2)*-44/12)+($K52*INDEX('DEFAULT DATA'!$US$9:$UX$41,START!$C$3,3)*-44/12)+($K52*INDEX('DEFAULT DATA'!$US$9:$UX$41,START!$C$3,4)*-44/12)+($L52*INDEX('DEFAULT DATA'!$US$9:$UX$41,START!$C$3,5)*-44/12)+($M52*INDEX('DEFAULT DATA'!$US$9:$UX$41,START!$C$3,6)*-44/12)</f>
        <v>0</v>
      </c>
    </row>
    <row r="53" spans="1:46" ht="20.100000000000001" customHeight="1">
      <c r="A53" s="421"/>
      <c r="B53" s="1347" t="s">
        <v>896</v>
      </c>
      <c r="C53" s="1024"/>
      <c r="D53" s="1024"/>
      <c r="E53" s="955">
        <v>0</v>
      </c>
      <c r="F53" s="953">
        <v>0</v>
      </c>
      <c r="G53" s="956">
        <v>0</v>
      </c>
      <c r="H53" s="1024">
        <v>1</v>
      </c>
      <c r="I53" s="460"/>
      <c r="J53" s="273"/>
      <c r="K53" s="478">
        <f t="shared" si="37"/>
        <v>0</v>
      </c>
      <c r="L53" s="479">
        <f t="shared" si="38"/>
        <v>0</v>
      </c>
      <c r="M53" s="479">
        <f t="shared" si="39"/>
        <v>0</v>
      </c>
      <c r="N53" s="220">
        <f t="shared" si="41"/>
        <v>109</v>
      </c>
      <c r="O53" s="480" t="s">
        <v>863</v>
      </c>
      <c r="P53" s="481">
        <f t="shared" si="40"/>
        <v>2022</v>
      </c>
      <c r="Q53" s="216">
        <f>($K53*INDEX('DEFAULT DATA'!$MW$9:$VD$41,START!$C$3,($N53))*-44/12)+($K53*INDEX('DEFAULT DATA'!$MW$9:$VD$41,START!$C$3,($N53+1))*-44/12)+($K53*INDEX('DEFAULT DATA'!$MW$9:$VD$41,START!$C$3,($N53+2))*-44/12)+($K53*INDEX('DEFAULT DATA'!$MW$9:$VD$41,START!$C$3,($N53+3))*-44/12)+($L53*INDEX('DEFAULT DATA'!$MW$9:$VD$41,START!$C$3,($N53+4))*-44/12)+($M53*INDEX('DEFAULT DATA'!$MW$9:$VD$41,START!$C$3,($N53+5))*-44/12)</f>
        <v>0</v>
      </c>
      <c r="R53" s="216">
        <f>($K53*INDEX('DEFAULT DATA'!$MW$9:$VD$41,START!$C$3,($N53))*-44/12)+($K53*INDEX('DEFAULT DATA'!$MW$9:$VD$41,START!$C$3,($N53+1))*-44/12)+($K53*INDEX('DEFAULT DATA'!$MW$9:$VD$41,START!$C$3,($N53+2))*-44/12)+($K53*INDEX('DEFAULT DATA'!$MW$9:$VD$41,START!$C$3,($N53+3))*-44/12)+($L53*INDEX('DEFAULT DATA'!$MW$9:$VD$41,START!$C$3,($N53+4))*-44/12)+($M53*INDEX('DEFAULT DATA'!$MW$9:$VD$41,START!$C$3,($N53+5))*-44/12)</f>
        <v>0</v>
      </c>
      <c r="S53" s="216">
        <f>($K53*INDEX('DEFAULT DATA'!$MW$9:$VD$41,START!$C$3,($N53))*-44/12)+($K53*INDEX('DEFAULT DATA'!$MW$9:$VD$41,START!$C$3,($N53+1))*-44/12)+($K53*INDEX('DEFAULT DATA'!$MW$9:$VD$41,START!$C$3,($N53+2))*-44/12)+($K53*INDEX('DEFAULT DATA'!$MW$9:$VD$41,START!$C$3,($N53+3))*-44/12)+($L53*INDEX('DEFAULT DATA'!$MW$9:$VD$41,START!$C$3,($N53+4))*-44/12)+($M53*INDEX('DEFAULT DATA'!$MW$9:$VD$41,START!$C$3,($N53+5))*-44/12)</f>
        <v>0</v>
      </c>
      <c r="T53" s="216">
        <f>($K53*INDEX('DEFAULT DATA'!$MW$9:$VD$41,START!$C$3,($N53))*-44/12)+($K53*INDEX('DEFAULT DATA'!$MW$9:$VD$41,START!$C$3,($N53+1))*-44/12)+($K53*INDEX('DEFAULT DATA'!$MW$9:$VD$41,START!$C$3,($N53+2))*-44/12)+($K53*INDEX('DEFAULT DATA'!$MW$9:$VD$41,START!$C$3,($N53+3))*-44/12)+($L53*INDEX('DEFAULT DATA'!$MW$9:$VD$41,START!$C$3,($N53+4))*-44/12)+($M53*INDEX('DEFAULT DATA'!$MW$9:$VD$41,START!$C$3,($N53+5))*-44/12)</f>
        <v>0</v>
      </c>
      <c r="U53" s="216">
        <f>($K53*INDEX('DEFAULT DATA'!$MW$9:$VD$41,START!$C$3,($N53))*-44/12)+($K53*INDEX('DEFAULT DATA'!$MW$9:$VD$41,START!$C$3,($N53+1))*-44/12)+($K53*INDEX('DEFAULT DATA'!$MW$9:$VD$41,START!$C$3,($N53+2))*-44/12)+($K53*INDEX('DEFAULT DATA'!$MW$9:$VD$41,START!$C$3,($N53+3))*-44/12)+($L53*INDEX('DEFAULT DATA'!$MW$9:$VD$41,START!$C$3,($N53+4))*-44/12)+($M53*INDEX('DEFAULT DATA'!$MW$9:$VD$41,START!$C$3,($N53+5))*-44/12)</f>
        <v>0</v>
      </c>
      <c r="V53" s="216">
        <f>($K53*INDEX('DEFAULT DATA'!$MW$9:$VD$41,START!$C$3,($N53))*-44/12)+($K53*INDEX('DEFAULT DATA'!$MW$9:$VD$41,START!$C$3,($N53+1))*-44/12)+($K53*INDEX('DEFAULT DATA'!$MW$9:$VD$41,START!$C$3,($N53+2))*-44/12)+($K53*INDEX('DEFAULT DATA'!$MW$9:$VD$41,START!$C$3,($N53+3))*-44/12)+($L53*INDEX('DEFAULT DATA'!$MW$9:$VD$41,START!$C$3,($N53+4))*-44/12)+($M53*INDEX('DEFAULT DATA'!$MW$9:$VD$41,START!$C$3,($N53+5))*-44/12)</f>
        <v>0</v>
      </c>
      <c r="W53" s="216">
        <f>($K53*INDEX('DEFAULT DATA'!$MW$9:$VD$41,START!$C$3,($N53))*-44/12)+($K53*INDEX('DEFAULT DATA'!$MW$9:$VD$41,START!$C$3,($N53+1))*-44/12)+($K53*INDEX('DEFAULT DATA'!$MW$9:$VD$41,START!$C$3,($N53+2))*-44/12)+($K53*INDEX('DEFAULT DATA'!$MW$9:$VD$41,START!$C$3,($N53+3))*-44/12)+($L53*INDEX('DEFAULT DATA'!$MW$9:$VD$41,START!$C$3,($N53+4))*-44/12)+($M53*INDEX('DEFAULT DATA'!$MW$9:$VD$41,START!$C$3,($N53+5))*-44/12)</f>
        <v>0</v>
      </c>
      <c r="X53" s="216">
        <f>($K53*INDEX('DEFAULT DATA'!$MW$9:$VD$41,START!$C$3,($N53))*-44/12)+($K53*INDEX('DEFAULT DATA'!$MW$9:$VD$41,START!$C$3,($N53+1))*-44/12)+($K53*INDEX('DEFAULT DATA'!$MW$9:$VD$41,START!$C$3,($N53+2))*-44/12)+($K53*INDEX('DEFAULT DATA'!$MW$9:$VD$41,START!$C$3,($N53+3))*-44/12)+($L53*INDEX('DEFAULT DATA'!$MW$9:$VD$41,START!$C$3,($N53+4))*-44/12)+($M53*INDEX('DEFAULT DATA'!$MW$9:$VD$41,START!$C$3,($N53+5))*-44/12)</f>
        <v>0</v>
      </c>
      <c r="Y53" s="216">
        <f>($K53*INDEX('DEFAULT DATA'!$MW$9:$VD$41,START!$C$3,($N53))*-44/12)+($K53*INDEX('DEFAULT DATA'!$MW$9:$VD$41,START!$C$3,($N53+1))*-44/12)+($K53*INDEX('DEFAULT DATA'!$MW$9:$VD$41,START!$C$3,($N53+2))*-44/12)+($K53*INDEX('DEFAULT DATA'!$MW$9:$VD$41,START!$C$3,($N53+3))*-44/12)+($L53*INDEX('DEFAULT DATA'!$MW$9:$VD$41,START!$C$3,($N53+4))*-44/12)+($M53*INDEX('DEFAULT DATA'!$MW$9:$VD$41,START!$C$3,($N53+5))*-44/12)</f>
        <v>0</v>
      </c>
      <c r="Z53" s="216">
        <f>($K53*INDEX('DEFAULT DATA'!$MW$9:$VD$41,START!$C$3,($N53))*-44/12)+($K53*INDEX('DEFAULT DATA'!$MW$9:$VD$41,START!$C$3,($N53+1))*-44/12)+($K53*INDEX('DEFAULT DATA'!$MW$9:$VD$41,START!$C$3,($N53+2))*-44/12)+($K53*INDEX('DEFAULT DATA'!$MW$9:$VD$41,START!$C$3,($N53+3))*-44/12)+($L53*INDEX('DEFAULT DATA'!$MW$9:$VD$41,START!$C$3,($N53+4))*-44/12)+($M53*INDEX('DEFAULT DATA'!$MW$9:$VD$41,START!$C$3,($N53+5))*-44/12)</f>
        <v>0</v>
      </c>
      <c r="AA53" s="216">
        <f>($K53*INDEX('DEFAULT DATA'!$MW$9:$VD$41,START!$C$3,($N53))*-44/12)+($K53*INDEX('DEFAULT DATA'!$MW$9:$VD$41,START!$C$3,($N53+1))*-44/12)+($K53*INDEX('DEFAULT DATA'!$MW$9:$VD$41,START!$C$3,($N53+2))*-44/12)+($K53*INDEX('DEFAULT DATA'!$MW$9:$VD$41,START!$C$3,($N53+3))*-44/12)+($L53*INDEX('DEFAULT DATA'!$MW$9:$VD$41,START!$C$3,($N53+4))*-44/12)+($M53*INDEX('DEFAULT DATA'!$MW$9:$VD$41,START!$C$3,($N53+5))*-44/12)</f>
        <v>0</v>
      </c>
      <c r="AB53" s="216">
        <f>($K53*INDEX('DEFAULT DATA'!$MW$9:$VD$41,START!$C$3,($N53))*-44/12)+($K53*INDEX('DEFAULT DATA'!$MW$9:$VD$41,START!$C$3,($N53+1))*-44/12)+($K53*INDEX('DEFAULT DATA'!$MW$9:$VD$41,START!$C$3,($N53+2))*-44/12)+($K53*INDEX('DEFAULT DATA'!$MW$9:$VD$41,START!$C$3,($N53+3))*-44/12)+($L53*INDEX('DEFAULT DATA'!$MW$9:$VD$41,START!$C$3,($N53+4))*-44/12)+($M53*INDEX('DEFAULT DATA'!$MW$9:$VD$41,START!$C$3,($N53+5))*-44/12)</f>
        <v>0</v>
      </c>
      <c r="AC53" s="216">
        <f>($K53*INDEX('DEFAULT DATA'!$MW$9:$VD$41,START!$C$3,($N53))*-44/12)+($K53*INDEX('DEFAULT DATA'!$MW$9:$VD$41,START!$C$3,($N53+1))*-44/12)+($K53*INDEX('DEFAULT DATA'!$MW$9:$VD$41,START!$C$3,($N53+2))*-44/12)+($K53*INDEX('DEFAULT DATA'!$MW$9:$VD$41,START!$C$3,($N53+3))*-44/12)+($L53*INDEX('DEFAULT DATA'!$MW$9:$VD$41,START!$C$3,($N53+4))*-44/12)+($M53*INDEX('DEFAULT DATA'!$MW$9:$VD$41,START!$C$3,($N53+5))*-44/12)</f>
        <v>0</v>
      </c>
      <c r="AD53" s="216">
        <f>($K53*INDEX('DEFAULT DATA'!$MW$9:$VD$41,START!$C$3,($N53))*-44/12)+($K53*INDEX('DEFAULT DATA'!$MW$9:$VD$41,START!$C$3,($N53+1))*-44/12)+($K53*INDEX('DEFAULT DATA'!$MW$9:$VD$41,START!$C$3,($N53+2))*-44/12)+($K53*INDEX('DEFAULT DATA'!$MW$9:$VD$41,START!$C$3,($N53+3))*-44/12)+($L53*INDEX('DEFAULT DATA'!$MW$9:$VD$41,START!$C$3,($N53+4))*-44/12)+($M53*INDEX('DEFAULT DATA'!$MW$9:$VD$41,START!$C$3,($N53+5))*-44/12)</f>
        <v>0</v>
      </c>
      <c r="AE53" s="216">
        <f>($K53*INDEX('DEFAULT DATA'!$MW$9:$VD$41,START!$C$3,($N53))*-44/12)+($K53*INDEX('DEFAULT DATA'!$MW$9:$VD$41,START!$C$3,($N53+1))*-44/12)+($K53*INDEX('DEFAULT DATA'!$MW$9:$VD$41,START!$C$3,($N53+2))*-44/12)+($K53*INDEX('DEFAULT DATA'!$MW$9:$VD$41,START!$C$3,($N53+3))*-44/12)+($L53*INDEX('DEFAULT DATA'!$MW$9:$VD$41,START!$C$3,($N53+4))*-44/12)+($M53*INDEX('DEFAULT DATA'!$MW$9:$VD$41,START!$C$3,($N53+5))*-44/12)</f>
        <v>0</v>
      </c>
      <c r="AF53" s="216">
        <f>($K53*INDEX('DEFAULT DATA'!$MW$9:$VD$41,START!$C$3,($N53))*-44/12)+($K53*INDEX('DEFAULT DATA'!$MW$9:$VD$41,START!$C$3,($N53+1))*-44/12)+($K53*INDEX('DEFAULT DATA'!$MW$9:$VD$41,START!$C$3,($N53+2))*-44/12)+($K53*INDEX('DEFAULT DATA'!$MW$9:$VD$41,START!$C$3,($N53+3))*-44/12)+($L53*INDEX('DEFAULT DATA'!$MW$9:$VD$41,START!$C$3,($N53+4))*-44/12)+($M53*INDEX('DEFAULT DATA'!$MW$9:$VD$41,START!$C$3,($N53+5))*-44/12)</f>
        <v>0</v>
      </c>
      <c r="AG53" s="216">
        <f>($K53*INDEX('DEFAULT DATA'!$MW$9:$VD$41,START!$C$3,($N53))*-44/12)+($K53*INDEX('DEFAULT DATA'!$MW$9:$VD$41,START!$C$3,($N53+1))*-44/12)+($K53*INDEX('DEFAULT DATA'!$MW$9:$VD$41,START!$C$3,($N53+2))*-44/12)+($K53*INDEX('DEFAULT DATA'!$MW$9:$VD$41,START!$C$3,($N53+3))*-44/12)+($L53*INDEX('DEFAULT DATA'!$MW$9:$VD$41,START!$C$3,($N53+4))*-44/12)+($M53*INDEX('DEFAULT DATA'!$MW$9:$VD$41,START!$C$3,($N53+5))*-44/12)</f>
        <v>0</v>
      </c>
      <c r="AH53" s="216">
        <f>($K53*INDEX('DEFAULT DATA'!$MW$9:$VD$41,START!$C$3,($N53))*-44/12)+($K53*INDEX('DEFAULT DATA'!$MW$9:$VD$41,START!$C$3,($N53+1))*-44/12)+($K53*INDEX('DEFAULT DATA'!$MW$9:$VD$41,START!$C$3,($N53+2))*-44/12)+($K53*INDEX('DEFAULT DATA'!$MW$9:$VD$41,START!$C$3,($N53+3))*-44/12)+($L53*INDEX('DEFAULT DATA'!$MW$9:$VD$41,START!$C$3,($N53+4))*-44/12)+($M53*INDEX('DEFAULT DATA'!$MW$9:$VD$41,START!$C$3,($N53+5))*-44/12)</f>
        <v>0</v>
      </c>
      <c r="AI53" s="216">
        <f>($K53*INDEX('DEFAULT DATA'!$MW$9:$VD$41,START!$C$3,($N53))*-44/12)+($K53*INDEX('DEFAULT DATA'!$MW$9:$VD$41,START!$C$3,($N53+1))*-44/12)+($K53*INDEX('DEFAULT DATA'!$MW$9:$VD$41,START!$C$3,($N53+2))*-44/12)+($K53*INDEX('DEFAULT DATA'!$MW$9:$VD$41,START!$C$3,($N53+3))*-44/12)+($L53*INDEX('DEFAULT DATA'!$MW$9:$VD$41,START!$C$3,($N53+4))*-44/12)+($M53*INDEX('DEFAULT DATA'!$MW$9:$VD$41,START!$C$3,($N53+5))*-44/12)</f>
        <v>0</v>
      </c>
      <c r="AJ53" s="216">
        <f>($K53*INDEX('DEFAULT DATA'!$MW$9:$VD$41,START!$C$3,($N53))*-44/12)+($K53*INDEX('DEFAULT DATA'!$MW$9:$VD$41,START!$C$3,($N53+1))*-44/12)+($K53*INDEX('DEFAULT DATA'!$MW$9:$VD$41,START!$C$3,($N53+2))*-44/12)+($K53*INDEX('DEFAULT DATA'!$MW$9:$VD$41,START!$C$3,($N53+3))*-44/12)+($L53*INDEX('DEFAULT DATA'!$MW$9:$VD$41,START!$C$3,($N53+4))*-44/12)+($M53*INDEX('DEFAULT DATA'!$MW$9:$VD$41,START!$C$3,($N53+5))*-44/12)</f>
        <v>0</v>
      </c>
      <c r="AK53" s="216">
        <f>($K53*INDEX('DEFAULT DATA'!$US$9:$UX$41,START!$C$3,1)*-44/12)+($K53*INDEX('DEFAULT DATA'!$US$9:$UX$41,START!$C$3,2)*-44/12)+($K53*INDEX('DEFAULT DATA'!$US$9:$UX$41,START!$C$3,3)*-44/12)+($K53*INDEX('DEFAULT DATA'!$US$9:$UX$41,START!$C$3,4)*-44/12)+($L53*INDEX('DEFAULT DATA'!$US$9:$UX$41,START!$C$3,5)*-44/12)+($M53*INDEX('DEFAULT DATA'!$US$9:$UX$41,START!$C$3,6)*-44/12)</f>
        <v>0</v>
      </c>
      <c r="AL53" s="216">
        <f>($K53*INDEX('DEFAULT DATA'!$US$9:$UX$41,START!$C$3,1)*-44/12)+($K53*INDEX('DEFAULT DATA'!$US$9:$UX$41,START!$C$3,2)*-44/12)+($K53*INDEX('DEFAULT DATA'!$US$9:$UX$41,START!$C$3,3)*-44/12)+($K53*INDEX('DEFAULT DATA'!$US$9:$UX$41,START!$C$3,4)*-44/12)+($L53*INDEX('DEFAULT DATA'!$US$9:$UX$41,START!$C$3,5)*-44/12)+($M53*INDEX('DEFAULT DATA'!$US$9:$UX$41,START!$C$3,6)*-44/12)</f>
        <v>0</v>
      </c>
      <c r="AM53" s="216">
        <f>($K53*INDEX('DEFAULT DATA'!$US$9:$UX$41,START!$C$3,1)*-44/12)+($K53*INDEX('DEFAULT DATA'!$US$9:$UX$41,START!$C$3,2)*-44/12)+($K53*INDEX('DEFAULT DATA'!$US$9:$UX$41,START!$C$3,3)*-44/12)+($K53*INDEX('DEFAULT DATA'!$US$9:$UX$41,START!$C$3,4)*-44/12)+($L53*INDEX('DEFAULT DATA'!$US$9:$UX$41,START!$C$3,5)*-44/12)+($M53*INDEX('DEFAULT DATA'!$US$9:$UX$41,START!$C$3,6)*-44/12)</f>
        <v>0</v>
      </c>
      <c r="AN53" s="216">
        <f>($K53*INDEX('DEFAULT DATA'!$US$9:$UX$41,START!$C$3,1)*-44/12)+($K53*INDEX('DEFAULT DATA'!$US$9:$UX$41,START!$C$3,2)*-44/12)+($K53*INDEX('DEFAULT DATA'!$US$9:$UX$41,START!$C$3,3)*-44/12)+($K53*INDEX('DEFAULT DATA'!$US$9:$UX$41,START!$C$3,4)*-44/12)+($L53*INDEX('DEFAULT DATA'!$US$9:$UX$41,START!$C$3,5)*-44/12)+($M53*INDEX('DEFAULT DATA'!$US$9:$UX$41,START!$C$3,6)*-44/12)</f>
        <v>0</v>
      </c>
      <c r="AO53" s="216">
        <f>($K53*INDEX('DEFAULT DATA'!$US$9:$UX$41,START!$C$3,1)*-44/12)+($K53*INDEX('DEFAULT DATA'!$US$9:$UX$41,START!$C$3,2)*-44/12)+($K53*INDEX('DEFAULT DATA'!$US$9:$UX$41,START!$C$3,3)*-44/12)+($K53*INDEX('DEFAULT DATA'!$US$9:$UX$41,START!$C$3,4)*-44/12)+($L53*INDEX('DEFAULT DATA'!$US$9:$UX$41,START!$C$3,5)*-44/12)+($M53*INDEX('DEFAULT DATA'!$US$9:$UX$41,START!$C$3,6)*-44/12)</f>
        <v>0</v>
      </c>
      <c r="AP53" s="216">
        <f>($K53*INDEX('DEFAULT DATA'!$US$9:$UX$41,START!$C$3,1)*-44/12)+($K53*INDEX('DEFAULT DATA'!$US$9:$UX$41,START!$C$3,2)*-44/12)+($K53*INDEX('DEFAULT DATA'!$US$9:$UX$41,START!$C$3,3)*-44/12)+($K53*INDEX('DEFAULT DATA'!$US$9:$UX$41,START!$C$3,4)*-44/12)+($L53*INDEX('DEFAULT DATA'!$US$9:$UX$41,START!$C$3,5)*-44/12)+($M53*INDEX('DEFAULT DATA'!$US$9:$UX$41,START!$C$3,6)*-44/12)</f>
        <v>0</v>
      </c>
      <c r="AQ53" s="216">
        <f>($K53*INDEX('DEFAULT DATA'!$US$9:$UX$41,START!$C$3,1)*-44/12)+($K53*INDEX('DEFAULT DATA'!$US$9:$UX$41,START!$C$3,2)*-44/12)+($K53*INDEX('DEFAULT DATA'!$US$9:$UX$41,START!$C$3,3)*-44/12)+($K53*INDEX('DEFAULT DATA'!$US$9:$UX$41,START!$C$3,4)*-44/12)+($L53*INDEX('DEFAULT DATA'!$US$9:$UX$41,START!$C$3,5)*-44/12)+($M53*INDEX('DEFAULT DATA'!$US$9:$UX$41,START!$C$3,6)*-44/12)</f>
        <v>0</v>
      </c>
      <c r="AR53" s="216">
        <f>($K53*INDEX('DEFAULT DATA'!$US$9:$UX$41,START!$C$3,1)*-44/12)+($K53*INDEX('DEFAULT DATA'!$US$9:$UX$41,START!$C$3,2)*-44/12)+($K53*INDEX('DEFAULT DATA'!$US$9:$UX$41,START!$C$3,3)*-44/12)+($K53*INDEX('DEFAULT DATA'!$US$9:$UX$41,START!$C$3,4)*-44/12)+($L53*INDEX('DEFAULT DATA'!$US$9:$UX$41,START!$C$3,5)*-44/12)+($M53*INDEX('DEFAULT DATA'!$US$9:$UX$41,START!$C$3,6)*-44/12)</f>
        <v>0</v>
      </c>
      <c r="AS53" s="216">
        <f>($K53*INDEX('DEFAULT DATA'!$US$9:$UX$41,START!$C$3,1)*-44/12)+($K53*INDEX('DEFAULT DATA'!$US$9:$UX$41,START!$C$3,2)*-44/12)+($K53*INDEX('DEFAULT DATA'!$US$9:$UX$41,START!$C$3,3)*-44/12)+($K53*INDEX('DEFAULT DATA'!$US$9:$UX$41,START!$C$3,4)*-44/12)+($L53*INDEX('DEFAULT DATA'!$US$9:$UX$41,START!$C$3,5)*-44/12)+($M53*INDEX('DEFAULT DATA'!$US$9:$UX$41,START!$C$3,6)*-44/12)</f>
        <v>0</v>
      </c>
      <c r="AT53" s="443">
        <f>($K53*INDEX('DEFAULT DATA'!$US$9:$UX$41,START!$C$3,1)*-44/12)+($K53*INDEX('DEFAULT DATA'!$US$9:$UX$41,START!$C$3,2)*-44/12)+($K53*INDEX('DEFAULT DATA'!$US$9:$UX$41,START!$C$3,3)*-44/12)+($K53*INDEX('DEFAULT DATA'!$US$9:$UX$41,START!$C$3,4)*-44/12)+($L53*INDEX('DEFAULT DATA'!$US$9:$UX$41,START!$C$3,5)*-44/12)+($M53*INDEX('DEFAULT DATA'!$US$9:$UX$41,START!$C$3,6)*-44/12)</f>
        <v>0</v>
      </c>
    </row>
    <row r="54" spans="1:46" ht="20.100000000000001" customHeight="1" thickBot="1">
      <c r="A54" s="421"/>
      <c r="B54" s="1347" t="s">
        <v>897</v>
      </c>
      <c r="C54" s="1024"/>
      <c r="D54" s="1024"/>
      <c r="E54" s="955">
        <v>0</v>
      </c>
      <c r="F54" s="953">
        <v>0</v>
      </c>
      <c r="G54" s="956">
        <v>0</v>
      </c>
      <c r="H54" s="1024">
        <v>1</v>
      </c>
      <c r="I54" s="460"/>
      <c r="J54" s="273"/>
      <c r="K54" s="482">
        <f>E66</f>
        <v>0</v>
      </c>
      <c r="L54" s="483">
        <f t="shared" si="38"/>
        <v>0</v>
      </c>
      <c r="M54" s="483">
        <f t="shared" si="39"/>
        <v>0</v>
      </c>
      <c r="N54" s="320">
        <f t="shared" si="41"/>
        <v>115</v>
      </c>
      <c r="O54" s="484" t="s">
        <v>870</v>
      </c>
      <c r="P54" s="485">
        <f t="shared" si="40"/>
        <v>2022</v>
      </c>
      <c r="Q54" s="440">
        <f>($K54*INDEX('DEFAULT DATA'!$MW$9:$VD$41,START!$C$3,($N54))*-44/12)+($K54*INDEX('DEFAULT DATA'!$MW$9:$VD$41,START!$C$3,($N54+1))*-44/12)+($K54*INDEX('DEFAULT DATA'!$MW$9:$VD$41,START!$C$3,($N54+2))*-44/12)+($K54*INDEX('DEFAULT DATA'!$MW$9:$VD$41,START!$C$3,($N54+3))*-44/12)+($L54*INDEX('DEFAULT DATA'!$MW$9:$VD$41,START!$C$3,($N54+4))*-44/12)+($M54*INDEX('DEFAULT DATA'!$MW$9:$VD$41,START!$C$3,($N54+5))*-44/12)</f>
        <v>0</v>
      </c>
      <c r="R54" s="440">
        <f>($K54*INDEX('DEFAULT DATA'!$MW$9:$VD$41,START!$C$3,($N54))*-44/12)+($K54*INDEX('DEFAULT DATA'!$MW$9:$VD$41,START!$C$3,($N54+1))*-44/12)+($K54*INDEX('DEFAULT DATA'!$MW$9:$VD$41,START!$C$3,($N54+2))*-44/12)+($K54*INDEX('DEFAULT DATA'!$MW$9:$VD$41,START!$C$3,($N54+3))*-44/12)+($L54*INDEX('DEFAULT DATA'!$MW$9:$VD$41,START!$C$3,($N54+4))*-44/12)+($M54*INDEX('DEFAULT DATA'!$MW$9:$VD$41,START!$C$3,($N54+5))*-44/12)</f>
        <v>0</v>
      </c>
      <c r="S54" s="440">
        <f>($K54*INDEX('DEFAULT DATA'!$MW$9:$VD$41,START!$C$3,($N54))*-44/12)+($K54*INDEX('DEFAULT DATA'!$MW$9:$VD$41,START!$C$3,($N54+1))*-44/12)+($K54*INDEX('DEFAULT DATA'!$MW$9:$VD$41,START!$C$3,($N54+2))*-44/12)+($K54*INDEX('DEFAULT DATA'!$MW$9:$VD$41,START!$C$3,($N54+3))*-44/12)+($L54*INDEX('DEFAULT DATA'!$MW$9:$VD$41,START!$C$3,($N54+4))*-44/12)+($M54*INDEX('DEFAULT DATA'!$MW$9:$VD$41,START!$C$3,($N54+5))*-44/12)</f>
        <v>0</v>
      </c>
      <c r="T54" s="440">
        <f>($K54*INDEX('DEFAULT DATA'!$MW$9:$VD$41,START!$C$3,($N54))*-44/12)+($K54*INDEX('DEFAULT DATA'!$MW$9:$VD$41,START!$C$3,($N54+1))*-44/12)+($K54*INDEX('DEFAULT DATA'!$MW$9:$VD$41,START!$C$3,($N54+2))*-44/12)+($K54*INDEX('DEFAULT DATA'!$MW$9:$VD$41,START!$C$3,($N54+3))*-44/12)+($L54*INDEX('DEFAULT DATA'!$MW$9:$VD$41,START!$C$3,($N54+4))*-44/12)+($M54*INDEX('DEFAULT DATA'!$MW$9:$VD$41,START!$C$3,($N54+5))*-44/12)</f>
        <v>0</v>
      </c>
      <c r="U54" s="440">
        <f>($K54*INDEX('DEFAULT DATA'!$MW$9:$VD$41,START!$C$3,($N54))*-44/12)+($K54*INDEX('DEFAULT DATA'!$MW$9:$VD$41,START!$C$3,($N54+1))*-44/12)+($K54*INDEX('DEFAULT DATA'!$MW$9:$VD$41,START!$C$3,($N54+2))*-44/12)+($K54*INDEX('DEFAULT DATA'!$MW$9:$VD$41,START!$C$3,($N54+3))*-44/12)+($L54*INDEX('DEFAULT DATA'!$MW$9:$VD$41,START!$C$3,($N54+4))*-44/12)+($M54*INDEX('DEFAULT DATA'!$MW$9:$VD$41,START!$C$3,($N54+5))*-44/12)</f>
        <v>0</v>
      </c>
      <c r="V54" s="440">
        <f>($K54*INDEX('DEFAULT DATA'!$MW$9:$VD$41,START!$C$3,($N54))*-44/12)+($K54*INDEX('DEFAULT DATA'!$MW$9:$VD$41,START!$C$3,($N54+1))*-44/12)+($K54*INDEX('DEFAULT DATA'!$MW$9:$VD$41,START!$C$3,($N54+2))*-44/12)+($K54*INDEX('DEFAULT DATA'!$MW$9:$VD$41,START!$C$3,($N54+3))*-44/12)+($L54*INDEX('DEFAULT DATA'!$MW$9:$VD$41,START!$C$3,($N54+4))*-44/12)+($M54*INDEX('DEFAULT DATA'!$MW$9:$VD$41,START!$C$3,($N54+5))*-44/12)</f>
        <v>0</v>
      </c>
      <c r="W54" s="440">
        <f>($K54*INDEX('DEFAULT DATA'!$MW$9:$VD$41,START!$C$3,($N54))*-44/12)+($K54*INDEX('DEFAULT DATA'!$MW$9:$VD$41,START!$C$3,($N54+1))*-44/12)+($K54*INDEX('DEFAULT DATA'!$MW$9:$VD$41,START!$C$3,($N54+2))*-44/12)+($K54*INDEX('DEFAULT DATA'!$MW$9:$VD$41,START!$C$3,($N54+3))*-44/12)+($L54*INDEX('DEFAULT DATA'!$MW$9:$VD$41,START!$C$3,($N54+4))*-44/12)+($M54*INDEX('DEFAULT DATA'!$MW$9:$VD$41,START!$C$3,($N54+5))*-44/12)</f>
        <v>0</v>
      </c>
      <c r="X54" s="440">
        <f>($K54*INDEX('DEFAULT DATA'!$MW$9:$VD$41,START!$C$3,($N54))*-44/12)+($K54*INDEX('DEFAULT DATA'!$MW$9:$VD$41,START!$C$3,($N54+1))*-44/12)+($K54*INDEX('DEFAULT DATA'!$MW$9:$VD$41,START!$C$3,($N54+2))*-44/12)+($K54*INDEX('DEFAULT DATA'!$MW$9:$VD$41,START!$C$3,($N54+3))*-44/12)+($L54*INDEX('DEFAULT DATA'!$MW$9:$VD$41,START!$C$3,($N54+4))*-44/12)+($M54*INDEX('DEFAULT DATA'!$MW$9:$VD$41,START!$C$3,($N54+5))*-44/12)</f>
        <v>0</v>
      </c>
      <c r="Y54" s="440">
        <f>($K54*INDEX('DEFAULT DATA'!$MW$9:$VD$41,START!$C$3,($N54))*-44/12)+($K54*INDEX('DEFAULT DATA'!$MW$9:$VD$41,START!$C$3,($N54+1))*-44/12)+($K54*INDEX('DEFAULT DATA'!$MW$9:$VD$41,START!$C$3,($N54+2))*-44/12)+($K54*INDEX('DEFAULT DATA'!$MW$9:$VD$41,START!$C$3,($N54+3))*-44/12)+($L54*INDEX('DEFAULT DATA'!$MW$9:$VD$41,START!$C$3,($N54+4))*-44/12)+($M54*INDEX('DEFAULT DATA'!$MW$9:$VD$41,START!$C$3,($N54+5))*-44/12)</f>
        <v>0</v>
      </c>
      <c r="Z54" s="440">
        <f>($K54*INDEX('DEFAULT DATA'!$MW$9:$VD$41,START!$C$3,($N54))*-44/12)+($K54*INDEX('DEFAULT DATA'!$MW$9:$VD$41,START!$C$3,($N54+1))*-44/12)+($K54*INDEX('DEFAULT DATA'!$MW$9:$VD$41,START!$C$3,($N54+2))*-44/12)+($K54*INDEX('DEFAULT DATA'!$MW$9:$VD$41,START!$C$3,($N54+3))*-44/12)+($L54*INDEX('DEFAULT DATA'!$MW$9:$VD$41,START!$C$3,($N54+4))*-44/12)+($M54*INDEX('DEFAULT DATA'!$MW$9:$VD$41,START!$C$3,($N54+5))*-44/12)</f>
        <v>0</v>
      </c>
      <c r="AA54" s="440">
        <f>($K54*INDEX('DEFAULT DATA'!$MW$9:$VD$41,START!$C$3,($N54))*-44/12)+($K54*INDEX('DEFAULT DATA'!$MW$9:$VD$41,START!$C$3,($N54+1))*-44/12)+($K54*INDEX('DEFAULT DATA'!$MW$9:$VD$41,START!$C$3,($N54+2))*-44/12)+($K54*INDEX('DEFAULT DATA'!$MW$9:$VD$41,START!$C$3,($N54+3))*-44/12)+($L54*INDEX('DEFAULT DATA'!$MW$9:$VD$41,START!$C$3,($N54+4))*-44/12)+($M54*INDEX('DEFAULT DATA'!$MW$9:$VD$41,START!$C$3,($N54+5))*-44/12)</f>
        <v>0</v>
      </c>
      <c r="AB54" s="440">
        <f>($K54*INDEX('DEFAULT DATA'!$MW$9:$VD$41,START!$C$3,($N54))*-44/12)+($K54*INDEX('DEFAULT DATA'!$MW$9:$VD$41,START!$C$3,($N54+1))*-44/12)+($K54*INDEX('DEFAULT DATA'!$MW$9:$VD$41,START!$C$3,($N54+2))*-44/12)+($K54*INDEX('DEFAULT DATA'!$MW$9:$VD$41,START!$C$3,($N54+3))*-44/12)+($L54*INDEX('DEFAULT DATA'!$MW$9:$VD$41,START!$C$3,($N54+4))*-44/12)+($M54*INDEX('DEFAULT DATA'!$MW$9:$VD$41,START!$C$3,($N54+5))*-44/12)</f>
        <v>0</v>
      </c>
      <c r="AC54" s="440">
        <f>($K54*INDEX('DEFAULT DATA'!$MW$9:$VD$41,START!$C$3,($N54))*-44/12)+($K54*INDEX('DEFAULT DATA'!$MW$9:$VD$41,START!$C$3,($N54+1))*-44/12)+($K54*INDEX('DEFAULT DATA'!$MW$9:$VD$41,START!$C$3,($N54+2))*-44/12)+($K54*INDEX('DEFAULT DATA'!$MW$9:$VD$41,START!$C$3,($N54+3))*-44/12)+($L54*INDEX('DEFAULT DATA'!$MW$9:$VD$41,START!$C$3,($N54+4))*-44/12)+($M54*INDEX('DEFAULT DATA'!$MW$9:$VD$41,START!$C$3,($N54+5))*-44/12)</f>
        <v>0</v>
      </c>
      <c r="AD54" s="440">
        <f>($K54*INDEX('DEFAULT DATA'!$MW$9:$VD$41,START!$C$3,($N54))*-44/12)+($K54*INDEX('DEFAULT DATA'!$MW$9:$VD$41,START!$C$3,($N54+1))*-44/12)+($K54*INDEX('DEFAULT DATA'!$MW$9:$VD$41,START!$C$3,($N54+2))*-44/12)+($K54*INDEX('DEFAULT DATA'!$MW$9:$VD$41,START!$C$3,($N54+3))*-44/12)+($L54*INDEX('DEFAULT DATA'!$MW$9:$VD$41,START!$C$3,($N54+4))*-44/12)+($M54*INDEX('DEFAULT DATA'!$MW$9:$VD$41,START!$C$3,($N54+5))*-44/12)</f>
        <v>0</v>
      </c>
      <c r="AE54" s="440">
        <f>($K54*INDEX('DEFAULT DATA'!$MW$9:$VD$41,START!$C$3,($N54))*-44/12)+($K54*INDEX('DEFAULT DATA'!$MW$9:$VD$41,START!$C$3,($N54+1))*-44/12)+($K54*INDEX('DEFAULT DATA'!$MW$9:$VD$41,START!$C$3,($N54+2))*-44/12)+($K54*INDEX('DEFAULT DATA'!$MW$9:$VD$41,START!$C$3,($N54+3))*-44/12)+($L54*INDEX('DEFAULT DATA'!$MW$9:$VD$41,START!$C$3,($N54+4))*-44/12)+($M54*INDEX('DEFAULT DATA'!$MW$9:$VD$41,START!$C$3,($N54+5))*-44/12)</f>
        <v>0</v>
      </c>
      <c r="AF54" s="440">
        <f>($K54*INDEX('DEFAULT DATA'!$MW$9:$VD$41,START!$C$3,($N54))*-44/12)+($K54*INDEX('DEFAULT DATA'!$MW$9:$VD$41,START!$C$3,($N54+1))*-44/12)+($K54*INDEX('DEFAULT DATA'!$MW$9:$VD$41,START!$C$3,($N54+2))*-44/12)+($K54*INDEX('DEFAULT DATA'!$MW$9:$VD$41,START!$C$3,($N54+3))*-44/12)+($L54*INDEX('DEFAULT DATA'!$MW$9:$VD$41,START!$C$3,($N54+4))*-44/12)+($M54*INDEX('DEFAULT DATA'!$MW$9:$VD$41,START!$C$3,($N54+5))*-44/12)</f>
        <v>0</v>
      </c>
      <c r="AG54" s="440">
        <f>($K54*INDEX('DEFAULT DATA'!$MW$9:$VD$41,START!$C$3,($N54))*-44/12)+($K54*INDEX('DEFAULT DATA'!$MW$9:$VD$41,START!$C$3,($N54+1))*-44/12)+($K54*INDEX('DEFAULT DATA'!$MW$9:$VD$41,START!$C$3,($N54+2))*-44/12)+($K54*INDEX('DEFAULT DATA'!$MW$9:$VD$41,START!$C$3,($N54+3))*-44/12)+($L54*INDEX('DEFAULT DATA'!$MW$9:$VD$41,START!$C$3,($N54+4))*-44/12)+($M54*INDEX('DEFAULT DATA'!$MW$9:$VD$41,START!$C$3,($N54+5))*-44/12)</f>
        <v>0</v>
      </c>
      <c r="AH54" s="440">
        <f>($K54*INDEX('DEFAULT DATA'!$MW$9:$VD$41,START!$C$3,($N54))*-44/12)+($K54*INDEX('DEFAULT DATA'!$MW$9:$VD$41,START!$C$3,($N54+1))*-44/12)+($K54*INDEX('DEFAULT DATA'!$MW$9:$VD$41,START!$C$3,($N54+2))*-44/12)+($K54*INDEX('DEFAULT DATA'!$MW$9:$VD$41,START!$C$3,($N54+3))*-44/12)+($L54*INDEX('DEFAULT DATA'!$MW$9:$VD$41,START!$C$3,($N54+4))*-44/12)+($M54*INDEX('DEFAULT DATA'!$MW$9:$VD$41,START!$C$3,($N54+5))*-44/12)</f>
        <v>0</v>
      </c>
      <c r="AI54" s="440">
        <f>($K54*INDEX('DEFAULT DATA'!$MW$9:$VD$41,START!$C$3,($N54))*-44/12)+($K54*INDEX('DEFAULT DATA'!$MW$9:$VD$41,START!$C$3,($N54+1))*-44/12)+($K54*INDEX('DEFAULT DATA'!$MW$9:$VD$41,START!$C$3,($N54+2))*-44/12)+($K54*INDEX('DEFAULT DATA'!$MW$9:$VD$41,START!$C$3,($N54+3))*-44/12)+($L54*INDEX('DEFAULT DATA'!$MW$9:$VD$41,START!$C$3,($N54+4))*-44/12)+($M54*INDEX('DEFAULT DATA'!$MW$9:$VD$41,START!$C$3,($N54+5))*-44/12)</f>
        <v>0</v>
      </c>
      <c r="AJ54" s="440">
        <f>($K54*INDEX('DEFAULT DATA'!$MW$9:$VD$41,START!$C$3,($N54))*-44/12)+($K54*INDEX('DEFAULT DATA'!$MW$9:$VD$41,START!$C$3,($N54+1))*-44/12)+($K54*INDEX('DEFAULT DATA'!$MW$9:$VD$41,START!$C$3,($N54+2))*-44/12)+($K54*INDEX('DEFAULT DATA'!$MW$9:$VD$41,START!$C$3,($N54+3))*-44/12)+($L54*INDEX('DEFAULT DATA'!$MW$9:$VD$41,START!$C$3,($N54+4))*-44/12)+($M54*INDEX('DEFAULT DATA'!$MW$9:$VD$41,START!$C$3,($N54+5))*-44/12)</f>
        <v>0</v>
      </c>
      <c r="AK54" s="440">
        <f>($K54*INDEX('DEFAULT DATA'!$US$9:$UX$41,START!$C$3,1)*-44/12)+($K54*INDEX('DEFAULT DATA'!$US$9:$UX$41,START!$C$3,2)*-44/12)+($K54*INDEX('DEFAULT DATA'!$US$9:$UX$41,START!$C$3,3)*-44/12)+($K54*INDEX('DEFAULT DATA'!$US$9:$UX$41,START!$C$3,4)*-44/12)+($L54*INDEX('DEFAULT DATA'!$US$9:$UX$41,START!$C$3,5)*-44/12)+($M54*INDEX('DEFAULT DATA'!$US$9:$UX$41,START!$C$3,6)*-44/12)</f>
        <v>0</v>
      </c>
      <c r="AL54" s="440">
        <f>($K54*INDEX('DEFAULT DATA'!$US$9:$UX$41,START!$C$3,1)*-44/12)+($K54*INDEX('DEFAULT DATA'!$US$9:$UX$41,START!$C$3,2)*-44/12)+($K54*INDEX('DEFAULT DATA'!$US$9:$UX$41,START!$C$3,3)*-44/12)+($K54*INDEX('DEFAULT DATA'!$US$9:$UX$41,START!$C$3,4)*-44/12)+($L54*INDEX('DEFAULT DATA'!$US$9:$UX$41,START!$C$3,5)*-44/12)+($M54*INDEX('DEFAULT DATA'!$US$9:$UX$41,START!$C$3,6)*-44/12)</f>
        <v>0</v>
      </c>
      <c r="AM54" s="440">
        <f>($K54*INDEX('DEFAULT DATA'!$US$9:$UX$41,START!$C$3,1)*-44/12)+($K54*INDEX('DEFAULT DATA'!$US$9:$UX$41,START!$C$3,2)*-44/12)+($K54*INDEX('DEFAULT DATA'!$US$9:$UX$41,START!$C$3,3)*-44/12)+($K54*INDEX('DEFAULT DATA'!$US$9:$UX$41,START!$C$3,4)*-44/12)+($L54*INDEX('DEFAULT DATA'!$US$9:$UX$41,START!$C$3,5)*-44/12)+($M54*INDEX('DEFAULT DATA'!$US$9:$UX$41,START!$C$3,6)*-44/12)</f>
        <v>0</v>
      </c>
      <c r="AN54" s="440">
        <f>($K54*INDEX('DEFAULT DATA'!$US$9:$UX$41,START!$C$3,1)*-44/12)+($K54*INDEX('DEFAULT DATA'!$US$9:$UX$41,START!$C$3,2)*-44/12)+($K54*INDEX('DEFAULT DATA'!$US$9:$UX$41,START!$C$3,3)*-44/12)+($K54*INDEX('DEFAULT DATA'!$US$9:$UX$41,START!$C$3,4)*-44/12)+($L54*INDEX('DEFAULT DATA'!$US$9:$UX$41,START!$C$3,5)*-44/12)+($M54*INDEX('DEFAULT DATA'!$US$9:$UX$41,START!$C$3,6)*-44/12)</f>
        <v>0</v>
      </c>
      <c r="AO54" s="440">
        <f>($K54*INDEX('DEFAULT DATA'!$US$9:$UX$41,START!$C$3,1)*-44/12)+($K54*INDEX('DEFAULT DATA'!$US$9:$UX$41,START!$C$3,2)*-44/12)+($K54*INDEX('DEFAULT DATA'!$US$9:$UX$41,START!$C$3,3)*-44/12)+($K54*INDEX('DEFAULT DATA'!$US$9:$UX$41,START!$C$3,4)*-44/12)+($L54*INDEX('DEFAULT DATA'!$US$9:$UX$41,START!$C$3,5)*-44/12)+($M54*INDEX('DEFAULT DATA'!$US$9:$UX$41,START!$C$3,6)*-44/12)</f>
        <v>0</v>
      </c>
      <c r="AP54" s="440">
        <f>($K54*INDEX('DEFAULT DATA'!$US$9:$UX$41,START!$C$3,1)*-44/12)+($K54*INDEX('DEFAULT DATA'!$US$9:$UX$41,START!$C$3,2)*-44/12)+($K54*INDEX('DEFAULT DATA'!$US$9:$UX$41,START!$C$3,3)*-44/12)+($K54*INDEX('DEFAULT DATA'!$US$9:$UX$41,START!$C$3,4)*-44/12)+($L54*INDEX('DEFAULT DATA'!$US$9:$UX$41,START!$C$3,5)*-44/12)+($M54*INDEX('DEFAULT DATA'!$US$9:$UX$41,START!$C$3,6)*-44/12)</f>
        <v>0</v>
      </c>
      <c r="AQ54" s="440">
        <f>($K54*INDEX('DEFAULT DATA'!$US$9:$UX$41,START!$C$3,1)*-44/12)+($K54*INDEX('DEFAULT DATA'!$US$9:$UX$41,START!$C$3,2)*-44/12)+($K54*INDEX('DEFAULT DATA'!$US$9:$UX$41,START!$C$3,3)*-44/12)+($K54*INDEX('DEFAULT DATA'!$US$9:$UX$41,START!$C$3,4)*-44/12)+($L54*INDEX('DEFAULT DATA'!$US$9:$UX$41,START!$C$3,5)*-44/12)+($M54*INDEX('DEFAULT DATA'!$US$9:$UX$41,START!$C$3,6)*-44/12)</f>
        <v>0</v>
      </c>
      <c r="AR54" s="440">
        <f>($K54*INDEX('DEFAULT DATA'!$US$9:$UX$41,START!$C$3,1)*-44/12)+($K54*INDEX('DEFAULT DATA'!$US$9:$UX$41,START!$C$3,2)*-44/12)+($K54*INDEX('DEFAULT DATA'!$US$9:$UX$41,START!$C$3,3)*-44/12)+($K54*INDEX('DEFAULT DATA'!$US$9:$UX$41,START!$C$3,4)*-44/12)+($L54*INDEX('DEFAULT DATA'!$US$9:$UX$41,START!$C$3,5)*-44/12)+($M54*INDEX('DEFAULT DATA'!$US$9:$UX$41,START!$C$3,6)*-44/12)</f>
        <v>0</v>
      </c>
      <c r="AS54" s="440">
        <f>($K54*INDEX('DEFAULT DATA'!$US$9:$UX$41,START!$C$3,1)*-44/12)+($K54*INDEX('DEFAULT DATA'!$US$9:$UX$41,START!$C$3,2)*-44/12)+($K54*INDEX('DEFAULT DATA'!$US$9:$UX$41,START!$C$3,3)*-44/12)+($K54*INDEX('DEFAULT DATA'!$US$9:$UX$41,START!$C$3,4)*-44/12)+($L54*INDEX('DEFAULT DATA'!$US$9:$UX$41,START!$C$3,5)*-44/12)+($M54*INDEX('DEFAULT DATA'!$US$9:$UX$41,START!$C$3,6)*-44/12)</f>
        <v>0</v>
      </c>
      <c r="AT54" s="450">
        <f>($K54*INDEX('DEFAULT DATA'!$US$9:$UX$41,START!$C$3,1)*-44/12)+($K54*INDEX('DEFAULT DATA'!$US$9:$UX$41,START!$C$3,2)*-44/12)+($K54*INDEX('DEFAULT DATA'!$US$9:$UX$41,START!$C$3,3)*-44/12)+($K54*INDEX('DEFAULT DATA'!$US$9:$UX$41,START!$C$3,4)*-44/12)+($L54*INDEX('DEFAULT DATA'!$US$9:$UX$41,START!$C$3,5)*-44/12)+($M54*INDEX('DEFAULT DATA'!$US$9:$UX$41,START!$C$3,6)*-44/12)</f>
        <v>0</v>
      </c>
    </row>
    <row r="55" spans="1:46" ht="20.100000000000001" customHeight="1">
      <c r="A55" s="421"/>
      <c r="B55" s="1347" t="s">
        <v>898</v>
      </c>
      <c r="C55" s="1024"/>
      <c r="D55" s="1024"/>
      <c r="E55" s="955">
        <v>0</v>
      </c>
      <c r="F55" s="953">
        <v>0</v>
      </c>
      <c r="G55" s="956">
        <v>0</v>
      </c>
      <c r="H55" s="1024">
        <v>1</v>
      </c>
      <c r="I55" s="460"/>
      <c r="J55" s="273"/>
      <c r="K55" s="475">
        <f t="shared" si="37"/>
        <v>0</v>
      </c>
      <c r="L55" s="375">
        <f t="shared" si="38"/>
        <v>0</v>
      </c>
      <c r="M55" s="375">
        <f t="shared" si="39"/>
        <v>0</v>
      </c>
      <c r="N55" s="317">
        <f t="shared" si="41"/>
        <v>121</v>
      </c>
      <c r="O55" s="476" t="s">
        <v>830</v>
      </c>
      <c r="P55" s="477">
        <f t="shared" si="40"/>
        <v>2022</v>
      </c>
      <c r="Q55" s="370">
        <f>($K55*INDEX('DEFAULT DATA'!$MW$9:$VD$41,START!$C$3,($N55))*-44/12)+($K55*INDEX('DEFAULT DATA'!$MW$9:$VD$41,START!$C$3,($N55+1))*-44/12)+($K55*INDEX('DEFAULT DATA'!$MW$9:$VD$41,START!$C$3,($N55+2))*-44/12)+($K55*INDEX('DEFAULT DATA'!$MW$9:$VD$41,START!$C$3,($N55+3))*-44/12)+($L55*INDEX('DEFAULT DATA'!$MW$9:$VD$41,START!$C$3,($N55+4))*-44/12)+($M55*INDEX('DEFAULT DATA'!$MW$9:$VD$41,START!$C$3,($N55+5))*-44/12)</f>
        <v>0</v>
      </c>
      <c r="R55" s="370">
        <f>($L55*INDEX('DEFAULT DATA'!$MW$9:$VD$41,START!$C$3,($N55+4))*-44/12)+($M55*INDEX('DEFAULT DATA'!$MW$9:$VD$41,START!$C$3,($N55+5))*-44/12)</f>
        <v>0</v>
      </c>
      <c r="S55" s="370">
        <f>($L55*INDEX('DEFAULT DATA'!$MW$9:$VD$41,START!$C$3,($N55+4))*-44/12)+($M55*INDEX('DEFAULT DATA'!$MW$9:$VD$41,START!$C$3,($N55+5))*-44/12)</f>
        <v>0</v>
      </c>
      <c r="T55" s="370">
        <f>($L55*INDEX('DEFAULT DATA'!$MW$9:$VD$41,START!$C$3,($N55+4))*-44/12)+($M55*INDEX('DEFAULT DATA'!$MW$9:$VD$41,START!$C$3,($N55+5))*-44/12)</f>
        <v>0</v>
      </c>
      <c r="U55" s="370">
        <f>($L55*INDEX('DEFAULT DATA'!$MW$9:$VD$41,START!$C$3,($N55+4))*-44/12)+($M55*INDEX('DEFAULT DATA'!$MW$9:$VD$41,START!$C$3,($N55+5))*-44/12)</f>
        <v>0</v>
      </c>
      <c r="V55" s="370">
        <f>($L55*INDEX('DEFAULT DATA'!$MW$9:$VD$41,START!$C$3,($N55+4))*-44/12)+($M55*INDEX('DEFAULT DATA'!$MW$9:$VD$41,START!$C$3,($N55+5))*-44/12)</f>
        <v>0</v>
      </c>
      <c r="W55" s="370">
        <f>($L55*INDEX('DEFAULT DATA'!$MW$9:$VD$41,START!$C$3,($N55+4))*-44/12)+($M55*INDEX('DEFAULT DATA'!$MW$9:$VD$41,START!$C$3,($N55+5))*-44/12)</f>
        <v>0</v>
      </c>
      <c r="X55" s="370">
        <f>($L55*INDEX('DEFAULT DATA'!$MW$9:$VD$41,START!$C$3,($N55+4))*-44/12)+($M55*INDEX('DEFAULT DATA'!$MW$9:$VD$41,START!$C$3,($N55+5))*-44/12)</f>
        <v>0</v>
      </c>
      <c r="Y55" s="370">
        <f>($L55*INDEX('DEFAULT DATA'!$MW$9:$VD$41,START!$C$3,($N55+4))*-44/12)+($M55*INDEX('DEFAULT DATA'!$MW$9:$VD$41,START!$C$3,($N55+5))*-44/12)</f>
        <v>0</v>
      </c>
      <c r="Z55" s="370">
        <f>($L55*INDEX('DEFAULT DATA'!$MW$9:$VD$41,START!$C$3,($N55+4))*-44/12)+($M55*INDEX('DEFAULT DATA'!$MW$9:$VD$41,START!$C$3,($N55+5))*-44/12)</f>
        <v>0</v>
      </c>
      <c r="AA55" s="370">
        <f>($L55*INDEX('DEFAULT DATA'!$MW$9:$VD$41,START!$C$3,($N55+4))*-44/12)+($M55*INDEX('DEFAULT DATA'!$MW$9:$VD$41,START!$C$3,($N55+5))*-44/12)</f>
        <v>0</v>
      </c>
      <c r="AB55" s="370">
        <f>($L55*INDEX('DEFAULT DATA'!$MW$9:$VD$41,START!$C$3,($N55+4))*-44/12)+($M55*INDEX('DEFAULT DATA'!$MW$9:$VD$41,START!$C$3,($N55+5))*-44/12)</f>
        <v>0</v>
      </c>
      <c r="AC55" s="370">
        <f>($L55*INDEX('DEFAULT DATA'!$MW$9:$VD$41,START!$C$3,($N55+4))*-44/12)+($M55*INDEX('DEFAULT DATA'!$MW$9:$VD$41,START!$C$3,($N55+5))*-44/12)</f>
        <v>0</v>
      </c>
      <c r="AD55" s="370">
        <f>($L55*INDEX('DEFAULT DATA'!$MW$9:$VD$41,START!$C$3,($N55+4))*-44/12)+($M55*INDEX('DEFAULT DATA'!$MW$9:$VD$41,START!$C$3,($N55+5))*-44/12)</f>
        <v>0</v>
      </c>
      <c r="AE55" s="370">
        <f>($L55*INDEX('DEFAULT DATA'!$MW$9:$VD$41,START!$C$3,($N55+4))*-44/12)+($M55*INDEX('DEFAULT DATA'!$MW$9:$VD$41,START!$C$3,($N55+5))*-44/12)</f>
        <v>0</v>
      </c>
      <c r="AF55" s="370">
        <f>($L55*INDEX('DEFAULT DATA'!$MW$9:$VD$41,START!$C$3,($N55+4))*-44/12)+($M55*INDEX('DEFAULT DATA'!$MW$9:$VD$41,START!$C$3,($N55+5))*-44/12)</f>
        <v>0</v>
      </c>
      <c r="AG55" s="370">
        <f>($L55*INDEX('DEFAULT DATA'!$MW$9:$VD$41,START!$C$3,($N55+4))*-44/12)+($M55*INDEX('DEFAULT DATA'!$MW$9:$VD$41,START!$C$3,($N55+5))*-44/12)</f>
        <v>0</v>
      </c>
      <c r="AH55" s="370">
        <f>($L55*INDEX('DEFAULT DATA'!$MW$9:$VD$41,START!$C$3,($N55+4))*-44/12)+($M55*INDEX('DEFAULT DATA'!$MW$9:$VD$41,START!$C$3,($N55+5))*-44/12)</f>
        <v>0</v>
      </c>
      <c r="AI55" s="370">
        <f>($L55*INDEX('DEFAULT DATA'!$MW$9:$VD$41,START!$C$3,($N55+4))*-44/12)+($M55*INDEX('DEFAULT DATA'!$MW$9:$VD$41,START!$C$3,($N55+5))*-44/12)</f>
        <v>0</v>
      </c>
      <c r="AJ55" s="370">
        <f>($L55*INDEX('DEFAULT DATA'!$MW$9:$VD$41,START!$C$3,($N55+4))*-44/12)+($M55*INDEX('DEFAULT DATA'!$MW$9:$VD$41,START!$C$3,($N55+5))*-44/12)</f>
        <v>0</v>
      </c>
      <c r="AK55" s="370">
        <f>(($K55*INDEX('DEFAULT DATA'!$UY$9:$VD$41,START!$C$3,1)*-44/12)+($K55*INDEX('DEFAULT DATA'!$UY$9:$VD$41,START!$C$3,2)*-44/12)+($K55*INDEX('DEFAULT DATA'!$UY$9:$VD$41,START!$C$3,3)*-44/12)+($K55*INDEX('DEFAULT DATA'!$UY$9:$VD$41,START!$C$3,4)*-44/12)+($L55*INDEX('DEFAULT DATA'!$UY$9:$VD$41,START!$C$3,5)*-44/12)+($M55*INDEX('DEFAULT DATA'!$UY$9:$VD$41,START!$C$3,6)*-44/12))</f>
        <v>0</v>
      </c>
      <c r="AL55" s="370">
        <f>(($K55*INDEX('DEFAULT DATA'!$UY$9:$VD$41,START!$C$3,1)*-44/12)+($K55*INDEX('DEFAULT DATA'!$UY$9:$VD$41,START!$C$3,2)*-44/12)+($K55*INDEX('DEFAULT DATA'!$UY$9:$VD$41,START!$C$3,3)*-44/12)+($K55*INDEX('DEFAULT DATA'!$UY$9:$VD$41,START!$C$3,4)*-44/12)+($L55*INDEX('DEFAULT DATA'!$UY$9:$VD$41,START!$C$3,5)*-44/12)+($M55*INDEX('DEFAULT DATA'!$UY$9:$VD$41,START!$C$3,6)*-44/12))</f>
        <v>0</v>
      </c>
      <c r="AM55" s="370">
        <f>(($K55*INDEX('DEFAULT DATA'!$UY$9:$VD$41,START!$C$3,1)*-44/12)+($K55*INDEX('DEFAULT DATA'!$UY$9:$VD$41,START!$C$3,2)*-44/12)+($K55*INDEX('DEFAULT DATA'!$UY$9:$VD$41,START!$C$3,3)*-44/12)+($K55*INDEX('DEFAULT DATA'!$UY$9:$VD$41,START!$C$3,4)*-44/12)+($L55*INDEX('DEFAULT DATA'!$UY$9:$VD$41,START!$C$3,5)*-44/12)+($M55*INDEX('DEFAULT DATA'!$UY$9:$VD$41,START!$C$3,6)*-44/12))</f>
        <v>0</v>
      </c>
      <c r="AN55" s="370">
        <f>(($K55*INDEX('DEFAULT DATA'!$UY$9:$VD$41,START!$C$3,1)*-44/12)+($K55*INDEX('DEFAULT DATA'!$UY$9:$VD$41,START!$C$3,2)*-44/12)+($K55*INDEX('DEFAULT DATA'!$UY$9:$VD$41,START!$C$3,3)*-44/12)+($K55*INDEX('DEFAULT DATA'!$UY$9:$VD$41,START!$C$3,4)*-44/12)+($L55*INDEX('DEFAULT DATA'!$UY$9:$VD$41,START!$C$3,5)*-44/12)+($M55*INDEX('DEFAULT DATA'!$UY$9:$VD$41,START!$C$3,6)*-44/12))</f>
        <v>0</v>
      </c>
      <c r="AO55" s="370">
        <f>(($K55*INDEX('DEFAULT DATA'!$UY$9:$VD$41,START!$C$3,1)*-44/12)+($K55*INDEX('DEFAULT DATA'!$UY$9:$VD$41,START!$C$3,2)*-44/12)+($K55*INDEX('DEFAULT DATA'!$UY$9:$VD$41,START!$C$3,3)*-44/12)+($K55*INDEX('DEFAULT DATA'!$UY$9:$VD$41,START!$C$3,4)*-44/12)+($L55*INDEX('DEFAULT DATA'!$UY$9:$VD$41,START!$C$3,5)*-44/12)+($M55*INDEX('DEFAULT DATA'!$UY$9:$VD$41,START!$C$3,6)*-44/12))</f>
        <v>0</v>
      </c>
      <c r="AP55" s="370">
        <f>(($K55*INDEX('DEFAULT DATA'!$UY$9:$VD$41,START!$C$3,1)*-44/12)+($K55*INDEX('DEFAULT DATA'!$UY$9:$VD$41,START!$C$3,2)*-44/12)+($K55*INDEX('DEFAULT DATA'!$UY$9:$VD$41,START!$C$3,3)*-44/12)+($K55*INDEX('DEFAULT DATA'!$UY$9:$VD$41,START!$C$3,4)*-44/12)+($L55*INDEX('DEFAULT DATA'!$UY$9:$VD$41,START!$C$3,5)*-44/12)+($M55*INDEX('DEFAULT DATA'!$UY$9:$VD$41,START!$C$3,6)*-44/12))</f>
        <v>0</v>
      </c>
      <c r="AQ55" s="370">
        <f>(($K55*INDEX('DEFAULT DATA'!$UY$9:$VD$41,START!$C$3,1)*-44/12)+($K55*INDEX('DEFAULT DATA'!$UY$9:$VD$41,START!$C$3,2)*-44/12)+($K55*INDEX('DEFAULT DATA'!$UY$9:$VD$41,START!$C$3,3)*-44/12)+($K55*INDEX('DEFAULT DATA'!$UY$9:$VD$41,START!$C$3,4)*-44/12)+($L55*INDEX('DEFAULT DATA'!$UY$9:$VD$41,START!$C$3,5)*-44/12)+($M55*INDEX('DEFAULT DATA'!$UY$9:$VD$41,START!$C$3,6)*-44/12))</f>
        <v>0</v>
      </c>
      <c r="AR55" s="370">
        <f>(($K55*INDEX('DEFAULT DATA'!$UY$9:$VD$41,START!$C$3,1)*-44/12)+($K55*INDEX('DEFAULT DATA'!$UY$9:$VD$41,START!$C$3,2)*-44/12)+($K55*INDEX('DEFAULT DATA'!$UY$9:$VD$41,START!$C$3,3)*-44/12)+($K55*INDEX('DEFAULT DATA'!$UY$9:$VD$41,START!$C$3,4)*-44/12)+($L55*INDEX('DEFAULT DATA'!$UY$9:$VD$41,START!$C$3,5)*-44/12)+($M55*INDEX('DEFAULT DATA'!$UY$9:$VD$41,START!$C$3,6)*-44/12))</f>
        <v>0</v>
      </c>
      <c r="AS55" s="370">
        <f>(($K55*INDEX('DEFAULT DATA'!$UY$9:$VD$41,START!$C$3,1)*-44/12)+($K55*INDEX('DEFAULT DATA'!$UY$9:$VD$41,START!$C$3,2)*-44/12)+($K55*INDEX('DEFAULT DATA'!$UY$9:$VD$41,START!$C$3,3)*-44/12)+($K55*INDEX('DEFAULT DATA'!$UY$9:$VD$41,START!$C$3,4)*-44/12)+($L55*INDEX('DEFAULT DATA'!$UY$9:$VD$41,START!$C$3,5)*-44/12)+($M55*INDEX('DEFAULT DATA'!$UY$9:$VD$41,START!$C$3,6)*-44/12))</f>
        <v>0</v>
      </c>
      <c r="AT55" s="371">
        <f>(($K55*INDEX('DEFAULT DATA'!$UY$9:$VD$41,START!$C$3,1)*-44/12)+($K55*INDEX('DEFAULT DATA'!$UY$9:$VD$41,START!$C$3,2)*-44/12)+($K55*INDEX('DEFAULT DATA'!$UY$9:$VD$41,START!$C$3,3)*-44/12)+($K55*INDEX('DEFAULT DATA'!$UY$9:$VD$41,START!$C$3,4)*-44/12)+($L55*INDEX('DEFAULT DATA'!$UY$9:$VD$41,START!$C$3,5)*-44/12)+($M55*INDEX('DEFAULT DATA'!$UY$9:$VD$41,START!$C$3,6)*-44/12))</f>
        <v>0</v>
      </c>
    </row>
    <row r="56" spans="1:46" ht="20.100000000000001" customHeight="1" thickBot="1">
      <c r="A56" s="1352"/>
      <c r="B56" s="1348" t="s">
        <v>899</v>
      </c>
      <c r="C56" s="461"/>
      <c r="D56" s="461"/>
      <c r="E56" s="957">
        <v>0</v>
      </c>
      <c r="F56" s="958">
        <v>0</v>
      </c>
      <c r="G56" s="959">
        <v>0</v>
      </c>
      <c r="H56" s="461">
        <v>1</v>
      </c>
      <c r="I56" s="462"/>
      <c r="J56" s="273"/>
      <c r="K56" s="478">
        <f t="shared" si="37"/>
        <v>0</v>
      </c>
      <c r="L56" s="479">
        <f t="shared" si="38"/>
        <v>0</v>
      </c>
      <c r="M56" s="479">
        <f t="shared" si="39"/>
        <v>0</v>
      </c>
      <c r="N56" s="220">
        <f>N55+6</f>
        <v>127</v>
      </c>
      <c r="O56" s="480" t="s">
        <v>831</v>
      </c>
      <c r="P56" s="481">
        <f t="shared" si="40"/>
        <v>2022</v>
      </c>
      <c r="Q56" s="216">
        <f>($K56*INDEX('DEFAULT DATA'!$MW$9:$VD$41,START!$C$3,($N56))*-44/12)+($K56*INDEX('DEFAULT DATA'!$MW$9:$VD$41,START!$C$3,($N56+1))*-44/12)+($K56*INDEX('DEFAULT DATA'!$MW$9:$VD$41,START!$C$3,($N56+2))*-44/12)+($K56*INDEX('DEFAULT DATA'!$MW$9:$VD$41,START!$C$3,($N56+3))*-44/12)+($L56*INDEX('DEFAULT DATA'!$MW$9:$VD$41,START!$C$3,($N56+4))*-44/12)+($M56*INDEX('DEFAULT DATA'!$MW$9:$VD$41,START!$C$3,($N56+5))*-44/12)</f>
        <v>0</v>
      </c>
      <c r="R56" s="216">
        <f>($K56*INDEX('DEFAULT DATA'!$MW$9:$VD$41,START!$C$3,($N56))*-44/12)+($K56*INDEX('DEFAULT DATA'!$MW$9:$VD$41,START!$C$3,($N56+1))*-44/12)+($K56*INDEX('DEFAULT DATA'!$MW$9:$VD$41,START!$C$3,($N56+2))*-44/12)+($K56*INDEX('DEFAULT DATA'!$MW$9:$VD$41,START!$C$3,($N56+3))*-44/12)+($L56*INDEX('DEFAULT DATA'!$MW$9:$VD$41,START!$C$3,($N56+4))*-44/12)+($M56*INDEX('DEFAULT DATA'!$MW$9:$VD$41,START!$C$3,($N56+5))*-44/12)</f>
        <v>0</v>
      </c>
      <c r="S56" s="216">
        <f>($K56*INDEX('DEFAULT DATA'!$MW$9:$VD$41,START!$C$3,($N56))*-44/12)+($K56*INDEX('DEFAULT DATA'!$MW$9:$VD$41,START!$C$3,($N56+1))*-44/12)+($K56*INDEX('DEFAULT DATA'!$MW$9:$VD$41,START!$C$3,($N56+2))*-44/12)+($K56*INDEX('DEFAULT DATA'!$MW$9:$VD$41,START!$C$3,($N56+3))*-44/12)+($L56*INDEX('DEFAULT DATA'!$MW$9:$VD$41,START!$C$3,($N56+4))*-44/12)+($M56*INDEX('DEFAULT DATA'!$MW$9:$VD$41,START!$C$3,($N56+5))*-44/12)</f>
        <v>0</v>
      </c>
      <c r="T56" s="216">
        <f>($K56*INDEX('DEFAULT DATA'!$MW$9:$VD$41,START!$C$3,($N56))*-44/12)+($K56*INDEX('DEFAULT DATA'!$MW$9:$VD$41,START!$C$3,($N56+1))*-44/12)+($K56*INDEX('DEFAULT DATA'!$MW$9:$VD$41,START!$C$3,($N56+2))*-44/12)+($K56*INDEX('DEFAULT DATA'!$MW$9:$VD$41,START!$C$3,($N56+3))*-44/12)+($L56*INDEX('DEFAULT DATA'!$MW$9:$VD$41,START!$C$3,($N56+4))*-44/12)+($M56*INDEX('DEFAULT DATA'!$MW$9:$VD$41,START!$C$3,($N56+5))*-44/12)</f>
        <v>0</v>
      </c>
      <c r="U56" s="216">
        <f>($K56*INDEX('DEFAULT DATA'!$MW$9:$VD$41,START!$C$3,($N56))*-44/12)+($K56*INDEX('DEFAULT DATA'!$MW$9:$VD$41,START!$C$3,($N56+1))*-44/12)+($K56*INDEX('DEFAULT DATA'!$MW$9:$VD$41,START!$C$3,($N56+2))*-44/12)+($K56*INDEX('DEFAULT DATA'!$MW$9:$VD$41,START!$C$3,($N56+3))*-44/12)+($L56*INDEX('DEFAULT DATA'!$MW$9:$VD$41,START!$C$3,($N56+4))*-44/12)+($M56*INDEX('DEFAULT DATA'!$MW$9:$VD$41,START!$C$3,($N56+5))*-44/12)</f>
        <v>0</v>
      </c>
      <c r="V56" s="216">
        <f>($K56*INDEX('DEFAULT DATA'!$MW$9:$VD$41,START!$C$3,($N56))*-44/12)+($K56*INDEX('DEFAULT DATA'!$MW$9:$VD$41,START!$C$3,($N56+1))*-44/12)+($K56*INDEX('DEFAULT DATA'!$MW$9:$VD$41,START!$C$3,($N56+2))*-44/12)+($K56*INDEX('DEFAULT DATA'!$MW$9:$VD$41,START!$C$3,($N56+3))*-44/12)+($L56*INDEX('DEFAULT DATA'!$MW$9:$VD$41,START!$C$3,($N56+4))*-44/12)+($M56*INDEX('DEFAULT DATA'!$MW$9:$VD$41,START!$C$3,($N56+5))*-44/12)</f>
        <v>0</v>
      </c>
      <c r="W56" s="216">
        <f>($K56*INDEX('DEFAULT DATA'!$MW$9:$VD$41,START!$C$3,($N56))*-44/12)+($K56*INDEX('DEFAULT DATA'!$MW$9:$VD$41,START!$C$3,($N56+1))*-44/12)+($K56*INDEX('DEFAULT DATA'!$MW$9:$VD$41,START!$C$3,($N56+2))*-44/12)+($K56*INDEX('DEFAULT DATA'!$MW$9:$VD$41,START!$C$3,($N56+3))*-44/12)+($L56*INDEX('DEFAULT DATA'!$MW$9:$VD$41,START!$C$3,($N56+4))*-44/12)+($M56*INDEX('DEFAULT DATA'!$MW$9:$VD$41,START!$C$3,($N56+5))*-44/12)</f>
        <v>0</v>
      </c>
      <c r="X56" s="216">
        <f>($K56*INDEX('DEFAULT DATA'!$MW$9:$VD$41,START!$C$3,($N56))*-44/12)+($K56*INDEX('DEFAULT DATA'!$MW$9:$VD$41,START!$C$3,($N56+1))*-44/12)+($K56*INDEX('DEFAULT DATA'!$MW$9:$VD$41,START!$C$3,($N56+2))*-44/12)+($K56*INDEX('DEFAULT DATA'!$MW$9:$VD$41,START!$C$3,($N56+3))*-44/12)+($L56*INDEX('DEFAULT DATA'!$MW$9:$VD$41,START!$C$3,($N56+4))*-44/12)+($M56*INDEX('DEFAULT DATA'!$MW$9:$VD$41,START!$C$3,($N56+5))*-44/12)</f>
        <v>0</v>
      </c>
      <c r="Y56" s="216">
        <f>($K56*INDEX('DEFAULT DATA'!$MW$9:$VD$41,START!$C$3,($N56))*-44/12)+($K56*INDEX('DEFAULT DATA'!$MW$9:$VD$41,START!$C$3,($N56+1))*-44/12)+($K56*INDEX('DEFAULT DATA'!$MW$9:$VD$41,START!$C$3,($N56+2))*-44/12)+($K56*INDEX('DEFAULT DATA'!$MW$9:$VD$41,START!$C$3,($N56+3))*-44/12)+($L56*INDEX('DEFAULT DATA'!$MW$9:$VD$41,START!$C$3,($N56+4))*-44/12)+($M56*INDEX('DEFAULT DATA'!$MW$9:$VD$41,START!$C$3,($N56+5))*-44/12)</f>
        <v>0</v>
      </c>
      <c r="Z56" s="216">
        <f>($K56*INDEX('DEFAULT DATA'!$MW$9:$VD$41,START!$C$3,($N56))*-44/12)+($K56*INDEX('DEFAULT DATA'!$MW$9:$VD$41,START!$C$3,($N56+1))*-44/12)+($K56*INDEX('DEFAULT DATA'!$MW$9:$VD$41,START!$C$3,($N56+2))*-44/12)+($K56*INDEX('DEFAULT DATA'!$MW$9:$VD$41,START!$C$3,($N56+3))*-44/12)+($L56*INDEX('DEFAULT DATA'!$MW$9:$VD$41,START!$C$3,($N56+4))*-44/12)+($M56*INDEX('DEFAULT DATA'!$MW$9:$VD$41,START!$C$3,($N56+5))*-44/12)</f>
        <v>0</v>
      </c>
      <c r="AA56" s="216">
        <f>($K56*INDEX('DEFAULT DATA'!$MW$9:$VD$41,START!$C$3,($N56))*-44/12)+($K56*INDEX('DEFAULT DATA'!$MW$9:$VD$41,START!$C$3,($N56+1))*-44/12)+($K56*INDEX('DEFAULT DATA'!$MW$9:$VD$41,START!$C$3,($N56+2))*-44/12)+($K56*INDEX('DEFAULT DATA'!$MW$9:$VD$41,START!$C$3,($N56+3))*-44/12)+($L56*INDEX('DEFAULT DATA'!$MW$9:$VD$41,START!$C$3,($N56+4))*-44/12)+($M56*INDEX('DEFAULT DATA'!$MW$9:$VD$41,START!$C$3,($N56+5))*-44/12)</f>
        <v>0</v>
      </c>
      <c r="AB56" s="216">
        <f>($K56*INDEX('DEFAULT DATA'!$MW$9:$VD$41,START!$C$3,($N56))*-44/12)+($K56*INDEX('DEFAULT DATA'!$MW$9:$VD$41,START!$C$3,($N56+1))*-44/12)+($K56*INDEX('DEFAULT DATA'!$MW$9:$VD$41,START!$C$3,($N56+2))*-44/12)+($K56*INDEX('DEFAULT DATA'!$MW$9:$VD$41,START!$C$3,($N56+3))*-44/12)+($L56*INDEX('DEFAULT DATA'!$MW$9:$VD$41,START!$C$3,($N56+4))*-44/12)+($M56*INDEX('DEFAULT DATA'!$MW$9:$VD$41,START!$C$3,($N56+5))*-44/12)</f>
        <v>0</v>
      </c>
      <c r="AC56" s="216">
        <f>($K56*INDEX('DEFAULT DATA'!$MW$9:$VD$41,START!$C$3,($N56))*-44/12)+($K56*INDEX('DEFAULT DATA'!$MW$9:$VD$41,START!$C$3,($N56+1))*-44/12)+($K56*INDEX('DEFAULT DATA'!$MW$9:$VD$41,START!$C$3,($N56+2))*-44/12)+($K56*INDEX('DEFAULT DATA'!$MW$9:$VD$41,START!$C$3,($N56+3))*-44/12)+($L56*INDEX('DEFAULT DATA'!$MW$9:$VD$41,START!$C$3,($N56+4))*-44/12)+($M56*INDEX('DEFAULT DATA'!$MW$9:$VD$41,START!$C$3,($N56+5))*-44/12)</f>
        <v>0</v>
      </c>
      <c r="AD56" s="216">
        <f>($K56*INDEX('DEFAULT DATA'!$MW$9:$VD$41,START!$C$3,($N56))*-44/12)+($K56*INDEX('DEFAULT DATA'!$MW$9:$VD$41,START!$C$3,($N56+1))*-44/12)+($K56*INDEX('DEFAULT DATA'!$MW$9:$VD$41,START!$C$3,($N56+2))*-44/12)+($K56*INDEX('DEFAULT DATA'!$MW$9:$VD$41,START!$C$3,($N56+3))*-44/12)+($L56*INDEX('DEFAULT DATA'!$MW$9:$VD$41,START!$C$3,($N56+4))*-44/12)+($M56*INDEX('DEFAULT DATA'!$MW$9:$VD$41,START!$C$3,($N56+5))*-44/12)</f>
        <v>0</v>
      </c>
      <c r="AE56" s="216">
        <f>($K56*INDEX('DEFAULT DATA'!$MW$9:$VD$41,START!$C$3,($N56))*-44/12)+($K56*INDEX('DEFAULT DATA'!$MW$9:$VD$41,START!$C$3,($N56+1))*-44/12)+($K56*INDEX('DEFAULT DATA'!$MW$9:$VD$41,START!$C$3,($N56+2))*-44/12)+($K56*INDEX('DEFAULT DATA'!$MW$9:$VD$41,START!$C$3,($N56+3))*-44/12)+($L56*INDEX('DEFAULT DATA'!$MW$9:$VD$41,START!$C$3,($N56+4))*-44/12)+($M56*INDEX('DEFAULT DATA'!$MW$9:$VD$41,START!$C$3,($N56+5))*-44/12)</f>
        <v>0</v>
      </c>
      <c r="AF56" s="216">
        <f>($K56*INDEX('DEFAULT DATA'!$MW$9:$VD$41,START!$C$3,($N56))*-44/12)+($K56*INDEX('DEFAULT DATA'!$MW$9:$VD$41,START!$C$3,($N56+1))*-44/12)+($K56*INDEX('DEFAULT DATA'!$MW$9:$VD$41,START!$C$3,($N56+2))*-44/12)+($K56*INDEX('DEFAULT DATA'!$MW$9:$VD$41,START!$C$3,($N56+3))*-44/12)+($L56*INDEX('DEFAULT DATA'!$MW$9:$VD$41,START!$C$3,($N56+4))*-44/12)+($M56*INDEX('DEFAULT DATA'!$MW$9:$VD$41,START!$C$3,($N56+5))*-44/12)</f>
        <v>0</v>
      </c>
      <c r="AG56" s="216">
        <f>($K56*INDEX('DEFAULT DATA'!$MW$9:$VD$41,START!$C$3,($N56))*-44/12)+($K56*INDEX('DEFAULT DATA'!$MW$9:$VD$41,START!$C$3,($N56+1))*-44/12)+($K56*INDEX('DEFAULT DATA'!$MW$9:$VD$41,START!$C$3,($N56+2))*-44/12)+($K56*INDEX('DEFAULT DATA'!$MW$9:$VD$41,START!$C$3,($N56+3))*-44/12)+($L56*INDEX('DEFAULT DATA'!$MW$9:$VD$41,START!$C$3,($N56+4))*-44/12)+($M56*INDEX('DEFAULT DATA'!$MW$9:$VD$41,START!$C$3,($N56+5))*-44/12)</f>
        <v>0</v>
      </c>
      <c r="AH56" s="216">
        <f>($K56*INDEX('DEFAULT DATA'!$MW$9:$VD$41,START!$C$3,($N56))*-44/12)+($K56*INDEX('DEFAULT DATA'!$MW$9:$VD$41,START!$C$3,($N56+1))*-44/12)+($K56*INDEX('DEFAULT DATA'!$MW$9:$VD$41,START!$C$3,($N56+2))*-44/12)+($K56*INDEX('DEFAULT DATA'!$MW$9:$VD$41,START!$C$3,($N56+3))*-44/12)+($L56*INDEX('DEFAULT DATA'!$MW$9:$VD$41,START!$C$3,($N56+4))*-44/12)+($M56*INDEX('DEFAULT DATA'!$MW$9:$VD$41,START!$C$3,($N56+5))*-44/12)</f>
        <v>0</v>
      </c>
      <c r="AI56" s="216">
        <f>($K56*INDEX('DEFAULT DATA'!$MW$9:$VD$41,START!$C$3,($N56))*-44/12)+($K56*INDEX('DEFAULT DATA'!$MW$9:$VD$41,START!$C$3,($N56+1))*-44/12)+($K56*INDEX('DEFAULT DATA'!$MW$9:$VD$41,START!$C$3,($N56+2))*-44/12)+($K56*INDEX('DEFAULT DATA'!$MW$9:$VD$41,START!$C$3,($N56+3))*-44/12)+($L56*INDEX('DEFAULT DATA'!$MW$9:$VD$41,START!$C$3,($N56+4))*-44/12)+($M56*INDEX('DEFAULT DATA'!$MW$9:$VD$41,START!$C$3,($N56+5))*-44/12)</f>
        <v>0</v>
      </c>
      <c r="AJ56" s="216">
        <f>($K56*INDEX('DEFAULT DATA'!$MW$9:$VD$41,START!$C$3,($N56))*-44/12)+($K56*INDEX('DEFAULT DATA'!$MW$9:$VD$41,START!$C$3,($N56+1))*-44/12)+($K56*INDEX('DEFAULT DATA'!$MW$9:$VD$41,START!$C$3,($N56+2))*-44/12)+($K56*INDEX('DEFAULT DATA'!$MW$9:$VD$41,START!$C$3,($N56+3))*-44/12)+($L56*INDEX('DEFAULT DATA'!$MW$9:$VD$41,START!$C$3,($N56+4))*-44/12)+($M56*INDEX('DEFAULT DATA'!$MW$9:$VD$41,START!$C$3,($N56+5))*-44/12)</f>
        <v>0</v>
      </c>
      <c r="AK56" s="216">
        <f>(($K56*INDEX('DEFAULT DATA'!$UY$9:$VD$41,START!$C$3,1)*-44/12)+($K56*INDEX('DEFAULT DATA'!$UY$9:$VD$41,START!$C$3,2)*-44/12)+($K56*INDEX('DEFAULT DATA'!$UY$9:$VD$41,START!$C$3,3)*-44/12)+($K56*INDEX('DEFAULT DATA'!$UY$9:$VD$41,START!$C$3,4)*-44/12)+($L56*INDEX('DEFAULT DATA'!$UY$9:$VD$41,START!$C$3,5)*-44/12)+($M56*INDEX('DEFAULT DATA'!$UY$9:$VD$41,START!$C$3,6)*-44/12))</f>
        <v>0</v>
      </c>
      <c r="AL56" s="216">
        <f>(($K56*INDEX('DEFAULT DATA'!$UY$9:$VD$41,START!$C$3,1)*-44/12)+($K56*INDEX('DEFAULT DATA'!$UY$9:$VD$41,START!$C$3,2)*-44/12)+($K56*INDEX('DEFAULT DATA'!$UY$9:$VD$41,START!$C$3,3)*-44/12)+($K56*INDEX('DEFAULT DATA'!$UY$9:$VD$41,START!$C$3,4)*-44/12)+($L56*INDEX('DEFAULT DATA'!$UY$9:$VD$41,START!$C$3,5)*-44/12)+($M56*INDEX('DEFAULT DATA'!$UY$9:$VD$41,START!$C$3,6)*-44/12))</f>
        <v>0</v>
      </c>
      <c r="AM56" s="216">
        <f>(($K56*INDEX('DEFAULT DATA'!$UY$9:$VD$41,START!$C$3,1)*-44/12)+($K56*INDEX('DEFAULT DATA'!$UY$9:$VD$41,START!$C$3,2)*-44/12)+($K56*INDEX('DEFAULT DATA'!$UY$9:$VD$41,START!$C$3,3)*-44/12)+($K56*INDEX('DEFAULT DATA'!$UY$9:$VD$41,START!$C$3,4)*-44/12)+($L56*INDEX('DEFAULT DATA'!$UY$9:$VD$41,START!$C$3,5)*-44/12)+($M56*INDEX('DEFAULT DATA'!$UY$9:$VD$41,START!$C$3,6)*-44/12))</f>
        <v>0</v>
      </c>
      <c r="AN56" s="216">
        <f>(($K56*INDEX('DEFAULT DATA'!$UY$9:$VD$41,START!$C$3,1)*-44/12)+($K56*INDEX('DEFAULT DATA'!$UY$9:$VD$41,START!$C$3,2)*-44/12)+($K56*INDEX('DEFAULT DATA'!$UY$9:$VD$41,START!$C$3,3)*-44/12)+($K56*INDEX('DEFAULT DATA'!$UY$9:$VD$41,START!$C$3,4)*-44/12)+($L56*INDEX('DEFAULT DATA'!$UY$9:$VD$41,START!$C$3,5)*-44/12)+($M56*INDEX('DEFAULT DATA'!$UY$9:$VD$41,START!$C$3,6)*-44/12))</f>
        <v>0</v>
      </c>
      <c r="AO56" s="216">
        <f>(($K56*INDEX('DEFAULT DATA'!$UY$9:$VD$41,START!$C$3,1)*-44/12)+($K56*INDEX('DEFAULT DATA'!$UY$9:$VD$41,START!$C$3,2)*-44/12)+($K56*INDEX('DEFAULT DATA'!$UY$9:$VD$41,START!$C$3,3)*-44/12)+($K56*INDEX('DEFAULT DATA'!$UY$9:$VD$41,START!$C$3,4)*-44/12)+($L56*INDEX('DEFAULT DATA'!$UY$9:$VD$41,START!$C$3,5)*-44/12)+($M56*INDEX('DEFAULT DATA'!$UY$9:$VD$41,START!$C$3,6)*-44/12))</f>
        <v>0</v>
      </c>
      <c r="AP56" s="216">
        <f>(($K56*INDEX('DEFAULT DATA'!$UY$9:$VD$41,START!$C$3,1)*-44/12)+($K56*INDEX('DEFAULT DATA'!$UY$9:$VD$41,START!$C$3,2)*-44/12)+($K56*INDEX('DEFAULT DATA'!$UY$9:$VD$41,START!$C$3,3)*-44/12)+($K56*INDEX('DEFAULT DATA'!$UY$9:$VD$41,START!$C$3,4)*-44/12)+($L56*INDEX('DEFAULT DATA'!$UY$9:$VD$41,START!$C$3,5)*-44/12)+($M56*INDEX('DEFAULT DATA'!$UY$9:$VD$41,START!$C$3,6)*-44/12))</f>
        <v>0</v>
      </c>
      <c r="AQ56" s="216">
        <f>(($K56*INDEX('DEFAULT DATA'!$UY$9:$VD$41,START!$C$3,1)*-44/12)+($K56*INDEX('DEFAULT DATA'!$UY$9:$VD$41,START!$C$3,2)*-44/12)+($K56*INDEX('DEFAULT DATA'!$UY$9:$VD$41,START!$C$3,3)*-44/12)+($K56*INDEX('DEFAULT DATA'!$UY$9:$VD$41,START!$C$3,4)*-44/12)+($L56*INDEX('DEFAULT DATA'!$UY$9:$VD$41,START!$C$3,5)*-44/12)+($M56*INDEX('DEFAULT DATA'!$UY$9:$VD$41,START!$C$3,6)*-44/12))</f>
        <v>0</v>
      </c>
      <c r="AR56" s="216">
        <f>(($K56*INDEX('DEFAULT DATA'!$UY$9:$VD$41,START!$C$3,1)*-44/12)+($K56*INDEX('DEFAULT DATA'!$UY$9:$VD$41,START!$C$3,2)*-44/12)+($K56*INDEX('DEFAULT DATA'!$UY$9:$VD$41,START!$C$3,3)*-44/12)+($K56*INDEX('DEFAULT DATA'!$UY$9:$VD$41,START!$C$3,4)*-44/12)+($L56*INDEX('DEFAULT DATA'!$UY$9:$VD$41,START!$C$3,5)*-44/12)+($M56*INDEX('DEFAULT DATA'!$UY$9:$VD$41,START!$C$3,6)*-44/12))</f>
        <v>0</v>
      </c>
      <c r="AS56" s="216">
        <f>(($K56*INDEX('DEFAULT DATA'!$UY$9:$VD$41,START!$C$3,1)*-44/12)+($K56*INDEX('DEFAULT DATA'!$UY$9:$VD$41,START!$C$3,2)*-44/12)+($K56*INDEX('DEFAULT DATA'!$UY$9:$VD$41,START!$C$3,3)*-44/12)+($K56*INDEX('DEFAULT DATA'!$UY$9:$VD$41,START!$C$3,4)*-44/12)+($L56*INDEX('DEFAULT DATA'!$UY$9:$VD$41,START!$C$3,5)*-44/12)+($M56*INDEX('DEFAULT DATA'!$UY$9:$VD$41,START!$C$3,6)*-44/12))</f>
        <v>0</v>
      </c>
      <c r="AT56" s="443">
        <f>(($K56*INDEX('DEFAULT DATA'!$UY$9:$VD$41,START!$C$3,1)*-44/12)+($K56*INDEX('DEFAULT DATA'!$UY$9:$VD$41,START!$C$3,2)*-44/12)+($K56*INDEX('DEFAULT DATA'!$UY$9:$VD$41,START!$C$3,3)*-44/12)+($K56*INDEX('DEFAULT DATA'!$UY$9:$VD$41,START!$C$3,4)*-44/12)+($L56*INDEX('DEFAULT DATA'!$UY$9:$VD$41,START!$C$3,5)*-44/12)+($M56*INDEX('DEFAULT DATA'!$UY$9:$VD$41,START!$C$3,6)*-44/12))</f>
        <v>0</v>
      </c>
    </row>
    <row r="57" spans="1:46" ht="20.100000000000001" customHeight="1">
      <c r="A57" s="449"/>
      <c r="B57" s="1346" t="s">
        <v>900</v>
      </c>
      <c r="C57" s="383"/>
      <c r="D57" s="383"/>
      <c r="E57" s="951">
        <v>0</v>
      </c>
      <c r="F57" s="960">
        <v>0</v>
      </c>
      <c r="G57" s="952">
        <v>0</v>
      </c>
      <c r="H57" s="383">
        <v>1</v>
      </c>
      <c r="I57" s="433"/>
      <c r="J57" s="273"/>
      <c r="K57" s="478">
        <f t="shared" si="37"/>
        <v>0</v>
      </c>
      <c r="L57" s="479">
        <f t="shared" si="38"/>
        <v>0</v>
      </c>
      <c r="M57" s="479">
        <f t="shared" si="39"/>
        <v>0</v>
      </c>
      <c r="N57" s="220">
        <f t="shared" si="41"/>
        <v>133</v>
      </c>
      <c r="O57" s="480" t="s">
        <v>832</v>
      </c>
      <c r="P57" s="481">
        <f t="shared" si="40"/>
        <v>2022</v>
      </c>
      <c r="Q57" s="216">
        <f>($K57*INDEX('DEFAULT DATA'!$MW$9:$VD$41,START!$C$3,($N57))*-44/12)+($K57*INDEX('DEFAULT DATA'!$MW$9:$VD$41,START!$C$3,($N57+1))*-44/12)+($K57*INDEX('DEFAULT DATA'!$MW$9:$VD$41,START!$C$3,($N57+2))*-44/12)+($K57*INDEX('DEFAULT DATA'!$MW$9:$VD$41,START!$C$3,($N57+3))*-44/12)+($L57*INDEX('DEFAULT DATA'!$MW$9:$VD$41,START!$C$3,($N57+4))*-44/12)+($M57*INDEX('DEFAULT DATA'!$MW$9:$VD$41,START!$C$3,($N57+5))*-44/12)</f>
        <v>0</v>
      </c>
      <c r="R57" s="216">
        <f>($K57*INDEX('DEFAULT DATA'!$MW$9:$VD$41,START!$C$3,($N57))*-44/12)+($K57*INDEX('DEFAULT DATA'!$MW$9:$VD$41,START!$C$3,($N57+1))*-44/12)+($K57*INDEX('DEFAULT DATA'!$MW$9:$VD$41,START!$C$3,($N57+2))*-44/12)+($K57*INDEX('DEFAULT DATA'!$MW$9:$VD$41,START!$C$3,($N57+3))*-44/12)+($L57*INDEX('DEFAULT DATA'!$MW$9:$VD$41,START!$C$3,($N57+4))*-44/12)+($M57*INDEX('DEFAULT DATA'!$MW$9:$VD$41,START!$C$3,($N57+5))*-44/12)</f>
        <v>0</v>
      </c>
      <c r="S57" s="216">
        <f>($K57*INDEX('DEFAULT DATA'!$MW$9:$VD$41,START!$C$3,($N57))*-44/12)+($K57*INDEX('DEFAULT DATA'!$MW$9:$VD$41,START!$C$3,($N57+1))*-44/12)+($K57*INDEX('DEFAULT DATA'!$MW$9:$VD$41,START!$C$3,($N57+2))*-44/12)+($K57*INDEX('DEFAULT DATA'!$MW$9:$VD$41,START!$C$3,($N57+3))*-44/12)+($L57*INDEX('DEFAULT DATA'!$MW$9:$VD$41,START!$C$3,($N57+4))*-44/12)+($M57*INDEX('DEFAULT DATA'!$MW$9:$VD$41,START!$C$3,($N57+5))*-44/12)</f>
        <v>0</v>
      </c>
      <c r="T57" s="216">
        <f>($K57*INDEX('DEFAULT DATA'!$MW$9:$VD$41,START!$C$3,($N57))*-44/12)+($K57*INDEX('DEFAULT DATA'!$MW$9:$VD$41,START!$C$3,($N57+1))*-44/12)+($K57*INDEX('DEFAULT DATA'!$MW$9:$VD$41,START!$C$3,($N57+2))*-44/12)+($K57*INDEX('DEFAULT DATA'!$MW$9:$VD$41,START!$C$3,($N57+3))*-44/12)+($L57*INDEX('DEFAULT DATA'!$MW$9:$VD$41,START!$C$3,($N57+4))*-44/12)+($M57*INDEX('DEFAULT DATA'!$MW$9:$VD$41,START!$C$3,($N57+5))*-44/12)</f>
        <v>0</v>
      </c>
      <c r="U57" s="216">
        <f>($K57*INDEX('DEFAULT DATA'!$MW$9:$VD$41,START!$C$3,($N57))*-44/12)+($K57*INDEX('DEFAULT DATA'!$MW$9:$VD$41,START!$C$3,($N57+1))*-44/12)+($K57*INDEX('DEFAULT DATA'!$MW$9:$VD$41,START!$C$3,($N57+2))*-44/12)+($K57*INDEX('DEFAULT DATA'!$MW$9:$VD$41,START!$C$3,($N57+3))*-44/12)+($L57*INDEX('DEFAULT DATA'!$MW$9:$VD$41,START!$C$3,($N57+4))*-44/12)+($M57*INDEX('DEFAULT DATA'!$MW$9:$VD$41,START!$C$3,($N57+5))*-44/12)</f>
        <v>0</v>
      </c>
      <c r="V57" s="216">
        <f>($K57*INDEX('DEFAULT DATA'!$MW$9:$VD$41,START!$C$3,($N57))*-44/12)+($K57*INDEX('DEFAULT DATA'!$MW$9:$VD$41,START!$C$3,($N57+1))*-44/12)+($K57*INDEX('DEFAULT DATA'!$MW$9:$VD$41,START!$C$3,($N57+2))*-44/12)+($K57*INDEX('DEFAULT DATA'!$MW$9:$VD$41,START!$C$3,($N57+3))*-44/12)+($L57*INDEX('DEFAULT DATA'!$MW$9:$VD$41,START!$C$3,($N57+4))*-44/12)+($M57*INDEX('DEFAULT DATA'!$MW$9:$VD$41,START!$C$3,($N57+5))*-44/12)</f>
        <v>0</v>
      </c>
      <c r="W57" s="216">
        <f>($K57*INDEX('DEFAULT DATA'!$MW$9:$VD$41,START!$C$3,($N57))*-44/12)+($K57*INDEX('DEFAULT DATA'!$MW$9:$VD$41,START!$C$3,($N57+1))*-44/12)+($K57*INDEX('DEFAULT DATA'!$MW$9:$VD$41,START!$C$3,($N57+2))*-44/12)+($K57*INDEX('DEFAULT DATA'!$MW$9:$VD$41,START!$C$3,($N57+3))*-44/12)+($L57*INDEX('DEFAULT DATA'!$MW$9:$VD$41,START!$C$3,($N57+4))*-44/12)+($M57*INDEX('DEFAULT DATA'!$MW$9:$VD$41,START!$C$3,($N57+5))*-44/12)</f>
        <v>0</v>
      </c>
      <c r="X57" s="216">
        <f>($K57*INDEX('DEFAULT DATA'!$MW$9:$VD$41,START!$C$3,($N57))*-44/12)+($K57*INDEX('DEFAULT DATA'!$MW$9:$VD$41,START!$C$3,($N57+1))*-44/12)+($K57*INDEX('DEFAULT DATA'!$MW$9:$VD$41,START!$C$3,($N57+2))*-44/12)+($K57*INDEX('DEFAULT DATA'!$MW$9:$VD$41,START!$C$3,($N57+3))*-44/12)+($L57*INDEX('DEFAULT DATA'!$MW$9:$VD$41,START!$C$3,($N57+4))*-44/12)+($M57*INDEX('DEFAULT DATA'!$MW$9:$VD$41,START!$C$3,($N57+5))*-44/12)</f>
        <v>0</v>
      </c>
      <c r="Y57" s="216">
        <f>($K57*INDEX('DEFAULT DATA'!$MW$9:$VD$41,START!$C$3,($N57))*-44/12)+($K57*INDEX('DEFAULT DATA'!$MW$9:$VD$41,START!$C$3,($N57+1))*-44/12)+($K57*INDEX('DEFAULT DATA'!$MW$9:$VD$41,START!$C$3,($N57+2))*-44/12)+($K57*INDEX('DEFAULT DATA'!$MW$9:$VD$41,START!$C$3,($N57+3))*-44/12)+($L57*INDEX('DEFAULT DATA'!$MW$9:$VD$41,START!$C$3,($N57+4))*-44/12)+($M57*INDEX('DEFAULT DATA'!$MW$9:$VD$41,START!$C$3,($N57+5))*-44/12)</f>
        <v>0</v>
      </c>
      <c r="Z57" s="216">
        <f>($K57*INDEX('DEFAULT DATA'!$MW$9:$VD$41,START!$C$3,($N57))*-44/12)+($K57*INDEX('DEFAULT DATA'!$MW$9:$VD$41,START!$C$3,($N57+1))*-44/12)+($K57*INDEX('DEFAULT DATA'!$MW$9:$VD$41,START!$C$3,($N57+2))*-44/12)+($K57*INDEX('DEFAULT DATA'!$MW$9:$VD$41,START!$C$3,($N57+3))*-44/12)+($L57*INDEX('DEFAULT DATA'!$MW$9:$VD$41,START!$C$3,($N57+4))*-44/12)+($M57*INDEX('DEFAULT DATA'!$MW$9:$VD$41,START!$C$3,($N57+5))*-44/12)</f>
        <v>0</v>
      </c>
      <c r="AA57" s="216">
        <f>($K57*INDEX('DEFAULT DATA'!$MW$9:$VD$41,START!$C$3,($N57))*-44/12)+($K57*INDEX('DEFAULT DATA'!$MW$9:$VD$41,START!$C$3,($N57+1))*-44/12)+($K57*INDEX('DEFAULT DATA'!$MW$9:$VD$41,START!$C$3,($N57+2))*-44/12)+($K57*INDEX('DEFAULT DATA'!$MW$9:$VD$41,START!$C$3,($N57+3))*-44/12)+($L57*INDEX('DEFAULT DATA'!$MW$9:$VD$41,START!$C$3,($N57+4))*-44/12)+($M57*INDEX('DEFAULT DATA'!$MW$9:$VD$41,START!$C$3,($N57+5))*-44/12)</f>
        <v>0</v>
      </c>
      <c r="AB57" s="216">
        <f>($K57*INDEX('DEFAULT DATA'!$MW$9:$VD$41,START!$C$3,($N57))*-44/12)+($K57*INDEX('DEFAULT DATA'!$MW$9:$VD$41,START!$C$3,($N57+1))*-44/12)+($K57*INDEX('DEFAULT DATA'!$MW$9:$VD$41,START!$C$3,($N57+2))*-44/12)+($K57*INDEX('DEFAULT DATA'!$MW$9:$VD$41,START!$C$3,($N57+3))*-44/12)+($L57*INDEX('DEFAULT DATA'!$MW$9:$VD$41,START!$C$3,($N57+4))*-44/12)+($M57*INDEX('DEFAULT DATA'!$MW$9:$VD$41,START!$C$3,($N57+5))*-44/12)</f>
        <v>0</v>
      </c>
      <c r="AC57" s="216">
        <f>($K57*INDEX('DEFAULT DATA'!$MW$9:$VD$41,START!$C$3,($N57))*-44/12)+($K57*INDEX('DEFAULT DATA'!$MW$9:$VD$41,START!$C$3,($N57+1))*-44/12)+($K57*INDEX('DEFAULT DATA'!$MW$9:$VD$41,START!$C$3,($N57+2))*-44/12)+($K57*INDEX('DEFAULT DATA'!$MW$9:$VD$41,START!$C$3,($N57+3))*-44/12)+($L57*INDEX('DEFAULT DATA'!$MW$9:$VD$41,START!$C$3,($N57+4))*-44/12)+($M57*INDEX('DEFAULT DATA'!$MW$9:$VD$41,START!$C$3,($N57+5))*-44/12)</f>
        <v>0</v>
      </c>
      <c r="AD57" s="216">
        <f>($K57*INDEX('DEFAULT DATA'!$MW$9:$VD$41,START!$C$3,($N57))*-44/12)+($K57*INDEX('DEFAULT DATA'!$MW$9:$VD$41,START!$C$3,($N57+1))*-44/12)+($K57*INDEX('DEFAULT DATA'!$MW$9:$VD$41,START!$C$3,($N57+2))*-44/12)+($K57*INDEX('DEFAULT DATA'!$MW$9:$VD$41,START!$C$3,($N57+3))*-44/12)+($L57*INDEX('DEFAULT DATA'!$MW$9:$VD$41,START!$C$3,($N57+4))*-44/12)+($M57*INDEX('DEFAULT DATA'!$MW$9:$VD$41,START!$C$3,($N57+5))*-44/12)</f>
        <v>0</v>
      </c>
      <c r="AE57" s="216">
        <f>($K57*INDEX('DEFAULT DATA'!$MW$9:$VD$41,START!$C$3,($N57))*-44/12)+($K57*INDEX('DEFAULT DATA'!$MW$9:$VD$41,START!$C$3,($N57+1))*-44/12)+($K57*INDEX('DEFAULT DATA'!$MW$9:$VD$41,START!$C$3,($N57+2))*-44/12)+($K57*INDEX('DEFAULT DATA'!$MW$9:$VD$41,START!$C$3,($N57+3))*-44/12)+($L57*INDEX('DEFAULT DATA'!$MW$9:$VD$41,START!$C$3,($N57+4))*-44/12)+($M57*INDEX('DEFAULT DATA'!$MW$9:$VD$41,START!$C$3,($N57+5))*-44/12)</f>
        <v>0</v>
      </c>
      <c r="AF57" s="216">
        <f>($K57*INDEX('DEFAULT DATA'!$MW$9:$VD$41,START!$C$3,($N57))*-44/12)+($K57*INDEX('DEFAULT DATA'!$MW$9:$VD$41,START!$C$3,($N57+1))*-44/12)+($K57*INDEX('DEFAULT DATA'!$MW$9:$VD$41,START!$C$3,($N57+2))*-44/12)+($K57*INDEX('DEFAULT DATA'!$MW$9:$VD$41,START!$C$3,($N57+3))*-44/12)+($L57*INDEX('DEFAULT DATA'!$MW$9:$VD$41,START!$C$3,($N57+4))*-44/12)+($M57*INDEX('DEFAULT DATA'!$MW$9:$VD$41,START!$C$3,($N57+5))*-44/12)</f>
        <v>0</v>
      </c>
      <c r="AG57" s="216">
        <f>($K57*INDEX('DEFAULT DATA'!$MW$9:$VD$41,START!$C$3,($N57))*-44/12)+($K57*INDEX('DEFAULT DATA'!$MW$9:$VD$41,START!$C$3,($N57+1))*-44/12)+($K57*INDEX('DEFAULT DATA'!$MW$9:$VD$41,START!$C$3,($N57+2))*-44/12)+($K57*INDEX('DEFAULT DATA'!$MW$9:$VD$41,START!$C$3,($N57+3))*-44/12)+($L57*INDEX('DEFAULT DATA'!$MW$9:$VD$41,START!$C$3,($N57+4))*-44/12)+($M57*INDEX('DEFAULT DATA'!$MW$9:$VD$41,START!$C$3,($N57+5))*-44/12)</f>
        <v>0</v>
      </c>
      <c r="AH57" s="216">
        <f>($K57*INDEX('DEFAULT DATA'!$MW$9:$VD$41,START!$C$3,($N57))*-44/12)+($K57*INDEX('DEFAULT DATA'!$MW$9:$VD$41,START!$C$3,($N57+1))*-44/12)+($K57*INDEX('DEFAULT DATA'!$MW$9:$VD$41,START!$C$3,($N57+2))*-44/12)+($K57*INDEX('DEFAULT DATA'!$MW$9:$VD$41,START!$C$3,($N57+3))*-44/12)+($L57*INDEX('DEFAULT DATA'!$MW$9:$VD$41,START!$C$3,($N57+4))*-44/12)+($M57*INDEX('DEFAULT DATA'!$MW$9:$VD$41,START!$C$3,($N57+5))*-44/12)</f>
        <v>0</v>
      </c>
      <c r="AI57" s="216">
        <f>($K57*INDEX('DEFAULT DATA'!$MW$9:$VD$41,START!$C$3,($N57))*-44/12)+($K57*INDEX('DEFAULT DATA'!$MW$9:$VD$41,START!$C$3,($N57+1))*-44/12)+($K57*INDEX('DEFAULT DATA'!$MW$9:$VD$41,START!$C$3,($N57+2))*-44/12)+($K57*INDEX('DEFAULT DATA'!$MW$9:$VD$41,START!$C$3,($N57+3))*-44/12)+($L57*INDEX('DEFAULT DATA'!$MW$9:$VD$41,START!$C$3,($N57+4))*-44/12)+($M57*INDEX('DEFAULT DATA'!$MW$9:$VD$41,START!$C$3,($N57+5))*-44/12)</f>
        <v>0</v>
      </c>
      <c r="AJ57" s="216">
        <f>($K57*INDEX('DEFAULT DATA'!$MW$9:$VD$41,START!$C$3,($N57))*-44/12)+($K57*INDEX('DEFAULT DATA'!$MW$9:$VD$41,START!$C$3,($N57+1))*-44/12)+($K57*INDEX('DEFAULT DATA'!$MW$9:$VD$41,START!$C$3,($N57+2))*-44/12)+($K57*INDEX('DEFAULT DATA'!$MW$9:$VD$41,START!$C$3,($N57+3))*-44/12)+($L57*INDEX('DEFAULT DATA'!$MW$9:$VD$41,START!$C$3,($N57+4))*-44/12)+($M57*INDEX('DEFAULT DATA'!$MW$9:$VD$41,START!$C$3,($N57+5))*-44/12)</f>
        <v>0</v>
      </c>
      <c r="AK57" s="216">
        <f>(($K57*INDEX('DEFAULT DATA'!$UY$9:$VD$41,START!$C$3,1)*-44/12)+($K57*INDEX('DEFAULT DATA'!$UY$9:$VD$41,START!$C$3,2)*-44/12)+($K57*INDEX('DEFAULT DATA'!$UY$9:$VD$41,START!$C$3,3)*-44/12)+($K57*INDEX('DEFAULT DATA'!$UY$9:$VD$41,START!$C$3,4)*-44/12)+($L57*INDEX('DEFAULT DATA'!$UY$9:$VD$41,START!$C$3,5)*-44/12)+($M57*INDEX('DEFAULT DATA'!$UY$9:$VD$41,START!$C$3,6)*-44/12))</f>
        <v>0</v>
      </c>
      <c r="AL57" s="216">
        <f>(($K57*INDEX('DEFAULT DATA'!$UY$9:$VD$41,START!$C$3,1)*-44/12)+($K57*INDEX('DEFAULT DATA'!$UY$9:$VD$41,START!$C$3,2)*-44/12)+($K57*INDEX('DEFAULT DATA'!$UY$9:$VD$41,START!$C$3,3)*-44/12)+($K57*INDEX('DEFAULT DATA'!$UY$9:$VD$41,START!$C$3,4)*-44/12)+($L57*INDEX('DEFAULT DATA'!$UY$9:$VD$41,START!$C$3,5)*-44/12)+($M57*INDEX('DEFAULT DATA'!$UY$9:$VD$41,START!$C$3,6)*-44/12))</f>
        <v>0</v>
      </c>
      <c r="AM57" s="216">
        <f>(($K57*INDEX('DEFAULT DATA'!$UY$9:$VD$41,START!$C$3,1)*-44/12)+($K57*INDEX('DEFAULT DATA'!$UY$9:$VD$41,START!$C$3,2)*-44/12)+($K57*INDEX('DEFAULT DATA'!$UY$9:$VD$41,START!$C$3,3)*-44/12)+($K57*INDEX('DEFAULT DATA'!$UY$9:$VD$41,START!$C$3,4)*-44/12)+($L57*INDEX('DEFAULT DATA'!$UY$9:$VD$41,START!$C$3,5)*-44/12)+($M57*INDEX('DEFAULT DATA'!$UY$9:$VD$41,START!$C$3,6)*-44/12))</f>
        <v>0</v>
      </c>
      <c r="AN57" s="216">
        <f>(($K57*INDEX('DEFAULT DATA'!$UY$9:$VD$41,START!$C$3,1)*-44/12)+($K57*INDEX('DEFAULT DATA'!$UY$9:$VD$41,START!$C$3,2)*-44/12)+($K57*INDEX('DEFAULT DATA'!$UY$9:$VD$41,START!$C$3,3)*-44/12)+($K57*INDEX('DEFAULT DATA'!$UY$9:$VD$41,START!$C$3,4)*-44/12)+($L57*INDEX('DEFAULT DATA'!$UY$9:$VD$41,START!$C$3,5)*-44/12)+($M57*INDEX('DEFAULT DATA'!$UY$9:$VD$41,START!$C$3,6)*-44/12))</f>
        <v>0</v>
      </c>
      <c r="AO57" s="216">
        <f>(($K57*INDEX('DEFAULT DATA'!$UY$9:$VD$41,START!$C$3,1)*-44/12)+($K57*INDEX('DEFAULT DATA'!$UY$9:$VD$41,START!$C$3,2)*-44/12)+($K57*INDEX('DEFAULT DATA'!$UY$9:$VD$41,START!$C$3,3)*-44/12)+($K57*INDEX('DEFAULT DATA'!$UY$9:$VD$41,START!$C$3,4)*-44/12)+($L57*INDEX('DEFAULT DATA'!$UY$9:$VD$41,START!$C$3,5)*-44/12)+($M57*INDEX('DEFAULT DATA'!$UY$9:$VD$41,START!$C$3,6)*-44/12))</f>
        <v>0</v>
      </c>
      <c r="AP57" s="216">
        <f>(($K57*INDEX('DEFAULT DATA'!$UY$9:$VD$41,START!$C$3,1)*-44/12)+($K57*INDEX('DEFAULT DATA'!$UY$9:$VD$41,START!$C$3,2)*-44/12)+($K57*INDEX('DEFAULT DATA'!$UY$9:$VD$41,START!$C$3,3)*-44/12)+($K57*INDEX('DEFAULT DATA'!$UY$9:$VD$41,START!$C$3,4)*-44/12)+($L57*INDEX('DEFAULT DATA'!$UY$9:$VD$41,START!$C$3,5)*-44/12)+($M57*INDEX('DEFAULT DATA'!$UY$9:$VD$41,START!$C$3,6)*-44/12))</f>
        <v>0</v>
      </c>
      <c r="AQ57" s="216">
        <f>(($K57*INDEX('DEFAULT DATA'!$UY$9:$VD$41,START!$C$3,1)*-44/12)+($K57*INDEX('DEFAULT DATA'!$UY$9:$VD$41,START!$C$3,2)*-44/12)+($K57*INDEX('DEFAULT DATA'!$UY$9:$VD$41,START!$C$3,3)*-44/12)+($K57*INDEX('DEFAULT DATA'!$UY$9:$VD$41,START!$C$3,4)*-44/12)+($L57*INDEX('DEFAULT DATA'!$UY$9:$VD$41,START!$C$3,5)*-44/12)+($M57*INDEX('DEFAULT DATA'!$UY$9:$VD$41,START!$C$3,6)*-44/12))</f>
        <v>0</v>
      </c>
      <c r="AR57" s="216">
        <f>(($K57*INDEX('DEFAULT DATA'!$UY$9:$VD$41,START!$C$3,1)*-44/12)+($K57*INDEX('DEFAULT DATA'!$UY$9:$VD$41,START!$C$3,2)*-44/12)+($K57*INDEX('DEFAULT DATA'!$UY$9:$VD$41,START!$C$3,3)*-44/12)+($K57*INDEX('DEFAULT DATA'!$UY$9:$VD$41,START!$C$3,4)*-44/12)+($L57*INDEX('DEFAULT DATA'!$UY$9:$VD$41,START!$C$3,5)*-44/12)+($M57*INDEX('DEFAULT DATA'!$UY$9:$VD$41,START!$C$3,6)*-44/12))</f>
        <v>0</v>
      </c>
      <c r="AS57" s="216">
        <f>(($K57*INDEX('DEFAULT DATA'!$UY$9:$VD$41,START!$C$3,1)*-44/12)+($K57*INDEX('DEFAULT DATA'!$UY$9:$VD$41,START!$C$3,2)*-44/12)+($K57*INDEX('DEFAULT DATA'!$UY$9:$VD$41,START!$C$3,3)*-44/12)+($K57*INDEX('DEFAULT DATA'!$UY$9:$VD$41,START!$C$3,4)*-44/12)+($L57*INDEX('DEFAULT DATA'!$UY$9:$VD$41,START!$C$3,5)*-44/12)+($M57*INDEX('DEFAULT DATA'!$UY$9:$VD$41,START!$C$3,6)*-44/12))</f>
        <v>0</v>
      </c>
      <c r="AT57" s="443">
        <f>(($K57*INDEX('DEFAULT DATA'!$UY$9:$VD$41,START!$C$3,1)*-44/12)+($K57*INDEX('DEFAULT DATA'!$UY$9:$VD$41,START!$C$3,2)*-44/12)+($K57*INDEX('DEFAULT DATA'!$UY$9:$VD$41,START!$C$3,3)*-44/12)+($K57*INDEX('DEFAULT DATA'!$UY$9:$VD$41,START!$C$3,4)*-44/12)+($L57*INDEX('DEFAULT DATA'!$UY$9:$VD$41,START!$C$3,5)*-44/12)+($M57*INDEX('DEFAULT DATA'!$UY$9:$VD$41,START!$C$3,6)*-44/12))</f>
        <v>0</v>
      </c>
    </row>
    <row r="58" spans="1:46" ht="20.100000000000001" customHeight="1">
      <c r="A58" s="421"/>
      <c r="B58" s="1347" t="s">
        <v>901</v>
      </c>
      <c r="C58" s="1024"/>
      <c r="D58" s="1024"/>
      <c r="E58" s="955">
        <v>0</v>
      </c>
      <c r="F58" s="953">
        <v>0</v>
      </c>
      <c r="G58" s="956">
        <v>0</v>
      </c>
      <c r="H58" s="1024">
        <v>1</v>
      </c>
      <c r="I58" s="460"/>
      <c r="J58" s="273"/>
      <c r="K58" s="478">
        <f t="shared" si="37"/>
        <v>0</v>
      </c>
      <c r="L58" s="479">
        <f t="shared" si="38"/>
        <v>0</v>
      </c>
      <c r="M58" s="479">
        <f t="shared" si="39"/>
        <v>0</v>
      </c>
      <c r="N58" s="220">
        <f t="shared" si="41"/>
        <v>139</v>
      </c>
      <c r="O58" s="480" t="s">
        <v>833</v>
      </c>
      <c r="P58" s="481">
        <f t="shared" si="40"/>
        <v>2022</v>
      </c>
      <c r="Q58" s="216">
        <f>($K58*INDEX('DEFAULT DATA'!$MW$9:$VD$41,START!$C$3,($N58))*-44/12)+($K58*INDEX('DEFAULT DATA'!$MW$9:$VD$41,START!$C$3,($N58+1))*-44/12)+($K58*INDEX('DEFAULT DATA'!$MW$9:$VD$41,START!$C$3,($N58+2))*-44/12)+($K58*INDEX('DEFAULT DATA'!$MW$9:$VD$41,START!$C$3,($N58+3))*-44/12)+($L58*INDEX('DEFAULT DATA'!$MW$9:$VD$41,START!$C$3,($N58+4))*-44/12)+($M58*INDEX('DEFAULT DATA'!$MW$9:$VD$41,START!$C$3,($N58+5))*-44/12)</f>
        <v>0</v>
      </c>
      <c r="R58" s="216">
        <f>($K58*INDEX('DEFAULT DATA'!$MW$9:$VD$41,START!$C$3,($N58))*-44/12)+($K58*INDEX('DEFAULT DATA'!$MW$9:$VD$41,START!$C$3,($N58+1))*-44/12)+($K58*INDEX('DEFAULT DATA'!$MW$9:$VD$41,START!$C$3,($N58+2))*-44/12)+($K58*INDEX('DEFAULT DATA'!$MW$9:$VD$41,START!$C$3,($N58+3))*-44/12)+($L58*INDEX('DEFAULT DATA'!$MW$9:$VD$41,START!$C$3,($N58+4))*-44/12)+($M58*INDEX('DEFAULT DATA'!$MW$9:$VD$41,START!$C$3,($N58+5))*-44/12)</f>
        <v>0</v>
      </c>
      <c r="S58" s="216">
        <f>($K58*INDEX('DEFAULT DATA'!$MW$9:$VD$41,START!$C$3,($N58))*-44/12)+($K58*INDEX('DEFAULT DATA'!$MW$9:$VD$41,START!$C$3,($N58+1))*-44/12)+($K58*INDEX('DEFAULT DATA'!$MW$9:$VD$41,START!$C$3,($N58+2))*-44/12)+($K58*INDEX('DEFAULT DATA'!$MW$9:$VD$41,START!$C$3,($N58+3))*-44/12)+($L58*INDEX('DEFAULT DATA'!$MW$9:$VD$41,START!$C$3,($N58+4))*-44/12)+($M58*INDEX('DEFAULT DATA'!$MW$9:$VD$41,START!$C$3,($N58+5))*-44/12)</f>
        <v>0</v>
      </c>
      <c r="T58" s="216">
        <f>($K58*INDEX('DEFAULT DATA'!$MW$9:$VD$41,START!$C$3,($N58))*-44/12)+($K58*INDEX('DEFAULT DATA'!$MW$9:$VD$41,START!$C$3,($N58+1))*-44/12)+($K58*INDEX('DEFAULT DATA'!$MW$9:$VD$41,START!$C$3,($N58+2))*-44/12)+($K58*INDEX('DEFAULT DATA'!$MW$9:$VD$41,START!$C$3,($N58+3))*-44/12)+($L58*INDEX('DEFAULT DATA'!$MW$9:$VD$41,START!$C$3,($N58+4))*-44/12)+($M58*INDEX('DEFAULT DATA'!$MW$9:$VD$41,START!$C$3,($N58+5))*-44/12)</f>
        <v>0</v>
      </c>
      <c r="U58" s="216">
        <f>($K58*INDEX('DEFAULT DATA'!$MW$9:$VD$41,START!$C$3,($N58))*-44/12)+($K58*INDEX('DEFAULT DATA'!$MW$9:$VD$41,START!$C$3,($N58+1))*-44/12)+($K58*INDEX('DEFAULT DATA'!$MW$9:$VD$41,START!$C$3,($N58+2))*-44/12)+($K58*INDEX('DEFAULT DATA'!$MW$9:$VD$41,START!$C$3,($N58+3))*-44/12)+($L58*INDEX('DEFAULT DATA'!$MW$9:$VD$41,START!$C$3,($N58+4))*-44/12)+($M58*INDEX('DEFAULT DATA'!$MW$9:$VD$41,START!$C$3,($N58+5))*-44/12)</f>
        <v>0</v>
      </c>
      <c r="V58" s="216">
        <f>($K58*INDEX('DEFAULT DATA'!$MW$9:$VD$41,START!$C$3,($N58))*-44/12)+($K58*INDEX('DEFAULT DATA'!$MW$9:$VD$41,START!$C$3,($N58+1))*-44/12)+($K58*INDEX('DEFAULT DATA'!$MW$9:$VD$41,START!$C$3,($N58+2))*-44/12)+($K58*INDEX('DEFAULT DATA'!$MW$9:$VD$41,START!$C$3,($N58+3))*-44/12)+($L58*INDEX('DEFAULT DATA'!$MW$9:$VD$41,START!$C$3,($N58+4))*-44/12)+($M58*INDEX('DEFAULT DATA'!$MW$9:$VD$41,START!$C$3,($N58+5))*-44/12)</f>
        <v>0</v>
      </c>
      <c r="W58" s="216">
        <f>($K58*INDEX('DEFAULT DATA'!$MW$9:$VD$41,START!$C$3,($N58))*-44/12)+($K58*INDEX('DEFAULT DATA'!$MW$9:$VD$41,START!$C$3,($N58+1))*-44/12)+($K58*INDEX('DEFAULT DATA'!$MW$9:$VD$41,START!$C$3,($N58+2))*-44/12)+($K58*INDEX('DEFAULT DATA'!$MW$9:$VD$41,START!$C$3,($N58+3))*-44/12)+($L58*INDEX('DEFAULT DATA'!$MW$9:$VD$41,START!$C$3,($N58+4))*-44/12)+($M58*INDEX('DEFAULT DATA'!$MW$9:$VD$41,START!$C$3,($N58+5))*-44/12)</f>
        <v>0</v>
      </c>
      <c r="X58" s="216">
        <f>($K58*INDEX('DEFAULT DATA'!$MW$9:$VD$41,START!$C$3,($N58))*-44/12)+($K58*INDEX('DEFAULT DATA'!$MW$9:$VD$41,START!$C$3,($N58+1))*-44/12)+($K58*INDEX('DEFAULT DATA'!$MW$9:$VD$41,START!$C$3,($N58+2))*-44/12)+($K58*INDEX('DEFAULT DATA'!$MW$9:$VD$41,START!$C$3,($N58+3))*-44/12)+($L58*INDEX('DEFAULT DATA'!$MW$9:$VD$41,START!$C$3,($N58+4))*-44/12)+($M58*INDEX('DEFAULT DATA'!$MW$9:$VD$41,START!$C$3,($N58+5))*-44/12)</f>
        <v>0</v>
      </c>
      <c r="Y58" s="216">
        <f>($K58*INDEX('DEFAULT DATA'!$MW$9:$VD$41,START!$C$3,($N58))*-44/12)+($K58*INDEX('DEFAULT DATA'!$MW$9:$VD$41,START!$C$3,($N58+1))*-44/12)+($K58*INDEX('DEFAULT DATA'!$MW$9:$VD$41,START!$C$3,($N58+2))*-44/12)+($K58*INDEX('DEFAULT DATA'!$MW$9:$VD$41,START!$C$3,($N58+3))*-44/12)+($L58*INDEX('DEFAULT DATA'!$MW$9:$VD$41,START!$C$3,($N58+4))*-44/12)+($M58*INDEX('DEFAULT DATA'!$MW$9:$VD$41,START!$C$3,($N58+5))*-44/12)</f>
        <v>0</v>
      </c>
      <c r="Z58" s="216">
        <f>($K58*INDEX('DEFAULT DATA'!$MW$9:$VD$41,START!$C$3,($N58))*-44/12)+($K58*INDEX('DEFAULT DATA'!$MW$9:$VD$41,START!$C$3,($N58+1))*-44/12)+($K58*INDEX('DEFAULT DATA'!$MW$9:$VD$41,START!$C$3,($N58+2))*-44/12)+($K58*INDEX('DEFAULT DATA'!$MW$9:$VD$41,START!$C$3,($N58+3))*-44/12)+($L58*INDEX('DEFAULT DATA'!$MW$9:$VD$41,START!$C$3,($N58+4))*-44/12)+($M58*INDEX('DEFAULT DATA'!$MW$9:$VD$41,START!$C$3,($N58+5))*-44/12)</f>
        <v>0</v>
      </c>
      <c r="AA58" s="216">
        <f>($K58*INDEX('DEFAULT DATA'!$MW$9:$VD$41,START!$C$3,($N58))*-44/12)+($K58*INDEX('DEFAULT DATA'!$MW$9:$VD$41,START!$C$3,($N58+1))*-44/12)+($K58*INDEX('DEFAULT DATA'!$MW$9:$VD$41,START!$C$3,($N58+2))*-44/12)+($K58*INDEX('DEFAULT DATA'!$MW$9:$VD$41,START!$C$3,($N58+3))*-44/12)+($L58*INDEX('DEFAULT DATA'!$MW$9:$VD$41,START!$C$3,($N58+4))*-44/12)+($M58*INDEX('DEFAULT DATA'!$MW$9:$VD$41,START!$C$3,($N58+5))*-44/12)</f>
        <v>0</v>
      </c>
      <c r="AB58" s="216">
        <f>($K58*INDEX('DEFAULT DATA'!$MW$9:$VD$41,START!$C$3,($N58))*-44/12)+($K58*INDEX('DEFAULT DATA'!$MW$9:$VD$41,START!$C$3,($N58+1))*-44/12)+($K58*INDEX('DEFAULT DATA'!$MW$9:$VD$41,START!$C$3,($N58+2))*-44/12)+($K58*INDEX('DEFAULT DATA'!$MW$9:$VD$41,START!$C$3,($N58+3))*-44/12)+($L58*INDEX('DEFAULT DATA'!$MW$9:$VD$41,START!$C$3,($N58+4))*-44/12)+($M58*INDEX('DEFAULT DATA'!$MW$9:$VD$41,START!$C$3,($N58+5))*-44/12)</f>
        <v>0</v>
      </c>
      <c r="AC58" s="216">
        <f>($K58*INDEX('DEFAULT DATA'!$MW$9:$VD$41,START!$C$3,($N58))*-44/12)+($K58*INDEX('DEFAULT DATA'!$MW$9:$VD$41,START!$C$3,($N58+1))*-44/12)+($K58*INDEX('DEFAULT DATA'!$MW$9:$VD$41,START!$C$3,($N58+2))*-44/12)+($K58*INDEX('DEFAULT DATA'!$MW$9:$VD$41,START!$C$3,($N58+3))*-44/12)+($L58*INDEX('DEFAULT DATA'!$MW$9:$VD$41,START!$C$3,($N58+4))*-44/12)+($M58*INDEX('DEFAULT DATA'!$MW$9:$VD$41,START!$C$3,($N58+5))*-44/12)</f>
        <v>0</v>
      </c>
      <c r="AD58" s="216">
        <f>($K58*INDEX('DEFAULT DATA'!$MW$9:$VD$41,START!$C$3,($N58))*-44/12)+($K58*INDEX('DEFAULT DATA'!$MW$9:$VD$41,START!$C$3,($N58+1))*-44/12)+($K58*INDEX('DEFAULT DATA'!$MW$9:$VD$41,START!$C$3,($N58+2))*-44/12)+($K58*INDEX('DEFAULT DATA'!$MW$9:$VD$41,START!$C$3,($N58+3))*-44/12)+($L58*INDEX('DEFAULT DATA'!$MW$9:$VD$41,START!$C$3,($N58+4))*-44/12)+($M58*INDEX('DEFAULT DATA'!$MW$9:$VD$41,START!$C$3,($N58+5))*-44/12)</f>
        <v>0</v>
      </c>
      <c r="AE58" s="216">
        <f>($K58*INDEX('DEFAULT DATA'!$MW$9:$VD$41,START!$C$3,($N58))*-44/12)+($K58*INDEX('DEFAULT DATA'!$MW$9:$VD$41,START!$C$3,($N58+1))*-44/12)+($K58*INDEX('DEFAULT DATA'!$MW$9:$VD$41,START!$C$3,($N58+2))*-44/12)+($K58*INDEX('DEFAULT DATA'!$MW$9:$VD$41,START!$C$3,($N58+3))*-44/12)+($L58*INDEX('DEFAULT DATA'!$MW$9:$VD$41,START!$C$3,($N58+4))*-44/12)+($M58*INDEX('DEFAULT DATA'!$MW$9:$VD$41,START!$C$3,($N58+5))*-44/12)</f>
        <v>0</v>
      </c>
      <c r="AF58" s="216">
        <f>($K58*INDEX('DEFAULT DATA'!$MW$9:$VD$41,START!$C$3,($N58))*-44/12)+($K58*INDEX('DEFAULT DATA'!$MW$9:$VD$41,START!$C$3,($N58+1))*-44/12)+($K58*INDEX('DEFAULT DATA'!$MW$9:$VD$41,START!$C$3,($N58+2))*-44/12)+($K58*INDEX('DEFAULT DATA'!$MW$9:$VD$41,START!$C$3,($N58+3))*-44/12)+($L58*INDEX('DEFAULT DATA'!$MW$9:$VD$41,START!$C$3,($N58+4))*-44/12)+($M58*INDEX('DEFAULT DATA'!$MW$9:$VD$41,START!$C$3,($N58+5))*-44/12)</f>
        <v>0</v>
      </c>
      <c r="AG58" s="216">
        <f>($K58*INDEX('DEFAULT DATA'!$MW$9:$VD$41,START!$C$3,($N58))*-44/12)+($K58*INDEX('DEFAULT DATA'!$MW$9:$VD$41,START!$C$3,($N58+1))*-44/12)+($K58*INDEX('DEFAULT DATA'!$MW$9:$VD$41,START!$C$3,($N58+2))*-44/12)+($K58*INDEX('DEFAULT DATA'!$MW$9:$VD$41,START!$C$3,($N58+3))*-44/12)+($L58*INDEX('DEFAULT DATA'!$MW$9:$VD$41,START!$C$3,($N58+4))*-44/12)+($M58*INDEX('DEFAULT DATA'!$MW$9:$VD$41,START!$C$3,($N58+5))*-44/12)</f>
        <v>0</v>
      </c>
      <c r="AH58" s="216">
        <f>($K58*INDEX('DEFAULT DATA'!$MW$9:$VD$41,START!$C$3,($N58))*-44/12)+($K58*INDEX('DEFAULT DATA'!$MW$9:$VD$41,START!$C$3,($N58+1))*-44/12)+($K58*INDEX('DEFAULT DATA'!$MW$9:$VD$41,START!$C$3,($N58+2))*-44/12)+($K58*INDEX('DEFAULT DATA'!$MW$9:$VD$41,START!$C$3,($N58+3))*-44/12)+($L58*INDEX('DEFAULT DATA'!$MW$9:$VD$41,START!$C$3,($N58+4))*-44/12)+($M58*INDEX('DEFAULT DATA'!$MW$9:$VD$41,START!$C$3,($N58+5))*-44/12)</f>
        <v>0</v>
      </c>
      <c r="AI58" s="216">
        <f>($K58*INDEX('DEFAULT DATA'!$MW$9:$VD$41,START!$C$3,($N58))*-44/12)+($K58*INDEX('DEFAULT DATA'!$MW$9:$VD$41,START!$C$3,($N58+1))*-44/12)+($K58*INDEX('DEFAULT DATA'!$MW$9:$VD$41,START!$C$3,($N58+2))*-44/12)+($K58*INDEX('DEFAULT DATA'!$MW$9:$VD$41,START!$C$3,($N58+3))*-44/12)+($L58*INDEX('DEFAULT DATA'!$MW$9:$VD$41,START!$C$3,($N58+4))*-44/12)+($M58*INDEX('DEFAULT DATA'!$MW$9:$VD$41,START!$C$3,($N58+5))*-44/12)</f>
        <v>0</v>
      </c>
      <c r="AJ58" s="216">
        <f>($K58*INDEX('DEFAULT DATA'!$MW$9:$VD$41,START!$C$3,($N58))*-44/12)+($K58*INDEX('DEFAULT DATA'!$MW$9:$VD$41,START!$C$3,($N58+1))*-44/12)+($K58*INDEX('DEFAULT DATA'!$MW$9:$VD$41,START!$C$3,($N58+2))*-44/12)+($K58*INDEX('DEFAULT DATA'!$MW$9:$VD$41,START!$C$3,($N58+3))*-44/12)+($L58*INDEX('DEFAULT DATA'!$MW$9:$VD$41,START!$C$3,($N58+4))*-44/12)+($M58*INDEX('DEFAULT DATA'!$MW$9:$VD$41,START!$C$3,($N58+5))*-44/12)</f>
        <v>0</v>
      </c>
      <c r="AK58" s="216">
        <f>(($K58*INDEX('DEFAULT DATA'!$UY$9:$VD$41,START!$C$3,1)*-44/12)+($K58*INDEX('DEFAULT DATA'!$UY$9:$VD$41,START!$C$3,2)*-44/12)+($K58*INDEX('DEFAULT DATA'!$UY$9:$VD$41,START!$C$3,3)*-44/12)+($K58*INDEX('DEFAULT DATA'!$UY$9:$VD$41,START!$C$3,4)*-44/12)+($L58*INDEX('DEFAULT DATA'!$UY$9:$VD$41,START!$C$3,5)*-44/12)+($M58*INDEX('DEFAULT DATA'!$UY$9:$VD$41,START!$C$3,6)*-44/12))</f>
        <v>0</v>
      </c>
      <c r="AL58" s="216">
        <f>(($K58*INDEX('DEFAULT DATA'!$UY$9:$VD$41,START!$C$3,1)*-44/12)+($K58*INDEX('DEFAULT DATA'!$UY$9:$VD$41,START!$C$3,2)*-44/12)+($K58*INDEX('DEFAULT DATA'!$UY$9:$VD$41,START!$C$3,3)*-44/12)+($K58*INDEX('DEFAULT DATA'!$UY$9:$VD$41,START!$C$3,4)*-44/12)+($L58*INDEX('DEFAULT DATA'!$UY$9:$VD$41,START!$C$3,5)*-44/12)+($M58*INDEX('DEFAULT DATA'!$UY$9:$VD$41,START!$C$3,6)*-44/12))</f>
        <v>0</v>
      </c>
      <c r="AM58" s="216">
        <f>(($K58*INDEX('DEFAULT DATA'!$UY$9:$VD$41,START!$C$3,1)*-44/12)+($K58*INDEX('DEFAULT DATA'!$UY$9:$VD$41,START!$C$3,2)*-44/12)+($K58*INDEX('DEFAULT DATA'!$UY$9:$VD$41,START!$C$3,3)*-44/12)+($K58*INDEX('DEFAULT DATA'!$UY$9:$VD$41,START!$C$3,4)*-44/12)+($L58*INDEX('DEFAULT DATA'!$UY$9:$VD$41,START!$C$3,5)*-44/12)+($M58*INDEX('DEFAULT DATA'!$UY$9:$VD$41,START!$C$3,6)*-44/12))</f>
        <v>0</v>
      </c>
      <c r="AN58" s="216">
        <f>(($K58*INDEX('DEFAULT DATA'!$UY$9:$VD$41,START!$C$3,1)*-44/12)+($K58*INDEX('DEFAULT DATA'!$UY$9:$VD$41,START!$C$3,2)*-44/12)+($K58*INDEX('DEFAULT DATA'!$UY$9:$VD$41,START!$C$3,3)*-44/12)+($K58*INDEX('DEFAULT DATA'!$UY$9:$VD$41,START!$C$3,4)*-44/12)+($L58*INDEX('DEFAULT DATA'!$UY$9:$VD$41,START!$C$3,5)*-44/12)+($M58*INDEX('DEFAULT DATA'!$UY$9:$VD$41,START!$C$3,6)*-44/12))</f>
        <v>0</v>
      </c>
      <c r="AO58" s="216">
        <f>(($K58*INDEX('DEFAULT DATA'!$UY$9:$VD$41,START!$C$3,1)*-44/12)+($K58*INDEX('DEFAULT DATA'!$UY$9:$VD$41,START!$C$3,2)*-44/12)+($K58*INDEX('DEFAULT DATA'!$UY$9:$VD$41,START!$C$3,3)*-44/12)+($K58*INDEX('DEFAULT DATA'!$UY$9:$VD$41,START!$C$3,4)*-44/12)+($L58*INDEX('DEFAULT DATA'!$UY$9:$VD$41,START!$C$3,5)*-44/12)+($M58*INDEX('DEFAULT DATA'!$UY$9:$VD$41,START!$C$3,6)*-44/12))</f>
        <v>0</v>
      </c>
      <c r="AP58" s="216">
        <f>(($K58*INDEX('DEFAULT DATA'!$UY$9:$VD$41,START!$C$3,1)*-44/12)+($K58*INDEX('DEFAULT DATA'!$UY$9:$VD$41,START!$C$3,2)*-44/12)+($K58*INDEX('DEFAULT DATA'!$UY$9:$VD$41,START!$C$3,3)*-44/12)+($K58*INDEX('DEFAULT DATA'!$UY$9:$VD$41,START!$C$3,4)*-44/12)+($L58*INDEX('DEFAULT DATA'!$UY$9:$VD$41,START!$C$3,5)*-44/12)+($M58*INDEX('DEFAULT DATA'!$UY$9:$VD$41,START!$C$3,6)*-44/12))</f>
        <v>0</v>
      </c>
      <c r="AQ58" s="216">
        <f>(($K58*INDEX('DEFAULT DATA'!$UY$9:$VD$41,START!$C$3,1)*-44/12)+($K58*INDEX('DEFAULT DATA'!$UY$9:$VD$41,START!$C$3,2)*-44/12)+($K58*INDEX('DEFAULT DATA'!$UY$9:$VD$41,START!$C$3,3)*-44/12)+($K58*INDEX('DEFAULT DATA'!$UY$9:$VD$41,START!$C$3,4)*-44/12)+($L58*INDEX('DEFAULT DATA'!$UY$9:$VD$41,START!$C$3,5)*-44/12)+($M58*INDEX('DEFAULT DATA'!$UY$9:$VD$41,START!$C$3,6)*-44/12))</f>
        <v>0</v>
      </c>
      <c r="AR58" s="216">
        <f>(($K58*INDEX('DEFAULT DATA'!$UY$9:$VD$41,START!$C$3,1)*-44/12)+($K58*INDEX('DEFAULT DATA'!$UY$9:$VD$41,START!$C$3,2)*-44/12)+($K58*INDEX('DEFAULT DATA'!$UY$9:$VD$41,START!$C$3,3)*-44/12)+($K58*INDEX('DEFAULT DATA'!$UY$9:$VD$41,START!$C$3,4)*-44/12)+($L58*INDEX('DEFAULT DATA'!$UY$9:$VD$41,START!$C$3,5)*-44/12)+($M58*INDEX('DEFAULT DATA'!$UY$9:$VD$41,START!$C$3,6)*-44/12))</f>
        <v>0</v>
      </c>
      <c r="AS58" s="216">
        <f>(($K58*INDEX('DEFAULT DATA'!$UY$9:$VD$41,START!$C$3,1)*-44/12)+($K58*INDEX('DEFAULT DATA'!$UY$9:$VD$41,START!$C$3,2)*-44/12)+($K58*INDEX('DEFAULT DATA'!$UY$9:$VD$41,START!$C$3,3)*-44/12)+($K58*INDEX('DEFAULT DATA'!$UY$9:$VD$41,START!$C$3,4)*-44/12)+($L58*INDEX('DEFAULT DATA'!$UY$9:$VD$41,START!$C$3,5)*-44/12)+($M58*INDEX('DEFAULT DATA'!$UY$9:$VD$41,START!$C$3,6)*-44/12))</f>
        <v>0</v>
      </c>
      <c r="AT58" s="443">
        <f>(($K58*INDEX('DEFAULT DATA'!$UY$9:$VD$41,START!$C$3,1)*-44/12)+($K58*INDEX('DEFAULT DATA'!$UY$9:$VD$41,START!$C$3,2)*-44/12)+($K58*INDEX('DEFAULT DATA'!$UY$9:$VD$41,START!$C$3,3)*-44/12)+($K58*INDEX('DEFAULT DATA'!$UY$9:$VD$41,START!$C$3,4)*-44/12)+($L58*INDEX('DEFAULT DATA'!$UY$9:$VD$41,START!$C$3,5)*-44/12)+($M58*INDEX('DEFAULT DATA'!$UY$9:$VD$41,START!$C$3,6)*-44/12))</f>
        <v>0</v>
      </c>
    </row>
    <row r="59" spans="1:46" ht="20.100000000000001" customHeight="1" thickBot="1">
      <c r="A59" s="421"/>
      <c r="B59" s="1347" t="s">
        <v>902</v>
      </c>
      <c r="C59" s="1024"/>
      <c r="D59" s="1024"/>
      <c r="E59" s="955">
        <v>0</v>
      </c>
      <c r="F59" s="953">
        <v>0</v>
      </c>
      <c r="G59" s="956">
        <v>0</v>
      </c>
      <c r="H59" s="1024">
        <v>1</v>
      </c>
      <c r="I59" s="460"/>
      <c r="J59" s="273"/>
      <c r="K59" s="482">
        <f t="shared" si="37"/>
        <v>0</v>
      </c>
      <c r="L59" s="483">
        <f t="shared" si="38"/>
        <v>0</v>
      </c>
      <c r="M59" s="483">
        <f t="shared" si="39"/>
        <v>0</v>
      </c>
      <c r="N59" s="320">
        <f t="shared" si="41"/>
        <v>145</v>
      </c>
      <c r="O59" s="484" t="s">
        <v>834</v>
      </c>
      <c r="P59" s="485">
        <f t="shared" si="40"/>
        <v>2022</v>
      </c>
      <c r="Q59" s="440">
        <f>($K59*INDEX('DEFAULT DATA'!$MW$9:$VD$41,START!$C$3,($N59))*-44/12)+($K59*INDEX('DEFAULT DATA'!$MW$9:$VD$41,START!$C$3,($N59+1))*-44/12)+($K59*INDEX('DEFAULT DATA'!$MW$9:$VD$41,START!$C$3,($N59+2))*-44/12)+($K59*INDEX('DEFAULT DATA'!$MW$9:$VD$41,START!$C$3,($N59+3))*-44/12)+($L59*INDEX('DEFAULT DATA'!$MW$9:$VD$41,START!$C$3,($N59+4))*-44/12)+($M59*INDEX('DEFAULT DATA'!$MW$9:$VD$41,START!$C$3,($N59+5))*-44/12)</f>
        <v>0</v>
      </c>
      <c r="R59" s="440">
        <f>($K59*INDEX('DEFAULT DATA'!$MW$9:$VD$41,START!$C$3,($N59))*-44/12)+($K59*INDEX('DEFAULT DATA'!$MW$9:$VD$41,START!$C$3,($N59+1))*-44/12)+($K59*INDEX('DEFAULT DATA'!$MW$9:$VD$41,START!$C$3,($N59+2))*-44/12)+($K59*INDEX('DEFAULT DATA'!$MW$9:$VD$41,START!$C$3,($N59+3))*-44/12)+($L59*INDEX('DEFAULT DATA'!$MW$9:$VD$41,START!$C$3,($N59+4))*-44/12)+($M59*INDEX('DEFAULT DATA'!$MW$9:$VD$41,START!$C$3,($N59+5))*-44/12)</f>
        <v>0</v>
      </c>
      <c r="S59" s="440">
        <f>($K59*INDEX('DEFAULT DATA'!$MW$9:$VD$41,START!$C$3,($N59))*-44/12)+($K59*INDEX('DEFAULT DATA'!$MW$9:$VD$41,START!$C$3,($N59+1))*-44/12)+($K59*INDEX('DEFAULT DATA'!$MW$9:$VD$41,START!$C$3,($N59+2))*-44/12)+($K59*INDEX('DEFAULT DATA'!$MW$9:$VD$41,START!$C$3,($N59+3))*-44/12)+($L59*INDEX('DEFAULT DATA'!$MW$9:$VD$41,START!$C$3,($N59+4))*-44/12)+($M59*INDEX('DEFAULT DATA'!$MW$9:$VD$41,START!$C$3,($N59+5))*-44/12)</f>
        <v>0</v>
      </c>
      <c r="T59" s="440">
        <f>($K59*INDEX('DEFAULT DATA'!$MW$9:$VD$41,START!$C$3,($N59))*-44/12)+($K59*INDEX('DEFAULT DATA'!$MW$9:$VD$41,START!$C$3,($N59+1))*-44/12)+($K59*INDEX('DEFAULT DATA'!$MW$9:$VD$41,START!$C$3,($N59+2))*-44/12)+($K59*INDEX('DEFAULT DATA'!$MW$9:$VD$41,START!$C$3,($N59+3))*-44/12)+($L59*INDEX('DEFAULT DATA'!$MW$9:$VD$41,START!$C$3,($N59+4))*-44/12)+($M59*INDEX('DEFAULT DATA'!$MW$9:$VD$41,START!$C$3,($N59+5))*-44/12)</f>
        <v>0</v>
      </c>
      <c r="U59" s="440">
        <f>($K59*INDEX('DEFAULT DATA'!$MW$9:$VD$41,START!$C$3,($N59))*-44/12)+($K59*INDEX('DEFAULT DATA'!$MW$9:$VD$41,START!$C$3,($N59+1))*-44/12)+($K59*INDEX('DEFAULT DATA'!$MW$9:$VD$41,START!$C$3,($N59+2))*-44/12)+($K59*INDEX('DEFAULT DATA'!$MW$9:$VD$41,START!$C$3,($N59+3))*-44/12)+($L59*INDEX('DEFAULT DATA'!$MW$9:$VD$41,START!$C$3,($N59+4))*-44/12)+($M59*INDEX('DEFAULT DATA'!$MW$9:$VD$41,START!$C$3,($N59+5))*-44/12)</f>
        <v>0</v>
      </c>
      <c r="V59" s="440">
        <f>($K59*INDEX('DEFAULT DATA'!$MW$9:$VD$41,START!$C$3,($N59))*-44/12)+($K59*INDEX('DEFAULT DATA'!$MW$9:$VD$41,START!$C$3,($N59+1))*-44/12)+($K59*INDEX('DEFAULT DATA'!$MW$9:$VD$41,START!$C$3,($N59+2))*-44/12)+($K59*INDEX('DEFAULT DATA'!$MW$9:$VD$41,START!$C$3,($N59+3))*-44/12)+($L59*INDEX('DEFAULT DATA'!$MW$9:$VD$41,START!$C$3,($N59+4))*-44/12)+($M59*INDEX('DEFAULT DATA'!$MW$9:$VD$41,START!$C$3,($N59+5))*-44/12)</f>
        <v>0</v>
      </c>
      <c r="W59" s="440">
        <f>($K59*INDEX('DEFAULT DATA'!$MW$9:$VD$41,START!$C$3,($N59))*-44/12)+($K59*INDEX('DEFAULT DATA'!$MW$9:$VD$41,START!$C$3,($N59+1))*-44/12)+($K59*INDEX('DEFAULT DATA'!$MW$9:$VD$41,START!$C$3,($N59+2))*-44/12)+($K59*INDEX('DEFAULT DATA'!$MW$9:$VD$41,START!$C$3,($N59+3))*-44/12)+($L59*INDEX('DEFAULT DATA'!$MW$9:$VD$41,START!$C$3,($N59+4))*-44/12)+($M59*INDEX('DEFAULT DATA'!$MW$9:$VD$41,START!$C$3,($N59+5))*-44/12)</f>
        <v>0</v>
      </c>
      <c r="X59" s="440">
        <f>($K59*INDEX('DEFAULT DATA'!$MW$9:$VD$41,START!$C$3,($N59))*-44/12)+($K59*INDEX('DEFAULT DATA'!$MW$9:$VD$41,START!$C$3,($N59+1))*-44/12)+($K59*INDEX('DEFAULT DATA'!$MW$9:$VD$41,START!$C$3,($N59+2))*-44/12)+($K59*INDEX('DEFAULT DATA'!$MW$9:$VD$41,START!$C$3,($N59+3))*-44/12)+($L59*INDEX('DEFAULT DATA'!$MW$9:$VD$41,START!$C$3,($N59+4))*-44/12)+($M59*INDEX('DEFAULT DATA'!$MW$9:$VD$41,START!$C$3,($N59+5))*-44/12)</f>
        <v>0</v>
      </c>
      <c r="Y59" s="440">
        <f>($K59*INDEX('DEFAULT DATA'!$MW$9:$VD$41,START!$C$3,($N59))*-44/12)+($K59*INDEX('DEFAULT DATA'!$MW$9:$VD$41,START!$C$3,($N59+1))*-44/12)+($K59*INDEX('DEFAULT DATA'!$MW$9:$VD$41,START!$C$3,($N59+2))*-44/12)+($K59*INDEX('DEFAULT DATA'!$MW$9:$VD$41,START!$C$3,($N59+3))*-44/12)+($L59*INDEX('DEFAULT DATA'!$MW$9:$VD$41,START!$C$3,($N59+4))*-44/12)+($M59*INDEX('DEFAULT DATA'!$MW$9:$VD$41,START!$C$3,($N59+5))*-44/12)</f>
        <v>0</v>
      </c>
      <c r="Z59" s="440">
        <f>($K59*INDEX('DEFAULT DATA'!$MW$9:$VD$41,START!$C$3,($N59))*-44/12)+($K59*INDEX('DEFAULT DATA'!$MW$9:$VD$41,START!$C$3,($N59+1))*-44/12)+($K59*INDEX('DEFAULT DATA'!$MW$9:$VD$41,START!$C$3,($N59+2))*-44/12)+($K59*INDEX('DEFAULT DATA'!$MW$9:$VD$41,START!$C$3,($N59+3))*-44/12)+($L59*INDEX('DEFAULT DATA'!$MW$9:$VD$41,START!$C$3,($N59+4))*-44/12)+($M59*INDEX('DEFAULT DATA'!$MW$9:$VD$41,START!$C$3,($N59+5))*-44/12)</f>
        <v>0</v>
      </c>
      <c r="AA59" s="440">
        <f>($K59*INDEX('DEFAULT DATA'!$MW$9:$VD$41,START!$C$3,($N59))*-44/12)+($K59*INDEX('DEFAULT DATA'!$MW$9:$VD$41,START!$C$3,($N59+1))*-44/12)+($K59*INDEX('DEFAULT DATA'!$MW$9:$VD$41,START!$C$3,($N59+2))*-44/12)+($K59*INDEX('DEFAULT DATA'!$MW$9:$VD$41,START!$C$3,($N59+3))*-44/12)+($L59*INDEX('DEFAULT DATA'!$MW$9:$VD$41,START!$C$3,($N59+4))*-44/12)+($M59*INDEX('DEFAULT DATA'!$MW$9:$VD$41,START!$C$3,($N59+5))*-44/12)</f>
        <v>0</v>
      </c>
      <c r="AB59" s="440">
        <f>($K59*INDEX('DEFAULT DATA'!$MW$9:$VD$41,START!$C$3,($N59))*-44/12)+($K59*INDEX('DEFAULT DATA'!$MW$9:$VD$41,START!$C$3,($N59+1))*-44/12)+($K59*INDEX('DEFAULT DATA'!$MW$9:$VD$41,START!$C$3,($N59+2))*-44/12)+($K59*INDEX('DEFAULT DATA'!$MW$9:$VD$41,START!$C$3,($N59+3))*-44/12)+($L59*INDEX('DEFAULT DATA'!$MW$9:$VD$41,START!$C$3,($N59+4))*-44/12)+($M59*INDEX('DEFAULT DATA'!$MW$9:$VD$41,START!$C$3,($N59+5))*-44/12)</f>
        <v>0</v>
      </c>
      <c r="AC59" s="440">
        <f>($K59*INDEX('DEFAULT DATA'!$MW$9:$VD$41,START!$C$3,($N59))*-44/12)+($K59*INDEX('DEFAULT DATA'!$MW$9:$VD$41,START!$C$3,($N59+1))*-44/12)+($K59*INDEX('DEFAULT DATA'!$MW$9:$VD$41,START!$C$3,($N59+2))*-44/12)+($K59*INDEX('DEFAULT DATA'!$MW$9:$VD$41,START!$C$3,($N59+3))*-44/12)+($L59*INDEX('DEFAULT DATA'!$MW$9:$VD$41,START!$C$3,($N59+4))*-44/12)+($M59*INDEX('DEFAULT DATA'!$MW$9:$VD$41,START!$C$3,($N59+5))*-44/12)</f>
        <v>0</v>
      </c>
      <c r="AD59" s="440">
        <f>($K59*INDEX('DEFAULT DATA'!$MW$9:$VD$41,START!$C$3,($N59))*-44/12)+($K59*INDEX('DEFAULT DATA'!$MW$9:$VD$41,START!$C$3,($N59+1))*-44/12)+($K59*INDEX('DEFAULT DATA'!$MW$9:$VD$41,START!$C$3,($N59+2))*-44/12)+($K59*INDEX('DEFAULT DATA'!$MW$9:$VD$41,START!$C$3,($N59+3))*-44/12)+($L59*INDEX('DEFAULT DATA'!$MW$9:$VD$41,START!$C$3,($N59+4))*-44/12)+($M59*INDEX('DEFAULT DATA'!$MW$9:$VD$41,START!$C$3,($N59+5))*-44/12)</f>
        <v>0</v>
      </c>
      <c r="AE59" s="440">
        <f>($K59*INDEX('DEFAULT DATA'!$MW$9:$VD$41,START!$C$3,($N59))*-44/12)+($K59*INDEX('DEFAULT DATA'!$MW$9:$VD$41,START!$C$3,($N59+1))*-44/12)+($K59*INDEX('DEFAULT DATA'!$MW$9:$VD$41,START!$C$3,($N59+2))*-44/12)+($K59*INDEX('DEFAULT DATA'!$MW$9:$VD$41,START!$C$3,($N59+3))*-44/12)+($L59*INDEX('DEFAULT DATA'!$MW$9:$VD$41,START!$C$3,($N59+4))*-44/12)+($M59*INDEX('DEFAULT DATA'!$MW$9:$VD$41,START!$C$3,($N59+5))*-44/12)</f>
        <v>0</v>
      </c>
      <c r="AF59" s="440">
        <f>($K59*INDEX('DEFAULT DATA'!$MW$9:$VD$41,START!$C$3,($N59))*-44/12)+($K59*INDEX('DEFAULT DATA'!$MW$9:$VD$41,START!$C$3,($N59+1))*-44/12)+($K59*INDEX('DEFAULT DATA'!$MW$9:$VD$41,START!$C$3,($N59+2))*-44/12)+($K59*INDEX('DEFAULT DATA'!$MW$9:$VD$41,START!$C$3,($N59+3))*-44/12)+($L59*INDEX('DEFAULT DATA'!$MW$9:$VD$41,START!$C$3,($N59+4))*-44/12)+($M59*INDEX('DEFAULT DATA'!$MW$9:$VD$41,START!$C$3,($N59+5))*-44/12)</f>
        <v>0</v>
      </c>
      <c r="AG59" s="440">
        <f>($K59*INDEX('DEFAULT DATA'!$MW$9:$VD$41,START!$C$3,($N59))*-44/12)+($K59*INDEX('DEFAULT DATA'!$MW$9:$VD$41,START!$C$3,($N59+1))*-44/12)+($K59*INDEX('DEFAULT DATA'!$MW$9:$VD$41,START!$C$3,($N59+2))*-44/12)+($K59*INDEX('DEFAULT DATA'!$MW$9:$VD$41,START!$C$3,($N59+3))*-44/12)+($L59*INDEX('DEFAULT DATA'!$MW$9:$VD$41,START!$C$3,($N59+4))*-44/12)+($M59*INDEX('DEFAULT DATA'!$MW$9:$VD$41,START!$C$3,($N59+5))*-44/12)</f>
        <v>0</v>
      </c>
      <c r="AH59" s="440">
        <f>($K59*INDEX('DEFAULT DATA'!$MW$9:$VD$41,START!$C$3,($N59))*-44/12)+($K59*INDEX('DEFAULT DATA'!$MW$9:$VD$41,START!$C$3,($N59+1))*-44/12)+($K59*INDEX('DEFAULT DATA'!$MW$9:$VD$41,START!$C$3,($N59+2))*-44/12)+($K59*INDEX('DEFAULT DATA'!$MW$9:$VD$41,START!$C$3,($N59+3))*-44/12)+($L59*INDEX('DEFAULT DATA'!$MW$9:$VD$41,START!$C$3,($N59+4))*-44/12)+($M59*INDEX('DEFAULT DATA'!$MW$9:$VD$41,START!$C$3,($N59+5))*-44/12)</f>
        <v>0</v>
      </c>
      <c r="AI59" s="440">
        <f>($K59*INDEX('DEFAULT DATA'!$MW$9:$VD$41,START!$C$3,($N59))*-44/12)+($K59*INDEX('DEFAULT DATA'!$MW$9:$VD$41,START!$C$3,($N59+1))*-44/12)+($K59*INDEX('DEFAULT DATA'!$MW$9:$VD$41,START!$C$3,($N59+2))*-44/12)+($K59*INDEX('DEFAULT DATA'!$MW$9:$VD$41,START!$C$3,($N59+3))*-44/12)+($L59*INDEX('DEFAULT DATA'!$MW$9:$VD$41,START!$C$3,($N59+4))*-44/12)+($M59*INDEX('DEFAULT DATA'!$MW$9:$VD$41,START!$C$3,($N59+5))*-44/12)</f>
        <v>0</v>
      </c>
      <c r="AJ59" s="440">
        <f>($K59*INDEX('DEFAULT DATA'!$MW$9:$VD$41,START!$C$3,($N59))*-44/12)+($K59*INDEX('DEFAULT DATA'!$MW$9:$VD$41,START!$C$3,($N59+1))*-44/12)+($K59*INDEX('DEFAULT DATA'!$MW$9:$VD$41,START!$C$3,($N59+2))*-44/12)+($K59*INDEX('DEFAULT DATA'!$MW$9:$VD$41,START!$C$3,($N59+3))*-44/12)+($L59*INDEX('DEFAULT DATA'!$MW$9:$VD$41,START!$C$3,($N59+4))*-44/12)+($M59*INDEX('DEFAULT DATA'!$MW$9:$VD$41,START!$C$3,($N59+5))*-44/12)</f>
        <v>0</v>
      </c>
      <c r="AK59" s="440">
        <f>(($K59*INDEX('DEFAULT DATA'!$UY$9:$VD$41,START!$C$3,1)*-44/12)+($K59*INDEX('DEFAULT DATA'!$UY$9:$VD$41,START!$C$3,2)*-44/12)+($K59*INDEX('DEFAULT DATA'!$UY$9:$VD$41,START!$C$3,3)*-44/12)+($K59*INDEX('DEFAULT DATA'!$UY$9:$VD$41,START!$C$3,4)*-44/12)+($L59*INDEX('DEFAULT DATA'!$UY$9:$VD$41,START!$C$3,5)*-44/12)+($M59*INDEX('DEFAULT DATA'!$UY$9:$VD$41,START!$C$3,6)*-44/12))</f>
        <v>0</v>
      </c>
      <c r="AL59" s="440">
        <f>(($K59*INDEX('DEFAULT DATA'!$UY$9:$VD$41,START!$C$3,1)*-44/12)+($K59*INDEX('DEFAULT DATA'!$UY$9:$VD$41,START!$C$3,2)*-44/12)+($K59*INDEX('DEFAULT DATA'!$UY$9:$VD$41,START!$C$3,3)*-44/12)+($K59*INDEX('DEFAULT DATA'!$UY$9:$VD$41,START!$C$3,4)*-44/12)+($L59*INDEX('DEFAULT DATA'!$UY$9:$VD$41,START!$C$3,5)*-44/12)+($M59*INDEX('DEFAULT DATA'!$UY$9:$VD$41,START!$C$3,6)*-44/12))</f>
        <v>0</v>
      </c>
      <c r="AM59" s="440">
        <f>(($K59*INDEX('DEFAULT DATA'!$UY$9:$VD$41,START!$C$3,1)*-44/12)+($K59*INDEX('DEFAULT DATA'!$UY$9:$VD$41,START!$C$3,2)*-44/12)+($K59*INDEX('DEFAULT DATA'!$UY$9:$VD$41,START!$C$3,3)*-44/12)+($K59*INDEX('DEFAULT DATA'!$UY$9:$VD$41,START!$C$3,4)*-44/12)+($L59*INDEX('DEFAULT DATA'!$UY$9:$VD$41,START!$C$3,5)*-44/12)+($M59*INDEX('DEFAULT DATA'!$UY$9:$VD$41,START!$C$3,6)*-44/12))</f>
        <v>0</v>
      </c>
      <c r="AN59" s="440">
        <f>(($K59*INDEX('DEFAULT DATA'!$UY$9:$VD$41,START!$C$3,1)*-44/12)+($K59*INDEX('DEFAULT DATA'!$UY$9:$VD$41,START!$C$3,2)*-44/12)+($K59*INDEX('DEFAULT DATA'!$UY$9:$VD$41,START!$C$3,3)*-44/12)+($K59*INDEX('DEFAULT DATA'!$UY$9:$VD$41,START!$C$3,4)*-44/12)+($L59*INDEX('DEFAULT DATA'!$UY$9:$VD$41,START!$C$3,5)*-44/12)+($M59*INDEX('DEFAULT DATA'!$UY$9:$VD$41,START!$C$3,6)*-44/12))</f>
        <v>0</v>
      </c>
      <c r="AO59" s="440">
        <f>(($K59*INDEX('DEFAULT DATA'!$UY$9:$VD$41,START!$C$3,1)*-44/12)+($K59*INDEX('DEFAULT DATA'!$UY$9:$VD$41,START!$C$3,2)*-44/12)+($K59*INDEX('DEFAULT DATA'!$UY$9:$VD$41,START!$C$3,3)*-44/12)+($K59*INDEX('DEFAULT DATA'!$UY$9:$VD$41,START!$C$3,4)*-44/12)+($L59*INDEX('DEFAULT DATA'!$UY$9:$VD$41,START!$C$3,5)*-44/12)+($M59*INDEX('DEFAULT DATA'!$UY$9:$VD$41,START!$C$3,6)*-44/12))</f>
        <v>0</v>
      </c>
      <c r="AP59" s="440">
        <f>(($K59*INDEX('DEFAULT DATA'!$UY$9:$VD$41,START!$C$3,1)*-44/12)+($K59*INDEX('DEFAULT DATA'!$UY$9:$VD$41,START!$C$3,2)*-44/12)+($K59*INDEX('DEFAULT DATA'!$UY$9:$VD$41,START!$C$3,3)*-44/12)+($K59*INDEX('DEFAULT DATA'!$UY$9:$VD$41,START!$C$3,4)*-44/12)+($L59*INDEX('DEFAULT DATA'!$UY$9:$VD$41,START!$C$3,5)*-44/12)+($M59*INDEX('DEFAULT DATA'!$UY$9:$VD$41,START!$C$3,6)*-44/12))</f>
        <v>0</v>
      </c>
      <c r="AQ59" s="440">
        <f>(($K59*INDEX('DEFAULT DATA'!$UY$9:$VD$41,START!$C$3,1)*-44/12)+($K59*INDEX('DEFAULT DATA'!$UY$9:$VD$41,START!$C$3,2)*-44/12)+($K59*INDEX('DEFAULT DATA'!$UY$9:$VD$41,START!$C$3,3)*-44/12)+($K59*INDEX('DEFAULT DATA'!$UY$9:$VD$41,START!$C$3,4)*-44/12)+($L59*INDEX('DEFAULT DATA'!$UY$9:$VD$41,START!$C$3,5)*-44/12)+($M59*INDEX('DEFAULT DATA'!$UY$9:$VD$41,START!$C$3,6)*-44/12))</f>
        <v>0</v>
      </c>
      <c r="AR59" s="440">
        <f>(($K59*INDEX('DEFAULT DATA'!$UY$9:$VD$41,START!$C$3,1)*-44/12)+($K59*INDEX('DEFAULT DATA'!$UY$9:$VD$41,START!$C$3,2)*-44/12)+($K59*INDEX('DEFAULT DATA'!$UY$9:$VD$41,START!$C$3,3)*-44/12)+($K59*INDEX('DEFAULT DATA'!$UY$9:$VD$41,START!$C$3,4)*-44/12)+($L59*INDEX('DEFAULT DATA'!$UY$9:$VD$41,START!$C$3,5)*-44/12)+($M59*INDEX('DEFAULT DATA'!$UY$9:$VD$41,START!$C$3,6)*-44/12))</f>
        <v>0</v>
      </c>
      <c r="AS59" s="440">
        <f>(($K59*INDEX('DEFAULT DATA'!$UY$9:$VD$41,START!$C$3,1)*-44/12)+($K59*INDEX('DEFAULT DATA'!$UY$9:$VD$41,START!$C$3,2)*-44/12)+($K59*INDEX('DEFAULT DATA'!$UY$9:$VD$41,START!$C$3,3)*-44/12)+($K59*INDEX('DEFAULT DATA'!$UY$9:$VD$41,START!$C$3,4)*-44/12)+($L59*INDEX('DEFAULT DATA'!$UY$9:$VD$41,START!$C$3,5)*-44/12)+($M59*INDEX('DEFAULT DATA'!$UY$9:$VD$41,START!$C$3,6)*-44/12))</f>
        <v>0</v>
      </c>
      <c r="AT59" s="450">
        <f>(($K59*INDEX('DEFAULT DATA'!$UY$9:$VD$41,START!$C$3,1)*-44/12)+($K59*INDEX('DEFAULT DATA'!$UY$9:$VD$41,START!$C$3,2)*-44/12)+($K59*INDEX('DEFAULT DATA'!$UY$9:$VD$41,START!$C$3,3)*-44/12)+($K59*INDEX('DEFAULT DATA'!$UY$9:$VD$41,START!$C$3,4)*-44/12)+($L59*INDEX('DEFAULT DATA'!$UY$9:$VD$41,START!$C$3,5)*-44/12)+($M59*INDEX('DEFAULT DATA'!$UY$9:$VD$41,START!$C$3,6)*-44/12))</f>
        <v>0</v>
      </c>
    </row>
    <row r="60" spans="1:46" ht="20.100000000000001" customHeight="1">
      <c r="A60" s="421"/>
      <c r="B60" s="1347" t="s">
        <v>903</v>
      </c>
      <c r="C60" s="1024"/>
      <c r="D60" s="1024"/>
      <c r="E60" s="955">
        <v>0</v>
      </c>
      <c r="F60" s="953">
        <v>0</v>
      </c>
      <c r="G60" s="956">
        <v>0</v>
      </c>
      <c r="H60" s="1024">
        <v>1</v>
      </c>
      <c r="I60" s="460"/>
      <c r="J60" s="273"/>
      <c r="K60" s="475">
        <f t="shared" si="37"/>
        <v>0</v>
      </c>
      <c r="L60" s="375">
        <f t="shared" si="38"/>
        <v>0</v>
      </c>
      <c r="M60" s="375">
        <f t="shared" si="39"/>
        <v>0</v>
      </c>
      <c r="N60" s="317">
        <f t="shared" si="41"/>
        <v>151</v>
      </c>
      <c r="O60" s="476" t="s">
        <v>835</v>
      </c>
      <c r="P60" s="477">
        <f t="shared" si="40"/>
        <v>2022</v>
      </c>
      <c r="Q60" s="370">
        <f>($K60*INDEX('DEFAULT DATA'!$MW$9:$VD$41,START!$C$3,($N60))*-44/12)+($K60*INDEX('DEFAULT DATA'!$MW$9:$VD$41,START!$C$3,($N60+1))*-44/12)+($K60*INDEX('DEFAULT DATA'!$MW$9:$VD$41,START!$C$3,($N60+2))*-44/12)+($K60*INDEX('DEFAULT DATA'!$MW$9:$VD$41,START!$C$3,($N60+3))*-44/12)+($L60*INDEX('DEFAULT DATA'!$MW$9:$VD$41,START!$C$3,($N60+4))*-44/12)+($M60*INDEX('DEFAULT DATA'!$MW$9:$VD$41,START!$C$3,($N60+5))*-44/12)</f>
        <v>0</v>
      </c>
      <c r="R60" s="370">
        <f>($L60*INDEX('DEFAULT DATA'!$MW$9:$VD$41,START!$C$3,($N60+4))*-44/12)+($M60*INDEX('DEFAULT DATA'!$MW$9:$VD$41,START!$C$3,($N60+5))*-44/12)</f>
        <v>0</v>
      </c>
      <c r="S60" s="370">
        <f>($L60*INDEX('DEFAULT DATA'!$MW$9:$VD$41,START!$C$3,($N60+4))*-44/12)+($M60*INDEX('DEFAULT DATA'!$MW$9:$VD$41,START!$C$3,($N60+5))*-44/12)</f>
        <v>0</v>
      </c>
      <c r="T60" s="370">
        <f>($L60*INDEX('DEFAULT DATA'!$MW$9:$VD$41,START!$C$3,($N60+4))*-44/12)+($M60*INDEX('DEFAULT DATA'!$MW$9:$VD$41,START!$C$3,($N60+5))*-44/12)</f>
        <v>0</v>
      </c>
      <c r="U60" s="370">
        <f>($L60*INDEX('DEFAULT DATA'!$MW$9:$VD$41,START!$C$3,($N60+4))*-44/12)+($M60*INDEX('DEFAULT DATA'!$MW$9:$VD$41,START!$C$3,($N60+5))*-44/12)</f>
        <v>0</v>
      </c>
      <c r="V60" s="370">
        <f>($L60*INDEX('DEFAULT DATA'!$MW$9:$VD$41,START!$C$3,($N60+4))*-44/12)+($M60*INDEX('DEFAULT DATA'!$MW$9:$VD$41,START!$C$3,($N60+5))*-44/12)</f>
        <v>0</v>
      </c>
      <c r="W60" s="370">
        <f>($L60*INDEX('DEFAULT DATA'!$MW$9:$VD$41,START!$C$3,($N60+4))*-44/12)+($M60*INDEX('DEFAULT DATA'!$MW$9:$VD$41,START!$C$3,($N60+5))*-44/12)</f>
        <v>0</v>
      </c>
      <c r="X60" s="370">
        <f>($L60*INDEX('DEFAULT DATA'!$MW$9:$VD$41,START!$C$3,($N60+4))*-44/12)+($M60*INDEX('DEFAULT DATA'!$MW$9:$VD$41,START!$C$3,($N60+5))*-44/12)</f>
        <v>0</v>
      </c>
      <c r="Y60" s="370">
        <f>($L60*INDEX('DEFAULT DATA'!$MW$9:$VD$41,START!$C$3,($N60+4))*-44/12)+($M60*INDEX('DEFAULT DATA'!$MW$9:$VD$41,START!$C$3,($N60+5))*-44/12)</f>
        <v>0</v>
      </c>
      <c r="Z60" s="370">
        <f>($L60*INDEX('DEFAULT DATA'!$MW$9:$VD$41,START!$C$3,($N60+4))*-44/12)+($M60*INDEX('DEFAULT DATA'!$MW$9:$VD$41,START!$C$3,($N60+5))*-44/12)</f>
        <v>0</v>
      </c>
      <c r="AA60" s="370">
        <f>($L60*INDEX('DEFAULT DATA'!$MW$9:$VD$41,START!$C$3,($N60+4))*-44/12)+($M60*INDEX('DEFAULT DATA'!$MW$9:$VD$41,START!$C$3,($N60+5))*-44/12)</f>
        <v>0</v>
      </c>
      <c r="AB60" s="370">
        <f>($L60*INDEX('DEFAULT DATA'!$MW$9:$VD$41,START!$C$3,($N60+4))*-44/12)+($M60*INDEX('DEFAULT DATA'!$MW$9:$VD$41,START!$C$3,($N60+5))*-44/12)</f>
        <v>0</v>
      </c>
      <c r="AC60" s="370">
        <f>($L60*INDEX('DEFAULT DATA'!$MW$9:$VD$41,START!$C$3,($N60+4))*-44/12)+($M60*INDEX('DEFAULT DATA'!$MW$9:$VD$41,START!$C$3,($N60+5))*-44/12)</f>
        <v>0</v>
      </c>
      <c r="AD60" s="370">
        <f>($L60*INDEX('DEFAULT DATA'!$MW$9:$VD$41,START!$C$3,($N60+4))*-44/12)+($M60*INDEX('DEFAULT DATA'!$MW$9:$VD$41,START!$C$3,($N60+5))*-44/12)</f>
        <v>0</v>
      </c>
      <c r="AE60" s="370">
        <f>($L60*INDEX('DEFAULT DATA'!$MW$9:$VD$41,START!$C$3,($N60+4))*-44/12)+($M60*INDEX('DEFAULT DATA'!$MW$9:$VD$41,START!$C$3,($N60+5))*-44/12)</f>
        <v>0</v>
      </c>
      <c r="AF60" s="370">
        <f>($L60*INDEX('DEFAULT DATA'!$MW$9:$VD$41,START!$C$3,($N60+4))*-44/12)+($M60*INDEX('DEFAULT DATA'!$MW$9:$VD$41,START!$C$3,($N60+5))*-44/12)</f>
        <v>0</v>
      </c>
      <c r="AG60" s="370">
        <f>($L60*INDEX('DEFAULT DATA'!$MW$9:$VD$41,START!$C$3,($N60+4))*-44/12)+($M60*INDEX('DEFAULT DATA'!$MW$9:$VD$41,START!$C$3,($N60+5))*-44/12)</f>
        <v>0</v>
      </c>
      <c r="AH60" s="370">
        <f>($L60*INDEX('DEFAULT DATA'!$MW$9:$VD$41,START!$C$3,($N60+4))*-44/12)+($M60*INDEX('DEFAULT DATA'!$MW$9:$VD$41,START!$C$3,($N60+5))*-44/12)</f>
        <v>0</v>
      </c>
      <c r="AI60" s="370">
        <f>($L60*INDEX('DEFAULT DATA'!$MW$9:$VD$41,START!$C$3,($N60+4))*-44/12)+($M60*INDEX('DEFAULT DATA'!$MW$9:$VD$41,START!$C$3,($N60+5))*-44/12)</f>
        <v>0</v>
      </c>
      <c r="AJ60" s="370">
        <f>($L60*INDEX('DEFAULT DATA'!$MW$9:$VD$41,START!$C$3,($N60+4))*-44/12)+($M60*INDEX('DEFAULT DATA'!$MW$9:$VD$41,START!$C$3,($N60+5))*-44/12)</f>
        <v>0</v>
      </c>
      <c r="AK60" s="370"/>
      <c r="AL60" s="370"/>
      <c r="AM60" s="370"/>
      <c r="AN60" s="370"/>
      <c r="AO60" s="370"/>
      <c r="AP60" s="370"/>
      <c r="AQ60" s="370"/>
      <c r="AR60" s="370"/>
      <c r="AS60" s="370"/>
      <c r="AT60" s="371"/>
    </row>
    <row r="61" spans="1:46" ht="20.100000000000001" customHeight="1" thickBot="1">
      <c r="A61" s="1352"/>
      <c r="B61" s="1348" t="s">
        <v>904</v>
      </c>
      <c r="C61" s="461"/>
      <c r="D61" s="461"/>
      <c r="E61" s="957">
        <v>0</v>
      </c>
      <c r="F61" s="958">
        <v>0</v>
      </c>
      <c r="G61" s="959">
        <v>0</v>
      </c>
      <c r="H61" s="461">
        <v>1</v>
      </c>
      <c r="I61" s="462"/>
      <c r="J61" s="273"/>
      <c r="K61" s="478">
        <f t="shared" si="37"/>
        <v>0</v>
      </c>
      <c r="L61" s="479">
        <f t="shared" si="38"/>
        <v>0</v>
      </c>
      <c r="M61" s="479">
        <f t="shared" si="39"/>
        <v>0</v>
      </c>
      <c r="N61" s="220">
        <f t="shared" si="41"/>
        <v>157</v>
      </c>
      <c r="O61" s="480" t="s">
        <v>836</v>
      </c>
      <c r="P61" s="481">
        <f t="shared" si="40"/>
        <v>2022</v>
      </c>
      <c r="Q61" s="216">
        <f>($K61*INDEX('DEFAULT DATA'!$MW$9:$VD$41,START!$C$3,($N61))*-44/12)+($K61*INDEX('DEFAULT DATA'!$MW$9:$VD$41,START!$C$3,($N61+1))*-44/12)+($K61*INDEX('DEFAULT DATA'!$MW$9:$VD$41,START!$C$3,($N61+2))*-44/12)+($K61*INDEX('DEFAULT DATA'!$MW$9:$VD$41,START!$C$3,($N61+3))*-44/12)+($L61*INDEX('DEFAULT DATA'!$MW$9:$VD$41,START!$C$3,($N61+4))*-44/12)+($M61*INDEX('DEFAULT DATA'!$MW$9:$VD$41,START!$C$3,($N61+5))*-44/12)</f>
        <v>0</v>
      </c>
      <c r="R61" s="216">
        <f>($K61*INDEX('DEFAULT DATA'!$MW$9:$VD$41,START!$C$3,($N61))*-44/12)+($K61*INDEX('DEFAULT DATA'!$MW$9:$VD$41,START!$C$3,($N61+1))*-44/12)+($K61*INDEX('DEFAULT DATA'!$MW$9:$VD$41,START!$C$3,($N61+2))*-44/12)+($K61*INDEX('DEFAULT DATA'!$MW$9:$VD$41,START!$C$3,($N61+3))*-44/12)+($L61*INDEX('DEFAULT DATA'!$MW$9:$VD$41,START!$C$3,($N61+4))*-44/12)+($M61*INDEX('DEFAULT DATA'!$MW$9:$VD$41,START!$C$3,($N61+5))*-44/12)</f>
        <v>0</v>
      </c>
      <c r="S61" s="216">
        <f>($K61*INDEX('DEFAULT DATA'!$MW$9:$VD$41,START!$C$3,($N61))*-44/12)+($K61*INDEX('DEFAULT DATA'!$MW$9:$VD$41,START!$C$3,($N61+1))*-44/12)+($K61*INDEX('DEFAULT DATA'!$MW$9:$VD$41,START!$C$3,($N61+2))*-44/12)+($K61*INDEX('DEFAULT DATA'!$MW$9:$VD$41,START!$C$3,($N61+3))*-44/12)+($L61*INDEX('DEFAULT DATA'!$MW$9:$VD$41,START!$C$3,($N61+4))*-44/12)+($M61*INDEX('DEFAULT DATA'!$MW$9:$VD$41,START!$C$3,($N61+5))*-44/12)</f>
        <v>0</v>
      </c>
      <c r="T61" s="216">
        <f>($K61*INDEX('DEFAULT DATA'!$MW$9:$VD$41,START!$C$3,($N61))*-44/12)+($K61*INDEX('DEFAULT DATA'!$MW$9:$VD$41,START!$C$3,($N61+1))*-44/12)+($K61*INDEX('DEFAULT DATA'!$MW$9:$VD$41,START!$C$3,($N61+2))*-44/12)+($K61*INDEX('DEFAULT DATA'!$MW$9:$VD$41,START!$C$3,($N61+3))*-44/12)+($L61*INDEX('DEFAULT DATA'!$MW$9:$VD$41,START!$C$3,($N61+4))*-44/12)+($M61*INDEX('DEFAULT DATA'!$MW$9:$VD$41,START!$C$3,($N61+5))*-44/12)</f>
        <v>0</v>
      </c>
      <c r="U61" s="216">
        <f>($K61*INDEX('DEFAULT DATA'!$MW$9:$VD$41,START!$C$3,($N61))*-44/12)+($K61*INDEX('DEFAULT DATA'!$MW$9:$VD$41,START!$C$3,($N61+1))*-44/12)+($K61*INDEX('DEFAULT DATA'!$MW$9:$VD$41,START!$C$3,($N61+2))*-44/12)+($K61*INDEX('DEFAULT DATA'!$MW$9:$VD$41,START!$C$3,($N61+3))*-44/12)+($L61*INDEX('DEFAULT DATA'!$MW$9:$VD$41,START!$C$3,($N61+4))*-44/12)+($M61*INDEX('DEFAULT DATA'!$MW$9:$VD$41,START!$C$3,($N61+5))*-44/12)</f>
        <v>0</v>
      </c>
      <c r="V61" s="216">
        <f>($K61*INDEX('DEFAULT DATA'!$MW$9:$VD$41,START!$C$3,($N61))*-44/12)+($K61*INDEX('DEFAULT DATA'!$MW$9:$VD$41,START!$C$3,($N61+1))*-44/12)+($K61*INDEX('DEFAULT DATA'!$MW$9:$VD$41,START!$C$3,($N61+2))*-44/12)+($K61*INDEX('DEFAULT DATA'!$MW$9:$VD$41,START!$C$3,($N61+3))*-44/12)+($L61*INDEX('DEFAULT DATA'!$MW$9:$VD$41,START!$C$3,($N61+4))*-44/12)+($M61*INDEX('DEFAULT DATA'!$MW$9:$VD$41,START!$C$3,($N61+5))*-44/12)</f>
        <v>0</v>
      </c>
      <c r="W61" s="216">
        <f>($K61*INDEX('DEFAULT DATA'!$MW$9:$VD$41,START!$C$3,($N61))*-44/12)+($K61*INDEX('DEFAULT DATA'!$MW$9:$VD$41,START!$C$3,($N61+1))*-44/12)+($K61*INDEX('DEFAULT DATA'!$MW$9:$VD$41,START!$C$3,($N61+2))*-44/12)+($K61*INDEX('DEFAULT DATA'!$MW$9:$VD$41,START!$C$3,($N61+3))*-44/12)+($L61*INDEX('DEFAULT DATA'!$MW$9:$VD$41,START!$C$3,($N61+4))*-44/12)+($M61*INDEX('DEFAULT DATA'!$MW$9:$VD$41,START!$C$3,($N61+5))*-44/12)</f>
        <v>0</v>
      </c>
      <c r="X61" s="216">
        <f>($K61*INDEX('DEFAULT DATA'!$MW$9:$VD$41,START!$C$3,($N61))*-44/12)+($K61*INDEX('DEFAULT DATA'!$MW$9:$VD$41,START!$C$3,($N61+1))*-44/12)+($K61*INDEX('DEFAULT DATA'!$MW$9:$VD$41,START!$C$3,($N61+2))*-44/12)+($K61*INDEX('DEFAULT DATA'!$MW$9:$VD$41,START!$C$3,($N61+3))*-44/12)+($L61*INDEX('DEFAULT DATA'!$MW$9:$VD$41,START!$C$3,($N61+4))*-44/12)+($M61*INDEX('DEFAULT DATA'!$MW$9:$VD$41,START!$C$3,($N61+5))*-44/12)</f>
        <v>0</v>
      </c>
      <c r="Y61" s="216">
        <f>($K61*INDEX('DEFAULT DATA'!$MW$9:$VD$41,START!$C$3,($N61))*-44/12)+($K61*INDEX('DEFAULT DATA'!$MW$9:$VD$41,START!$C$3,($N61+1))*-44/12)+($K61*INDEX('DEFAULT DATA'!$MW$9:$VD$41,START!$C$3,($N61+2))*-44/12)+($K61*INDEX('DEFAULT DATA'!$MW$9:$VD$41,START!$C$3,($N61+3))*-44/12)+($L61*INDEX('DEFAULT DATA'!$MW$9:$VD$41,START!$C$3,($N61+4))*-44/12)+($M61*INDEX('DEFAULT DATA'!$MW$9:$VD$41,START!$C$3,($N61+5))*-44/12)</f>
        <v>0</v>
      </c>
      <c r="Z61" s="216">
        <f>($K61*INDEX('DEFAULT DATA'!$MW$9:$VD$41,START!$C$3,($N61))*-44/12)+($K61*INDEX('DEFAULT DATA'!$MW$9:$VD$41,START!$C$3,($N61+1))*-44/12)+($K61*INDEX('DEFAULT DATA'!$MW$9:$VD$41,START!$C$3,($N61+2))*-44/12)+($K61*INDEX('DEFAULT DATA'!$MW$9:$VD$41,START!$C$3,($N61+3))*-44/12)+($L61*INDEX('DEFAULT DATA'!$MW$9:$VD$41,START!$C$3,($N61+4))*-44/12)+($M61*INDEX('DEFAULT DATA'!$MW$9:$VD$41,START!$C$3,($N61+5))*-44/12)</f>
        <v>0</v>
      </c>
      <c r="AA61" s="216">
        <f>($K61*INDEX('DEFAULT DATA'!$MW$9:$VD$41,START!$C$3,($N61))*-44/12)+($K61*INDEX('DEFAULT DATA'!$MW$9:$VD$41,START!$C$3,($N61+1))*-44/12)+($K61*INDEX('DEFAULT DATA'!$MW$9:$VD$41,START!$C$3,($N61+2))*-44/12)+($K61*INDEX('DEFAULT DATA'!$MW$9:$VD$41,START!$C$3,($N61+3))*-44/12)+($L61*INDEX('DEFAULT DATA'!$MW$9:$VD$41,START!$C$3,($N61+4))*-44/12)+($M61*INDEX('DEFAULT DATA'!$MW$9:$VD$41,START!$C$3,($N61+5))*-44/12)</f>
        <v>0</v>
      </c>
      <c r="AB61" s="216">
        <f>($K61*INDEX('DEFAULT DATA'!$MW$9:$VD$41,START!$C$3,($N61))*-44/12)+($K61*INDEX('DEFAULT DATA'!$MW$9:$VD$41,START!$C$3,($N61+1))*-44/12)+($K61*INDEX('DEFAULT DATA'!$MW$9:$VD$41,START!$C$3,($N61+2))*-44/12)+($K61*INDEX('DEFAULT DATA'!$MW$9:$VD$41,START!$C$3,($N61+3))*-44/12)+($L61*INDEX('DEFAULT DATA'!$MW$9:$VD$41,START!$C$3,($N61+4))*-44/12)+($M61*INDEX('DEFAULT DATA'!$MW$9:$VD$41,START!$C$3,($N61+5))*-44/12)</f>
        <v>0</v>
      </c>
      <c r="AC61" s="216">
        <f>($K61*INDEX('DEFAULT DATA'!$MW$9:$VD$41,START!$C$3,($N61))*-44/12)+($K61*INDEX('DEFAULT DATA'!$MW$9:$VD$41,START!$C$3,($N61+1))*-44/12)+($K61*INDEX('DEFAULT DATA'!$MW$9:$VD$41,START!$C$3,($N61+2))*-44/12)+($K61*INDEX('DEFAULT DATA'!$MW$9:$VD$41,START!$C$3,($N61+3))*-44/12)+($L61*INDEX('DEFAULT DATA'!$MW$9:$VD$41,START!$C$3,($N61+4))*-44/12)+($M61*INDEX('DEFAULT DATA'!$MW$9:$VD$41,START!$C$3,($N61+5))*-44/12)</f>
        <v>0</v>
      </c>
      <c r="AD61" s="216">
        <f>($K61*INDEX('DEFAULT DATA'!$MW$9:$VD$41,START!$C$3,($N61))*-44/12)+($K61*INDEX('DEFAULT DATA'!$MW$9:$VD$41,START!$C$3,($N61+1))*-44/12)+($K61*INDEX('DEFAULT DATA'!$MW$9:$VD$41,START!$C$3,($N61+2))*-44/12)+($K61*INDEX('DEFAULT DATA'!$MW$9:$VD$41,START!$C$3,($N61+3))*-44/12)+($L61*INDEX('DEFAULT DATA'!$MW$9:$VD$41,START!$C$3,($N61+4))*-44/12)+($M61*INDEX('DEFAULT DATA'!$MW$9:$VD$41,START!$C$3,($N61+5))*-44/12)</f>
        <v>0</v>
      </c>
      <c r="AE61" s="216">
        <f>($K61*INDEX('DEFAULT DATA'!$MW$9:$VD$41,START!$C$3,($N61))*-44/12)+($K61*INDEX('DEFAULT DATA'!$MW$9:$VD$41,START!$C$3,($N61+1))*-44/12)+($K61*INDEX('DEFAULT DATA'!$MW$9:$VD$41,START!$C$3,($N61+2))*-44/12)+($K61*INDEX('DEFAULT DATA'!$MW$9:$VD$41,START!$C$3,($N61+3))*-44/12)+($L61*INDEX('DEFAULT DATA'!$MW$9:$VD$41,START!$C$3,($N61+4))*-44/12)+($M61*INDEX('DEFAULT DATA'!$MW$9:$VD$41,START!$C$3,($N61+5))*-44/12)</f>
        <v>0</v>
      </c>
      <c r="AF61" s="216">
        <f>($K61*INDEX('DEFAULT DATA'!$MW$9:$VD$41,START!$C$3,($N61))*-44/12)+($K61*INDEX('DEFAULT DATA'!$MW$9:$VD$41,START!$C$3,($N61+1))*-44/12)+($K61*INDEX('DEFAULT DATA'!$MW$9:$VD$41,START!$C$3,($N61+2))*-44/12)+($K61*INDEX('DEFAULT DATA'!$MW$9:$VD$41,START!$C$3,($N61+3))*-44/12)+($L61*INDEX('DEFAULT DATA'!$MW$9:$VD$41,START!$C$3,($N61+4))*-44/12)+($M61*INDEX('DEFAULT DATA'!$MW$9:$VD$41,START!$C$3,($N61+5))*-44/12)</f>
        <v>0</v>
      </c>
      <c r="AG61" s="216">
        <f>($K61*INDEX('DEFAULT DATA'!$MW$9:$VD$41,START!$C$3,($N61))*-44/12)+($K61*INDEX('DEFAULT DATA'!$MW$9:$VD$41,START!$C$3,($N61+1))*-44/12)+($K61*INDEX('DEFAULT DATA'!$MW$9:$VD$41,START!$C$3,($N61+2))*-44/12)+($K61*INDEX('DEFAULT DATA'!$MW$9:$VD$41,START!$C$3,($N61+3))*-44/12)+($L61*INDEX('DEFAULT DATA'!$MW$9:$VD$41,START!$C$3,($N61+4))*-44/12)+($M61*INDEX('DEFAULT DATA'!$MW$9:$VD$41,START!$C$3,($N61+5))*-44/12)</f>
        <v>0</v>
      </c>
      <c r="AH61" s="216">
        <f>($K61*INDEX('DEFAULT DATA'!$MW$9:$VD$41,START!$C$3,($N61))*-44/12)+($K61*INDEX('DEFAULT DATA'!$MW$9:$VD$41,START!$C$3,($N61+1))*-44/12)+($K61*INDEX('DEFAULT DATA'!$MW$9:$VD$41,START!$C$3,($N61+2))*-44/12)+($K61*INDEX('DEFAULT DATA'!$MW$9:$VD$41,START!$C$3,($N61+3))*-44/12)+($L61*INDEX('DEFAULT DATA'!$MW$9:$VD$41,START!$C$3,($N61+4))*-44/12)+($M61*INDEX('DEFAULT DATA'!$MW$9:$VD$41,START!$C$3,($N61+5))*-44/12)</f>
        <v>0</v>
      </c>
      <c r="AI61" s="216">
        <f>($K61*INDEX('DEFAULT DATA'!$MW$9:$VD$41,START!$C$3,($N61))*-44/12)+($K61*INDEX('DEFAULT DATA'!$MW$9:$VD$41,START!$C$3,($N61+1))*-44/12)+($K61*INDEX('DEFAULT DATA'!$MW$9:$VD$41,START!$C$3,($N61+2))*-44/12)+($K61*INDEX('DEFAULT DATA'!$MW$9:$VD$41,START!$C$3,($N61+3))*-44/12)+($L61*INDEX('DEFAULT DATA'!$MW$9:$VD$41,START!$C$3,($N61+4))*-44/12)+($M61*INDEX('DEFAULT DATA'!$MW$9:$VD$41,START!$C$3,($N61+5))*-44/12)</f>
        <v>0</v>
      </c>
      <c r="AJ61" s="216">
        <f>($K61*INDEX('DEFAULT DATA'!$MW$9:$VD$41,START!$C$3,($N61))*-44/12)+($K61*INDEX('DEFAULT DATA'!$MW$9:$VD$41,START!$C$3,($N61+1))*-44/12)+($K61*INDEX('DEFAULT DATA'!$MW$9:$VD$41,START!$C$3,($N61+2))*-44/12)+($K61*INDEX('DEFAULT DATA'!$MW$9:$VD$41,START!$C$3,($N61+3))*-44/12)+($L61*INDEX('DEFAULT DATA'!$MW$9:$VD$41,START!$C$3,($N61+4))*-44/12)+($M61*INDEX('DEFAULT DATA'!$MW$9:$VD$41,START!$C$3,($N61+5))*-44/12)</f>
        <v>0</v>
      </c>
      <c r="AK61" s="216"/>
      <c r="AL61" s="216"/>
      <c r="AM61" s="216"/>
      <c r="AN61" s="216"/>
      <c r="AO61" s="216"/>
      <c r="AP61" s="216"/>
      <c r="AQ61" s="216"/>
      <c r="AR61" s="216"/>
      <c r="AS61" s="216"/>
      <c r="AT61" s="443"/>
    </row>
    <row r="62" spans="1:46" ht="20.100000000000001" customHeight="1">
      <c r="A62" s="449"/>
      <c r="B62" s="1349" t="s">
        <v>878</v>
      </c>
      <c r="C62" s="383"/>
      <c r="D62" s="383"/>
      <c r="E62" s="951">
        <v>0</v>
      </c>
      <c r="F62" s="960">
        <v>0</v>
      </c>
      <c r="G62" s="952">
        <v>0</v>
      </c>
      <c r="H62" s="383">
        <v>1</v>
      </c>
      <c r="I62" s="433"/>
      <c r="J62" s="273"/>
      <c r="K62" s="478">
        <f t="shared" si="37"/>
        <v>0</v>
      </c>
      <c r="L62" s="479">
        <f t="shared" si="38"/>
        <v>0</v>
      </c>
      <c r="M62" s="479">
        <f t="shared" si="39"/>
        <v>0</v>
      </c>
      <c r="N62" s="220">
        <f t="shared" si="41"/>
        <v>163</v>
      </c>
      <c r="O62" s="480" t="s">
        <v>837</v>
      </c>
      <c r="P62" s="481">
        <f t="shared" si="40"/>
        <v>2022</v>
      </c>
      <c r="Q62" s="216">
        <f>($K62*INDEX('DEFAULT DATA'!$MW$9:$VD$41,START!$C$3,($N62))*-44/12)+($K62*INDEX('DEFAULT DATA'!$MW$9:$VD$41,START!$C$3,($N62+1))*-44/12)+($K62*INDEX('DEFAULT DATA'!$MW$9:$VD$41,START!$C$3,($N62+2))*-44/12)+($K62*INDEX('DEFAULT DATA'!$MW$9:$VD$41,START!$C$3,($N62+3))*-44/12)+($L62*INDEX('DEFAULT DATA'!$MW$9:$VD$41,START!$C$3,($N62+4))*-44/12)+($M62*INDEX('DEFAULT DATA'!$MW$9:$VD$41,START!$C$3,($N62+5))*-44/12)</f>
        <v>0</v>
      </c>
      <c r="R62" s="216">
        <f>($K62*INDEX('DEFAULT DATA'!$MW$9:$VD$41,START!$C$3,($N62))*-44/12)+($K62*INDEX('DEFAULT DATA'!$MW$9:$VD$41,START!$C$3,($N62+1))*-44/12)+($K62*INDEX('DEFAULT DATA'!$MW$9:$VD$41,START!$C$3,($N62+2))*-44/12)+($K62*INDEX('DEFAULT DATA'!$MW$9:$VD$41,START!$C$3,($N62+3))*-44/12)+($L62*INDEX('DEFAULT DATA'!$MW$9:$VD$41,START!$C$3,($N62+4))*-44/12)+($M62*INDEX('DEFAULT DATA'!$MW$9:$VD$41,START!$C$3,($N62+5))*-44/12)</f>
        <v>0</v>
      </c>
      <c r="S62" s="216">
        <f>($K62*INDEX('DEFAULT DATA'!$MW$9:$VD$41,START!$C$3,($N62))*-44/12)+($K62*INDEX('DEFAULT DATA'!$MW$9:$VD$41,START!$C$3,($N62+1))*-44/12)+($K62*INDEX('DEFAULT DATA'!$MW$9:$VD$41,START!$C$3,($N62+2))*-44/12)+($K62*INDEX('DEFAULT DATA'!$MW$9:$VD$41,START!$C$3,($N62+3))*-44/12)+($L62*INDEX('DEFAULT DATA'!$MW$9:$VD$41,START!$C$3,($N62+4))*-44/12)+($M62*INDEX('DEFAULT DATA'!$MW$9:$VD$41,START!$C$3,($N62+5))*-44/12)</f>
        <v>0</v>
      </c>
      <c r="T62" s="216">
        <f>($K62*INDEX('DEFAULT DATA'!$MW$9:$VD$41,START!$C$3,($N62))*-44/12)+($K62*INDEX('DEFAULT DATA'!$MW$9:$VD$41,START!$C$3,($N62+1))*-44/12)+($K62*INDEX('DEFAULT DATA'!$MW$9:$VD$41,START!$C$3,($N62+2))*-44/12)+($K62*INDEX('DEFAULT DATA'!$MW$9:$VD$41,START!$C$3,($N62+3))*-44/12)+($L62*INDEX('DEFAULT DATA'!$MW$9:$VD$41,START!$C$3,($N62+4))*-44/12)+($M62*INDEX('DEFAULT DATA'!$MW$9:$VD$41,START!$C$3,($N62+5))*-44/12)</f>
        <v>0</v>
      </c>
      <c r="U62" s="216">
        <f>($K62*INDEX('DEFAULT DATA'!$MW$9:$VD$41,START!$C$3,($N62))*-44/12)+($K62*INDEX('DEFAULT DATA'!$MW$9:$VD$41,START!$C$3,($N62+1))*-44/12)+($K62*INDEX('DEFAULT DATA'!$MW$9:$VD$41,START!$C$3,($N62+2))*-44/12)+($K62*INDEX('DEFAULT DATA'!$MW$9:$VD$41,START!$C$3,($N62+3))*-44/12)+($L62*INDEX('DEFAULT DATA'!$MW$9:$VD$41,START!$C$3,($N62+4))*-44/12)+($M62*INDEX('DEFAULT DATA'!$MW$9:$VD$41,START!$C$3,($N62+5))*-44/12)</f>
        <v>0</v>
      </c>
      <c r="V62" s="216">
        <f>($K62*INDEX('DEFAULT DATA'!$MW$9:$VD$41,START!$C$3,($N62))*-44/12)+($K62*INDEX('DEFAULT DATA'!$MW$9:$VD$41,START!$C$3,($N62+1))*-44/12)+($K62*INDEX('DEFAULT DATA'!$MW$9:$VD$41,START!$C$3,($N62+2))*-44/12)+($K62*INDEX('DEFAULT DATA'!$MW$9:$VD$41,START!$C$3,($N62+3))*-44/12)+($L62*INDEX('DEFAULT DATA'!$MW$9:$VD$41,START!$C$3,($N62+4))*-44/12)+($M62*INDEX('DEFAULT DATA'!$MW$9:$VD$41,START!$C$3,($N62+5))*-44/12)</f>
        <v>0</v>
      </c>
      <c r="W62" s="216">
        <f>($K62*INDEX('DEFAULT DATA'!$MW$9:$VD$41,START!$C$3,($N62))*-44/12)+($K62*INDEX('DEFAULT DATA'!$MW$9:$VD$41,START!$C$3,($N62+1))*-44/12)+($K62*INDEX('DEFAULT DATA'!$MW$9:$VD$41,START!$C$3,($N62+2))*-44/12)+($K62*INDEX('DEFAULT DATA'!$MW$9:$VD$41,START!$C$3,($N62+3))*-44/12)+($L62*INDEX('DEFAULT DATA'!$MW$9:$VD$41,START!$C$3,($N62+4))*-44/12)+($M62*INDEX('DEFAULT DATA'!$MW$9:$VD$41,START!$C$3,($N62+5))*-44/12)</f>
        <v>0</v>
      </c>
      <c r="X62" s="216">
        <f>($K62*INDEX('DEFAULT DATA'!$MW$9:$VD$41,START!$C$3,($N62))*-44/12)+($K62*INDEX('DEFAULT DATA'!$MW$9:$VD$41,START!$C$3,($N62+1))*-44/12)+($K62*INDEX('DEFAULT DATA'!$MW$9:$VD$41,START!$C$3,($N62+2))*-44/12)+($K62*INDEX('DEFAULT DATA'!$MW$9:$VD$41,START!$C$3,($N62+3))*-44/12)+($L62*INDEX('DEFAULT DATA'!$MW$9:$VD$41,START!$C$3,($N62+4))*-44/12)+($M62*INDEX('DEFAULT DATA'!$MW$9:$VD$41,START!$C$3,($N62+5))*-44/12)</f>
        <v>0</v>
      </c>
      <c r="Y62" s="216">
        <f>($K62*INDEX('DEFAULT DATA'!$MW$9:$VD$41,START!$C$3,($N62))*-44/12)+($K62*INDEX('DEFAULT DATA'!$MW$9:$VD$41,START!$C$3,($N62+1))*-44/12)+($K62*INDEX('DEFAULT DATA'!$MW$9:$VD$41,START!$C$3,($N62+2))*-44/12)+($K62*INDEX('DEFAULT DATA'!$MW$9:$VD$41,START!$C$3,($N62+3))*-44/12)+($L62*INDEX('DEFAULT DATA'!$MW$9:$VD$41,START!$C$3,($N62+4))*-44/12)+($M62*INDEX('DEFAULT DATA'!$MW$9:$VD$41,START!$C$3,($N62+5))*-44/12)</f>
        <v>0</v>
      </c>
      <c r="Z62" s="216">
        <f>($K62*INDEX('DEFAULT DATA'!$MW$9:$VD$41,START!$C$3,($N62))*-44/12)+($K62*INDEX('DEFAULT DATA'!$MW$9:$VD$41,START!$C$3,($N62+1))*-44/12)+($K62*INDEX('DEFAULT DATA'!$MW$9:$VD$41,START!$C$3,($N62+2))*-44/12)+($K62*INDEX('DEFAULT DATA'!$MW$9:$VD$41,START!$C$3,($N62+3))*-44/12)+($L62*INDEX('DEFAULT DATA'!$MW$9:$VD$41,START!$C$3,($N62+4))*-44/12)+($M62*INDEX('DEFAULT DATA'!$MW$9:$VD$41,START!$C$3,($N62+5))*-44/12)</f>
        <v>0</v>
      </c>
      <c r="AA62" s="216">
        <f>($K62*INDEX('DEFAULT DATA'!$MW$9:$VD$41,START!$C$3,($N62))*-44/12)+($K62*INDEX('DEFAULT DATA'!$MW$9:$VD$41,START!$C$3,($N62+1))*-44/12)+($K62*INDEX('DEFAULT DATA'!$MW$9:$VD$41,START!$C$3,($N62+2))*-44/12)+($K62*INDEX('DEFAULT DATA'!$MW$9:$VD$41,START!$C$3,($N62+3))*-44/12)+($L62*INDEX('DEFAULT DATA'!$MW$9:$VD$41,START!$C$3,($N62+4))*-44/12)+($M62*INDEX('DEFAULT DATA'!$MW$9:$VD$41,START!$C$3,($N62+5))*-44/12)</f>
        <v>0</v>
      </c>
      <c r="AB62" s="216">
        <f>($K62*INDEX('DEFAULT DATA'!$MW$9:$VD$41,START!$C$3,($N62))*-44/12)+($K62*INDEX('DEFAULT DATA'!$MW$9:$VD$41,START!$C$3,($N62+1))*-44/12)+($K62*INDEX('DEFAULT DATA'!$MW$9:$VD$41,START!$C$3,($N62+2))*-44/12)+($K62*INDEX('DEFAULT DATA'!$MW$9:$VD$41,START!$C$3,($N62+3))*-44/12)+($L62*INDEX('DEFAULT DATA'!$MW$9:$VD$41,START!$C$3,($N62+4))*-44/12)+($M62*INDEX('DEFAULT DATA'!$MW$9:$VD$41,START!$C$3,($N62+5))*-44/12)</f>
        <v>0</v>
      </c>
      <c r="AC62" s="216">
        <f>($K62*INDEX('DEFAULT DATA'!$MW$9:$VD$41,START!$C$3,($N62))*-44/12)+($K62*INDEX('DEFAULT DATA'!$MW$9:$VD$41,START!$C$3,($N62+1))*-44/12)+($K62*INDEX('DEFAULT DATA'!$MW$9:$VD$41,START!$C$3,($N62+2))*-44/12)+($K62*INDEX('DEFAULT DATA'!$MW$9:$VD$41,START!$C$3,($N62+3))*-44/12)+($L62*INDEX('DEFAULT DATA'!$MW$9:$VD$41,START!$C$3,($N62+4))*-44/12)+($M62*INDEX('DEFAULT DATA'!$MW$9:$VD$41,START!$C$3,($N62+5))*-44/12)</f>
        <v>0</v>
      </c>
      <c r="AD62" s="216">
        <f>($K62*INDEX('DEFAULT DATA'!$MW$9:$VD$41,START!$C$3,($N62))*-44/12)+($K62*INDEX('DEFAULT DATA'!$MW$9:$VD$41,START!$C$3,($N62+1))*-44/12)+($K62*INDEX('DEFAULT DATA'!$MW$9:$VD$41,START!$C$3,($N62+2))*-44/12)+($K62*INDEX('DEFAULT DATA'!$MW$9:$VD$41,START!$C$3,($N62+3))*-44/12)+($L62*INDEX('DEFAULT DATA'!$MW$9:$VD$41,START!$C$3,($N62+4))*-44/12)+($M62*INDEX('DEFAULT DATA'!$MW$9:$VD$41,START!$C$3,($N62+5))*-44/12)</f>
        <v>0</v>
      </c>
      <c r="AE62" s="216">
        <f>($K62*INDEX('DEFAULT DATA'!$MW$9:$VD$41,START!$C$3,($N62))*-44/12)+($K62*INDEX('DEFAULT DATA'!$MW$9:$VD$41,START!$C$3,($N62+1))*-44/12)+($K62*INDEX('DEFAULT DATA'!$MW$9:$VD$41,START!$C$3,($N62+2))*-44/12)+($K62*INDEX('DEFAULT DATA'!$MW$9:$VD$41,START!$C$3,($N62+3))*-44/12)+($L62*INDEX('DEFAULT DATA'!$MW$9:$VD$41,START!$C$3,($N62+4))*-44/12)+($M62*INDEX('DEFAULT DATA'!$MW$9:$VD$41,START!$C$3,($N62+5))*-44/12)</f>
        <v>0</v>
      </c>
      <c r="AF62" s="216">
        <f>($K62*INDEX('DEFAULT DATA'!$MW$9:$VD$41,START!$C$3,($N62))*-44/12)+($K62*INDEX('DEFAULT DATA'!$MW$9:$VD$41,START!$C$3,($N62+1))*-44/12)+($K62*INDEX('DEFAULT DATA'!$MW$9:$VD$41,START!$C$3,($N62+2))*-44/12)+($K62*INDEX('DEFAULT DATA'!$MW$9:$VD$41,START!$C$3,($N62+3))*-44/12)+($L62*INDEX('DEFAULT DATA'!$MW$9:$VD$41,START!$C$3,($N62+4))*-44/12)+($M62*INDEX('DEFAULT DATA'!$MW$9:$VD$41,START!$C$3,($N62+5))*-44/12)</f>
        <v>0</v>
      </c>
      <c r="AG62" s="216">
        <f>($K62*INDEX('DEFAULT DATA'!$MW$9:$VD$41,START!$C$3,($N62))*-44/12)+($K62*INDEX('DEFAULT DATA'!$MW$9:$VD$41,START!$C$3,($N62+1))*-44/12)+($K62*INDEX('DEFAULT DATA'!$MW$9:$VD$41,START!$C$3,($N62+2))*-44/12)+($K62*INDEX('DEFAULT DATA'!$MW$9:$VD$41,START!$C$3,($N62+3))*-44/12)+($L62*INDEX('DEFAULT DATA'!$MW$9:$VD$41,START!$C$3,($N62+4))*-44/12)+($M62*INDEX('DEFAULT DATA'!$MW$9:$VD$41,START!$C$3,($N62+5))*-44/12)</f>
        <v>0</v>
      </c>
      <c r="AH62" s="216">
        <f>($K62*INDEX('DEFAULT DATA'!$MW$9:$VD$41,START!$C$3,($N62))*-44/12)+($K62*INDEX('DEFAULT DATA'!$MW$9:$VD$41,START!$C$3,($N62+1))*-44/12)+($K62*INDEX('DEFAULT DATA'!$MW$9:$VD$41,START!$C$3,($N62+2))*-44/12)+($K62*INDEX('DEFAULT DATA'!$MW$9:$VD$41,START!$C$3,($N62+3))*-44/12)+($L62*INDEX('DEFAULT DATA'!$MW$9:$VD$41,START!$C$3,($N62+4))*-44/12)+($M62*INDEX('DEFAULT DATA'!$MW$9:$VD$41,START!$C$3,($N62+5))*-44/12)</f>
        <v>0</v>
      </c>
      <c r="AI62" s="216">
        <f>($K62*INDEX('DEFAULT DATA'!$MW$9:$VD$41,START!$C$3,($N62))*-44/12)+($K62*INDEX('DEFAULT DATA'!$MW$9:$VD$41,START!$C$3,($N62+1))*-44/12)+($K62*INDEX('DEFAULT DATA'!$MW$9:$VD$41,START!$C$3,($N62+2))*-44/12)+($K62*INDEX('DEFAULT DATA'!$MW$9:$VD$41,START!$C$3,($N62+3))*-44/12)+($L62*INDEX('DEFAULT DATA'!$MW$9:$VD$41,START!$C$3,($N62+4))*-44/12)+($M62*INDEX('DEFAULT DATA'!$MW$9:$VD$41,START!$C$3,($N62+5))*-44/12)</f>
        <v>0</v>
      </c>
      <c r="AJ62" s="216">
        <f>($K62*INDEX('DEFAULT DATA'!$MW$9:$VD$41,START!$C$3,($N62))*-44/12)+($K62*INDEX('DEFAULT DATA'!$MW$9:$VD$41,START!$C$3,($N62+1))*-44/12)+($K62*INDEX('DEFAULT DATA'!$MW$9:$VD$41,START!$C$3,($N62+2))*-44/12)+($K62*INDEX('DEFAULT DATA'!$MW$9:$VD$41,START!$C$3,($N62+3))*-44/12)+($L62*INDEX('DEFAULT DATA'!$MW$9:$VD$41,START!$C$3,($N62+4))*-44/12)+($M62*INDEX('DEFAULT DATA'!$MW$9:$VD$41,START!$C$3,($N62+5))*-44/12)</f>
        <v>0</v>
      </c>
      <c r="AK62" s="216"/>
      <c r="AL62" s="216"/>
      <c r="AM62" s="216"/>
      <c r="AN62" s="216"/>
      <c r="AO62" s="216"/>
      <c r="AP62" s="216"/>
      <c r="AQ62" s="216"/>
      <c r="AR62" s="216"/>
      <c r="AS62" s="216"/>
      <c r="AT62" s="443"/>
    </row>
    <row r="63" spans="1:46" ht="20.100000000000001" customHeight="1">
      <c r="A63" s="421"/>
      <c r="B63" s="1350" t="s">
        <v>879</v>
      </c>
      <c r="C63" s="1024"/>
      <c r="D63" s="1024"/>
      <c r="E63" s="955">
        <v>0</v>
      </c>
      <c r="F63" s="953">
        <v>0</v>
      </c>
      <c r="G63" s="956">
        <v>0</v>
      </c>
      <c r="H63" s="1024">
        <v>1</v>
      </c>
      <c r="I63" s="460"/>
      <c r="J63" s="273"/>
      <c r="K63" s="478">
        <f t="shared" si="37"/>
        <v>0</v>
      </c>
      <c r="L63" s="479">
        <f t="shared" si="38"/>
        <v>0</v>
      </c>
      <c r="M63" s="479">
        <f t="shared" si="39"/>
        <v>0</v>
      </c>
      <c r="N63" s="220">
        <f t="shared" si="41"/>
        <v>169</v>
      </c>
      <c r="O63" s="480" t="s">
        <v>838</v>
      </c>
      <c r="P63" s="481">
        <f t="shared" si="40"/>
        <v>2022</v>
      </c>
      <c r="Q63" s="216">
        <f>($K63*INDEX('DEFAULT DATA'!$MW$9:$VD$41,START!$C$3,($N63))*-44/12)+($K63*INDEX('DEFAULT DATA'!$MW$9:$VD$41,START!$C$3,($N63+1))*-44/12)+($K63*INDEX('DEFAULT DATA'!$MW$9:$VD$41,START!$C$3,($N63+2))*-44/12)+($K63*INDEX('DEFAULT DATA'!$MW$9:$VD$41,START!$C$3,($N63+3))*-44/12)+($L63*INDEX('DEFAULT DATA'!$MW$9:$VD$41,START!$C$3,($N63+4))*-44/12)+($M63*INDEX('DEFAULT DATA'!$MW$9:$VD$41,START!$C$3,($N63+5))*-44/12)</f>
        <v>0</v>
      </c>
      <c r="R63" s="216">
        <f>($K63*INDEX('DEFAULT DATA'!$MW$9:$VD$41,START!$C$3,($N63))*-44/12)+($K63*INDEX('DEFAULT DATA'!$MW$9:$VD$41,START!$C$3,($N63+1))*-44/12)+($K63*INDEX('DEFAULT DATA'!$MW$9:$VD$41,START!$C$3,($N63+2))*-44/12)+($K63*INDEX('DEFAULT DATA'!$MW$9:$VD$41,START!$C$3,($N63+3))*-44/12)+($L63*INDEX('DEFAULT DATA'!$MW$9:$VD$41,START!$C$3,($N63+4))*-44/12)+($M63*INDEX('DEFAULT DATA'!$MW$9:$VD$41,START!$C$3,($N63+5))*-44/12)</f>
        <v>0</v>
      </c>
      <c r="S63" s="216">
        <f>($K63*INDEX('DEFAULT DATA'!$MW$9:$VD$41,START!$C$3,($N63))*-44/12)+($K63*INDEX('DEFAULT DATA'!$MW$9:$VD$41,START!$C$3,($N63+1))*-44/12)+($K63*INDEX('DEFAULT DATA'!$MW$9:$VD$41,START!$C$3,($N63+2))*-44/12)+($K63*INDEX('DEFAULT DATA'!$MW$9:$VD$41,START!$C$3,($N63+3))*-44/12)+($L63*INDEX('DEFAULT DATA'!$MW$9:$VD$41,START!$C$3,($N63+4))*-44/12)+($M63*INDEX('DEFAULT DATA'!$MW$9:$VD$41,START!$C$3,($N63+5))*-44/12)</f>
        <v>0</v>
      </c>
      <c r="T63" s="216">
        <f>($K63*INDEX('DEFAULT DATA'!$MW$9:$VD$41,START!$C$3,($N63))*-44/12)+($K63*INDEX('DEFAULT DATA'!$MW$9:$VD$41,START!$C$3,($N63+1))*-44/12)+($K63*INDEX('DEFAULT DATA'!$MW$9:$VD$41,START!$C$3,($N63+2))*-44/12)+($K63*INDEX('DEFAULT DATA'!$MW$9:$VD$41,START!$C$3,($N63+3))*-44/12)+($L63*INDEX('DEFAULT DATA'!$MW$9:$VD$41,START!$C$3,($N63+4))*-44/12)+($M63*INDEX('DEFAULT DATA'!$MW$9:$VD$41,START!$C$3,($N63+5))*-44/12)</f>
        <v>0</v>
      </c>
      <c r="U63" s="216">
        <f>($K63*INDEX('DEFAULT DATA'!$MW$9:$VD$41,START!$C$3,($N63))*-44/12)+($K63*INDEX('DEFAULT DATA'!$MW$9:$VD$41,START!$C$3,($N63+1))*-44/12)+($K63*INDEX('DEFAULT DATA'!$MW$9:$VD$41,START!$C$3,($N63+2))*-44/12)+($K63*INDEX('DEFAULT DATA'!$MW$9:$VD$41,START!$C$3,($N63+3))*-44/12)+($L63*INDEX('DEFAULT DATA'!$MW$9:$VD$41,START!$C$3,($N63+4))*-44/12)+($M63*INDEX('DEFAULT DATA'!$MW$9:$VD$41,START!$C$3,($N63+5))*-44/12)</f>
        <v>0</v>
      </c>
      <c r="V63" s="216">
        <f>($K63*INDEX('DEFAULT DATA'!$MW$9:$VD$41,START!$C$3,($N63))*-44/12)+($K63*INDEX('DEFAULT DATA'!$MW$9:$VD$41,START!$C$3,($N63+1))*-44/12)+($K63*INDEX('DEFAULT DATA'!$MW$9:$VD$41,START!$C$3,($N63+2))*-44/12)+($K63*INDEX('DEFAULT DATA'!$MW$9:$VD$41,START!$C$3,($N63+3))*-44/12)+($L63*INDEX('DEFAULT DATA'!$MW$9:$VD$41,START!$C$3,($N63+4))*-44/12)+($M63*INDEX('DEFAULT DATA'!$MW$9:$VD$41,START!$C$3,($N63+5))*-44/12)</f>
        <v>0</v>
      </c>
      <c r="W63" s="216">
        <f>($K63*INDEX('DEFAULT DATA'!$MW$9:$VD$41,START!$C$3,($N63))*-44/12)+($K63*INDEX('DEFAULT DATA'!$MW$9:$VD$41,START!$C$3,($N63+1))*-44/12)+($K63*INDEX('DEFAULT DATA'!$MW$9:$VD$41,START!$C$3,($N63+2))*-44/12)+($K63*INDEX('DEFAULT DATA'!$MW$9:$VD$41,START!$C$3,($N63+3))*-44/12)+($L63*INDEX('DEFAULT DATA'!$MW$9:$VD$41,START!$C$3,($N63+4))*-44/12)+($M63*INDEX('DEFAULT DATA'!$MW$9:$VD$41,START!$C$3,($N63+5))*-44/12)</f>
        <v>0</v>
      </c>
      <c r="X63" s="216">
        <f>($K63*INDEX('DEFAULT DATA'!$MW$9:$VD$41,START!$C$3,($N63))*-44/12)+($K63*INDEX('DEFAULT DATA'!$MW$9:$VD$41,START!$C$3,($N63+1))*-44/12)+($K63*INDEX('DEFAULT DATA'!$MW$9:$VD$41,START!$C$3,($N63+2))*-44/12)+($K63*INDEX('DEFAULT DATA'!$MW$9:$VD$41,START!$C$3,($N63+3))*-44/12)+($L63*INDEX('DEFAULT DATA'!$MW$9:$VD$41,START!$C$3,($N63+4))*-44/12)+($M63*INDEX('DEFAULT DATA'!$MW$9:$VD$41,START!$C$3,($N63+5))*-44/12)</f>
        <v>0</v>
      </c>
      <c r="Y63" s="216">
        <f>($K63*INDEX('DEFAULT DATA'!$MW$9:$VD$41,START!$C$3,($N63))*-44/12)+($K63*INDEX('DEFAULT DATA'!$MW$9:$VD$41,START!$C$3,($N63+1))*-44/12)+($K63*INDEX('DEFAULT DATA'!$MW$9:$VD$41,START!$C$3,($N63+2))*-44/12)+($K63*INDEX('DEFAULT DATA'!$MW$9:$VD$41,START!$C$3,($N63+3))*-44/12)+($L63*INDEX('DEFAULT DATA'!$MW$9:$VD$41,START!$C$3,($N63+4))*-44/12)+($M63*INDEX('DEFAULT DATA'!$MW$9:$VD$41,START!$C$3,($N63+5))*-44/12)</f>
        <v>0</v>
      </c>
      <c r="Z63" s="216">
        <f>($K63*INDEX('DEFAULT DATA'!$MW$9:$VD$41,START!$C$3,($N63))*-44/12)+($K63*INDEX('DEFAULT DATA'!$MW$9:$VD$41,START!$C$3,($N63+1))*-44/12)+($K63*INDEX('DEFAULT DATA'!$MW$9:$VD$41,START!$C$3,($N63+2))*-44/12)+($K63*INDEX('DEFAULT DATA'!$MW$9:$VD$41,START!$C$3,($N63+3))*-44/12)+($L63*INDEX('DEFAULT DATA'!$MW$9:$VD$41,START!$C$3,($N63+4))*-44/12)+($M63*INDEX('DEFAULT DATA'!$MW$9:$VD$41,START!$C$3,($N63+5))*-44/12)</f>
        <v>0</v>
      </c>
      <c r="AA63" s="216">
        <f>($K63*INDEX('DEFAULT DATA'!$MW$9:$VD$41,START!$C$3,($N63))*-44/12)+($K63*INDEX('DEFAULT DATA'!$MW$9:$VD$41,START!$C$3,($N63+1))*-44/12)+($K63*INDEX('DEFAULT DATA'!$MW$9:$VD$41,START!$C$3,($N63+2))*-44/12)+($K63*INDEX('DEFAULT DATA'!$MW$9:$VD$41,START!$C$3,($N63+3))*-44/12)+($L63*INDEX('DEFAULT DATA'!$MW$9:$VD$41,START!$C$3,($N63+4))*-44/12)+($M63*INDEX('DEFAULT DATA'!$MW$9:$VD$41,START!$C$3,($N63+5))*-44/12)</f>
        <v>0</v>
      </c>
      <c r="AB63" s="216">
        <f>($K63*INDEX('DEFAULT DATA'!$MW$9:$VD$41,START!$C$3,($N63))*-44/12)+($K63*INDEX('DEFAULT DATA'!$MW$9:$VD$41,START!$C$3,($N63+1))*-44/12)+($K63*INDEX('DEFAULT DATA'!$MW$9:$VD$41,START!$C$3,($N63+2))*-44/12)+($K63*INDEX('DEFAULT DATA'!$MW$9:$VD$41,START!$C$3,($N63+3))*-44/12)+($L63*INDEX('DEFAULT DATA'!$MW$9:$VD$41,START!$C$3,($N63+4))*-44/12)+($M63*INDEX('DEFAULT DATA'!$MW$9:$VD$41,START!$C$3,($N63+5))*-44/12)</f>
        <v>0</v>
      </c>
      <c r="AC63" s="216">
        <f>($K63*INDEX('DEFAULT DATA'!$MW$9:$VD$41,START!$C$3,($N63))*-44/12)+($K63*INDEX('DEFAULT DATA'!$MW$9:$VD$41,START!$C$3,($N63+1))*-44/12)+($K63*INDEX('DEFAULT DATA'!$MW$9:$VD$41,START!$C$3,($N63+2))*-44/12)+($K63*INDEX('DEFAULT DATA'!$MW$9:$VD$41,START!$C$3,($N63+3))*-44/12)+($L63*INDEX('DEFAULT DATA'!$MW$9:$VD$41,START!$C$3,($N63+4))*-44/12)+($M63*INDEX('DEFAULT DATA'!$MW$9:$VD$41,START!$C$3,($N63+5))*-44/12)</f>
        <v>0</v>
      </c>
      <c r="AD63" s="216">
        <f>($K63*INDEX('DEFAULT DATA'!$MW$9:$VD$41,START!$C$3,($N63))*-44/12)+($K63*INDEX('DEFAULT DATA'!$MW$9:$VD$41,START!$C$3,($N63+1))*-44/12)+($K63*INDEX('DEFAULT DATA'!$MW$9:$VD$41,START!$C$3,($N63+2))*-44/12)+($K63*INDEX('DEFAULT DATA'!$MW$9:$VD$41,START!$C$3,($N63+3))*-44/12)+($L63*INDEX('DEFAULT DATA'!$MW$9:$VD$41,START!$C$3,($N63+4))*-44/12)+($M63*INDEX('DEFAULT DATA'!$MW$9:$VD$41,START!$C$3,($N63+5))*-44/12)</f>
        <v>0</v>
      </c>
      <c r="AE63" s="216">
        <f>($K63*INDEX('DEFAULT DATA'!$MW$9:$VD$41,START!$C$3,($N63))*-44/12)+($K63*INDEX('DEFAULT DATA'!$MW$9:$VD$41,START!$C$3,($N63+1))*-44/12)+($K63*INDEX('DEFAULT DATA'!$MW$9:$VD$41,START!$C$3,($N63+2))*-44/12)+($K63*INDEX('DEFAULT DATA'!$MW$9:$VD$41,START!$C$3,($N63+3))*-44/12)+($L63*INDEX('DEFAULT DATA'!$MW$9:$VD$41,START!$C$3,($N63+4))*-44/12)+($M63*INDEX('DEFAULT DATA'!$MW$9:$VD$41,START!$C$3,($N63+5))*-44/12)</f>
        <v>0</v>
      </c>
      <c r="AF63" s="216">
        <f>($K63*INDEX('DEFAULT DATA'!$MW$9:$VD$41,START!$C$3,($N63))*-44/12)+($K63*INDEX('DEFAULT DATA'!$MW$9:$VD$41,START!$C$3,($N63+1))*-44/12)+($K63*INDEX('DEFAULT DATA'!$MW$9:$VD$41,START!$C$3,($N63+2))*-44/12)+($K63*INDEX('DEFAULT DATA'!$MW$9:$VD$41,START!$C$3,($N63+3))*-44/12)+($L63*INDEX('DEFAULT DATA'!$MW$9:$VD$41,START!$C$3,($N63+4))*-44/12)+($M63*INDEX('DEFAULT DATA'!$MW$9:$VD$41,START!$C$3,($N63+5))*-44/12)</f>
        <v>0</v>
      </c>
      <c r="AG63" s="216">
        <f>($K63*INDEX('DEFAULT DATA'!$MW$9:$VD$41,START!$C$3,($N63))*-44/12)+($K63*INDEX('DEFAULT DATA'!$MW$9:$VD$41,START!$C$3,($N63+1))*-44/12)+($K63*INDEX('DEFAULT DATA'!$MW$9:$VD$41,START!$C$3,($N63+2))*-44/12)+($K63*INDEX('DEFAULT DATA'!$MW$9:$VD$41,START!$C$3,($N63+3))*-44/12)+($L63*INDEX('DEFAULT DATA'!$MW$9:$VD$41,START!$C$3,($N63+4))*-44/12)+($M63*INDEX('DEFAULT DATA'!$MW$9:$VD$41,START!$C$3,($N63+5))*-44/12)</f>
        <v>0</v>
      </c>
      <c r="AH63" s="216">
        <f>($K63*INDEX('DEFAULT DATA'!$MW$9:$VD$41,START!$C$3,($N63))*-44/12)+($K63*INDEX('DEFAULT DATA'!$MW$9:$VD$41,START!$C$3,($N63+1))*-44/12)+($K63*INDEX('DEFAULT DATA'!$MW$9:$VD$41,START!$C$3,($N63+2))*-44/12)+($K63*INDEX('DEFAULT DATA'!$MW$9:$VD$41,START!$C$3,($N63+3))*-44/12)+($L63*INDEX('DEFAULT DATA'!$MW$9:$VD$41,START!$C$3,($N63+4))*-44/12)+($M63*INDEX('DEFAULT DATA'!$MW$9:$VD$41,START!$C$3,($N63+5))*-44/12)</f>
        <v>0</v>
      </c>
      <c r="AI63" s="216">
        <f>($K63*INDEX('DEFAULT DATA'!$MW$9:$VD$41,START!$C$3,($N63))*-44/12)+($K63*INDEX('DEFAULT DATA'!$MW$9:$VD$41,START!$C$3,($N63+1))*-44/12)+($K63*INDEX('DEFAULT DATA'!$MW$9:$VD$41,START!$C$3,($N63+2))*-44/12)+($K63*INDEX('DEFAULT DATA'!$MW$9:$VD$41,START!$C$3,($N63+3))*-44/12)+($L63*INDEX('DEFAULT DATA'!$MW$9:$VD$41,START!$C$3,($N63+4))*-44/12)+($M63*INDEX('DEFAULT DATA'!$MW$9:$VD$41,START!$C$3,($N63+5))*-44/12)</f>
        <v>0</v>
      </c>
      <c r="AJ63" s="216">
        <f>($K63*INDEX('DEFAULT DATA'!$MW$9:$VD$41,START!$C$3,($N63))*-44/12)+($K63*INDEX('DEFAULT DATA'!$MW$9:$VD$41,START!$C$3,($N63+1))*-44/12)+($K63*INDEX('DEFAULT DATA'!$MW$9:$VD$41,START!$C$3,($N63+2))*-44/12)+($K63*INDEX('DEFAULT DATA'!$MW$9:$VD$41,START!$C$3,($N63+3))*-44/12)+($L63*INDEX('DEFAULT DATA'!$MW$9:$VD$41,START!$C$3,($N63+4))*-44/12)+($M63*INDEX('DEFAULT DATA'!$MW$9:$VD$41,START!$C$3,($N63+5))*-44/12)</f>
        <v>0</v>
      </c>
      <c r="AK63" s="216"/>
      <c r="AL63" s="216"/>
      <c r="AM63" s="216"/>
      <c r="AN63" s="216"/>
      <c r="AO63" s="216"/>
      <c r="AP63" s="216"/>
      <c r="AQ63" s="216"/>
      <c r="AR63" s="216"/>
      <c r="AS63" s="216"/>
      <c r="AT63" s="443"/>
    </row>
    <row r="64" spans="1:46" ht="20.100000000000001" customHeight="1" thickBot="1">
      <c r="A64" s="421"/>
      <c r="B64" s="1350" t="s">
        <v>948</v>
      </c>
      <c r="C64" s="1024"/>
      <c r="D64" s="1024"/>
      <c r="E64" s="955">
        <v>0</v>
      </c>
      <c r="F64" s="953">
        <v>0</v>
      </c>
      <c r="G64" s="956">
        <v>0</v>
      </c>
      <c r="H64" s="1024">
        <v>1</v>
      </c>
      <c r="I64" s="460"/>
      <c r="J64" s="273"/>
      <c r="K64" s="482">
        <f t="shared" si="37"/>
        <v>0</v>
      </c>
      <c r="L64" s="483">
        <f t="shared" si="38"/>
        <v>0</v>
      </c>
      <c r="M64" s="483">
        <f t="shared" si="39"/>
        <v>0</v>
      </c>
      <c r="N64" s="320">
        <f t="shared" si="41"/>
        <v>175</v>
      </c>
      <c r="O64" s="484" t="s">
        <v>839</v>
      </c>
      <c r="P64" s="485">
        <f t="shared" si="40"/>
        <v>2022</v>
      </c>
      <c r="Q64" s="440">
        <f>($K64*INDEX('DEFAULT DATA'!$MW$9:$VD$41,START!$C$3,($N64))*-44/12)+($K64*INDEX('DEFAULT DATA'!$MW$9:$VD$41,START!$C$3,($N64+1))*-44/12)+($K64*INDEX('DEFAULT DATA'!$MW$9:$VD$41,START!$C$3,($N64+2))*-44/12)+($K64*INDEX('DEFAULT DATA'!$MW$9:$VD$41,START!$C$3,($N64+3))*-44/12)+($L64*INDEX('DEFAULT DATA'!$MW$9:$VD$41,START!$C$3,($N64+4))*-44/12)+($M64*INDEX('DEFAULT DATA'!$MW$9:$VD$41,START!$C$3,($N64+5))*-44/12)</f>
        <v>0</v>
      </c>
      <c r="R64" s="440">
        <f>($K64*INDEX('DEFAULT DATA'!$MW$9:$VD$41,START!$C$3,($N64))*-44/12)+($K64*INDEX('DEFAULT DATA'!$MW$9:$VD$41,START!$C$3,($N64+1))*-44/12)+($K64*INDEX('DEFAULT DATA'!$MW$9:$VD$41,START!$C$3,($N64+2))*-44/12)+($K64*INDEX('DEFAULT DATA'!$MW$9:$VD$41,START!$C$3,($N64+3))*-44/12)+($L64*INDEX('DEFAULT DATA'!$MW$9:$VD$41,START!$C$3,($N64+4))*-44/12)+($M64*INDEX('DEFAULT DATA'!$MW$9:$VD$41,START!$C$3,($N64+5))*-44/12)</f>
        <v>0</v>
      </c>
      <c r="S64" s="440">
        <f>($K64*INDEX('DEFAULT DATA'!$MW$9:$VD$41,START!$C$3,($N64))*-44/12)+($K64*INDEX('DEFAULT DATA'!$MW$9:$VD$41,START!$C$3,($N64+1))*-44/12)+($K64*INDEX('DEFAULT DATA'!$MW$9:$VD$41,START!$C$3,($N64+2))*-44/12)+($K64*INDEX('DEFAULT DATA'!$MW$9:$VD$41,START!$C$3,($N64+3))*-44/12)+($L64*INDEX('DEFAULT DATA'!$MW$9:$VD$41,START!$C$3,($N64+4))*-44/12)+($M64*INDEX('DEFAULT DATA'!$MW$9:$VD$41,START!$C$3,($N64+5))*-44/12)</f>
        <v>0</v>
      </c>
      <c r="T64" s="440">
        <f>($K64*INDEX('DEFAULT DATA'!$MW$9:$VD$41,START!$C$3,($N64))*-44/12)+($K64*INDEX('DEFAULT DATA'!$MW$9:$VD$41,START!$C$3,($N64+1))*-44/12)+($K64*INDEX('DEFAULT DATA'!$MW$9:$VD$41,START!$C$3,($N64+2))*-44/12)+($K64*INDEX('DEFAULT DATA'!$MW$9:$VD$41,START!$C$3,($N64+3))*-44/12)+($L64*INDEX('DEFAULT DATA'!$MW$9:$VD$41,START!$C$3,($N64+4))*-44/12)+($M64*INDEX('DEFAULT DATA'!$MW$9:$VD$41,START!$C$3,($N64+5))*-44/12)</f>
        <v>0</v>
      </c>
      <c r="U64" s="440">
        <f>($K64*INDEX('DEFAULT DATA'!$MW$9:$VD$41,START!$C$3,($N64))*-44/12)+($K64*INDEX('DEFAULT DATA'!$MW$9:$VD$41,START!$C$3,($N64+1))*-44/12)+($K64*INDEX('DEFAULT DATA'!$MW$9:$VD$41,START!$C$3,($N64+2))*-44/12)+($K64*INDEX('DEFAULT DATA'!$MW$9:$VD$41,START!$C$3,($N64+3))*-44/12)+($L64*INDEX('DEFAULT DATA'!$MW$9:$VD$41,START!$C$3,($N64+4))*-44/12)+($M64*INDEX('DEFAULT DATA'!$MW$9:$VD$41,START!$C$3,($N64+5))*-44/12)</f>
        <v>0</v>
      </c>
      <c r="V64" s="440">
        <f>($K64*INDEX('DEFAULT DATA'!$MW$9:$VD$41,START!$C$3,($N64))*-44/12)+($K64*INDEX('DEFAULT DATA'!$MW$9:$VD$41,START!$C$3,($N64+1))*-44/12)+($K64*INDEX('DEFAULT DATA'!$MW$9:$VD$41,START!$C$3,($N64+2))*-44/12)+($K64*INDEX('DEFAULT DATA'!$MW$9:$VD$41,START!$C$3,($N64+3))*-44/12)+($L64*INDEX('DEFAULT DATA'!$MW$9:$VD$41,START!$C$3,($N64+4))*-44/12)+($M64*INDEX('DEFAULT DATA'!$MW$9:$VD$41,START!$C$3,($N64+5))*-44/12)</f>
        <v>0</v>
      </c>
      <c r="W64" s="440">
        <f>($K64*INDEX('DEFAULT DATA'!$MW$9:$VD$41,START!$C$3,($N64))*-44/12)+($K64*INDEX('DEFAULT DATA'!$MW$9:$VD$41,START!$C$3,($N64+1))*-44/12)+($K64*INDEX('DEFAULT DATA'!$MW$9:$VD$41,START!$C$3,($N64+2))*-44/12)+($K64*INDEX('DEFAULT DATA'!$MW$9:$VD$41,START!$C$3,($N64+3))*-44/12)+($L64*INDEX('DEFAULT DATA'!$MW$9:$VD$41,START!$C$3,($N64+4))*-44/12)+($M64*INDEX('DEFAULT DATA'!$MW$9:$VD$41,START!$C$3,($N64+5))*-44/12)</f>
        <v>0</v>
      </c>
      <c r="X64" s="440">
        <f>($K64*INDEX('DEFAULT DATA'!$MW$9:$VD$41,START!$C$3,($N64))*-44/12)+($K64*INDEX('DEFAULT DATA'!$MW$9:$VD$41,START!$C$3,($N64+1))*-44/12)+($K64*INDEX('DEFAULT DATA'!$MW$9:$VD$41,START!$C$3,($N64+2))*-44/12)+($K64*INDEX('DEFAULT DATA'!$MW$9:$VD$41,START!$C$3,($N64+3))*-44/12)+($L64*INDEX('DEFAULT DATA'!$MW$9:$VD$41,START!$C$3,($N64+4))*-44/12)+($M64*INDEX('DEFAULT DATA'!$MW$9:$VD$41,START!$C$3,($N64+5))*-44/12)</f>
        <v>0</v>
      </c>
      <c r="Y64" s="440">
        <f>($K64*INDEX('DEFAULT DATA'!$MW$9:$VD$41,START!$C$3,($N64))*-44/12)+($K64*INDEX('DEFAULT DATA'!$MW$9:$VD$41,START!$C$3,($N64+1))*-44/12)+($K64*INDEX('DEFAULT DATA'!$MW$9:$VD$41,START!$C$3,($N64+2))*-44/12)+($K64*INDEX('DEFAULT DATA'!$MW$9:$VD$41,START!$C$3,($N64+3))*-44/12)+($L64*INDEX('DEFAULT DATA'!$MW$9:$VD$41,START!$C$3,($N64+4))*-44/12)+($M64*INDEX('DEFAULT DATA'!$MW$9:$VD$41,START!$C$3,($N64+5))*-44/12)</f>
        <v>0</v>
      </c>
      <c r="Z64" s="440">
        <f>($K64*INDEX('DEFAULT DATA'!$MW$9:$VD$41,START!$C$3,($N64))*-44/12)+($K64*INDEX('DEFAULT DATA'!$MW$9:$VD$41,START!$C$3,($N64+1))*-44/12)+($K64*INDEX('DEFAULT DATA'!$MW$9:$VD$41,START!$C$3,($N64+2))*-44/12)+($K64*INDEX('DEFAULT DATA'!$MW$9:$VD$41,START!$C$3,($N64+3))*-44/12)+($L64*INDEX('DEFAULT DATA'!$MW$9:$VD$41,START!$C$3,($N64+4))*-44/12)+($M64*INDEX('DEFAULT DATA'!$MW$9:$VD$41,START!$C$3,($N64+5))*-44/12)</f>
        <v>0</v>
      </c>
      <c r="AA64" s="440">
        <f>($K64*INDEX('DEFAULT DATA'!$MW$9:$VD$41,START!$C$3,($N64))*-44/12)+($K64*INDEX('DEFAULT DATA'!$MW$9:$VD$41,START!$C$3,($N64+1))*-44/12)+($K64*INDEX('DEFAULT DATA'!$MW$9:$VD$41,START!$C$3,($N64+2))*-44/12)+($K64*INDEX('DEFAULT DATA'!$MW$9:$VD$41,START!$C$3,($N64+3))*-44/12)+($L64*INDEX('DEFAULT DATA'!$MW$9:$VD$41,START!$C$3,($N64+4))*-44/12)+($M64*INDEX('DEFAULT DATA'!$MW$9:$VD$41,START!$C$3,($N64+5))*-44/12)</f>
        <v>0</v>
      </c>
      <c r="AB64" s="440">
        <f>($K64*INDEX('DEFAULT DATA'!$MW$9:$VD$41,START!$C$3,($N64))*-44/12)+($K64*INDEX('DEFAULT DATA'!$MW$9:$VD$41,START!$C$3,($N64+1))*-44/12)+($K64*INDEX('DEFAULT DATA'!$MW$9:$VD$41,START!$C$3,($N64+2))*-44/12)+($K64*INDEX('DEFAULT DATA'!$MW$9:$VD$41,START!$C$3,($N64+3))*-44/12)+($L64*INDEX('DEFAULT DATA'!$MW$9:$VD$41,START!$C$3,($N64+4))*-44/12)+($M64*INDEX('DEFAULT DATA'!$MW$9:$VD$41,START!$C$3,($N64+5))*-44/12)</f>
        <v>0</v>
      </c>
      <c r="AC64" s="440">
        <f>($K64*INDEX('DEFAULT DATA'!$MW$9:$VD$41,START!$C$3,($N64))*-44/12)+($K64*INDEX('DEFAULT DATA'!$MW$9:$VD$41,START!$C$3,($N64+1))*-44/12)+($K64*INDEX('DEFAULT DATA'!$MW$9:$VD$41,START!$C$3,($N64+2))*-44/12)+($K64*INDEX('DEFAULT DATA'!$MW$9:$VD$41,START!$C$3,($N64+3))*-44/12)+($L64*INDEX('DEFAULT DATA'!$MW$9:$VD$41,START!$C$3,($N64+4))*-44/12)+($M64*INDEX('DEFAULT DATA'!$MW$9:$VD$41,START!$C$3,($N64+5))*-44/12)</f>
        <v>0</v>
      </c>
      <c r="AD64" s="440">
        <f>($K64*INDEX('DEFAULT DATA'!$MW$9:$VD$41,START!$C$3,($N64))*-44/12)+($K64*INDEX('DEFAULT DATA'!$MW$9:$VD$41,START!$C$3,($N64+1))*-44/12)+($K64*INDEX('DEFAULT DATA'!$MW$9:$VD$41,START!$C$3,($N64+2))*-44/12)+($K64*INDEX('DEFAULT DATA'!$MW$9:$VD$41,START!$C$3,($N64+3))*-44/12)+($L64*INDEX('DEFAULT DATA'!$MW$9:$VD$41,START!$C$3,($N64+4))*-44/12)+($M64*INDEX('DEFAULT DATA'!$MW$9:$VD$41,START!$C$3,($N64+5))*-44/12)</f>
        <v>0</v>
      </c>
      <c r="AE64" s="440">
        <f>($K64*INDEX('DEFAULT DATA'!$MW$9:$VD$41,START!$C$3,($N64))*-44/12)+($K64*INDEX('DEFAULT DATA'!$MW$9:$VD$41,START!$C$3,($N64+1))*-44/12)+($K64*INDEX('DEFAULT DATA'!$MW$9:$VD$41,START!$C$3,($N64+2))*-44/12)+($K64*INDEX('DEFAULT DATA'!$MW$9:$VD$41,START!$C$3,($N64+3))*-44/12)+($L64*INDEX('DEFAULT DATA'!$MW$9:$VD$41,START!$C$3,($N64+4))*-44/12)+($M64*INDEX('DEFAULT DATA'!$MW$9:$VD$41,START!$C$3,($N64+5))*-44/12)</f>
        <v>0</v>
      </c>
      <c r="AF64" s="440">
        <f>($K64*INDEX('DEFAULT DATA'!$MW$9:$VD$41,START!$C$3,($N64))*-44/12)+($K64*INDEX('DEFAULT DATA'!$MW$9:$VD$41,START!$C$3,($N64+1))*-44/12)+($K64*INDEX('DEFAULT DATA'!$MW$9:$VD$41,START!$C$3,($N64+2))*-44/12)+($K64*INDEX('DEFAULT DATA'!$MW$9:$VD$41,START!$C$3,($N64+3))*-44/12)+($L64*INDEX('DEFAULT DATA'!$MW$9:$VD$41,START!$C$3,($N64+4))*-44/12)+($M64*INDEX('DEFAULT DATA'!$MW$9:$VD$41,START!$C$3,($N64+5))*-44/12)</f>
        <v>0</v>
      </c>
      <c r="AG64" s="440">
        <f>($K64*INDEX('DEFAULT DATA'!$MW$9:$VD$41,START!$C$3,($N64))*-44/12)+($K64*INDEX('DEFAULT DATA'!$MW$9:$VD$41,START!$C$3,($N64+1))*-44/12)+($K64*INDEX('DEFAULT DATA'!$MW$9:$VD$41,START!$C$3,($N64+2))*-44/12)+($K64*INDEX('DEFAULT DATA'!$MW$9:$VD$41,START!$C$3,($N64+3))*-44/12)+($L64*INDEX('DEFAULT DATA'!$MW$9:$VD$41,START!$C$3,($N64+4))*-44/12)+($M64*INDEX('DEFAULT DATA'!$MW$9:$VD$41,START!$C$3,($N64+5))*-44/12)</f>
        <v>0</v>
      </c>
      <c r="AH64" s="440">
        <f>($K64*INDEX('DEFAULT DATA'!$MW$9:$VD$41,START!$C$3,($N64))*-44/12)+($K64*INDEX('DEFAULT DATA'!$MW$9:$VD$41,START!$C$3,($N64+1))*-44/12)+($K64*INDEX('DEFAULT DATA'!$MW$9:$VD$41,START!$C$3,($N64+2))*-44/12)+($K64*INDEX('DEFAULT DATA'!$MW$9:$VD$41,START!$C$3,($N64+3))*-44/12)+($L64*INDEX('DEFAULT DATA'!$MW$9:$VD$41,START!$C$3,($N64+4))*-44/12)+($M64*INDEX('DEFAULT DATA'!$MW$9:$VD$41,START!$C$3,($N64+5))*-44/12)</f>
        <v>0</v>
      </c>
      <c r="AI64" s="440">
        <f>($K64*INDEX('DEFAULT DATA'!$MW$9:$VD$41,START!$C$3,($N64))*-44/12)+($K64*INDEX('DEFAULT DATA'!$MW$9:$VD$41,START!$C$3,($N64+1))*-44/12)+($K64*INDEX('DEFAULT DATA'!$MW$9:$VD$41,START!$C$3,($N64+2))*-44/12)+($K64*INDEX('DEFAULT DATA'!$MW$9:$VD$41,START!$C$3,($N64+3))*-44/12)+($L64*INDEX('DEFAULT DATA'!$MW$9:$VD$41,START!$C$3,($N64+4))*-44/12)+($M64*INDEX('DEFAULT DATA'!$MW$9:$VD$41,START!$C$3,($N64+5))*-44/12)</f>
        <v>0</v>
      </c>
      <c r="AJ64" s="440">
        <f>($K64*INDEX('DEFAULT DATA'!$MW$9:$VD$41,START!$C$3,($N64))*-44/12)+($K64*INDEX('DEFAULT DATA'!$MW$9:$VD$41,START!$C$3,($N64+1))*-44/12)+($K64*INDEX('DEFAULT DATA'!$MW$9:$VD$41,START!$C$3,($N64+2))*-44/12)+($K64*INDEX('DEFAULT DATA'!$MW$9:$VD$41,START!$C$3,($N64+3))*-44/12)+($L64*INDEX('DEFAULT DATA'!$MW$9:$VD$41,START!$C$3,($N64+4))*-44/12)+($M64*INDEX('DEFAULT DATA'!$MW$9:$VD$41,START!$C$3,($N64+5))*-44/12)</f>
        <v>0</v>
      </c>
      <c r="AK64" s="440"/>
      <c r="AL64" s="440"/>
      <c r="AM64" s="440"/>
      <c r="AN64" s="440"/>
      <c r="AO64" s="440"/>
      <c r="AP64" s="440"/>
      <c r="AQ64" s="440"/>
      <c r="AR64" s="440"/>
      <c r="AS64" s="440"/>
      <c r="AT64" s="450"/>
    </row>
    <row r="65" spans="1:46" ht="20.100000000000001" customHeight="1">
      <c r="A65" s="421"/>
      <c r="B65" s="1350" t="s">
        <v>949</v>
      </c>
      <c r="C65" s="1024"/>
      <c r="D65" s="1024"/>
      <c r="E65" s="955">
        <v>0</v>
      </c>
      <c r="F65" s="953">
        <v>0</v>
      </c>
      <c r="G65" s="956">
        <v>0</v>
      </c>
      <c r="H65" s="1024">
        <v>1</v>
      </c>
      <c r="I65" s="460"/>
      <c r="J65" s="273"/>
      <c r="Q65" s="463">
        <f>SUM(Q35:Q64)</f>
        <v>-35229.850691366286</v>
      </c>
      <c r="R65" s="463">
        <f t="shared" ref="R65:AT65" si="42">SUM(R35:R64)</f>
        <v>-35229.850691366286</v>
      </c>
      <c r="S65" s="463">
        <f t="shared" si="42"/>
        <v>-35229.850691366286</v>
      </c>
      <c r="T65" s="463">
        <f t="shared" si="42"/>
        <v>-35229.850691366286</v>
      </c>
      <c r="U65" s="463">
        <f t="shared" si="42"/>
        <v>-35229.850691366286</v>
      </c>
      <c r="V65" s="463">
        <f t="shared" si="42"/>
        <v>-35229.850691366286</v>
      </c>
      <c r="W65" s="463">
        <f t="shared" si="42"/>
        <v>-35229.850691366286</v>
      </c>
      <c r="X65" s="463">
        <f t="shared" si="42"/>
        <v>-35229.850691366286</v>
      </c>
      <c r="Y65" s="463">
        <f t="shared" si="42"/>
        <v>-35229.850691366286</v>
      </c>
      <c r="Z65" s="463">
        <f t="shared" si="42"/>
        <v>-35229.850691366286</v>
      </c>
      <c r="AA65" s="463">
        <f t="shared" si="42"/>
        <v>-35229.850691366286</v>
      </c>
      <c r="AB65" s="463">
        <f t="shared" si="42"/>
        <v>-35229.850691366286</v>
      </c>
      <c r="AC65" s="463">
        <f t="shared" si="42"/>
        <v>-35229.850691366286</v>
      </c>
      <c r="AD65" s="463">
        <f t="shared" si="42"/>
        <v>-35229.850691366286</v>
      </c>
      <c r="AE65" s="463">
        <f t="shared" si="42"/>
        <v>-35229.850691366286</v>
      </c>
      <c r="AF65" s="463">
        <f t="shared" si="42"/>
        <v>-35229.850691366286</v>
      </c>
      <c r="AG65" s="463">
        <f t="shared" si="42"/>
        <v>-35229.850691366286</v>
      </c>
      <c r="AH65" s="463">
        <f t="shared" si="42"/>
        <v>-35229.850691366286</v>
      </c>
      <c r="AI65" s="463">
        <f t="shared" si="42"/>
        <v>-35229.850691366286</v>
      </c>
      <c r="AJ65" s="463">
        <f>SUM(AJ35:AJ64)</f>
        <v>-35229.850691366286</v>
      </c>
      <c r="AK65" s="463">
        <f t="shared" si="42"/>
        <v>-8805.061101593461</v>
      </c>
      <c r="AL65" s="463">
        <f t="shared" si="42"/>
        <v>-8805.061101593461</v>
      </c>
      <c r="AM65" s="463">
        <f t="shared" si="42"/>
        <v>-8805.061101593461</v>
      </c>
      <c r="AN65" s="463">
        <f t="shared" si="42"/>
        <v>-8805.061101593461</v>
      </c>
      <c r="AO65" s="463">
        <f t="shared" si="42"/>
        <v>-8805.061101593461</v>
      </c>
      <c r="AP65" s="463">
        <f t="shared" si="42"/>
        <v>-8805.061101593461</v>
      </c>
      <c r="AQ65" s="463">
        <f t="shared" si="42"/>
        <v>-8805.061101593461</v>
      </c>
      <c r="AR65" s="463">
        <f t="shared" si="42"/>
        <v>-8805.061101593461</v>
      </c>
      <c r="AS65" s="463">
        <f t="shared" si="42"/>
        <v>-8805.061101593461</v>
      </c>
      <c r="AT65" s="463">
        <f t="shared" si="42"/>
        <v>-8805.061101593461</v>
      </c>
    </row>
    <row r="66" spans="1:46" ht="20.100000000000001" customHeight="1" thickBot="1">
      <c r="A66" s="1352"/>
      <c r="B66" s="1351" t="s">
        <v>950</v>
      </c>
      <c r="C66" s="461"/>
      <c r="D66" s="461"/>
      <c r="E66" s="957">
        <v>0</v>
      </c>
      <c r="F66" s="958">
        <v>0</v>
      </c>
      <c r="G66" s="959">
        <v>0</v>
      </c>
      <c r="H66" s="461">
        <v>1</v>
      </c>
      <c r="I66" s="462"/>
      <c r="J66" s="273"/>
    </row>
    <row r="67" spans="1:46" ht="20.100000000000001" customHeight="1" thickBot="1">
      <c r="A67" s="449"/>
      <c r="B67" s="1346" t="s">
        <v>908</v>
      </c>
      <c r="C67" s="383"/>
      <c r="D67" s="383"/>
      <c r="E67" s="951">
        <v>0</v>
      </c>
      <c r="F67" s="960">
        <v>0</v>
      </c>
      <c r="G67" s="951">
        <v>0</v>
      </c>
      <c r="H67" s="383">
        <v>1</v>
      </c>
      <c r="I67" s="433"/>
      <c r="J67" s="273"/>
      <c r="O67" s="417" t="s">
        <v>968</v>
      </c>
    </row>
    <row r="68" spans="1:46" ht="20.100000000000001" customHeight="1" thickBot="1">
      <c r="A68" s="421"/>
      <c r="B68" s="1347" t="s">
        <v>909</v>
      </c>
      <c r="C68" s="1024"/>
      <c r="D68" s="1024"/>
      <c r="E68" s="955">
        <v>0</v>
      </c>
      <c r="F68" s="953">
        <v>0</v>
      </c>
      <c r="G68" s="955">
        <v>0</v>
      </c>
      <c r="H68" s="1024">
        <v>1</v>
      </c>
      <c r="I68" s="460"/>
      <c r="J68" s="273"/>
      <c r="O68" s="464" t="str">
        <f>O33</f>
        <v>land use change</v>
      </c>
      <c r="P68" s="465"/>
      <c r="Q68" s="466">
        <f>2022</f>
        <v>2022</v>
      </c>
      <c r="R68" s="466">
        <f>Q68+1</f>
        <v>2023</v>
      </c>
      <c r="S68" s="466">
        <f t="shared" ref="S68:AR68" si="43">R68+1</f>
        <v>2024</v>
      </c>
      <c r="T68" s="466">
        <f t="shared" si="43"/>
        <v>2025</v>
      </c>
      <c r="U68" s="466">
        <f t="shared" si="43"/>
        <v>2026</v>
      </c>
      <c r="V68" s="466">
        <f t="shared" si="43"/>
        <v>2027</v>
      </c>
      <c r="W68" s="466">
        <f t="shared" si="43"/>
        <v>2028</v>
      </c>
      <c r="X68" s="466">
        <f t="shared" si="43"/>
        <v>2029</v>
      </c>
      <c r="Y68" s="466">
        <f t="shared" si="43"/>
        <v>2030</v>
      </c>
      <c r="Z68" s="466">
        <f t="shared" si="43"/>
        <v>2031</v>
      </c>
      <c r="AA68" s="466">
        <f t="shared" si="43"/>
        <v>2032</v>
      </c>
      <c r="AB68" s="466">
        <f t="shared" si="43"/>
        <v>2033</v>
      </c>
      <c r="AC68" s="466">
        <f t="shared" si="43"/>
        <v>2034</v>
      </c>
      <c r="AD68" s="466">
        <f t="shared" si="43"/>
        <v>2035</v>
      </c>
      <c r="AE68" s="466">
        <f t="shared" si="43"/>
        <v>2036</v>
      </c>
      <c r="AF68" s="466">
        <f t="shared" si="43"/>
        <v>2037</v>
      </c>
      <c r="AG68" s="466">
        <f t="shared" si="43"/>
        <v>2038</v>
      </c>
      <c r="AH68" s="466">
        <f t="shared" si="43"/>
        <v>2039</v>
      </c>
      <c r="AI68" s="466">
        <f t="shared" si="43"/>
        <v>2040</v>
      </c>
      <c r="AJ68" s="466">
        <f t="shared" si="43"/>
        <v>2041</v>
      </c>
      <c r="AK68" s="466">
        <f t="shared" si="43"/>
        <v>2042</v>
      </c>
      <c r="AL68" s="466">
        <f t="shared" si="43"/>
        <v>2043</v>
      </c>
      <c r="AM68" s="466">
        <f t="shared" si="43"/>
        <v>2044</v>
      </c>
      <c r="AN68" s="466">
        <f t="shared" si="43"/>
        <v>2045</v>
      </c>
      <c r="AO68" s="466">
        <f t="shared" si="43"/>
        <v>2046</v>
      </c>
      <c r="AP68" s="466">
        <f t="shared" si="43"/>
        <v>2047</v>
      </c>
      <c r="AQ68" s="466">
        <f t="shared" si="43"/>
        <v>2048</v>
      </c>
      <c r="AR68" s="466">
        <f t="shared" si="43"/>
        <v>2049</v>
      </c>
      <c r="AS68" s="467">
        <f>AR68+1</f>
        <v>2050</v>
      </c>
    </row>
    <row r="69" spans="1:46" ht="20.100000000000001" customHeight="1">
      <c r="A69" s="421"/>
      <c r="B69" s="1347" t="s">
        <v>910</v>
      </c>
      <c r="C69" s="1024"/>
      <c r="D69" s="1024"/>
      <c r="E69" s="955">
        <v>0</v>
      </c>
      <c r="F69" s="953">
        <v>0</v>
      </c>
      <c r="G69" s="955">
        <v>0</v>
      </c>
      <c r="H69" s="1024">
        <v>1</v>
      </c>
      <c r="I69" s="460"/>
      <c r="J69" s="273"/>
      <c r="N69" s="417">
        <v>1</v>
      </c>
      <c r="O69" s="468" t="str">
        <f t="shared" ref="O69:O97" si="44">O35</f>
        <v>from_cropland_to_forestland</v>
      </c>
      <c r="P69" s="469"/>
      <c r="Q69" s="322">
        <f>IF($P35&gt;Q$68,0,INDEX($Q$35:$AT$64,$N69,(Q$68-$P35+1)))</f>
        <v>0</v>
      </c>
      <c r="R69" s="322">
        <f t="shared" ref="R69:AS78" si="45">IF($P35&gt;R$68,0,INDEX($Q$35:$AT$64,$N69,(R$68-$P35+1)))</f>
        <v>0</v>
      </c>
      <c r="S69" s="322">
        <f t="shared" si="45"/>
        <v>0</v>
      </c>
      <c r="T69" s="322">
        <f t="shared" si="45"/>
        <v>-18657.084688751667</v>
      </c>
      <c r="U69" s="322">
        <f t="shared" si="45"/>
        <v>-18657.084688751667</v>
      </c>
      <c r="V69" s="322">
        <f t="shared" si="45"/>
        <v>-18657.084688751667</v>
      </c>
      <c r="W69" s="322">
        <f t="shared" si="45"/>
        <v>-18657.084688751667</v>
      </c>
      <c r="X69" s="322">
        <f t="shared" si="45"/>
        <v>-18657.084688751667</v>
      </c>
      <c r="Y69" s="322">
        <f t="shared" si="45"/>
        <v>-18657.084688751667</v>
      </c>
      <c r="Z69" s="322">
        <f t="shared" si="45"/>
        <v>-18657.084688751667</v>
      </c>
      <c r="AA69" s="322">
        <f t="shared" si="45"/>
        <v>-18657.084688751667</v>
      </c>
      <c r="AB69" s="322">
        <f t="shared" si="45"/>
        <v>-18657.084688751667</v>
      </c>
      <c r="AC69" s="322">
        <f t="shared" si="45"/>
        <v>-18657.084688751667</v>
      </c>
      <c r="AD69" s="322">
        <f t="shared" si="45"/>
        <v>-18657.084688751667</v>
      </c>
      <c r="AE69" s="322">
        <f t="shared" si="45"/>
        <v>-18657.084688751667</v>
      </c>
      <c r="AF69" s="322">
        <f t="shared" si="45"/>
        <v>-18657.084688751667</v>
      </c>
      <c r="AG69" s="322">
        <f t="shared" si="45"/>
        <v>-18657.084688751667</v>
      </c>
      <c r="AH69" s="322">
        <f t="shared" si="45"/>
        <v>-18657.084688751667</v>
      </c>
      <c r="AI69" s="322">
        <f t="shared" si="45"/>
        <v>-18657.084688751667</v>
      </c>
      <c r="AJ69" s="322">
        <f t="shared" si="45"/>
        <v>-18657.084688751667</v>
      </c>
      <c r="AK69" s="322">
        <f t="shared" si="45"/>
        <v>-18657.084688751667</v>
      </c>
      <c r="AL69" s="322">
        <f t="shared" si="45"/>
        <v>-18657.084688751667</v>
      </c>
      <c r="AM69" s="322">
        <f t="shared" si="45"/>
        <v>-18657.084688751667</v>
      </c>
      <c r="AN69" s="322">
        <f t="shared" si="45"/>
        <v>-4891.7006119963671</v>
      </c>
      <c r="AO69" s="322">
        <f t="shared" si="45"/>
        <v>-4891.7006119963671</v>
      </c>
      <c r="AP69" s="322">
        <f t="shared" si="45"/>
        <v>-4891.7006119963671</v>
      </c>
      <c r="AQ69" s="322">
        <f t="shared" si="45"/>
        <v>-4891.7006119963671</v>
      </c>
      <c r="AR69" s="322">
        <f t="shared" si="45"/>
        <v>-4891.7006119963671</v>
      </c>
      <c r="AS69" s="323">
        <f t="shared" si="45"/>
        <v>-4891.7006119963671</v>
      </c>
    </row>
    <row r="70" spans="1:46" ht="20.100000000000001" customHeight="1">
      <c r="A70" s="421"/>
      <c r="B70" s="1347" t="s">
        <v>911</v>
      </c>
      <c r="C70" s="1024"/>
      <c r="D70" s="1024"/>
      <c r="E70" s="955">
        <v>0</v>
      </c>
      <c r="F70" s="953">
        <v>0</v>
      </c>
      <c r="G70" s="955">
        <v>0</v>
      </c>
      <c r="H70" s="1024">
        <v>1</v>
      </c>
      <c r="I70" s="460"/>
      <c r="J70" s="273"/>
      <c r="N70" s="417">
        <f>N69+1</f>
        <v>2</v>
      </c>
      <c r="O70" s="241" t="str">
        <f t="shared" si="44"/>
        <v>from_grassland_to_forestland</v>
      </c>
      <c r="P70" s="419"/>
      <c r="Q70" s="272">
        <f t="shared" ref="Q70:AF98" si="46">IF($P36&gt;Q$68,0,INDEX($Q$35:$AT$64,$N70,(Q$68-$P36+1)))</f>
        <v>0</v>
      </c>
      <c r="R70" s="272">
        <f t="shared" si="46"/>
        <v>0</v>
      </c>
      <c r="S70" s="272">
        <f t="shared" si="46"/>
        <v>0</v>
      </c>
      <c r="T70" s="272">
        <f t="shared" si="46"/>
        <v>-5727.1473601260959</v>
      </c>
      <c r="U70" s="272">
        <f t="shared" si="46"/>
        <v>-5727.1473601260959</v>
      </c>
      <c r="V70" s="272">
        <f t="shared" si="46"/>
        <v>-5727.1473601260959</v>
      </c>
      <c r="W70" s="272">
        <f t="shared" si="46"/>
        <v>-5727.1473601260959</v>
      </c>
      <c r="X70" s="272">
        <f t="shared" si="46"/>
        <v>-5727.1473601260959</v>
      </c>
      <c r="Y70" s="272">
        <f t="shared" si="46"/>
        <v>-5727.1473601260959</v>
      </c>
      <c r="Z70" s="272">
        <f t="shared" si="46"/>
        <v>-5727.1473601260959</v>
      </c>
      <c r="AA70" s="272">
        <f t="shared" si="46"/>
        <v>-5727.1473601260959</v>
      </c>
      <c r="AB70" s="272">
        <f t="shared" si="46"/>
        <v>-5727.1473601260959</v>
      </c>
      <c r="AC70" s="272">
        <f t="shared" si="46"/>
        <v>-5727.1473601260959</v>
      </c>
      <c r="AD70" s="272">
        <f t="shared" si="46"/>
        <v>-5727.1473601260959</v>
      </c>
      <c r="AE70" s="272">
        <f t="shared" si="46"/>
        <v>-5727.1473601260959</v>
      </c>
      <c r="AF70" s="272">
        <f t="shared" si="46"/>
        <v>-5727.1473601260959</v>
      </c>
      <c r="AG70" s="272">
        <f t="shared" si="45"/>
        <v>-5727.1473601260959</v>
      </c>
      <c r="AH70" s="272">
        <f t="shared" si="45"/>
        <v>-5727.1473601260959</v>
      </c>
      <c r="AI70" s="272">
        <f t="shared" si="45"/>
        <v>-5727.1473601260959</v>
      </c>
      <c r="AJ70" s="272">
        <f t="shared" si="45"/>
        <v>-5727.1473601260959</v>
      </c>
      <c r="AK70" s="272">
        <f t="shared" si="45"/>
        <v>-5727.1473601260959</v>
      </c>
      <c r="AL70" s="272">
        <f t="shared" si="45"/>
        <v>-5727.1473601260959</v>
      </c>
      <c r="AM70" s="272">
        <f t="shared" si="45"/>
        <v>-5727.1473601260959</v>
      </c>
      <c r="AN70" s="272">
        <f t="shared" si="45"/>
        <v>-978.34012239927335</v>
      </c>
      <c r="AO70" s="272">
        <f t="shared" si="45"/>
        <v>-978.34012239927335</v>
      </c>
      <c r="AP70" s="272">
        <f t="shared" si="45"/>
        <v>-978.34012239927335</v>
      </c>
      <c r="AQ70" s="272">
        <f t="shared" si="45"/>
        <v>-978.34012239927335</v>
      </c>
      <c r="AR70" s="272">
        <f t="shared" si="45"/>
        <v>-978.34012239927335</v>
      </c>
      <c r="AS70" s="324">
        <f t="shared" si="45"/>
        <v>-978.34012239927335</v>
      </c>
    </row>
    <row r="71" spans="1:46" ht="20.100000000000001" customHeight="1" thickBot="1">
      <c r="A71" s="1352"/>
      <c r="B71" s="1348" t="s">
        <v>912</v>
      </c>
      <c r="C71" s="461"/>
      <c r="D71" s="461"/>
      <c r="E71" s="957">
        <v>0</v>
      </c>
      <c r="F71" s="958">
        <v>0</v>
      </c>
      <c r="G71" s="957">
        <v>0</v>
      </c>
      <c r="H71" s="461">
        <v>1</v>
      </c>
      <c r="I71" s="462"/>
      <c r="J71" s="273"/>
      <c r="N71" s="417">
        <f t="shared" ref="N71:N98" si="47">N70+1</f>
        <v>3</v>
      </c>
      <c r="O71" s="241" t="str">
        <f t="shared" si="44"/>
        <v>from_wetland_to_forestland</v>
      </c>
      <c r="P71" s="419"/>
      <c r="Q71" s="272">
        <f t="shared" si="46"/>
        <v>0</v>
      </c>
      <c r="R71" s="272">
        <f t="shared" si="45"/>
        <v>0</v>
      </c>
      <c r="S71" s="272">
        <f t="shared" si="45"/>
        <v>0</v>
      </c>
      <c r="T71" s="272">
        <f t="shared" si="45"/>
        <v>-2270.57917973744</v>
      </c>
      <c r="U71" s="272">
        <f t="shared" si="45"/>
        <v>-2270.57917973744</v>
      </c>
      <c r="V71" s="272">
        <f t="shared" si="45"/>
        <v>-2270.57917973744</v>
      </c>
      <c r="W71" s="272">
        <f t="shared" si="45"/>
        <v>-2270.57917973744</v>
      </c>
      <c r="X71" s="272">
        <f t="shared" si="45"/>
        <v>-2270.57917973744</v>
      </c>
      <c r="Y71" s="272">
        <f t="shared" si="45"/>
        <v>-2270.57917973744</v>
      </c>
      <c r="Z71" s="272">
        <f t="shared" si="45"/>
        <v>-2270.57917973744</v>
      </c>
      <c r="AA71" s="272">
        <f t="shared" si="45"/>
        <v>-2270.57917973744</v>
      </c>
      <c r="AB71" s="272">
        <f t="shared" si="45"/>
        <v>-2270.57917973744</v>
      </c>
      <c r="AC71" s="272">
        <f t="shared" si="45"/>
        <v>-2270.57917973744</v>
      </c>
      <c r="AD71" s="272">
        <f t="shared" si="45"/>
        <v>-2270.57917973744</v>
      </c>
      <c r="AE71" s="272">
        <f t="shared" si="45"/>
        <v>-2270.57917973744</v>
      </c>
      <c r="AF71" s="272">
        <f t="shared" si="45"/>
        <v>-2270.57917973744</v>
      </c>
      <c r="AG71" s="272">
        <f t="shared" si="45"/>
        <v>-2270.57917973744</v>
      </c>
      <c r="AH71" s="272">
        <f t="shared" si="45"/>
        <v>-2270.57917973744</v>
      </c>
      <c r="AI71" s="272">
        <f t="shared" si="45"/>
        <v>-2270.57917973744</v>
      </c>
      <c r="AJ71" s="272">
        <f t="shared" si="45"/>
        <v>-2270.57917973744</v>
      </c>
      <c r="AK71" s="272">
        <f t="shared" si="45"/>
        <v>-2270.57917973744</v>
      </c>
      <c r="AL71" s="272">
        <f t="shared" si="45"/>
        <v>-2270.57917973744</v>
      </c>
      <c r="AM71" s="272">
        <f t="shared" si="45"/>
        <v>-2270.57917973744</v>
      </c>
      <c r="AN71" s="272">
        <f t="shared" si="45"/>
        <v>-978.34012239927335</v>
      </c>
      <c r="AO71" s="272">
        <f t="shared" si="45"/>
        <v>-978.34012239927335</v>
      </c>
      <c r="AP71" s="272">
        <f t="shared" si="45"/>
        <v>-978.34012239927335</v>
      </c>
      <c r="AQ71" s="272">
        <f t="shared" si="45"/>
        <v>-978.34012239927335</v>
      </c>
      <c r="AR71" s="272">
        <f t="shared" si="45"/>
        <v>-978.34012239927335</v>
      </c>
      <c r="AS71" s="324">
        <f t="shared" si="45"/>
        <v>-978.34012239927335</v>
      </c>
    </row>
    <row r="72" spans="1:46" ht="20.100000000000001" customHeight="1">
      <c r="A72" s="449"/>
      <c r="B72" s="1346" t="s">
        <v>913</v>
      </c>
      <c r="C72" s="383"/>
      <c r="D72" s="383"/>
      <c r="E72" s="951">
        <v>0</v>
      </c>
      <c r="F72" s="960">
        <v>0</v>
      </c>
      <c r="G72" s="951">
        <v>0</v>
      </c>
      <c r="H72" s="383">
        <v>1</v>
      </c>
      <c r="I72" s="433"/>
      <c r="J72" s="273"/>
      <c r="N72" s="417">
        <f t="shared" si="47"/>
        <v>4</v>
      </c>
      <c r="O72" s="241" t="str">
        <f t="shared" si="44"/>
        <v>from_settlements_to_forestland</v>
      </c>
      <c r="P72" s="419"/>
      <c r="Q72" s="272">
        <f t="shared" si="46"/>
        <v>0</v>
      </c>
      <c r="R72" s="272">
        <f t="shared" si="45"/>
        <v>0</v>
      </c>
      <c r="S72" s="272">
        <f t="shared" si="45"/>
        <v>0</v>
      </c>
      <c r="T72" s="272">
        <f t="shared" si="45"/>
        <v>-3476.7418240909933</v>
      </c>
      <c r="U72" s="272">
        <f t="shared" si="45"/>
        <v>-3476.7418240909933</v>
      </c>
      <c r="V72" s="272">
        <f t="shared" si="45"/>
        <v>-3476.7418240909933</v>
      </c>
      <c r="W72" s="272">
        <f t="shared" si="45"/>
        <v>-3476.7418240909933</v>
      </c>
      <c r="X72" s="272">
        <f t="shared" si="45"/>
        <v>-3476.7418240909933</v>
      </c>
      <c r="Y72" s="272">
        <f t="shared" si="45"/>
        <v>-3476.7418240909933</v>
      </c>
      <c r="Z72" s="272">
        <f t="shared" si="45"/>
        <v>-3476.7418240909933</v>
      </c>
      <c r="AA72" s="272">
        <f t="shared" si="45"/>
        <v>-3476.7418240909933</v>
      </c>
      <c r="AB72" s="272">
        <f t="shared" si="45"/>
        <v>-3476.7418240909933</v>
      </c>
      <c r="AC72" s="272">
        <f t="shared" si="45"/>
        <v>-3476.7418240909933</v>
      </c>
      <c r="AD72" s="272">
        <f t="shared" si="45"/>
        <v>-3476.7418240909933</v>
      </c>
      <c r="AE72" s="272">
        <f t="shared" si="45"/>
        <v>-3476.7418240909933</v>
      </c>
      <c r="AF72" s="272">
        <f t="shared" si="45"/>
        <v>-3476.7418240909933</v>
      </c>
      <c r="AG72" s="272">
        <f t="shared" si="45"/>
        <v>-3476.7418240909933</v>
      </c>
      <c r="AH72" s="272">
        <f t="shared" si="45"/>
        <v>-3476.7418240909933</v>
      </c>
      <c r="AI72" s="272">
        <f t="shared" si="45"/>
        <v>-3476.7418240909933</v>
      </c>
      <c r="AJ72" s="272">
        <f t="shared" si="45"/>
        <v>-3476.7418240909933</v>
      </c>
      <c r="AK72" s="272">
        <f t="shared" si="45"/>
        <v>-3476.7418240909933</v>
      </c>
      <c r="AL72" s="272">
        <f t="shared" si="45"/>
        <v>-3476.7418240909933</v>
      </c>
      <c r="AM72" s="272">
        <f t="shared" si="45"/>
        <v>-3476.7418240909933</v>
      </c>
      <c r="AN72" s="272">
        <f t="shared" si="45"/>
        <v>-978.34012239927335</v>
      </c>
      <c r="AO72" s="272">
        <f t="shared" si="45"/>
        <v>-978.34012239927335</v>
      </c>
      <c r="AP72" s="272">
        <f t="shared" si="45"/>
        <v>-978.34012239927335</v>
      </c>
      <c r="AQ72" s="272">
        <f t="shared" si="45"/>
        <v>-978.34012239927335</v>
      </c>
      <c r="AR72" s="272">
        <f t="shared" si="45"/>
        <v>-978.34012239927335</v>
      </c>
      <c r="AS72" s="324">
        <f t="shared" si="45"/>
        <v>-978.34012239927335</v>
      </c>
    </row>
    <row r="73" spans="1:46" ht="20.100000000000001" customHeight="1" thickBot="1">
      <c r="A73" s="421"/>
      <c r="B73" s="1347" t="s">
        <v>914</v>
      </c>
      <c r="C73" s="1024"/>
      <c r="D73" s="1024"/>
      <c r="E73" s="955">
        <v>0</v>
      </c>
      <c r="F73" s="953">
        <v>0</v>
      </c>
      <c r="G73" s="955">
        <v>0</v>
      </c>
      <c r="H73" s="1024">
        <v>1</v>
      </c>
      <c r="I73" s="460"/>
      <c r="J73" s="273"/>
      <c r="N73" s="417">
        <f t="shared" si="47"/>
        <v>5</v>
      </c>
      <c r="O73" s="470" t="str">
        <f t="shared" si="44"/>
        <v>from_other_land_to_forestland</v>
      </c>
      <c r="P73" s="471"/>
      <c r="Q73" s="325">
        <f t="shared" si="46"/>
        <v>0</v>
      </c>
      <c r="R73" s="325">
        <f t="shared" si="45"/>
        <v>0</v>
      </c>
      <c r="S73" s="325">
        <f t="shared" si="45"/>
        <v>0</v>
      </c>
      <c r="T73" s="325">
        <f t="shared" si="45"/>
        <v>-5098.2976386600867</v>
      </c>
      <c r="U73" s="325">
        <f t="shared" si="45"/>
        <v>-5098.2976386600867</v>
      </c>
      <c r="V73" s="325">
        <f t="shared" si="45"/>
        <v>-5098.2976386600867</v>
      </c>
      <c r="W73" s="325">
        <f t="shared" si="45"/>
        <v>-5098.2976386600867</v>
      </c>
      <c r="X73" s="325">
        <f t="shared" si="45"/>
        <v>-5098.2976386600867</v>
      </c>
      <c r="Y73" s="325">
        <f t="shared" si="45"/>
        <v>-5098.2976386600867</v>
      </c>
      <c r="Z73" s="325">
        <f t="shared" si="45"/>
        <v>-5098.2976386600867</v>
      </c>
      <c r="AA73" s="325">
        <f t="shared" si="45"/>
        <v>-5098.2976386600867</v>
      </c>
      <c r="AB73" s="325">
        <f t="shared" si="45"/>
        <v>-5098.2976386600867</v>
      </c>
      <c r="AC73" s="325">
        <f t="shared" si="45"/>
        <v>-5098.2976386600867</v>
      </c>
      <c r="AD73" s="325">
        <f t="shared" si="45"/>
        <v>-5098.2976386600867</v>
      </c>
      <c r="AE73" s="325">
        <f t="shared" si="45"/>
        <v>-5098.2976386600867</v>
      </c>
      <c r="AF73" s="325">
        <f t="shared" si="45"/>
        <v>-5098.2976386600867</v>
      </c>
      <c r="AG73" s="325">
        <f t="shared" si="45"/>
        <v>-5098.2976386600867</v>
      </c>
      <c r="AH73" s="325">
        <f t="shared" si="45"/>
        <v>-5098.2976386600867</v>
      </c>
      <c r="AI73" s="325">
        <f t="shared" si="45"/>
        <v>-5098.2976386600867</v>
      </c>
      <c r="AJ73" s="325">
        <f t="shared" si="45"/>
        <v>-5098.2976386600867</v>
      </c>
      <c r="AK73" s="325">
        <f t="shared" si="45"/>
        <v>-5098.2976386600867</v>
      </c>
      <c r="AL73" s="325">
        <f t="shared" si="45"/>
        <v>-5098.2976386600867</v>
      </c>
      <c r="AM73" s="325">
        <f t="shared" si="45"/>
        <v>-5098.2976386600867</v>
      </c>
      <c r="AN73" s="325">
        <f t="shared" si="45"/>
        <v>-978.34012239927335</v>
      </c>
      <c r="AO73" s="325">
        <f t="shared" si="45"/>
        <v>-978.34012239927335</v>
      </c>
      <c r="AP73" s="325">
        <f t="shared" si="45"/>
        <v>-978.34012239927335</v>
      </c>
      <c r="AQ73" s="325">
        <f t="shared" si="45"/>
        <v>-978.34012239927335</v>
      </c>
      <c r="AR73" s="325">
        <f t="shared" si="45"/>
        <v>-978.34012239927335</v>
      </c>
      <c r="AS73" s="326">
        <f t="shared" si="45"/>
        <v>-978.34012239927335</v>
      </c>
    </row>
    <row r="74" spans="1:46" ht="20.100000000000001" customHeight="1">
      <c r="A74" s="421"/>
      <c r="B74" s="1347" t="s">
        <v>915</v>
      </c>
      <c r="C74" s="1024"/>
      <c r="D74" s="1024"/>
      <c r="E74" s="955">
        <v>0</v>
      </c>
      <c r="F74" s="953">
        <v>0</v>
      </c>
      <c r="G74" s="955">
        <v>0</v>
      </c>
      <c r="H74" s="1024">
        <v>1</v>
      </c>
      <c r="I74" s="460"/>
      <c r="J74" s="273"/>
      <c r="N74" s="417">
        <f t="shared" si="47"/>
        <v>6</v>
      </c>
      <c r="O74" s="468" t="str">
        <f t="shared" si="44"/>
        <v>from_forestland_to_cropland</v>
      </c>
      <c r="P74" s="469"/>
      <c r="Q74" s="322">
        <f t="shared" si="46"/>
        <v>0</v>
      </c>
      <c r="R74" s="322">
        <f t="shared" si="45"/>
        <v>0</v>
      </c>
      <c r="S74" s="322">
        <f t="shared" si="45"/>
        <v>0</v>
      </c>
      <c r="T74" s="322">
        <f t="shared" si="45"/>
        <v>0</v>
      </c>
      <c r="U74" s="322">
        <f t="shared" si="45"/>
        <v>0</v>
      </c>
      <c r="V74" s="322">
        <f t="shared" si="45"/>
        <v>0</v>
      </c>
      <c r="W74" s="322">
        <f t="shared" si="45"/>
        <v>0</v>
      </c>
      <c r="X74" s="322">
        <f t="shared" si="45"/>
        <v>0</v>
      </c>
      <c r="Y74" s="322">
        <f t="shared" si="45"/>
        <v>0</v>
      </c>
      <c r="Z74" s="322">
        <f t="shared" si="45"/>
        <v>0</v>
      </c>
      <c r="AA74" s="322">
        <f t="shared" si="45"/>
        <v>0</v>
      </c>
      <c r="AB74" s="322">
        <f t="shared" si="45"/>
        <v>0</v>
      </c>
      <c r="AC74" s="322">
        <f t="shared" si="45"/>
        <v>0</v>
      </c>
      <c r="AD74" s="322">
        <f t="shared" si="45"/>
        <v>0</v>
      </c>
      <c r="AE74" s="322">
        <f t="shared" si="45"/>
        <v>0</v>
      </c>
      <c r="AF74" s="322">
        <f t="shared" si="45"/>
        <v>0</v>
      </c>
      <c r="AG74" s="322">
        <f t="shared" si="45"/>
        <v>0</v>
      </c>
      <c r="AH74" s="322">
        <f t="shared" si="45"/>
        <v>0</v>
      </c>
      <c r="AI74" s="322">
        <f t="shared" si="45"/>
        <v>0</v>
      </c>
      <c r="AJ74" s="322">
        <f t="shared" si="45"/>
        <v>0</v>
      </c>
      <c r="AK74" s="322">
        <f t="shared" si="45"/>
        <v>0</v>
      </c>
      <c r="AL74" s="322">
        <f t="shared" si="45"/>
        <v>0</v>
      </c>
      <c r="AM74" s="322">
        <f t="shared" si="45"/>
        <v>0</v>
      </c>
      <c r="AN74" s="322">
        <f t="shared" si="45"/>
        <v>0</v>
      </c>
      <c r="AO74" s="322">
        <f t="shared" si="45"/>
        <v>0</v>
      </c>
      <c r="AP74" s="322">
        <f t="shared" si="45"/>
        <v>0</v>
      </c>
      <c r="AQ74" s="322">
        <f t="shared" si="45"/>
        <v>0</v>
      </c>
      <c r="AR74" s="322">
        <f t="shared" si="45"/>
        <v>0</v>
      </c>
      <c r="AS74" s="323">
        <f t="shared" si="45"/>
        <v>0</v>
      </c>
    </row>
    <row r="75" spans="1:46" ht="20.100000000000001" customHeight="1">
      <c r="A75" s="421"/>
      <c r="B75" s="1347" t="s">
        <v>916</v>
      </c>
      <c r="C75" s="1024"/>
      <c r="D75" s="1024"/>
      <c r="E75" s="955">
        <v>0</v>
      </c>
      <c r="F75" s="953">
        <v>0</v>
      </c>
      <c r="G75" s="955">
        <v>0</v>
      </c>
      <c r="H75" s="1024">
        <v>1</v>
      </c>
      <c r="I75" s="460"/>
      <c r="J75" s="273"/>
      <c r="N75" s="417">
        <f t="shared" si="47"/>
        <v>7</v>
      </c>
      <c r="O75" s="241" t="str">
        <f t="shared" si="44"/>
        <v>from_grassland_to_cropland</v>
      </c>
      <c r="P75" s="419"/>
      <c r="Q75" s="272">
        <f t="shared" si="46"/>
        <v>0</v>
      </c>
      <c r="R75" s="272">
        <f t="shared" si="45"/>
        <v>0</v>
      </c>
      <c r="S75" s="272">
        <f t="shared" si="45"/>
        <v>0</v>
      </c>
      <c r="T75" s="272">
        <f t="shared" si="45"/>
        <v>0</v>
      </c>
      <c r="U75" s="272">
        <f t="shared" si="45"/>
        <v>0</v>
      </c>
      <c r="V75" s="272">
        <f t="shared" si="45"/>
        <v>0</v>
      </c>
      <c r="W75" s="272">
        <f t="shared" si="45"/>
        <v>0</v>
      </c>
      <c r="X75" s="272">
        <f t="shared" si="45"/>
        <v>0</v>
      </c>
      <c r="Y75" s="272">
        <f t="shared" si="45"/>
        <v>0</v>
      </c>
      <c r="Z75" s="272">
        <f t="shared" si="45"/>
        <v>0</v>
      </c>
      <c r="AA75" s="272">
        <f t="shared" si="45"/>
        <v>0</v>
      </c>
      <c r="AB75" s="272">
        <f t="shared" si="45"/>
        <v>0</v>
      </c>
      <c r="AC75" s="272">
        <f t="shared" si="45"/>
        <v>0</v>
      </c>
      <c r="AD75" s="272">
        <f t="shared" si="45"/>
        <v>0</v>
      </c>
      <c r="AE75" s="272">
        <f t="shared" si="45"/>
        <v>0</v>
      </c>
      <c r="AF75" s="272">
        <f t="shared" si="45"/>
        <v>0</v>
      </c>
      <c r="AG75" s="272">
        <f t="shared" si="45"/>
        <v>0</v>
      </c>
      <c r="AH75" s="272">
        <f t="shared" si="45"/>
        <v>0</v>
      </c>
      <c r="AI75" s="272">
        <f t="shared" si="45"/>
        <v>0</v>
      </c>
      <c r="AJ75" s="272">
        <f t="shared" si="45"/>
        <v>0</v>
      </c>
      <c r="AK75" s="272">
        <f t="shared" si="45"/>
        <v>0</v>
      </c>
      <c r="AL75" s="272">
        <f t="shared" si="45"/>
        <v>0</v>
      </c>
      <c r="AM75" s="272">
        <f t="shared" si="45"/>
        <v>0</v>
      </c>
      <c r="AN75" s="272">
        <f t="shared" si="45"/>
        <v>0</v>
      </c>
      <c r="AO75" s="272">
        <f t="shared" si="45"/>
        <v>0</v>
      </c>
      <c r="AP75" s="272">
        <f t="shared" si="45"/>
        <v>0</v>
      </c>
      <c r="AQ75" s="272">
        <f t="shared" si="45"/>
        <v>0</v>
      </c>
      <c r="AR75" s="272">
        <f t="shared" si="45"/>
        <v>0</v>
      </c>
      <c r="AS75" s="324">
        <f t="shared" si="45"/>
        <v>0</v>
      </c>
    </row>
    <row r="76" spans="1:46" ht="20.100000000000001" customHeight="1" thickBot="1">
      <c r="A76" s="1352"/>
      <c r="B76" s="1348" t="s">
        <v>917</v>
      </c>
      <c r="C76" s="461"/>
      <c r="D76" s="461"/>
      <c r="E76" s="957">
        <v>0</v>
      </c>
      <c r="F76" s="957">
        <v>0</v>
      </c>
      <c r="G76" s="957">
        <v>0</v>
      </c>
      <c r="H76" s="461">
        <v>1</v>
      </c>
      <c r="I76" s="462"/>
      <c r="J76" s="273"/>
      <c r="N76" s="417">
        <f t="shared" si="47"/>
        <v>8</v>
      </c>
      <c r="O76" s="241" t="str">
        <f t="shared" si="44"/>
        <v>from_wetland_to_cropland</v>
      </c>
      <c r="P76" s="419"/>
      <c r="Q76" s="272">
        <f t="shared" si="46"/>
        <v>0</v>
      </c>
      <c r="R76" s="272">
        <f t="shared" si="45"/>
        <v>0</v>
      </c>
      <c r="S76" s="272">
        <f t="shared" si="45"/>
        <v>0</v>
      </c>
      <c r="T76" s="272">
        <f t="shared" si="45"/>
        <v>0</v>
      </c>
      <c r="U76" s="272">
        <f t="shared" si="45"/>
        <v>0</v>
      </c>
      <c r="V76" s="272">
        <f t="shared" si="45"/>
        <v>0</v>
      </c>
      <c r="W76" s="272">
        <f t="shared" si="45"/>
        <v>0</v>
      </c>
      <c r="X76" s="272">
        <f t="shared" si="45"/>
        <v>0</v>
      </c>
      <c r="Y76" s="272">
        <f t="shared" si="45"/>
        <v>0</v>
      </c>
      <c r="Z76" s="272">
        <f t="shared" si="45"/>
        <v>0</v>
      </c>
      <c r="AA76" s="272">
        <f t="shared" si="45"/>
        <v>0</v>
      </c>
      <c r="AB76" s="272">
        <f t="shared" si="45"/>
        <v>0</v>
      </c>
      <c r="AC76" s="272">
        <f t="shared" si="45"/>
        <v>0</v>
      </c>
      <c r="AD76" s="272">
        <f t="shared" si="45"/>
        <v>0</v>
      </c>
      <c r="AE76" s="272">
        <f t="shared" si="45"/>
        <v>0</v>
      </c>
      <c r="AF76" s="272">
        <f t="shared" si="45"/>
        <v>0</v>
      </c>
      <c r="AG76" s="272">
        <f t="shared" si="45"/>
        <v>0</v>
      </c>
      <c r="AH76" s="272">
        <f t="shared" si="45"/>
        <v>0</v>
      </c>
      <c r="AI76" s="272">
        <f t="shared" si="45"/>
        <v>0</v>
      </c>
      <c r="AJ76" s="272">
        <f t="shared" si="45"/>
        <v>0</v>
      </c>
      <c r="AK76" s="272">
        <f t="shared" si="45"/>
        <v>0</v>
      </c>
      <c r="AL76" s="272">
        <f t="shared" si="45"/>
        <v>0</v>
      </c>
      <c r="AM76" s="272">
        <f t="shared" si="45"/>
        <v>0</v>
      </c>
      <c r="AN76" s="272">
        <f t="shared" si="45"/>
        <v>0</v>
      </c>
      <c r="AO76" s="272">
        <f t="shared" si="45"/>
        <v>0</v>
      </c>
      <c r="AP76" s="272">
        <f t="shared" si="45"/>
        <v>0</v>
      </c>
      <c r="AQ76" s="272">
        <f t="shared" si="45"/>
        <v>0</v>
      </c>
      <c r="AR76" s="272">
        <f t="shared" si="45"/>
        <v>0</v>
      </c>
      <c r="AS76" s="324">
        <f t="shared" si="45"/>
        <v>0</v>
      </c>
    </row>
    <row r="77" spans="1:46" ht="20.100000000000001" customHeight="1">
      <c r="A77" s="449"/>
      <c r="B77" s="1355" t="s">
        <v>951</v>
      </c>
      <c r="C77" s="383"/>
      <c r="D77" s="383"/>
      <c r="E77" s="1356">
        <f>SUM(E47:E76)</f>
        <v>9000</v>
      </c>
      <c r="F77" s="1356">
        <f>SUM(F47:F76)</f>
        <v>0</v>
      </c>
      <c r="G77" s="1357">
        <f>SUM(G47:G76)</f>
        <v>0</v>
      </c>
      <c r="H77" s="383"/>
      <c r="I77" s="433"/>
      <c r="J77" s="273"/>
      <c r="N77" s="417">
        <f t="shared" si="47"/>
        <v>9</v>
      </c>
      <c r="O77" s="241" t="str">
        <f t="shared" si="44"/>
        <v>from_settlements_to_cropland</v>
      </c>
      <c r="P77" s="419"/>
      <c r="Q77" s="272">
        <f t="shared" si="46"/>
        <v>0</v>
      </c>
      <c r="R77" s="272">
        <f t="shared" si="45"/>
        <v>0</v>
      </c>
      <c r="S77" s="272">
        <f t="shared" si="45"/>
        <v>0</v>
      </c>
      <c r="T77" s="272">
        <f t="shared" si="45"/>
        <v>0</v>
      </c>
      <c r="U77" s="272">
        <f t="shared" si="45"/>
        <v>0</v>
      </c>
      <c r="V77" s="272">
        <f t="shared" si="45"/>
        <v>0</v>
      </c>
      <c r="W77" s="272">
        <f t="shared" si="45"/>
        <v>0</v>
      </c>
      <c r="X77" s="272">
        <f t="shared" si="45"/>
        <v>0</v>
      </c>
      <c r="Y77" s="272">
        <f t="shared" si="45"/>
        <v>0</v>
      </c>
      <c r="Z77" s="272">
        <f t="shared" si="45"/>
        <v>0</v>
      </c>
      <c r="AA77" s="272">
        <f t="shared" si="45"/>
        <v>0</v>
      </c>
      <c r="AB77" s="272">
        <f t="shared" si="45"/>
        <v>0</v>
      </c>
      <c r="AC77" s="272">
        <f t="shared" si="45"/>
        <v>0</v>
      </c>
      <c r="AD77" s="272">
        <f t="shared" si="45"/>
        <v>0</v>
      </c>
      <c r="AE77" s="272">
        <f t="shared" si="45"/>
        <v>0</v>
      </c>
      <c r="AF77" s="272">
        <f t="shared" si="45"/>
        <v>0</v>
      </c>
      <c r="AG77" s="272">
        <f t="shared" si="45"/>
        <v>0</v>
      </c>
      <c r="AH77" s="272">
        <f t="shared" si="45"/>
        <v>0</v>
      </c>
      <c r="AI77" s="272">
        <f t="shared" si="45"/>
        <v>0</v>
      </c>
      <c r="AJ77" s="272">
        <f t="shared" si="45"/>
        <v>0</v>
      </c>
      <c r="AK77" s="272">
        <f t="shared" si="45"/>
        <v>0</v>
      </c>
      <c r="AL77" s="272">
        <f t="shared" si="45"/>
        <v>0</v>
      </c>
      <c r="AM77" s="272">
        <f t="shared" si="45"/>
        <v>0</v>
      </c>
      <c r="AN77" s="272">
        <f t="shared" si="45"/>
        <v>0</v>
      </c>
      <c r="AO77" s="272">
        <f t="shared" si="45"/>
        <v>0</v>
      </c>
      <c r="AP77" s="272">
        <f t="shared" si="45"/>
        <v>0</v>
      </c>
      <c r="AQ77" s="272">
        <f t="shared" si="45"/>
        <v>0</v>
      </c>
      <c r="AR77" s="272">
        <f t="shared" si="45"/>
        <v>0</v>
      </c>
      <c r="AS77" s="324">
        <f t="shared" si="45"/>
        <v>0</v>
      </c>
    </row>
    <row r="78" spans="1:46" ht="19.5" customHeight="1" thickBot="1">
      <c r="A78" s="1352"/>
      <c r="B78" s="461"/>
      <c r="C78" s="461"/>
      <c r="D78" s="461"/>
      <c r="E78" s="461"/>
      <c r="F78" s="461"/>
      <c r="G78" s="461"/>
      <c r="H78" s="461"/>
      <c r="I78" s="462"/>
      <c r="J78" s="273"/>
      <c r="N78" s="417">
        <f t="shared" si="47"/>
        <v>10</v>
      </c>
      <c r="O78" s="470" t="str">
        <f t="shared" si="44"/>
        <v>from_other_land_to_cropland</v>
      </c>
      <c r="P78" s="471"/>
      <c r="Q78" s="325">
        <f t="shared" si="46"/>
        <v>0</v>
      </c>
      <c r="R78" s="325">
        <f t="shared" si="45"/>
        <v>0</v>
      </c>
      <c r="S78" s="325">
        <f t="shared" si="45"/>
        <v>0</v>
      </c>
      <c r="T78" s="325">
        <f t="shared" si="45"/>
        <v>0</v>
      </c>
      <c r="U78" s="325">
        <f t="shared" si="45"/>
        <v>0</v>
      </c>
      <c r="V78" s="325">
        <f t="shared" si="45"/>
        <v>0</v>
      </c>
      <c r="W78" s="325">
        <f t="shared" si="45"/>
        <v>0</v>
      </c>
      <c r="X78" s="325">
        <f t="shared" si="45"/>
        <v>0</v>
      </c>
      <c r="Y78" s="325">
        <f t="shared" si="45"/>
        <v>0</v>
      </c>
      <c r="Z78" s="325">
        <f t="shared" si="45"/>
        <v>0</v>
      </c>
      <c r="AA78" s="325">
        <f t="shared" si="45"/>
        <v>0</v>
      </c>
      <c r="AB78" s="325">
        <f t="shared" si="45"/>
        <v>0</v>
      </c>
      <c r="AC78" s="325">
        <f t="shared" si="45"/>
        <v>0</v>
      </c>
      <c r="AD78" s="325">
        <f t="shared" si="45"/>
        <v>0</v>
      </c>
      <c r="AE78" s="325">
        <f t="shared" si="45"/>
        <v>0</v>
      </c>
      <c r="AF78" s="325">
        <f t="shared" si="45"/>
        <v>0</v>
      </c>
      <c r="AG78" s="325">
        <f t="shared" si="45"/>
        <v>0</v>
      </c>
      <c r="AH78" s="325">
        <f t="shared" si="45"/>
        <v>0</v>
      </c>
      <c r="AI78" s="325">
        <f t="shared" si="45"/>
        <v>0</v>
      </c>
      <c r="AJ78" s="325">
        <f t="shared" ref="R78:AS87" si="48">IF($P44&gt;AJ$68,0,INDEX($Q$35:$AT$64,$N78,(AJ$68-$P44+1)))</f>
        <v>0</v>
      </c>
      <c r="AK78" s="325">
        <f t="shared" si="48"/>
        <v>0</v>
      </c>
      <c r="AL78" s="325">
        <f t="shared" si="48"/>
        <v>0</v>
      </c>
      <c r="AM78" s="325">
        <f t="shared" si="48"/>
        <v>0</v>
      </c>
      <c r="AN78" s="325">
        <f t="shared" si="48"/>
        <v>0</v>
      </c>
      <c r="AO78" s="325">
        <f t="shared" si="48"/>
        <v>0</v>
      </c>
      <c r="AP78" s="325">
        <f t="shared" si="48"/>
        <v>0</v>
      </c>
      <c r="AQ78" s="325">
        <f t="shared" si="48"/>
        <v>0</v>
      </c>
      <c r="AR78" s="325">
        <f t="shared" si="48"/>
        <v>0</v>
      </c>
      <c r="AS78" s="326">
        <f t="shared" si="48"/>
        <v>0</v>
      </c>
    </row>
    <row r="79" spans="1:46" ht="19.5" customHeight="1" thickBot="1">
      <c r="A79" s="449"/>
      <c r="B79" s="1358" t="s">
        <v>1875</v>
      </c>
      <c r="C79" s="1358"/>
      <c r="D79" s="1358"/>
      <c r="E79" s="1358"/>
      <c r="F79" s="1358"/>
      <c r="G79" s="1358"/>
      <c r="H79" s="1358"/>
      <c r="I79" s="1359"/>
      <c r="J79" s="273"/>
      <c r="N79" s="417">
        <f t="shared" si="47"/>
        <v>11</v>
      </c>
      <c r="O79" s="468" t="str">
        <f t="shared" si="44"/>
        <v>from_forestland_to_grassland</v>
      </c>
      <c r="P79" s="469"/>
      <c r="Q79" s="322">
        <f t="shared" si="46"/>
        <v>0</v>
      </c>
      <c r="R79" s="322">
        <f t="shared" si="48"/>
        <v>0</v>
      </c>
      <c r="S79" s="322">
        <f t="shared" si="48"/>
        <v>0</v>
      </c>
      <c r="T79" s="322">
        <f t="shared" si="48"/>
        <v>0</v>
      </c>
      <c r="U79" s="322">
        <f t="shared" si="48"/>
        <v>0</v>
      </c>
      <c r="V79" s="322">
        <f t="shared" si="48"/>
        <v>0</v>
      </c>
      <c r="W79" s="322">
        <f t="shared" si="48"/>
        <v>0</v>
      </c>
      <c r="X79" s="322">
        <f t="shared" si="48"/>
        <v>0</v>
      </c>
      <c r="Y79" s="322">
        <f t="shared" si="48"/>
        <v>0</v>
      </c>
      <c r="Z79" s="322">
        <f t="shared" si="48"/>
        <v>0</v>
      </c>
      <c r="AA79" s="322">
        <f t="shared" si="48"/>
        <v>0</v>
      </c>
      <c r="AB79" s="322">
        <f t="shared" si="48"/>
        <v>0</v>
      </c>
      <c r="AC79" s="322">
        <f t="shared" si="48"/>
        <v>0</v>
      </c>
      <c r="AD79" s="322">
        <f t="shared" si="48"/>
        <v>0</v>
      </c>
      <c r="AE79" s="322">
        <f t="shared" si="48"/>
        <v>0</v>
      </c>
      <c r="AF79" s="322">
        <f t="shared" si="48"/>
        <v>0</v>
      </c>
      <c r="AG79" s="322">
        <f t="shared" si="48"/>
        <v>0</v>
      </c>
      <c r="AH79" s="322">
        <f t="shared" si="48"/>
        <v>0</v>
      </c>
      <c r="AI79" s="322">
        <f t="shared" si="48"/>
        <v>0</v>
      </c>
      <c r="AJ79" s="322">
        <f t="shared" si="48"/>
        <v>0</v>
      </c>
      <c r="AK79" s="322">
        <f t="shared" si="48"/>
        <v>0</v>
      </c>
      <c r="AL79" s="322">
        <f t="shared" si="48"/>
        <v>0</v>
      </c>
      <c r="AM79" s="322">
        <f t="shared" si="48"/>
        <v>0</v>
      </c>
      <c r="AN79" s="322">
        <f t="shared" si="48"/>
        <v>0</v>
      </c>
      <c r="AO79" s="322">
        <f t="shared" si="48"/>
        <v>0</v>
      </c>
      <c r="AP79" s="322">
        <f t="shared" si="48"/>
        <v>0</v>
      </c>
      <c r="AQ79" s="322">
        <f t="shared" si="48"/>
        <v>0</v>
      </c>
      <c r="AR79" s="322">
        <f t="shared" si="48"/>
        <v>0</v>
      </c>
      <c r="AS79" s="323">
        <f t="shared" si="48"/>
        <v>0</v>
      </c>
    </row>
    <row r="80" spans="1:46" ht="19.5" customHeight="1">
      <c r="A80" s="472"/>
      <c r="B80" s="423"/>
      <c r="C80" s="473"/>
      <c r="D80" s="473"/>
      <c r="E80" s="423"/>
      <c r="F80" s="423"/>
      <c r="G80" s="423"/>
      <c r="H80" s="423"/>
      <c r="I80" s="424"/>
      <c r="J80" s="273"/>
      <c r="N80" s="417">
        <f t="shared" si="47"/>
        <v>12</v>
      </c>
      <c r="O80" s="241" t="str">
        <f t="shared" si="44"/>
        <v>from_cropland_to_grassland</v>
      </c>
      <c r="P80" s="419"/>
      <c r="Q80" s="272">
        <f t="shared" si="46"/>
        <v>0</v>
      </c>
      <c r="R80" s="272">
        <f t="shared" si="48"/>
        <v>0</v>
      </c>
      <c r="S80" s="272">
        <f t="shared" si="48"/>
        <v>0</v>
      </c>
      <c r="T80" s="272">
        <f t="shared" si="48"/>
        <v>0</v>
      </c>
      <c r="U80" s="272">
        <f t="shared" si="48"/>
        <v>0</v>
      </c>
      <c r="V80" s="272">
        <f t="shared" si="48"/>
        <v>0</v>
      </c>
      <c r="W80" s="272">
        <f t="shared" si="48"/>
        <v>0</v>
      </c>
      <c r="X80" s="272">
        <f t="shared" si="48"/>
        <v>0</v>
      </c>
      <c r="Y80" s="272">
        <f t="shared" si="48"/>
        <v>0</v>
      </c>
      <c r="Z80" s="272">
        <f t="shared" si="48"/>
        <v>0</v>
      </c>
      <c r="AA80" s="272">
        <f t="shared" si="48"/>
        <v>0</v>
      </c>
      <c r="AB80" s="272">
        <f t="shared" si="48"/>
        <v>0</v>
      </c>
      <c r="AC80" s="272">
        <f t="shared" si="48"/>
        <v>0</v>
      </c>
      <c r="AD80" s="272">
        <f t="shared" si="48"/>
        <v>0</v>
      </c>
      <c r="AE80" s="272">
        <f t="shared" si="48"/>
        <v>0</v>
      </c>
      <c r="AF80" s="272">
        <f t="shared" si="48"/>
        <v>0</v>
      </c>
      <c r="AG80" s="272">
        <f t="shared" si="48"/>
        <v>0</v>
      </c>
      <c r="AH80" s="272">
        <f t="shared" si="48"/>
        <v>0</v>
      </c>
      <c r="AI80" s="272">
        <f t="shared" si="48"/>
        <v>0</v>
      </c>
      <c r="AJ80" s="272">
        <f>IF($P46&gt;AJ$68,0,INDEX($Q$35:$AT$64,$N80,(AJ$68-$P46+1)))</f>
        <v>0</v>
      </c>
      <c r="AK80" s="272">
        <f t="shared" si="48"/>
        <v>0</v>
      </c>
      <c r="AL80" s="272">
        <f t="shared" si="48"/>
        <v>0</v>
      </c>
      <c r="AM80" s="272">
        <f t="shared" si="48"/>
        <v>0</v>
      </c>
      <c r="AN80" s="272">
        <f t="shared" si="48"/>
        <v>0</v>
      </c>
      <c r="AO80" s="272">
        <f t="shared" si="48"/>
        <v>0</v>
      </c>
      <c r="AP80" s="272">
        <f t="shared" si="48"/>
        <v>0</v>
      </c>
      <c r="AQ80" s="272">
        <f t="shared" si="48"/>
        <v>0</v>
      </c>
      <c r="AR80" s="272">
        <f t="shared" si="48"/>
        <v>0</v>
      </c>
      <c r="AS80" s="324">
        <f t="shared" si="48"/>
        <v>0</v>
      </c>
    </row>
    <row r="81" spans="1:45" ht="19.5" customHeight="1">
      <c r="A81" s="432"/>
      <c r="B81" s="425"/>
      <c r="C81" s="425"/>
      <c r="D81" s="425"/>
      <c r="E81" s="425"/>
      <c r="F81" s="425"/>
      <c r="G81" s="425"/>
      <c r="H81" s="425"/>
      <c r="I81" s="426"/>
      <c r="J81" s="273"/>
      <c r="N81" s="417">
        <f t="shared" si="47"/>
        <v>13</v>
      </c>
      <c r="O81" s="241" t="str">
        <f t="shared" si="44"/>
        <v>from_wetland_to_grassland</v>
      </c>
      <c r="P81" s="419"/>
      <c r="Q81" s="272">
        <f t="shared" si="46"/>
        <v>0</v>
      </c>
      <c r="R81" s="272">
        <f t="shared" si="48"/>
        <v>0</v>
      </c>
      <c r="S81" s="272">
        <f t="shared" si="48"/>
        <v>0</v>
      </c>
      <c r="T81" s="272">
        <f t="shared" si="48"/>
        <v>0</v>
      </c>
      <c r="U81" s="272">
        <f t="shared" si="48"/>
        <v>0</v>
      </c>
      <c r="V81" s="272">
        <f t="shared" si="48"/>
        <v>0</v>
      </c>
      <c r="W81" s="272">
        <f t="shared" si="48"/>
        <v>0</v>
      </c>
      <c r="X81" s="272">
        <f t="shared" si="48"/>
        <v>0</v>
      </c>
      <c r="Y81" s="272">
        <f t="shared" si="48"/>
        <v>0</v>
      </c>
      <c r="Z81" s="272">
        <f t="shared" si="48"/>
        <v>0</v>
      </c>
      <c r="AA81" s="272">
        <f t="shared" si="48"/>
        <v>0</v>
      </c>
      <c r="AB81" s="272">
        <f t="shared" si="48"/>
        <v>0</v>
      </c>
      <c r="AC81" s="272">
        <f t="shared" si="48"/>
        <v>0</v>
      </c>
      <c r="AD81" s="272">
        <f t="shared" si="48"/>
        <v>0</v>
      </c>
      <c r="AE81" s="272">
        <f t="shared" si="48"/>
        <v>0</v>
      </c>
      <c r="AF81" s="272">
        <f t="shared" si="48"/>
        <v>0</v>
      </c>
      <c r="AG81" s="272">
        <f t="shared" si="48"/>
        <v>0</v>
      </c>
      <c r="AH81" s="272">
        <f t="shared" si="48"/>
        <v>0</v>
      </c>
      <c r="AI81" s="272">
        <f t="shared" si="48"/>
        <v>0</v>
      </c>
      <c r="AJ81" s="272">
        <f t="shared" si="48"/>
        <v>0</v>
      </c>
      <c r="AK81" s="272">
        <f t="shared" si="48"/>
        <v>0</v>
      </c>
      <c r="AL81" s="272">
        <f t="shared" si="48"/>
        <v>0</v>
      </c>
      <c r="AM81" s="272">
        <f t="shared" si="48"/>
        <v>0</v>
      </c>
      <c r="AN81" s="272">
        <f t="shared" si="48"/>
        <v>0</v>
      </c>
      <c r="AO81" s="272">
        <f t="shared" si="48"/>
        <v>0</v>
      </c>
      <c r="AP81" s="272">
        <f t="shared" si="48"/>
        <v>0</v>
      </c>
      <c r="AQ81" s="272">
        <f t="shared" si="48"/>
        <v>0</v>
      </c>
      <c r="AR81" s="272">
        <f t="shared" si="48"/>
        <v>0</v>
      </c>
      <c r="AS81" s="324">
        <f t="shared" si="48"/>
        <v>0</v>
      </c>
    </row>
    <row r="82" spans="1:45" ht="19.5" customHeight="1">
      <c r="A82" s="432"/>
      <c r="B82" s="425"/>
      <c r="C82" s="425"/>
      <c r="D82" s="425"/>
      <c r="E82" s="425"/>
      <c r="F82" s="425"/>
      <c r="G82" s="425"/>
      <c r="H82" s="425"/>
      <c r="I82" s="426"/>
      <c r="J82" s="273"/>
      <c r="N82" s="417">
        <f t="shared" si="47"/>
        <v>14</v>
      </c>
      <c r="O82" s="241" t="str">
        <f t="shared" si="44"/>
        <v>from_settlements_to_grassland</v>
      </c>
      <c r="P82" s="419"/>
      <c r="Q82" s="272">
        <f t="shared" si="46"/>
        <v>0</v>
      </c>
      <c r="R82" s="272">
        <f t="shared" si="48"/>
        <v>0</v>
      </c>
      <c r="S82" s="272">
        <f t="shared" si="48"/>
        <v>0</v>
      </c>
      <c r="T82" s="272">
        <f t="shared" si="48"/>
        <v>0</v>
      </c>
      <c r="U82" s="272">
        <f t="shared" si="48"/>
        <v>0</v>
      </c>
      <c r="V82" s="272">
        <f t="shared" si="48"/>
        <v>0</v>
      </c>
      <c r="W82" s="272">
        <f t="shared" si="48"/>
        <v>0</v>
      </c>
      <c r="X82" s="272">
        <f t="shared" si="48"/>
        <v>0</v>
      </c>
      <c r="Y82" s="272">
        <f t="shared" si="48"/>
        <v>0</v>
      </c>
      <c r="Z82" s="272">
        <f t="shared" si="48"/>
        <v>0</v>
      </c>
      <c r="AA82" s="272">
        <f t="shared" si="48"/>
        <v>0</v>
      </c>
      <c r="AB82" s="272">
        <f t="shared" si="48"/>
        <v>0</v>
      </c>
      <c r="AC82" s="272">
        <f t="shared" si="48"/>
        <v>0</v>
      </c>
      <c r="AD82" s="272">
        <f t="shared" si="48"/>
        <v>0</v>
      </c>
      <c r="AE82" s="272">
        <f t="shared" si="48"/>
        <v>0</v>
      </c>
      <c r="AF82" s="272">
        <f t="shared" si="48"/>
        <v>0</v>
      </c>
      <c r="AG82" s="272">
        <f t="shared" si="48"/>
        <v>0</v>
      </c>
      <c r="AH82" s="272">
        <f t="shared" si="48"/>
        <v>0</v>
      </c>
      <c r="AI82" s="272">
        <f t="shared" si="48"/>
        <v>0</v>
      </c>
      <c r="AJ82" s="272">
        <f t="shared" si="48"/>
        <v>0</v>
      </c>
      <c r="AK82" s="272">
        <f t="shared" si="48"/>
        <v>0</v>
      </c>
      <c r="AL82" s="272">
        <f t="shared" si="48"/>
        <v>0</v>
      </c>
      <c r="AM82" s="272">
        <f t="shared" si="48"/>
        <v>0</v>
      </c>
      <c r="AN82" s="272">
        <f t="shared" si="48"/>
        <v>0</v>
      </c>
      <c r="AO82" s="272">
        <f t="shared" si="48"/>
        <v>0</v>
      </c>
      <c r="AP82" s="272">
        <f t="shared" si="48"/>
        <v>0</v>
      </c>
      <c r="AQ82" s="272">
        <f t="shared" si="48"/>
        <v>0</v>
      </c>
      <c r="AR82" s="272">
        <f t="shared" si="48"/>
        <v>0</v>
      </c>
      <c r="AS82" s="324">
        <f t="shared" si="48"/>
        <v>0</v>
      </c>
    </row>
    <row r="83" spans="1:45" ht="19.5" customHeight="1" thickBot="1">
      <c r="A83" s="432"/>
      <c r="B83" s="425"/>
      <c r="C83" s="425"/>
      <c r="D83" s="425"/>
      <c r="E83" s="425"/>
      <c r="F83" s="425"/>
      <c r="G83" s="425"/>
      <c r="H83" s="425"/>
      <c r="I83" s="426"/>
      <c r="J83" s="273"/>
      <c r="N83" s="417">
        <f t="shared" si="47"/>
        <v>15</v>
      </c>
      <c r="O83" s="470" t="str">
        <f t="shared" si="44"/>
        <v>from_other_land_to_grassland</v>
      </c>
      <c r="P83" s="471"/>
      <c r="Q83" s="325">
        <f t="shared" si="46"/>
        <v>0</v>
      </c>
      <c r="R83" s="325">
        <f t="shared" si="48"/>
        <v>0</v>
      </c>
      <c r="S83" s="325">
        <f t="shared" si="48"/>
        <v>0</v>
      </c>
      <c r="T83" s="325">
        <f t="shared" si="48"/>
        <v>0</v>
      </c>
      <c r="U83" s="325">
        <f t="shared" si="48"/>
        <v>0</v>
      </c>
      <c r="V83" s="325">
        <f t="shared" si="48"/>
        <v>0</v>
      </c>
      <c r="W83" s="325">
        <f t="shared" si="48"/>
        <v>0</v>
      </c>
      <c r="X83" s="325">
        <f t="shared" si="48"/>
        <v>0</v>
      </c>
      <c r="Y83" s="325">
        <f t="shared" si="48"/>
        <v>0</v>
      </c>
      <c r="Z83" s="325">
        <f t="shared" si="48"/>
        <v>0</v>
      </c>
      <c r="AA83" s="325">
        <f t="shared" si="48"/>
        <v>0</v>
      </c>
      <c r="AB83" s="325">
        <f t="shared" si="48"/>
        <v>0</v>
      </c>
      <c r="AC83" s="325">
        <f t="shared" si="48"/>
        <v>0</v>
      </c>
      <c r="AD83" s="325">
        <f t="shared" si="48"/>
        <v>0</v>
      </c>
      <c r="AE83" s="325">
        <f t="shared" si="48"/>
        <v>0</v>
      </c>
      <c r="AF83" s="325">
        <f t="shared" si="48"/>
        <v>0</v>
      </c>
      <c r="AG83" s="325">
        <f t="shared" si="48"/>
        <v>0</v>
      </c>
      <c r="AH83" s="325">
        <f t="shared" si="48"/>
        <v>0</v>
      </c>
      <c r="AI83" s="325">
        <f t="shared" si="48"/>
        <v>0</v>
      </c>
      <c r="AJ83" s="325">
        <f t="shared" si="48"/>
        <v>0</v>
      </c>
      <c r="AK83" s="325">
        <f t="shared" si="48"/>
        <v>0</v>
      </c>
      <c r="AL83" s="325">
        <f t="shared" si="48"/>
        <v>0</v>
      </c>
      <c r="AM83" s="325">
        <f t="shared" si="48"/>
        <v>0</v>
      </c>
      <c r="AN83" s="325">
        <f t="shared" si="48"/>
        <v>0</v>
      </c>
      <c r="AO83" s="325">
        <f t="shared" si="48"/>
        <v>0</v>
      </c>
      <c r="AP83" s="325">
        <f t="shared" si="48"/>
        <v>0</v>
      </c>
      <c r="AQ83" s="325">
        <f t="shared" si="48"/>
        <v>0</v>
      </c>
      <c r="AR83" s="325">
        <f t="shared" si="48"/>
        <v>0</v>
      </c>
      <c r="AS83" s="326">
        <f t="shared" si="48"/>
        <v>0</v>
      </c>
    </row>
    <row r="84" spans="1:45" ht="19.5" customHeight="1">
      <c r="A84" s="432"/>
      <c r="B84" s="425"/>
      <c r="C84" s="425"/>
      <c r="D84" s="425"/>
      <c r="E84" s="425"/>
      <c r="F84" s="425"/>
      <c r="G84" s="425"/>
      <c r="H84" s="425"/>
      <c r="I84" s="426"/>
      <c r="J84" s="273"/>
      <c r="N84" s="417">
        <f t="shared" si="47"/>
        <v>16</v>
      </c>
      <c r="O84" s="468" t="str">
        <f t="shared" si="44"/>
        <v>land_converted_to_peat_extraction_(combined)</v>
      </c>
      <c r="P84" s="469"/>
      <c r="Q84" s="322">
        <f t="shared" si="46"/>
        <v>0</v>
      </c>
      <c r="R84" s="322">
        <f t="shared" si="48"/>
        <v>0</v>
      </c>
      <c r="S84" s="322">
        <f t="shared" si="48"/>
        <v>0</v>
      </c>
      <c r="T84" s="322">
        <f t="shared" si="48"/>
        <v>0</v>
      </c>
      <c r="U84" s="322">
        <f t="shared" si="48"/>
        <v>0</v>
      </c>
      <c r="V84" s="322">
        <f t="shared" si="48"/>
        <v>0</v>
      </c>
      <c r="W84" s="322">
        <f t="shared" si="48"/>
        <v>0</v>
      </c>
      <c r="X84" s="322">
        <f t="shared" si="48"/>
        <v>0</v>
      </c>
      <c r="Y84" s="322">
        <f t="shared" si="48"/>
        <v>0</v>
      </c>
      <c r="Z84" s="322">
        <f t="shared" si="48"/>
        <v>0</v>
      </c>
      <c r="AA84" s="322">
        <f t="shared" si="48"/>
        <v>0</v>
      </c>
      <c r="AB84" s="322">
        <f t="shared" si="48"/>
        <v>0</v>
      </c>
      <c r="AC84" s="322">
        <f t="shared" si="48"/>
        <v>0</v>
      </c>
      <c r="AD84" s="322">
        <f t="shared" si="48"/>
        <v>0</v>
      </c>
      <c r="AE84" s="322">
        <f t="shared" si="48"/>
        <v>0</v>
      </c>
      <c r="AF84" s="322">
        <f t="shared" si="48"/>
        <v>0</v>
      </c>
      <c r="AG84" s="322">
        <f t="shared" si="48"/>
        <v>0</v>
      </c>
      <c r="AH84" s="322">
        <f t="shared" si="48"/>
        <v>0</v>
      </c>
      <c r="AI84" s="322">
        <f t="shared" si="48"/>
        <v>0</v>
      </c>
      <c r="AJ84" s="322">
        <f t="shared" si="48"/>
        <v>0</v>
      </c>
      <c r="AK84" s="322">
        <f t="shared" si="48"/>
        <v>0</v>
      </c>
      <c r="AL84" s="322">
        <f t="shared" si="48"/>
        <v>0</v>
      </c>
      <c r="AM84" s="322">
        <f t="shared" si="48"/>
        <v>0</v>
      </c>
      <c r="AN84" s="322">
        <f t="shared" si="48"/>
        <v>0</v>
      </c>
      <c r="AO84" s="322">
        <f t="shared" si="48"/>
        <v>0</v>
      </c>
      <c r="AP84" s="322">
        <f t="shared" si="48"/>
        <v>0</v>
      </c>
      <c r="AQ84" s="322">
        <f t="shared" si="48"/>
        <v>0</v>
      </c>
      <c r="AR84" s="322">
        <f t="shared" si="48"/>
        <v>0</v>
      </c>
      <c r="AS84" s="323">
        <f t="shared" si="48"/>
        <v>0</v>
      </c>
    </row>
    <row r="85" spans="1:45" ht="19.5" customHeight="1">
      <c r="A85" s="432"/>
      <c r="B85" s="425"/>
      <c r="C85" s="425"/>
      <c r="D85" s="425"/>
      <c r="E85" s="425"/>
      <c r="F85" s="425"/>
      <c r="G85" s="425"/>
      <c r="H85" s="425"/>
      <c r="I85" s="426"/>
      <c r="J85" s="273"/>
      <c r="N85" s="417">
        <f t="shared" si="47"/>
        <v>17</v>
      </c>
      <c r="O85" s="241" t="str">
        <f t="shared" si="44"/>
        <v>peatland_restoration_(rewetting)</v>
      </c>
      <c r="P85" s="419"/>
      <c r="Q85" s="272">
        <f t="shared" si="46"/>
        <v>0</v>
      </c>
      <c r="R85" s="272">
        <f t="shared" si="48"/>
        <v>0</v>
      </c>
      <c r="S85" s="272">
        <f t="shared" si="48"/>
        <v>0</v>
      </c>
      <c r="T85" s="272">
        <f t="shared" si="48"/>
        <v>0</v>
      </c>
      <c r="U85" s="272">
        <f t="shared" si="48"/>
        <v>0</v>
      </c>
      <c r="V85" s="272">
        <f t="shared" si="48"/>
        <v>0</v>
      </c>
      <c r="W85" s="272">
        <f t="shared" si="48"/>
        <v>0</v>
      </c>
      <c r="X85" s="272">
        <f t="shared" si="48"/>
        <v>0</v>
      </c>
      <c r="Y85" s="272">
        <f t="shared" si="48"/>
        <v>0</v>
      </c>
      <c r="Z85" s="272">
        <f t="shared" si="48"/>
        <v>0</v>
      </c>
      <c r="AA85" s="272">
        <f t="shared" si="48"/>
        <v>0</v>
      </c>
      <c r="AB85" s="272">
        <f t="shared" si="48"/>
        <v>0</v>
      </c>
      <c r="AC85" s="272">
        <f t="shared" si="48"/>
        <v>0</v>
      </c>
      <c r="AD85" s="272">
        <f t="shared" si="48"/>
        <v>0</v>
      </c>
      <c r="AE85" s="272">
        <f t="shared" si="48"/>
        <v>0</v>
      </c>
      <c r="AF85" s="272">
        <f t="shared" si="48"/>
        <v>0</v>
      </c>
      <c r="AG85" s="272">
        <f t="shared" si="48"/>
        <v>0</v>
      </c>
      <c r="AH85" s="272">
        <f t="shared" si="48"/>
        <v>0</v>
      </c>
      <c r="AI85" s="272">
        <f t="shared" si="48"/>
        <v>0</v>
      </c>
      <c r="AJ85" s="272">
        <f t="shared" si="48"/>
        <v>0</v>
      </c>
      <c r="AK85" s="272">
        <f t="shared" si="48"/>
        <v>0</v>
      </c>
      <c r="AL85" s="272">
        <f t="shared" si="48"/>
        <v>0</v>
      </c>
      <c r="AM85" s="272">
        <f t="shared" si="48"/>
        <v>0</v>
      </c>
      <c r="AN85" s="272">
        <f t="shared" si="48"/>
        <v>0</v>
      </c>
      <c r="AO85" s="272">
        <f t="shared" si="48"/>
        <v>0</v>
      </c>
      <c r="AP85" s="272">
        <f t="shared" si="48"/>
        <v>0</v>
      </c>
      <c r="AQ85" s="272">
        <f t="shared" si="48"/>
        <v>0</v>
      </c>
      <c r="AR85" s="272">
        <f t="shared" si="48"/>
        <v>0</v>
      </c>
      <c r="AS85" s="324">
        <f t="shared" si="48"/>
        <v>0</v>
      </c>
    </row>
    <row r="86" spans="1:45" ht="19.5" customHeight="1">
      <c r="A86" s="432"/>
      <c r="B86" s="425"/>
      <c r="C86" s="425"/>
      <c r="D86" s="425"/>
      <c r="E86" s="425"/>
      <c r="F86" s="425"/>
      <c r="G86" s="425"/>
      <c r="H86" s="425"/>
      <c r="I86" s="426"/>
      <c r="J86" s="273"/>
      <c r="N86" s="417">
        <f t="shared" si="47"/>
        <v>18</v>
      </c>
      <c r="O86" s="241" t="str">
        <f t="shared" si="44"/>
        <v>forestland_converted_to_other_wetlands/flooded_land</v>
      </c>
      <c r="P86" s="419"/>
      <c r="Q86" s="272">
        <f t="shared" si="46"/>
        <v>0</v>
      </c>
      <c r="R86" s="272">
        <f t="shared" si="48"/>
        <v>0</v>
      </c>
      <c r="S86" s="272">
        <f t="shared" si="48"/>
        <v>0</v>
      </c>
      <c r="T86" s="272">
        <f t="shared" si="48"/>
        <v>0</v>
      </c>
      <c r="U86" s="272">
        <f t="shared" si="48"/>
        <v>0</v>
      </c>
      <c r="V86" s="272">
        <f t="shared" si="48"/>
        <v>0</v>
      </c>
      <c r="W86" s="272">
        <f t="shared" si="48"/>
        <v>0</v>
      </c>
      <c r="X86" s="272">
        <f t="shared" si="48"/>
        <v>0</v>
      </c>
      <c r="Y86" s="272">
        <f t="shared" si="48"/>
        <v>0</v>
      </c>
      <c r="Z86" s="272">
        <f t="shared" si="48"/>
        <v>0</v>
      </c>
      <c r="AA86" s="272">
        <f t="shared" si="48"/>
        <v>0</v>
      </c>
      <c r="AB86" s="272">
        <f t="shared" si="48"/>
        <v>0</v>
      </c>
      <c r="AC86" s="272">
        <f t="shared" si="48"/>
        <v>0</v>
      </c>
      <c r="AD86" s="272">
        <f t="shared" si="48"/>
        <v>0</v>
      </c>
      <c r="AE86" s="272">
        <f t="shared" si="48"/>
        <v>0</v>
      </c>
      <c r="AF86" s="272">
        <f t="shared" si="48"/>
        <v>0</v>
      </c>
      <c r="AG86" s="272">
        <f t="shared" si="48"/>
        <v>0</v>
      </c>
      <c r="AH86" s="272">
        <f t="shared" si="48"/>
        <v>0</v>
      </c>
      <c r="AI86" s="272">
        <f t="shared" si="48"/>
        <v>0</v>
      </c>
      <c r="AJ86" s="272">
        <f t="shared" si="48"/>
        <v>0</v>
      </c>
      <c r="AK86" s="272">
        <f t="shared" si="48"/>
        <v>0</v>
      </c>
      <c r="AL86" s="272">
        <f t="shared" si="48"/>
        <v>0</v>
      </c>
      <c r="AM86" s="272">
        <f t="shared" si="48"/>
        <v>0</v>
      </c>
      <c r="AN86" s="272">
        <f t="shared" si="48"/>
        <v>0</v>
      </c>
      <c r="AO86" s="272">
        <f t="shared" si="48"/>
        <v>0</v>
      </c>
      <c r="AP86" s="272">
        <f t="shared" si="48"/>
        <v>0</v>
      </c>
      <c r="AQ86" s="272">
        <f t="shared" si="48"/>
        <v>0</v>
      </c>
      <c r="AR86" s="272">
        <f t="shared" si="48"/>
        <v>0</v>
      </c>
      <c r="AS86" s="324">
        <f t="shared" si="48"/>
        <v>0</v>
      </c>
    </row>
    <row r="87" spans="1:45" ht="19.5" customHeight="1">
      <c r="A87" s="432"/>
      <c r="B87" s="425"/>
      <c r="C87" s="425"/>
      <c r="D87" s="425"/>
      <c r="E87" s="425"/>
      <c r="F87" s="425"/>
      <c r="G87" s="425"/>
      <c r="H87" s="425"/>
      <c r="I87" s="426"/>
      <c r="J87" s="273"/>
      <c r="N87" s="417">
        <f t="shared" si="47"/>
        <v>19</v>
      </c>
      <c r="O87" s="241" t="str">
        <f t="shared" si="44"/>
        <v>cropland_converted_to_other_wetlands/flooded_land</v>
      </c>
      <c r="P87" s="419"/>
      <c r="Q87" s="272">
        <f t="shared" si="46"/>
        <v>0</v>
      </c>
      <c r="R87" s="272">
        <f t="shared" si="48"/>
        <v>0</v>
      </c>
      <c r="S87" s="272">
        <f t="shared" si="48"/>
        <v>0</v>
      </c>
      <c r="T87" s="272">
        <f t="shared" si="48"/>
        <v>0</v>
      </c>
      <c r="U87" s="272">
        <f t="shared" si="48"/>
        <v>0</v>
      </c>
      <c r="V87" s="272">
        <f t="shared" si="48"/>
        <v>0</v>
      </c>
      <c r="W87" s="272">
        <f t="shared" si="48"/>
        <v>0</v>
      </c>
      <c r="X87" s="272">
        <f t="shared" si="48"/>
        <v>0</v>
      </c>
      <c r="Y87" s="272">
        <f t="shared" si="48"/>
        <v>0</v>
      </c>
      <c r="Z87" s="272">
        <f t="shared" si="48"/>
        <v>0</v>
      </c>
      <c r="AA87" s="272">
        <f t="shared" si="48"/>
        <v>0</v>
      </c>
      <c r="AB87" s="272">
        <f t="shared" si="48"/>
        <v>0</v>
      </c>
      <c r="AC87" s="272">
        <f t="shared" si="48"/>
        <v>0</v>
      </c>
      <c r="AD87" s="272">
        <f t="shared" si="48"/>
        <v>0</v>
      </c>
      <c r="AE87" s="272">
        <f t="shared" si="48"/>
        <v>0</v>
      </c>
      <c r="AF87" s="272">
        <f t="shared" si="48"/>
        <v>0</v>
      </c>
      <c r="AG87" s="272">
        <f t="shared" si="48"/>
        <v>0</v>
      </c>
      <c r="AH87" s="272">
        <f t="shared" si="48"/>
        <v>0</v>
      </c>
      <c r="AI87" s="272">
        <f t="shared" si="48"/>
        <v>0</v>
      </c>
      <c r="AJ87" s="272">
        <f t="shared" si="48"/>
        <v>0</v>
      </c>
      <c r="AK87" s="272">
        <f t="shared" si="48"/>
        <v>0</v>
      </c>
      <c r="AL87" s="272">
        <f t="shared" si="48"/>
        <v>0</v>
      </c>
      <c r="AM87" s="272">
        <f t="shared" ref="R87:AS96" si="49">IF($P53&gt;AM$68,0,INDEX($Q$35:$AT$64,$N87,(AM$68-$P53+1)))</f>
        <v>0</v>
      </c>
      <c r="AN87" s="272">
        <f t="shared" si="49"/>
        <v>0</v>
      </c>
      <c r="AO87" s="272">
        <f t="shared" si="49"/>
        <v>0</v>
      </c>
      <c r="AP87" s="272">
        <f t="shared" si="49"/>
        <v>0</v>
      </c>
      <c r="AQ87" s="272">
        <f t="shared" si="49"/>
        <v>0</v>
      </c>
      <c r="AR87" s="272">
        <f t="shared" si="49"/>
        <v>0</v>
      </c>
      <c r="AS87" s="324">
        <f t="shared" si="49"/>
        <v>0</v>
      </c>
    </row>
    <row r="88" spans="1:45" ht="19.5" customHeight="1" thickBot="1">
      <c r="A88" s="432"/>
      <c r="B88" s="425"/>
      <c r="C88" s="425"/>
      <c r="D88" s="425"/>
      <c r="E88" s="425"/>
      <c r="F88" s="425"/>
      <c r="G88" s="425"/>
      <c r="H88" s="425"/>
      <c r="I88" s="426"/>
      <c r="J88" s="273"/>
      <c r="N88" s="417">
        <f t="shared" si="47"/>
        <v>20</v>
      </c>
      <c r="O88" s="470" t="str">
        <f t="shared" si="44"/>
        <v>grassland_converted_to_other_wetlands/flooded_land</v>
      </c>
      <c r="P88" s="471"/>
      <c r="Q88" s="325">
        <f t="shared" si="46"/>
        <v>0</v>
      </c>
      <c r="R88" s="325">
        <f t="shared" si="49"/>
        <v>0</v>
      </c>
      <c r="S88" s="325">
        <f t="shared" si="49"/>
        <v>0</v>
      </c>
      <c r="T88" s="325">
        <f t="shared" si="49"/>
        <v>0</v>
      </c>
      <c r="U88" s="325">
        <f t="shared" si="49"/>
        <v>0</v>
      </c>
      <c r="V88" s="325">
        <f t="shared" si="49"/>
        <v>0</v>
      </c>
      <c r="W88" s="325">
        <f t="shared" si="49"/>
        <v>0</v>
      </c>
      <c r="X88" s="325">
        <f t="shared" si="49"/>
        <v>0</v>
      </c>
      <c r="Y88" s="325">
        <f t="shared" si="49"/>
        <v>0</v>
      </c>
      <c r="Z88" s="325">
        <f t="shared" si="49"/>
        <v>0</v>
      </c>
      <c r="AA88" s="325">
        <f t="shared" si="49"/>
        <v>0</v>
      </c>
      <c r="AB88" s="325">
        <f t="shared" si="49"/>
        <v>0</v>
      </c>
      <c r="AC88" s="325">
        <f t="shared" si="49"/>
        <v>0</v>
      </c>
      <c r="AD88" s="325">
        <f t="shared" si="49"/>
        <v>0</v>
      </c>
      <c r="AE88" s="325">
        <f t="shared" si="49"/>
        <v>0</v>
      </c>
      <c r="AF88" s="325">
        <f t="shared" si="49"/>
        <v>0</v>
      </c>
      <c r="AG88" s="325">
        <f t="shared" si="49"/>
        <v>0</v>
      </c>
      <c r="AH88" s="325">
        <f t="shared" si="49"/>
        <v>0</v>
      </c>
      <c r="AI88" s="325">
        <f t="shared" si="49"/>
        <v>0</v>
      </c>
      <c r="AJ88" s="325">
        <f t="shared" si="49"/>
        <v>0</v>
      </c>
      <c r="AK88" s="325">
        <f t="shared" si="49"/>
        <v>0</v>
      </c>
      <c r="AL88" s="325">
        <f t="shared" si="49"/>
        <v>0</v>
      </c>
      <c r="AM88" s="325">
        <f t="shared" si="49"/>
        <v>0</v>
      </c>
      <c r="AN88" s="325">
        <f t="shared" si="49"/>
        <v>0</v>
      </c>
      <c r="AO88" s="325">
        <f t="shared" si="49"/>
        <v>0</v>
      </c>
      <c r="AP88" s="325">
        <f t="shared" si="49"/>
        <v>0</v>
      </c>
      <c r="AQ88" s="325">
        <f t="shared" si="49"/>
        <v>0</v>
      </c>
      <c r="AR88" s="325">
        <f t="shared" si="49"/>
        <v>0</v>
      </c>
      <c r="AS88" s="326">
        <f t="shared" si="49"/>
        <v>0</v>
      </c>
    </row>
    <row r="89" spans="1:45" ht="19.5" customHeight="1">
      <c r="A89" s="432"/>
      <c r="B89" s="425"/>
      <c r="C89" s="425"/>
      <c r="D89" s="425"/>
      <c r="E89" s="425"/>
      <c r="F89" s="425"/>
      <c r="G89" s="425"/>
      <c r="H89" s="425"/>
      <c r="I89" s="426"/>
      <c r="J89" s="273"/>
      <c r="N89" s="417">
        <f t="shared" si="47"/>
        <v>21</v>
      </c>
      <c r="O89" s="468" t="str">
        <f t="shared" si="44"/>
        <v>from_forestland_to_settlements</v>
      </c>
      <c r="P89" s="469"/>
      <c r="Q89" s="322">
        <f t="shared" si="46"/>
        <v>0</v>
      </c>
      <c r="R89" s="322">
        <f t="shared" si="49"/>
        <v>0</v>
      </c>
      <c r="S89" s="322">
        <f t="shared" si="49"/>
        <v>0</v>
      </c>
      <c r="T89" s="322">
        <f t="shared" si="49"/>
        <v>0</v>
      </c>
      <c r="U89" s="322">
        <f t="shared" si="49"/>
        <v>0</v>
      </c>
      <c r="V89" s="322">
        <f t="shared" si="49"/>
        <v>0</v>
      </c>
      <c r="W89" s="322">
        <f t="shared" si="49"/>
        <v>0</v>
      </c>
      <c r="X89" s="322">
        <f t="shared" si="49"/>
        <v>0</v>
      </c>
      <c r="Y89" s="322">
        <f t="shared" si="49"/>
        <v>0</v>
      </c>
      <c r="Z89" s="322">
        <f t="shared" si="49"/>
        <v>0</v>
      </c>
      <c r="AA89" s="322">
        <f t="shared" si="49"/>
        <v>0</v>
      </c>
      <c r="AB89" s="322">
        <f t="shared" si="49"/>
        <v>0</v>
      </c>
      <c r="AC89" s="322">
        <f t="shared" si="49"/>
        <v>0</v>
      </c>
      <c r="AD89" s="322">
        <f t="shared" si="49"/>
        <v>0</v>
      </c>
      <c r="AE89" s="322">
        <f t="shared" si="49"/>
        <v>0</v>
      </c>
      <c r="AF89" s="322">
        <f t="shared" si="49"/>
        <v>0</v>
      </c>
      <c r="AG89" s="322">
        <f t="shared" si="49"/>
        <v>0</v>
      </c>
      <c r="AH89" s="322">
        <f t="shared" si="49"/>
        <v>0</v>
      </c>
      <c r="AI89" s="322">
        <f t="shared" si="49"/>
        <v>0</v>
      </c>
      <c r="AJ89" s="322">
        <f t="shared" si="49"/>
        <v>0</v>
      </c>
      <c r="AK89" s="322">
        <f t="shared" si="49"/>
        <v>0</v>
      </c>
      <c r="AL89" s="322">
        <f t="shared" si="49"/>
        <v>0</v>
      </c>
      <c r="AM89" s="322">
        <f t="shared" si="49"/>
        <v>0</v>
      </c>
      <c r="AN89" s="322">
        <f t="shared" si="49"/>
        <v>0</v>
      </c>
      <c r="AO89" s="322">
        <f t="shared" si="49"/>
        <v>0</v>
      </c>
      <c r="AP89" s="322">
        <f t="shared" si="49"/>
        <v>0</v>
      </c>
      <c r="AQ89" s="322">
        <f t="shared" si="49"/>
        <v>0</v>
      </c>
      <c r="AR89" s="322">
        <f t="shared" si="49"/>
        <v>0</v>
      </c>
      <c r="AS89" s="323">
        <f t="shared" si="49"/>
        <v>0</v>
      </c>
    </row>
    <row r="90" spans="1:45" ht="19.5" customHeight="1">
      <c r="A90" s="432"/>
      <c r="B90" s="425"/>
      <c r="C90" s="425"/>
      <c r="D90" s="425"/>
      <c r="E90" s="425"/>
      <c r="F90" s="425"/>
      <c r="G90" s="425"/>
      <c r="H90" s="425"/>
      <c r="I90" s="426"/>
      <c r="J90" s="273"/>
      <c r="N90" s="417">
        <f t="shared" si="47"/>
        <v>22</v>
      </c>
      <c r="O90" s="241" t="str">
        <f t="shared" si="44"/>
        <v>from_cropland_to_settlements</v>
      </c>
      <c r="P90" s="419"/>
      <c r="Q90" s="272">
        <f t="shared" si="46"/>
        <v>0</v>
      </c>
      <c r="R90" s="272">
        <f t="shared" si="49"/>
        <v>0</v>
      </c>
      <c r="S90" s="272">
        <f t="shared" si="49"/>
        <v>0</v>
      </c>
      <c r="T90" s="272">
        <f t="shared" si="49"/>
        <v>0</v>
      </c>
      <c r="U90" s="272">
        <f t="shared" si="49"/>
        <v>0</v>
      </c>
      <c r="V90" s="272">
        <f t="shared" si="49"/>
        <v>0</v>
      </c>
      <c r="W90" s="272">
        <f t="shared" si="49"/>
        <v>0</v>
      </c>
      <c r="X90" s="272">
        <f t="shared" si="49"/>
        <v>0</v>
      </c>
      <c r="Y90" s="272">
        <f t="shared" si="49"/>
        <v>0</v>
      </c>
      <c r="Z90" s="272">
        <f t="shared" si="49"/>
        <v>0</v>
      </c>
      <c r="AA90" s="272">
        <f t="shared" si="49"/>
        <v>0</v>
      </c>
      <c r="AB90" s="272">
        <f t="shared" si="49"/>
        <v>0</v>
      </c>
      <c r="AC90" s="272">
        <f t="shared" si="49"/>
        <v>0</v>
      </c>
      <c r="AD90" s="272">
        <f t="shared" si="49"/>
        <v>0</v>
      </c>
      <c r="AE90" s="272">
        <f t="shared" si="49"/>
        <v>0</v>
      </c>
      <c r="AF90" s="272">
        <f t="shared" si="49"/>
        <v>0</v>
      </c>
      <c r="AG90" s="272">
        <f t="shared" si="49"/>
        <v>0</v>
      </c>
      <c r="AH90" s="272">
        <f t="shared" si="49"/>
        <v>0</v>
      </c>
      <c r="AI90" s="272">
        <f t="shared" si="49"/>
        <v>0</v>
      </c>
      <c r="AJ90" s="272">
        <f t="shared" si="49"/>
        <v>0</v>
      </c>
      <c r="AK90" s="272">
        <f t="shared" si="49"/>
        <v>0</v>
      </c>
      <c r="AL90" s="272">
        <f t="shared" si="49"/>
        <v>0</v>
      </c>
      <c r="AM90" s="272">
        <f t="shared" si="49"/>
        <v>0</v>
      </c>
      <c r="AN90" s="272">
        <f t="shared" si="49"/>
        <v>0</v>
      </c>
      <c r="AO90" s="272">
        <f t="shared" si="49"/>
        <v>0</v>
      </c>
      <c r="AP90" s="272">
        <f t="shared" si="49"/>
        <v>0</v>
      </c>
      <c r="AQ90" s="272">
        <f t="shared" si="49"/>
        <v>0</v>
      </c>
      <c r="AR90" s="272">
        <f t="shared" si="49"/>
        <v>0</v>
      </c>
      <c r="AS90" s="324">
        <f t="shared" si="49"/>
        <v>0</v>
      </c>
    </row>
    <row r="91" spans="1:45" ht="19.5" customHeight="1">
      <c r="A91" s="432"/>
      <c r="B91" s="425"/>
      <c r="C91" s="425"/>
      <c r="D91" s="425"/>
      <c r="E91" s="425"/>
      <c r="F91" s="425"/>
      <c r="G91" s="425"/>
      <c r="H91" s="425"/>
      <c r="I91" s="426"/>
      <c r="J91" s="273"/>
      <c r="N91" s="417">
        <f t="shared" si="47"/>
        <v>23</v>
      </c>
      <c r="O91" s="241" t="str">
        <f t="shared" si="44"/>
        <v>from_grassland_to_settlements</v>
      </c>
      <c r="P91" s="419"/>
      <c r="Q91" s="272">
        <f t="shared" si="46"/>
        <v>0</v>
      </c>
      <c r="R91" s="272">
        <f t="shared" si="49"/>
        <v>0</v>
      </c>
      <c r="S91" s="272">
        <f t="shared" si="49"/>
        <v>0</v>
      </c>
      <c r="T91" s="272">
        <f t="shared" si="49"/>
        <v>0</v>
      </c>
      <c r="U91" s="272">
        <f t="shared" si="49"/>
        <v>0</v>
      </c>
      <c r="V91" s="272">
        <f t="shared" si="49"/>
        <v>0</v>
      </c>
      <c r="W91" s="272">
        <f t="shared" si="49"/>
        <v>0</v>
      </c>
      <c r="X91" s="272">
        <f t="shared" si="49"/>
        <v>0</v>
      </c>
      <c r="Y91" s="272">
        <f t="shared" si="49"/>
        <v>0</v>
      </c>
      <c r="Z91" s="272">
        <f t="shared" si="49"/>
        <v>0</v>
      </c>
      <c r="AA91" s="272">
        <f t="shared" si="49"/>
        <v>0</v>
      </c>
      <c r="AB91" s="272">
        <f t="shared" si="49"/>
        <v>0</v>
      </c>
      <c r="AC91" s="272">
        <f t="shared" si="49"/>
        <v>0</v>
      </c>
      <c r="AD91" s="272">
        <f t="shared" si="49"/>
        <v>0</v>
      </c>
      <c r="AE91" s="272">
        <f t="shared" si="49"/>
        <v>0</v>
      </c>
      <c r="AF91" s="272">
        <f t="shared" si="49"/>
        <v>0</v>
      </c>
      <c r="AG91" s="272">
        <f t="shared" si="49"/>
        <v>0</v>
      </c>
      <c r="AH91" s="272">
        <f t="shared" si="49"/>
        <v>0</v>
      </c>
      <c r="AI91" s="272">
        <f t="shared" si="49"/>
        <v>0</v>
      </c>
      <c r="AJ91" s="272">
        <f t="shared" si="49"/>
        <v>0</v>
      </c>
      <c r="AK91" s="272">
        <f t="shared" si="49"/>
        <v>0</v>
      </c>
      <c r="AL91" s="272">
        <f t="shared" si="49"/>
        <v>0</v>
      </c>
      <c r="AM91" s="272">
        <f t="shared" si="49"/>
        <v>0</v>
      </c>
      <c r="AN91" s="272">
        <f t="shared" si="49"/>
        <v>0</v>
      </c>
      <c r="AO91" s="272">
        <f t="shared" si="49"/>
        <v>0</v>
      </c>
      <c r="AP91" s="272">
        <f t="shared" si="49"/>
        <v>0</v>
      </c>
      <c r="AQ91" s="272">
        <f t="shared" si="49"/>
        <v>0</v>
      </c>
      <c r="AR91" s="272">
        <f t="shared" si="49"/>
        <v>0</v>
      </c>
      <c r="AS91" s="324">
        <f t="shared" si="49"/>
        <v>0</v>
      </c>
    </row>
    <row r="92" spans="1:45" ht="19.5" customHeight="1">
      <c r="A92" s="432"/>
      <c r="B92" s="425"/>
      <c r="C92" s="425"/>
      <c r="D92" s="425"/>
      <c r="E92" s="425"/>
      <c r="F92" s="425"/>
      <c r="G92" s="425"/>
      <c r="H92" s="425"/>
      <c r="I92" s="426"/>
      <c r="J92" s="273"/>
      <c r="N92" s="417">
        <f t="shared" si="47"/>
        <v>24</v>
      </c>
      <c r="O92" s="241" t="str">
        <f t="shared" si="44"/>
        <v>from_wetland_to_settlements</v>
      </c>
      <c r="P92" s="419"/>
      <c r="Q92" s="272">
        <f t="shared" si="46"/>
        <v>0</v>
      </c>
      <c r="R92" s="272">
        <f t="shared" si="49"/>
        <v>0</v>
      </c>
      <c r="S92" s="272">
        <f t="shared" si="49"/>
        <v>0</v>
      </c>
      <c r="T92" s="272">
        <f t="shared" si="49"/>
        <v>0</v>
      </c>
      <c r="U92" s="272">
        <f t="shared" si="49"/>
        <v>0</v>
      </c>
      <c r="V92" s="272">
        <f t="shared" si="49"/>
        <v>0</v>
      </c>
      <c r="W92" s="272">
        <f t="shared" si="49"/>
        <v>0</v>
      </c>
      <c r="X92" s="272">
        <f t="shared" si="49"/>
        <v>0</v>
      </c>
      <c r="Y92" s="272">
        <f t="shared" si="49"/>
        <v>0</v>
      </c>
      <c r="Z92" s="272">
        <f t="shared" si="49"/>
        <v>0</v>
      </c>
      <c r="AA92" s="272">
        <f t="shared" si="49"/>
        <v>0</v>
      </c>
      <c r="AB92" s="272">
        <f t="shared" si="49"/>
        <v>0</v>
      </c>
      <c r="AC92" s="272">
        <f t="shared" si="49"/>
        <v>0</v>
      </c>
      <c r="AD92" s="272">
        <f t="shared" si="49"/>
        <v>0</v>
      </c>
      <c r="AE92" s="272">
        <f t="shared" si="49"/>
        <v>0</v>
      </c>
      <c r="AF92" s="272">
        <f t="shared" si="49"/>
        <v>0</v>
      </c>
      <c r="AG92" s="272">
        <f t="shared" si="49"/>
        <v>0</v>
      </c>
      <c r="AH92" s="272">
        <f t="shared" si="49"/>
        <v>0</v>
      </c>
      <c r="AI92" s="272">
        <f t="shared" si="49"/>
        <v>0</v>
      </c>
      <c r="AJ92" s="272">
        <f t="shared" si="49"/>
        <v>0</v>
      </c>
      <c r="AK92" s="272">
        <f t="shared" si="49"/>
        <v>0</v>
      </c>
      <c r="AL92" s="272">
        <f t="shared" si="49"/>
        <v>0</v>
      </c>
      <c r="AM92" s="272">
        <f t="shared" si="49"/>
        <v>0</v>
      </c>
      <c r="AN92" s="272">
        <f t="shared" si="49"/>
        <v>0</v>
      </c>
      <c r="AO92" s="272">
        <f t="shared" si="49"/>
        <v>0</v>
      </c>
      <c r="AP92" s="272">
        <f t="shared" si="49"/>
        <v>0</v>
      </c>
      <c r="AQ92" s="272">
        <f t="shared" si="49"/>
        <v>0</v>
      </c>
      <c r="AR92" s="272">
        <f t="shared" si="49"/>
        <v>0</v>
      </c>
      <c r="AS92" s="324">
        <f t="shared" si="49"/>
        <v>0</v>
      </c>
    </row>
    <row r="93" spans="1:45" ht="19.5" customHeight="1" thickBot="1">
      <c r="A93" s="432"/>
      <c r="B93" s="425"/>
      <c r="C93" s="425"/>
      <c r="D93" s="425"/>
      <c r="E93" s="425"/>
      <c r="F93" s="425"/>
      <c r="G93" s="425"/>
      <c r="H93" s="425"/>
      <c r="I93" s="426"/>
      <c r="J93" s="273"/>
      <c r="N93" s="417">
        <f t="shared" si="47"/>
        <v>25</v>
      </c>
      <c r="O93" s="470" t="str">
        <f t="shared" si="44"/>
        <v>from_other_land_to_settlements</v>
      </c>
      <c r="P93" s="471"/>
      <c r="Q93" s="325">
        <f t="shared" si="46"/>
        <v>0</v>
      </c>
      <c r="R93" s="325">
        <f t="shared" si="49"/>
        <v>0</v>
      </c>
      <c r="S93" s="325">
        <f t="shared" si="49"/>
        <v>0</v>
      </c>
      <c r="T93" s="325">
        <f t="shared" si="49"/>
        <v>0</v>
      </c>
      <c r="U93" s="325">
        <f t="shared" si="49"/>
        <v>0</v>
      </c>
      <c r="V93" s="325">
        <f t="shared" si="49"/>
        <v>0</v>
      </c>
      <c r="W93" s="325">
        <f t="shared" si="49"/>
        <v>0</v>
      </c>
      <c r="X93" s="325">
        <f t="shared" si="49"/>
        <v>0</v>
      </c>
      <c r="Y93" s="325">
        <f t="shared" si="49"/>
        <v>0</v>
      </c>
      <c r="Z93" s="325">
        <f t="shared" si="49"/>
        <v>0</v>
      </c>
      <c r="AA93" s="325">
        <f t="shared" si="49"/>
        <v>0</v>
      </c>
      <c r="AB93" s="325">
        <f t="shared" si="49"/>
        <v>0</v>
      </c>
      <c r="AC93" s="325">
        <f t="shared" si="49"/>
        <v>0</v>
      </c>
      <c r="AD93" s="325">
        <f t="shared" si="49"/>
        <v>0</v>
      </c>
      <c r="AE93" s="325">
        <f t="shared" si="49"/>
        <v>0</v>
      </c>
      <c r="AF93" s="325">
        <f t="shared" si="49"/>
        <v>0</v>
      </c>
      <c r="AG93" s="325">
        <f t="shared" si="49"/>
        <v>0</v>
      </c>
      <c r="AH93" s="325">
        <f t="shared" si="49"/>
        <v>0</v>
      </c>
      <c r="AI93" s="325">
        <f t="shared" si="49"/>
        <v>0</v>
      </c>
      <c r="AJ93" s="325">
        <f t="shared" si="49"/>
        <v>0</v>
      </c>
      <c r="AK93" s="325">
        <f t="shared" si="49"/>
        <v>0</v>
      </c>
      <c r="AL93" s="325">
        <f t="shared" si="49"/>
        <v>0</v>
      </c>
      <c r="AM93" s="325">
        <f t="shared" si="49"/>
        <v>0</v>
      </c>
      <c r="AN93" s="325">
        <f t="shared" si="49"/>
        <v>0</v>
      </c>
      <c r="AO93" s="325">
        <f t="shared" si="49"/>
        <v>0</v>
      </c>
      <c r="AP93" s="325">
        <f t="shared" si="49"/>
        <v>0</v>
      </c>
      <c r="AQ93" s="325">
        <f t="shared" si="49"/>
        <v>0</v>
      </c>
      <c r="AR93" s="325">
        <f t="shared" si="49"/>
        <v>0</v>
      </c>
      <c r="AS93" s="326">
        <f t="shared" si="49"/>
        <v>0</v>
      </c>
    </row>
    <row r="94" spans="1:45" ht="19.5" customHeight="1">
      <c r="A94" s="432"/>
      <c r="B94" s="425"/>
      <c r="C94" s="425"/>
      <c r="D94" s="425"/>
      <c r="E94" s="425"/>
      <c r="F94" s="425"/>
      <c r="G94" s="425"/>
      <c r="H94" s="425"/>
      <c r="I94" s="426"/>
      <c r="J94" s="273"/>
      <c r="N94" s="417">
        <f t="shared" si="47"/>
        <v>26</v>
      </c>
      <c r="O94" s="468" t="str">
        <f t="shared" si="44"/>
        <v>from_forestland_to_other_land</v>
      </c>
      <c r="P94" s="469"/>
      <c r="Q94" s="322">
        <f t="shared" si="46"/>
        <v>0</v>
      </c>
      <c r="R94" s="322">
        <f t="shared" si="49"/>
        <v>0</v>
      </c>
      <c r="S94" s="322">
        <f t="shared" si="49"/>
        <v>0</v>
      </c>
      <c r="T94" s="322">
        <f t="shared" si="49"/>
        <v>0</v>
      </c>
      <c r="U94" s="322">
        <f t="shared" si="49"/>
        <v>0</v>
      </c>
      <c r="V94" s="322">
        <f t="shared" si="49"/>
        <v>0</v>
      </c>
      <c r="W94" s="322">
        <f t="shared" si="49"/>
        <v>0</v>
      </c>
      <c r="X94" s="322">
        <f t="shared" si="49"/>
        <v>0</v>
      </c>
      <c r="Y94" s="322">
        <f t="shared" si="49"/>
        <v>0</v>
      </c>
      <c r="Z94" s="322">
        <f t="shared" si="49"/>
        <v>0</v>
      </c>
      <c r="AA94" s="322">
        <f t="shared" si="49"/>
        <v>0</v>
      </c>
      <c r="AB94" s="322">
        <f t="shared" si="49"/>
        <v>0</v>
      </c>
      <c r="AC94" s="322">
        <f t="shared" si="49"/>
        <v>0</v>
      </c>
      <c r="AD94" s="322">
        <f t="shared" si="49"/>
        <v>0</v>
      </c>
      <c r="AE94" s="322">
        <f t="shared" si="49"/>
        <v>0</v>
      </c>
      <c r="AF94" s="322">
        <f t="shared" si="49"/>
        <v>0</v>
      </c>
      <c r="AG94" s="322">
        <f t="shared" si="49"/>
        <v>0</v>
      </c>
      <c r="AH94" s="322">
        <f t="shared" si="49"/>
        <v>0</v>
      </c>
      <c r="AI94" s="322">
        <f t="shared" si="49"/>
        <v>0</v>
      </c>
      <c r="AJ94" s="322">
        <f t="shared" si="49"/>
        <v>0</v>
      </c>
      <c r="AK94" s="322">
        <f t="shared" si="49"/>
        <v>0</v>
      </c>
      <c r="AL94" s="322">
        <f t="shared" si="49"/>
        <v>0</v>
      </c>
      <c r="AM94" s="322">
        <f t="shared" si="49"/>
        <v>0</v>
      </c>
      <c r="AN94" s="322">
        <f t="shared" si="49"/>
        <v>0</v>
      </c>
      <c r="AO94" s="322">
        <f t="shared" si="49"/>
        <v>0</v>
      </c>
      <c r="AP94" s="322">
        <f t="shared" si="49"/>
        <v>0</v>
      </c>
      <c r="AQ94" s="322">
        <f t="shared" si="49"/>
        <v>0</v>
      </c>
      <c r="AR94" s="322">
        <f t="shared" si="49"/>
        <v>0</v>
      </c>
      <c r="AS94" s="323">
        <f t="shared" si="49"/>
        <v>0</v>
      </c>
    </row>
    <row r="95" spans="1:45" ht="19.5" customHeight="1">
      <c r="A95" s="432"/>
      <c r="B95" s="425"/>
      <c r="C95" s="425"/>
      <c r="D95" s="425"/>
      <c r="E95" s="425"/>
      <c r="F95" s="425"/>
      <c r="G95" s="425"/>
      <c r="H95" s="425"/>
      <c r="I95" s="426"/>
      <c r="J95" s="273"/>
      <c r="N95" s="417">
        <f t="shared" si="47"/>
        <v>27</v>
      </c>
      <c r="O95" s="241" t="str">
        <f t="shared" si="44"/>
        <v>from_cropland_to_other_land</v>
      </c>
      <c r="P95" s="419"/>
      <c r="Q95" s="272">
        <f t="shared" si="46"/>
        <v>0</v>
      </c>
      <c r="R95" s="272">
        <f t="shared" si="49"/>
        <v>0</v>
      </c>
      <c r="S95" s="272">
        <f t="shared" si="49"/>
        <v>0</v>
      </c>
      <c r="T95" s="272">
        <f t="shared" si="49"/>
        <v>0</v>
      </c>
      <c r="U95" s="272">
        <f t="shared" si="49"/>
        <v>0</v>
      </c>
      <c r="V95" s="272">
        <f t="shared" si="49"/>
        <v>0</v>
      </c>
      <c r="W95" s="272">
        <f t="shared" si="49"/>
        <v>0</v>
      </c>
      <c r="X95" s="272">
        <f t="shared" si="49"/>
        <v>0</v>
      </c>
      <c r="Y95" s="272">
        <f t="shared" si="49"/>
        <v>0</v>
      </c>
      <c r="Z95" s="272">
        <f t="shared" si="49"/>
        <v>0</v>
      </c>
      <c r="AA95" s="272">
        <f t="shared" si="49"/>
        <v>0</v>
      </c>
      <c r="AB95" s="272">
        <f t="shared" si="49"/>
        <v>0</v>
      </c>
      <c r="AC95" s="272">
        <f t="shared" si="49"/>
        <v>0</v>
      </c>
      <c r="AD95" s="272">
        <f t="shared" si="49"/>
        <v>0</v>
      </c>
      <c r="AE95" s="272">
        <f t="shared" si="49"/>
        <v>0</v>
      </c>
      <c r="AF95" s="272">
        <f t="shared" si="49"/>
        <v>0</v>
      </c>
      <c r="AG95" s="272">
        <f t="shared" si="49"/>
        <v>0</v>
      </c>
      <c r="AH95" s="272">
        <f t="shared" si="49"/>
        <v>0</v>
      </c>
      <c r="AI95" s="272">
        <f t="shared" si="49"/>
        <v>0</v>
      </c>
      <c r="AJ95" s="272">
        <f t="shared" si="49"/>
        <v>0</v>
      </c>
      <c r="AK95" s="272">
        <f t="shared" si="49"/>
        <v>0</v>
      </c>
      <c r="AL95" s="272">
        <f t="shared" si="49"/>
        <v>0</v>
      </c>
      <c r="AM95" s="272">
        <f t="shared" si="49"/>
        <v>0</v>
      </c>
      <c r="AN95" s="272">
        <f t="shared" si="49"/>
        <v>0</v>
      </c>
      <c r="AO95" s="272">
        <f t="shared" si="49"/>
        <v>0</v>
      </c>
      <c r="AP95" s="272">
        <f t="shared" si="49"/>
        <v>0</v>
      </c>
      <c r="AQ95" s="272">
        <f t="shared" si="49"/>
        <v>0</v>
      </c>
      <c r="AR95" s="272">
        <f t="shared" si="49"/>
        <v>0</v>
      </c>
      <c r="AS95" s="324">
        <f t="shared" si="49"/>
        <v>0</v>
      </c>
    </row>
    <row r="96" spans="1:45" ht="20.100000000000001" customHeight="1">
      <c r="A96" s="432"/>
      <c r="B96" s="425"/>
      <c r="C96" s="425"/>
      <c r="D96" s="425"/>
      <c r="E96" s="425"/>
      <c r="F96" s="425"/>
      <c r="G96" s="425"/>
      <c r="H96" s="425"/>
      <c r="I96" s="426"/>
      <c r="N96" s="417">
        <f t="shared" si="47"/>
        <v>28</v>
      </c>
      <c r="O96" s="241" t="str">
        <f t="shared" si="44"/>
        <v>from_grassland_to_other_land</v>
      </c>
      <c r="P96" s="419"/>
      <c r="Q96" s="272">
        <f t="shared" si="46"/>
        <v>0</v>
      </c>
      <c r="R96" s="272">
        <f t="shared" si="49"/>
        <v>0</v>
      </c>
      <c r="S96" s="272">
        <f t="shared" si="49"/>
        <v>0</v>
      </c>
      <c r="T96" s="272">
        <f t="shared" si="49"/>
        <v>0</v>
      </c>
      <c r="U96" s="272">
        <f t="shared" si="49"/>
        <v>0</v>
      </c>
      <c r="V96" s="272">
        <f t="shared" si="49"/>
        <v>0</v>
      </c>
      <c r="W96" s="272">
        <f t="shared" si="49"/>
        <v>0</v>
      </c>
      <c r="X96" s="272">
        <f t="shared" si="49"/>
        <v>0</v>
      </c>
      <c r="Y96" s="272">
        <f t="shared" si="49"/>
        <v>0</v>
      </c>
      <c r="Z96" s="272">
        <f t="shared" si="49"/>
        <v>0</v>
      </c>
      <c r="AA96" s="272">
        <f t="shared" si="49"/>
        <v>0</v>
      </c>
      <c r="AB96" s="272">
        <f t="shared" si="49"/>
        <v>0</v>
      </c>
      <c r="AC96" s="272">
        <f t="shared" si="49"/>
        <v>0</v>
      </c>
      <c r="AD96" s="272">
        <f t="shared" si="49"/>
        <v>0</v>
      </c>
      <c r="AE96" s="272">
        <f t="shared" si="49"/>
        <v>0</v>
      </c>
      <c r="AF96" s="272">
        <f t="shared" si="49"/>
        <v>0</v>
      </c>
      <c r="AG96" s="272">
        <f t="shared" si="49"/>
        <v>0</v>
      </c>
      <c r="AH96" s="272">
        <f t="shared" si="49"/>
        <v>0</v>
      </c>
      <c r="AI96" s="272">
        <f t="shared" si="49"/>
        <v>0</v>
      </c>
      <c r="AJ96" s="272">
        <f t="shared" si="49"/>
        <v>0</v>
      </c>
      <c r="AK96" s="272">
        <f t="shared" si="49"/>
        <v>0</v>
      </c>
      <c r="AL96" s="272">
        <f t="shared" si="49"/>
        <v>0</v>
      </c>
      <c r="AM96" s="272">
        <f t="shared" si="49"/>
        <v>0</v>
      </c>
      <c r="AN96" s="272">
        <f t="shared" si="49"/>
        <v>0</v>
      </c>
      <c r="AO96" s="272">
        <f t="shared" si="49"/>
        <v>0</v>
      </c>
      <c r="AP96" s="272">
        <f t="shared" ref="R96:AS98" si="50">IF($P62&gt;AP$68,0,INDEX($Q$35:$AT$64,$N96,(AP$68-$P62+1)))</f>
        <v>0</v>
      </c>
      <c r="AQ96" s="272">
        <f t="shared" si="50"/>
        <v>0</v>
      </c>
      <c r="AR96" s="272">
        <f t="shared" si="50"/>
        <v>0</v>
      </c>
      <c r="AS96" s="324">
        <f t="shared" si="50"/>
        <v>0</v>
      </c>
    </row>
    <row r="97" spans="1:45" ht="20.100000000000001" customHeight="1" thickBot="1">
      <c r="A97" s="445"/>
      <c r="B97" s="446"/>
      <c r="C97" s="446"/>
      <c r="D97" s="446"/>
      <c r="E97" s="446"/>
      <c r="F97" s="446"/>
      <c r="G97" s="446"/>
      <c r="H97" s="446"/>
      <c r="I97" s="447"/>
      <c r="N97" s="417">
        <f t="shared" si="47"/>
        <v>29</v>
      </c>
      <c r="O97" s="241" t="str">
        <f t="shared" si="44"/>
        <v>from_wetland_to_other_land</v>
      </c>
      <c r="P97" s="419"/>
      <c r="Q97" s="272">
        <f t="shared" si="46"/>
        <v>0</v>
      </c>
      <c r="R97" s="272">
        <f t="shared" si="50"/>
        <v>0</v>
      </c>
      <c r="S97" s="272">
        <f t="shared" si="50"/>
        <v>0</v>
      </c>
      <c r="T97" s="272">
        <f t="shared" si="50"/>
        <v>0</v>
      </c>
      <c r="U97" s="272">
        <f t="shared" si="50"/>
        <v>0</v>
      </c>
      <c r="V97" s="272">
        <f t="shared" si="50"/>
        <v>0</v>
      </c>
      <c r="W97" s="272">
        <f t="shared" si="50"/>
        <v>0</v>
      </c>
      <c r="X97" s="272">
        <f t="shared" si="50"/>
        <v>0</v>
      </c>
      <c r="Y97" s="272">
        <f t="shared" si="50"/>
        <v>0</v>
      </c>
      <c r="Z97" s="272">
        <f t="shared" si="50"/>
        <v>0</v>
      </c>
      <c r="AA97" s="272">
        <f t="shared" si="50"/>
        <v>0</v>
      </c>
      <c r="AB97" s="272">
        <f t="shared" si="50"/>
        <v>0</v>
      </c>
      <c r="AC97" s="272">
        <f t="shared" si="50"/>
        <v>0</v>
      </c>
      <c r="AD97" s="272">
        <f t="shared" si="50"/>
        <v>0</v>
      </c>
      <c r="AE97" s="272">
        <f t="shared" si="50"/>
        <v>0</v>
      </c>
      <c r="AF97" s="272">
        <f t="shared" si="50"/>
        <v>0</v>
      </c>
      <c r="AG97" s="272">
        <f t="shared" si="50"/>
        <v>0</v>
      </c>
      <c r="AH97" s="272">
        <f t="shared" si="50"/>
        <v>0</v>
      </c>
      <c r="AI97" s="272">
        <f t="shared" si="50"/>
        <v>0</v>
      </c>
      <c r="AJ97" s="272">
        <f t="shared" si="50"/>
        <v>0</v>
      </c>
      <c r="AK97" s="272">
        <f t="shared" si="50"/>
        <v>0</v>
      </c>
      <c r="AL97" s="272">
        <f t="shared" si="50"/>
        <v>0</v>
      </c>
      <c r="AM97" s="272">
        <f t="shared" si="50"/>
        <v>0</v>
      </c>
      <c r="AN97" s="272">
        <f t="shared" si="50"/>
        <v>0</v>
      </c>
      <c r="AO97" s="272">
        <f t="shared" si="50"/>
        <v>0</v>
      </c>
      <c r="AP97" s="272">
        <f t="shared" si="50"/>
        <v>0</v>
      </c>
      <c r="AQ97" s="272">
        <f t="shared" si="50"/>
        <v>0</v>
      </c>
      <c r="AR97" s="272">
        <f t="shared" si="50"/>
        <v>0</v>
      </c>
      <c r="AS97" s="324">
        <f t="shared" si="50"/>
        <v>0</v>
      </c>
    </row>
    <row r="98" spans="1:45" ht="20.100000000000001" customHeight="1" thickBot="1">
      <c r="N98" s="417">
        <f t="shared" si="47"/>
        <v>30</v>
      </c>
      <c r="O98" s="470" t="str">
        <f>O64</f>
        <v>from_settlements_to_other_land</v>
      </c>
      <c r="P98" s="471"/>
      <c r="Q98" s="325">
        <f t="shared" si="46"/>
        <v>0</v>
      </c>
      <c r="R98" s="325">
        <f t="shared" si="50"/>
        <v>0</v>
      </c>
      <c r="S98" s="325">
        <f t="shared" si="50"/>
        <v>0</v>
      </c>
      <c r="T98" s="325">
        <f t="shared" si="50"/>
        <v>0</v>
      </c>
      <c r="U98" s="325">
        <f t="shared" si="50"/>
        <v>0</v>
      </c>
      <c r="V98" s="325">
        <f t="shared" si="50"/>
        <v>0</v>
      </c>
      <c r="W98" s="325">
        <f t="shared" si="50"/>
        <v>0</v>
      </c>
      <c r="X98" s="325">
        <f t="shared" si="50"/>
        <v>0</v>
      </c>
      <c r="Y98" s="325">
        <f t="shared" si="50"/>
        <v>0</v>
      </c>
      <c r="Z98" s="325">
        <f t="shared" si="50"/>
        <v>0</v>
      </c>
      <c r="AA98" s="325">
        <f t="shared" si="50"/>
        <v>0</v>
      </c>
      <c r="AB98" s="325">
        <f t="shared" si="50"/>
        <v>0</v>
      </c>
      <c r="AC98" s="325">
        <f t="shared" si="50"/>
        <v>0</v>
      </c>
      <c r="AD98" s="325">
        <f t="shared" si="50"/>
        <v>0</v>
      </c>
      <c r="AE98" s="325">
        <f t="shared" si="50"/>
        <v>0</v>
      </c>
      <c r="AF98" s="325">
        <f t="shared" si="50"/>
        <v>0</v>
      </c>
      <c r="AG98" s="325">
        <f t="shared" si="50"/>
        <v>0</v>
      </c>
      <c r="AH98" s="325">
        <f t="shared" si="50"/>
        <v>0</v>
      </c>
      <c r="AI98" s="325">
        <f t="shared" si="50"/>
        <v>0</v>
      </c>
      <c r="AJ98" s="325">
        <f t="shared" si="50"/>
        <v>0</v>
      </c>
      <c r="AK98" s="325">
        <f t="shared" si="50"/>
        <v>0</v>
      </c>
      <c r="AL98" s="325">
        <f t="shared" si="50"/>
        <v>0</v>
      </c>
      <c r="AM98" s="325">
        <f t="shared" si="50"/>
        <v>0</v>
      </c>
      <c r="AN98" s="325">
        <f t="shared" si="50"/>
        <v>0</v>
      </c>
      <c r="AO98" s="325">
        <f t="shared" si="50"/>
        <v>0</v>
      </c>
      <c r="AP98" s="325">
        <f t="shared" si="50"/>
        <v>0</v>
      </c>
      <c r="AQ98" s="325">
        <f t="shared" si="50"/>
        <v>0</v>
      </c>
      <c r="AR98" s="325">
        <f t="shared" si="50"/>
        <v>0</v>
      </c>
      <c r="AS98" s="326">
        <f t="shared" si="50"/>
        <v>0</v>
      </c>
    </row>
    <row r="99" spans="1:45" ht="20.100000000000001" customHeight="1">
      <c r="O99" s="560" t="s">
        <v>310</v>
      </c>
      <c r="P99" s="560"/>
      <c r="Q99" s="947">
        <f>SUM(Q69:Q98)</f>
        <v>0</v>
      </c>
      <c r="R99" s="947">
        <f t="shared" ref="R99:AS99" si="51">SUM(R69:R98)</f>
        <v>0</v>
      </c>
      <c r="S99" s="947">
        <f t="shared" si="51"/>
        <v>0</v>
      </c>
      <c r="T99" s="947">
        <f t="shared" si="51"/>
        <v>-35229.850691366286</v>
      </c>
      <c r="U99" s="947">
        <f t="shared" si="51"/>
        <v>-35229.850691366286</v>
      </c>
      <c r="V99" s="947">
        <f t="shared" si="51"/>
        <v>-35229.850691366286</v>
      </c>
      <c r="W99" s="947">
        <f t="shared" si="51"/>
        <v>-35229.850691366286</v>
      </c>
      <c r="X99" s="947">
        <f t="shared" si="51"/>
        <v>-35229.850691366286</v>
      </c>
      <c r="Y99" s="947">
        <f t="shared" si="51"/>
        <v>-35229.850691366286</v>
      </c>
      <c r="Z99" s="947">
        <f t="shared" si="51"/>
        <v>-35229.850691366286</v>
      </c>
      <c r="AA99" s="947">
        <f t="shared" si="51"/>
        <v>-35229.850691366286</v>
      </c>
      <c r="AB99" s="947">
        <f t="shared" si="51"/>
        <v>-35229.850691366286</v>
      </c>
      <c r="AC99" s="947">
        <f t="shared" si="51"/>
        <v>-35229.850691366286</v>
      </c>
      <c r="AD99" s="947">
        <f t="shared" si="51"/>
        <v>-35229.850691366286</v>
      </c>
      <c r="AE99" s="947">
        <f t="shared" si="51"/>
        <v>-35229.850691366286</v>
      </c>
      <c r="AF99" s="947">
        <f t="shared" si="51"/>
        <v>-35229.850691366286</v>
      </c>
      <c r="AG99" s="947">
        <f t="shared" si="51"/>
        <v>-35229.850691366286</v>
      </c>
      <c r="AH99" s="947">
        <f t="shared" si="51"/>
        <v>-35229.850691366286</v>
      </c>
      <c r="AI99" s="947">
        <f t="shared" si="51"/>
        <v>-35229.850691366286</v>
      </c>
      <c r="AJ99" s="947">
        <f t="shared" si="51"/>
        <v>-35229.850691366286</v>
      </c>
      <c r="AK99" s="947">
        <f t="shared" si="51"/>
        <v>-35229.850691366286</v>
      </c>
      <c r="AL99" s="947">
        <f t="shared" si="51"/>
        <v>-35229.850691366286</v>
      </c>
      <c r="AM99" s="947">
        <f t="shared" si="51"/>
        <v>-35229.850691366286</v>
      </c>
      <c r="AN99" s="947">
        <f t="shared" si="51"/>
        <v>-8805.061101593461</v>
      </c>
      <c r="AO99" s="947">
        <f t="shared" si="51"/>
        <v>-8805.061101593461</v>
      </c>
      <c r="AP99" s="947">
        <f t="shared" si="51"/>
        <v>-8805.061101593461</v>
      </c>
      <c r="AQ99" s="947">
        <f t="shared" si="51"/>
        <v>-8805.061101593461</v>
      </c>
      <c r="AR99" s="947">
        <f t="shared" si="51"/>
        <v>-8805.061101593461</v>
      </c>
      <c r="AS99" s="947">
        <f t="shared" si="51"/>
        <v>-8805.061101593461</v>
      </c>
    </row>
    <row r="100" spans="1:45" ht="20.100000000000001" customHeight="1">
      <c r="T100" s="474"/>
    </row>
    <row r="101" spans="1:45" ht="20.100000000000001" customHeight="1" thickBot="1">
      <c r="O101" s="946"/>
      <c r="P101" s="946"/>
      <c r="Q101" s="284">
        <f>Q68</f>
        <v>2022</v>
      </c>
      <c r="R101" s="284">
        <f>Q101+1</f>
        <v>2023</v>
      </c>
      <c r="S101" s="284">
        <f t="shared" ref="S101:AS101" si="52">R101+1</f>
        <v>2024</v>
      </c>
      <c r="T101" s="284">
        <f t="shared" si="52"/>
        <v>2025</v>
      </c>
      <c r="U101" s="284">
        <f t="shared" si="52"/>
        <v>2026</v>
      </c>
      <c r="V101" s="284">
        <f t="shared" si="52"/>
        <v>2027</v>
      </c>
      <c r="W101" s="284">
        <f t="shared" si="52"/>
        <v>2028</v>
      </c>
      <c r="X101" s="284">
        <f t="shared" si="52"/>
        <v>2029</v>
      </c>
      <c r="Y101" s="284">
        <f t="shared" si="52"/>
        <v>2030</v>
      </c>
      <c r="Z101" s="284">
        <f t="shared" si="52"/>
        <v>2031</v>
      </c>
      <c r="AA101" s="284">
        <f t="shared" si="52"/>
        <v>2032</v>
      </c>
      <c r="AB101" s="284">
        <f t="shared" si="52"/>
        <v>2033</v>
      </c>
      <c r="AC101" s="284">
        <f t="shared" si="52"/>
        <v>2034</v>
      </c>
      <c r="AD101" s="284">
        <f t="shared" si="52"/>
        <v>2035</v>
      </c>
      <c r="AE101" s="284">
        <f t="shared" si="52"/>
        <v>2036</v>
      </c>
      <c r="AF101" s="284">
        <f t="shared" si="52"/>
        <v>2037</v>
      </c>
      <c r="AG101" s="284">
        <f t="shared" si="52"/>
        <v>2038</v>
      </c>
      <c r="AH101" s="284">
        <f t="shared" si="52"/>
        <v>2039</v>
      </c>
      <c r="AI101" s="284">
        <f t="shared" si="52"/>
        <v>2040</v>
      </c>
      <c r="AJ101" s="284">
        <f t="shared" si="52"/>
        <v>2041</v>
      </c>
      <c r="AK101" s="284">
        <f t="shared" si="52"/>
        <v>2042</v>
      </c>
      <c r="AL101" s="284">
        <f t="shared" si="52"/>
        <v>2043</v>
      </c>
      <c r="AM101" s="284">
        <f t="shared" si="52"/>
        <v>2044</v>
      </c>
      <c r="AN101" s="284">
        <f t="shared" si="52"/>
        <v>2045</v>
      </c>
      <c r="AO101" s="284">
        <f t="shared" si="52"/>
        <v>2046</v>
      </c>
      <c r="AP101" s="284">
        <f t="shared" si="52"/>
        <v>2047</v>
      </c>
      <c r="AQ101" s="284">
        <f t="shared" si="52"/>
        <v>2048</v>
      </c>
      <c r="AR101" s="284">
        <f t="shared" si="52"/>
        <v>2049</v>
      </c>
      <c r="AS101" s="284">
        <f t="shared" si="52"/>
        <v>2050</v>
      </c>
    </row>
    <row r="102" spans="1:45" ht="20.100000000000001" customHeight="1">
      <c r="O102" s="468" t="s">
        <v>2635</v>
      </c>
      <c r="P102" s="469"/>
      <c r="Q102" s="948">
        <f>IF(Q69&gt;0,Q69,0)+IF(Q70&gt;0,Q70,0)+IF(Q71&gt;0,Q71,0)+IF(Q72&gt;0,Q72,0)+IF(Q73&gt;0,Q73,0)+IF(Q74&gt;0,Q74,0)+IF(Q75&gt;0,Q75,0)+IF(Q76&gt;0,Q76,0)+IF(Q77&gt;0,Q77,0)+IF(Q78&gt;0,Q78,0)+IF(Q79&gt;0,Q79,0)+IF(Q80&gt;0,Q80,0)+IF(Q81&gt;0,Q81,0)+IF(Q82&gt;0,Q82,0)+IF(Q83&gt;0,Q83,0)+IF(Q84&gt;0,Q84,0)+IF(Q85&gt;0,Q85,0)+IF(Q86&gt;0,Q86,0)+IF(Q87&gt;0,Q87,0)+IF(Q88&gt;0,Q88,0)+IF(Q89&gt;0,Q89,0)+IF(Q90&gt;0,Q90,0)+IF(Q91&gt;0,Q91,0)+IF(Q92&gt;0,Q92,0)+IF(Q93&gt;0,Q93,0)+IF(Q94&gt;0,Q94,0)+IF(Q95&gt;0,Q95,0)+IF(Q96&gt;0,Q96,0)+IF(Q97&gt;0,Q97,0)+IF(Q98&gt;0,Q98,0)</f>
        <v>0</v>
      </c>
      <c r="R102" s="948">
        <f>IF(R69&gt;0,R69,0)+IF(R70&gt;0,R70,0)+IF(R71&gt;0,R71,0)+IF(R72&gt;0,R72,0)+IF(R73&gt;0,R73,0)+IF(R74&gt;0,R74,0)+IF(R75&gt;0,R75,0)+IF(R76&gt;0,R76,0)+IF(R77&gt;0,R77,0)+IF(R78&gt;0,R78,0)+IF(R79&gt;0,R79,0)+IF(R80&gt;0,R80,0)+IF(R81&gt;0,R81,0)+IF(R82&gt;0,R82,0)+IF(R83&gt;0,R83,0)+IF(R84&gt;0,R84,0)+IF(R85&gt;0,R85,0)+IF(R86&gt;0,R86,0)+IF(R87&gt;0,R87,0)+IF(R88&gt;0,R88,0)+IF(R89&gt;0,R89,0)+IF(R90&gt;0,R90,0)+IF(R91&gt;0,R91,0)+IF(R92&gt;0,R92,0)+IF(R93&gt;0,R93,0)+IF(R94&gt;0,R94,0)+IF(R95&gt;0,R95,0)+IF(R96&gt;0,R96,0)+IF(R97&gt;0,R97,0)+IF(R98&gt;0,R98,0)</f>
        <v>0</v>
      </c>
      <c r="S102" s="948">
        <f t="shared" ref="S102:AS102" si="53">IF(S69&gt;0,S69,0)+IF(S70&gt;0,S70,0)+IF(S71&gt;0,S71,0)+IF(S72&gt;0,S72,0)+IF(S73&gt;0,S73,0)+IF(S74&gt;0,S74,0)+IF(S75&gt;0,S75,0)+IF(S76&gt;0,S76,0)+IF(S77&gt;0,S77,0)+IF(S78&gt;0,S78,0)+IF(S79&gt;0,S79,0)+IF(S80&gt;0,S80,0)+IF(S81&gt;0,S81,0)+IF(S82&gt;0,S82,0)+IF(S83&gt;0,S83,0)+IF(S84&gt;0,S84,0)+IF(S85&gt;0,S85,0)+IF(S86&gt;0,S86,0)+IF(S87&gt;0,S87,0)+IF(S88&gt;0,S88,0)+IF(S89&gt;0,S89,0)+IF(S90&gt;0,S90,0)+IF(S91&gt;0,S91,0)+IF(S92&gt;0,S92,0)+IF(S93&gt;0,S93,0)+IF(S94&gt;0,S94,0)+IF(S95&gt;0,S95,0)+IF(S96&gt;0,S96,0)+IF(S97&gt;0,S97,0)+IF(S98&gt;0,S98,0)</f>
        <v>0</v>
      </c>
      <c r="T102" s="948">
        <f t="shared" si="53"/>
        <v>0</v>
      </c>
      <c r="U102" s="948">
        <f t="shared" si="53"/>
        <v>0</v>
      </c>
      <c r="V102" s="948">
        <f t="shared" si="53"/>
        <v>0</v>
      </c>
      <c r="W102" s="948">
        <f t="shared" si="53"/>
        <v>0</v>
      </c>
      <c r="X102" s="948">
        <f t="shared" si="53"/>
        <v>0</v>
      </c>
      <c r="Y102" s="948">
        <f t="shared" si="53"/>
        <v>0</v>
      </c>
      <c r="Z102" s="948">
        <f t="shared" si="53"/>
        <v>0</v>
      </c>
      <c r="AA102" s="948">
        <f t="shared" si="53"/>
        <v>0</v>
      </c>
      <c r="AB102" s="948">
        <f t="shared" si="53"/>
        <v>0</v>
      </c>
      <c r="AC102" s="948">
        <f t="shared" si="53"/>
        <v>0</v>
      </c>
      <c r="AD102" s="948">
        <f t="shared" si="53"/>
        <v>0</v>
      </c>
      <c r="AE102" s="948">
        <f t="shared" si="53"/>
        <v>0</v>
      </c>
      <c r="AF102" s="948">
        <f t="shared" si="53"/>
        <v>0</v>
      </c>
      <c r="AG102" s="948">
        <f t="shared" si="53"/>
        <v>0</v>
      </c>
      <c r="AH102" s="948">
        <f t="shared" si="53"/>
        <v>0</v>
      </c>
      <c r="AI102" s="948">
        <f t="shared" si="53"/>
        <v>0</v>
      </c>
      <c r="AJ102" s="948">
        <f t="shared" si="53"/>
        <v>0</v>
      </c>
      <c r="AK102" s="948">
        <f t="shared" si="53"/>
        <v>0</v>
      </c>
      <c r="AL102" s="948">
        <f t="shared" si="53"/>
        <v>0</v>
      </c>
      <c r="AM102" s="948">
        <f t="shared" si="53"/>
        <v>0</v>
      </c>
      <c r="AN102" s="948">
        <f t="shared" si="53"/>
        <v>0</v>
      </c>
      <c r="AO102" s="948">
        <f t="shared" si="53"/>
        <v>0</v>
      </c>
      <c r="AP102" s="948">
        <f t="shared" si="53"/>
        <v>0</v>
      </c>
      <c r="AQ102" s="948">
        <f t="shared" si="53"/>
        <v>0</v>
      </c>
      <c r="AR102" s="948">
        <f t="shared" si="53"/>
        <v>0</v>
      </c>
      <c r="AS102" s="949">
        <f t="shared" si="53"/>
        <v>0</v>
      </c>
    </row>
    <row r="103" spans="1:45" ht="20.100000000000001" customHeight="1" thickBot="1">
      <c r="O103" s="470" t="s">
        <v>2636</v>
      </c>
      <c r="P103" s="471"/>
      <c r="Q103" s="629">
        <f>IF(Q69&lt;0,Q69,0)+IF(Q70&lt;0,Q70,0)+IF(Q71&lt;0,Q71,0)+IF(Q72&lt;0,Q72,0)+IF(Q73&lt;0,Q73,0)+IF(Q74&lt;0,Q74,0)+IF(Q75&lt;0,Q75,0)+IF(Q76&lt;0,Q76,0)+IF(Q77&lt;0,Q77,0)+IF(Q78&lt;0,Q78,0)+IF(Q79&lt;0,Q79,0)+IF(Q80&lt;0,Q80,0)+IF(Q81&lt;0,Q81,0)+IF(Q82&lt;0,Q82,0)+IF(Q83&lt;0,Q83,0)+IF(Q84&lt;0,Q84,0)+IF(Q85&lt;0,Q85,0)+IF(Q86&lt;0,Q86,0)+IF(Q87&lt;0,Q87,0)+IF(Q88&lt;0,Q88,0)+IF(Q89&lt;0,Q89,0)+IF(Q90&lt;0,Q90,0)+IF(Q91&lt;0,Q91,0)+IF(Q92&lt;0,Q92,0)+IF(Q93&lt;0,Q93,0)+IF(Q94&lt;0,Q94,0)+IF(Q95&lt;0,Q95,0)+IF(Q96&lt;0,Q96,0)+IF(Q97&lt;0,Q97,0)+IF(Q98&lt;0,Q98,0)</f>
        <v>0</v>
      </c>
      <c r="R103" s="629">
        <f>IF(R69&lt;0,R69,0)+IF(R70&lt;0,R70,0)+IF(R71&lt;0,R71,0)+IF(R72&lt;0,R72,0)+IF(R73&lt;0,R73,0)+IF(R74&lt;0,R74,0)+IF(R75&lt;0,R75,0)+IF(R76&lt;0,R76,0)+IF(R77&lt;0,R77,0)+IF(R78&lt;0,R78,0)+IF(R79&lt;0,R79,0)+IF(R80&lt;0,R80,0)+IF(R81&lt;0,R81,0)+IF(R82&lt;0,R82,0)+IF(R83&lt;0,R83,0)+IF(R84&lt;0,R84,0)+IF(R85&lt;0,R85,0)+IF(R86&lt;0,R86,0)+IF(R87&lt;0,R87,0)+IF(R88&lt;0,R88,0)+IF(R89&lt;0,R89,0)+IF(R90&lt;0,R90,0)+IF(R91&lt;0,R91,0)+IF(R92&lt;0,R92,0)+IF(R93&lt;0,R93,0)+IF(R94&lt;0,R94,0)+IF(R95&lt;0,R95,0)+IF(R96&lt;0,R96,0)+IF(R97&lt;0,R97,0)+IF(R98&lt;0,R98,0)</f>
        <v>0</v>
      </c>
      <c r="S103" s="629">
        <f t="shared" ref="S103:AS103" si="54">IF(S69&lt;0,S69,0)+IF(S70&lt;0,S70,0)+IF(S71&lt;0,S71,0)+IF(S72&lt;0,S72,0)+IF(S73&lt;0,S73,0)+IF(S74&lt;0,S74,0)+IF(S75&lt;0,S75,0)+IF(S76&lt;0,S76,0)+IF(S77&lt;0,S77,0)+IF(S78&lt;0,S78,0)+IF(S79&lt;0,S79,0)+IF(S80&lt;0,S80,0)+IF(S81&lt;0,S81,0)+IF(S82&lt;0,S82,0)+IF(S83&lt;0,S83,0)+IF(S84&lt;0,S84,0)+IF(S85&lt;0,S85,0)+IF(S86&lt;0,S86,0)+IF(S87&lt;0,S87,0)+IF(S88&lt;0,S88,0)+IF(S89&lt;0,S89,0)+IF(S90&lt;0,S90,0)+IF(S91&lt;0,S91,0)+IF(S92&lt;0,S92,0)+IF(S93&lt;0,S93,0)+IF(S94&lt;0,S94,0)+IF(S95&lt;0,S95,0)+IF(S96&lt;0,S96,0)+IF(S97&lt;0,S97,0)+IF(S98&lt;0,S98,0)</f>
        <v>0</v>
      </c>
      <c r="T103" s="629">
        <f t="shared" si="54"/>
        <v>-35229.850691366286</v>
      </c>
      <c r="U103" s="629">
        <f t="shared" si="54"/>
        <v>-35229.850691366286</v>
      </c>
      <c r="V103" s="629">
        <f t="shared" si="54"/>
        <v>-35229.850691366286</v>
      </c>
      <c r="W103" s="629">
        <f t="shared" si="54"/>
        <v>-35229.850691366286</v>
      </c>
      <c r="X103" s="629">
        <f t="shared" si="54"/>
        <v>-35229.850691366286</v>
      </c>
      <c r="Y103" s="629">
        <f t="shared" si="54"/>
        <v>-35229.850691366286</v>
      </c>
      <c r="Z103" s="629">
        <f t="shared" si="54"/>
        <v>-35229.850691366286</v>
      </c>
      <c r="AA103" s="629">
        <f t="shared" si="54"/>
        <v>-35229.850691366286</v>
      </c>
      <c r="AB103" s="629">
        <f t="shared" si="54"/>
        <v>-35229.850691366286</v>
      </c>
      <c r="AC103" s="629">
        <f t="shared" si="54"/>
        <v>-35229.850691366286</v>
      </c>
      <c r="AD103" s="629">
        <f t="shared" si="54"/>
        <v>-35229.850691366286</v>
      </c>
      <c r="AE103" s="629">
        <f t="shared" si="54"/>
        <v>-35229.850691366286</v>
      </c>
      <c r="AF103" s="629">
        <f t="shared" si="54"/>
        <v>-35229.850691366286</v>
      </c>
      <c r="AG103" s="629">
        <f t="shared" si="54"/>
        <v>-35229.850691366286</v>
      </c>
      <c r="AH103" s="629">
        <f t="shared" si="54"/>
        <v>-35229.850691366286</v>
      </c>
      <c r="AI103" s="629">
        <f t="shared" si="54"/>
        <v>-35229.850691366286</v>
      </c>
      <c r="AJ103" s="629">
        <f t="shared" si="54"/>
        <v>-35229.850691366286</v>
      </c>
      <c r="AK103" s="629">
        <f t="shared" si="54"/>
        <v>-35229.850691366286</v>
      </c>
      <c r="AL103" s="629">
        <f t="shared" si="54"/>
        <v>-35229.850691366286</v>
      </c>
      <c r="AM103" s="629">
        <f t="shared" si="54"/>
        <v>-35229.850691366286</v>
      </c>
      <c r="AN103" s="629">
        <f t="shared" si="54"/>
        <v>-8805.061101593461</v>
      </c>
      <c r="AO103" s="629">
        <f t="shared" si="54"/>
        <v>-8805.061101593461</v>
      </c>
      <c r="AP103" s="629">
        <f t="shared" si="54"/>
        <v>-8805.061101593461</v>
      </c>
      <c r="AQ103" s="629">
        <f t="shared" si="54"/>
        <v>-8805.061101593461</v>
      </c>
      <c r="AR103" s="629">
        <f t="shared" si="54"/>
        <v>-8805.061101593461</v>
      </c>
      <c r="AS103" s="903">
        <f t="shared" si="54"/>
        <v>-8805.061101593461</v>
      </c>
    </row>
    <row r="104" spans="1:45" ht="20.100000000000001" customHeight="1">
      <c r="O104" s="285" t="s">
        <v>170</v>
      </c>
      <c r="P104" s="950"/>
      <c r="Q104" s="327">
        <f>SUM(Q102:Q103)</f>
        <v>0</v>
      </c>
      <c r="R104" s="327">
        <f t="shared" ref="R104:AS104" si="55">SUM(R102:R103)</f>
        <v>0</v>
      </c>
      <c r="S104" s="327">
        <f t="shared" si="55"/>
        <v>0</v>
      </c>
      <c r="T104" s="327">
        <f t="shared" si="55"/>
        <v>-35229.850691366286</v>
      </c>
      <c r="U104" s="327">
        <f t="shared" si="55"/>
        <v>-35229.850691366286</v>
      </c>
      <c r="V104" s="327">
        <f t="shared" si="55"/>
        <v>-35229.850691366286</v>
      </c>
      <c r="W104" s="327">
        <f t="shared" si="55"/>
        <v>-35229.850691366286</v>
      </c>
      <c r="X104" s="327">
        <f t="shared" si="55"/>
        <v>-35229.850691366286</v>
      </c>
      <c r="Y104" s="327">
        <f t="shared" si="55"/>
        <v>-35229.850691366286</v>
      </c>
      <c r="Z104" s="327">
        <f t="shared" si="55"/>
        <v>-35229.850691366286</v>
      </c>
      <c r="AA104" s="327">
        <f t="shared" si="55"/>
        <v>-35229.850691366286</v>
      </c>
      <c r="AB104" s="327">
        <f t="shared" si="55"/>
        <v>-35229.850691366286</v>
      </c>
      <c r="AC104" s="327">
        <f t="shared" si="55"/>
        <v>-35229.850691366286</v>
      </c>
      <c r="AD104" s="327">
        <f t="shared" si="55"/>
        <v>-35229.850691366286</v>
      </c>
      <c r="AE104" s="327">
        <f t="shared" si="55"/>
        <v>-35229.850691366286</v>
      </c>
      <c r="AF104" s="327">
        <f t="shared" si="55"/>
        <v>-35229.850691366286</v>
      </c>
      <c r="AG104" s="327">
        <f t="shared" si="55"/>
        <v>-35229.850691366286</v>
      </c>
      <c r="AH104" s="327">
        <f t="shared" si="55"/>
        <v>-35229.850691366286</v>
      </c>
      <c r="AI104" s="327">
        <f t="shared" si="55"/>
        <v>-35229.850691366286</v>
      </c>
      <c r="AJ104" s="327">
        <f t="shared" si="55"/>
        <v>-35229.850691366286</v>
      </c>
      <c r="AK104" s="327">
        <f t="shared" si="55"/>
        <v>-35229.850691366286</v>
      </c>
      <c r="AL104" s="327">
        <f t="shared" si="55"/>
        <v>-35229.850691366286</v>
      </c>
      <c r="AM104" s="327">
        <f t="shared" si="55"/>
        <v>-35229.850691366286</v>
      </c>
      <c r="AN104" s="327">
        <f t="shared" si="55"/>
        <v>-8805.061101593461</v>
      </c>
      <c r="AO104" s="327">
        <f t="shared" si="55"/>
        <v>-8805.061101593461</v>
      </c>
      <c r="AP104" s="327">
        <f t="shared" si="55"/>
        <v>-8805.061101593461</v>
      </c>
      <c r="AQ104" s="327">
        <f t="shared" si="55"/>
        <v>-8805.061101593461</v>
      </c>
      <c r="AR104" s="327">
        <f t="shared" si="55"/>
        <v>-8805.061101593461</v>
      </c>
      <c r="AS104" s="327">
        <f t="shared" si="55"/>
        <v>-8805.061101593461</v>
      </c>
    </row>
  </sheetData>
  <mergeCells count="9">
    <mergeCell ref="C15:C16"/>
    <mergeCell ref="B3:I3"/>
    <mergeCell ref="B43:I43"/>
    <mergeCell ref="P33:P34"/>
    <mergeCell ref="F45:G45"/>
    <mergeCell ref="L33:M33"/>
    <mergeCell ref="K33:K34"/>
    <mergeCell ref="N33:N34"/>
    <mergeCell ref="O33:O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Drop Down 30">
              <controlPr defaultSize="0" autoLine="0" autoPict="0">
                <anchor moveWithCells="1">
                  <from>
                    <xdr:col>7</xdr:col>
                    <xdr:colOff>9525</xdr:colOff>
                    <xdr:row>46</xdr:row>
                    <xdr:rowOff>0</xdr:rowOff>
                  </from>
                  <to>
                    <xdr:col>7</xdr:col>
                    <xdr:colOff>828675</xdr:colOff>
                    <xdr:row>46</xdr:row>
                    <xdr:rowOff>238125</xdr:rowOff>
                  </to>
                </anchor>
              </controlPr>
            </control>
          </mc:Choice>
        </mc:AlternateContent>
        <mc:AlternateContent xmlns:mc="http://schemas.openxmlformats.org/markup-compatibility/2006">
          <mc:Choice Requires="x14">
            <control shapeId="3" r:id="rId5" name="Drop Down 31">
              <controlPr defaultSize="0" autoLine="0" autoPict="0">
                <anchor moveWithCells="1">
                  <from>
                    <xdr:col>7</xdr:col>
                    <xdr:colOff>9525</xdr:colOff>
                    <xdr:row>47</xdr:row>
                    <xdr:rowOff>0</xdr:rowOff>
                  </from>
                  <to>
                    <xdr:col>7</xdr:col>
                    <xdr:colOff>828675</xdr:colOff>
                    <xdr:row>47</xdr:row>
                    <xdr:rowOff>238125</xdr:rowOff>
                  </to>
                </anchor>
              </controlPr>
            </control>
          </mc:Choice>
        </mc:AlternateContent>
        <mc:AlternateContent xmlns:mc="http://schemas.openxmlformats.org/markup-compatibility/2006">
          <mc:Choice Requires="x14">
            <control shapeId="7" r:id="rId6" name="Drop Down 32">
              <controlPr defaultSize="0" autoLine="0" autoPict="0">
                <anchor moveWithCells="1">
                  <from>
                    <xdr:col>7</xdr:col>
                    <xdr:colOff>9525</xdr:colOff>
                    <xdr:row>48</xdr:row>
                    <xdr:rowOff>0</xdr:rowOff>
                  </from>
                  <to>
                    <xdr:col>7</xdr:col>
                    <xdr:colOff>828675</xdr:colOff>
                    <xdr:row>48</xdr:row>
                    <xdr:rowOff>238125</xdr:rowOff>
                  </to>
                </anchor>
              </controlPr>
            </control>
          </mc:Choice>
        </mc:AlternateContent>
        <mc:AlternateContent xmlns:mc="http://schemas.openxmlformats.org/markup-compatibility/2006">
          <mc:Choice Requires="x14">
            <control shapeId="10" r:id="rId7" name="Drop Down 33">
              <controlPr defaultSize="0" autoLine="0" autoPict="0">
                <anchor moveWithCells="1">
                  <from>
                    <xdr:col>7</xdr:col>
                    <xdr:colOff>9525</xdr:colOff>
                    <xdr:row>49</xdr:row>
                    <xdr:rowOff>0</xdr:rowOff>
                  </from>
                  <to>
                    <xdr:col>7</xdr:col>
                    <xdr:colOff>828675</xdr:colOff>
                    <xdr:row>49</xdr:row>
                    <xdr:rowOff>238125</xdr:rowOff>
                  </to>
                </anchor>
              </controlPr>
            </control>
          </mc:Choice>
        </mc:AlternateContent>
        <mc:AlternateContent xmlns:mc="http://schemas.openxmlformats.org/markup-compatibility/2006">
          <mc:Choice Requires="x14">
            <control shapeId="12" r:id="rId8" name="Drop Down 34">
              <controlPr defaultSize="0" autoLine="0" autoPict="0">
                <anchor moveWithCells="1">
                  <from>
                    <xdr:col>7</xdr:col>
                    <xdr:colOff>9525</xdr:colOff>
                    <xdr:row>50</xdr:row>
                    <xdr:rowOff>0</xdr:rowOff>
                  </from>
                  <to>
                    <xdr:col>7</xdr:col>
                    <xdr:colOff>828675</xdr:colOff>
                    <xdr:row>50</xdr:row>
                    <xdr:rowOff>238125</xdr:rowOff>
                  </to>
                </anchor>
              </controlPr>
            </control>
          </mc:Choice>
        </mc:AlternateContent>
        <mc:AlternateContent xmlns:mc="http://schemas.openxmlformats.org/markup-compatibility/2006">
          <mc:Choice Requires="x14">
            <control shapeId="13" r:id="rId9" name="Drop Down 35">
              <controlPr defaultSize="0" autoLine="0" autoPict="0">
                <anchor moveWithCells="1">
                  <from>
                    <xdr:col>7</xdr:col>
                    <xdr:colOff>9525</xdr:colOff>
                    <xdr:row>51</xdr:row>
                    <xdr:rowOff>0</xdr:rowOff>
                  </from>
                  <to>
                    <xdr:col>7</xdr:col>
                    <xdr:colOff>828675</xdr:colOff>
                    <xdr:row>51</xdr:row>
                    <xdr:rowOff>238125</xdr:rowOff>
                  </to>
                </anchor>
              </controlPr>
            </control>
          </mc:Choice>
        </mc:AlternateContent>
        <mc:AlternateContent xmlns:mc="http://schemas.openxmlformats.org/markup-compatibility/2006">
          <mc:Choice Requires="x14">
            <control shapeId="14" r:id="rId10" name="Drop Down 36">
              <controlPr defaultSize="0" autoLine="0" autoPict="0">
                <anchor moveWithCells="1">
                  <from>
                    <xdr:col>7</xdr:col>
                    <xdr:colOff>9525</xdr:colOff>
                    <xdr:row>52</xdr:row>
                    <xdr:rowOff>0</xdr:rowOff>
                  </from>
                  <to>
                    <xdr:col>7</xdr:col>
                    <xdr:colOff>828675</xdr:colOff>
                    <xdr:row>52</xdr:row>
                    <xdr:rowOff>238125</xdr:rowOff>
                  </to>
                </anchor>
              </controlPr>
            </control>
          </mc:Choice>
        </mc:AlternateContent>
        <mc:AlternateContent xmlns:mc="http://schemas.openxmlformats.org/markup-compatibility/2006">
          <mc:Choice Requires="x14">
            <control shapeId="15" r:id="rId11" name="Drop Down 37">
              <controlPr defaultSize="0" autoLine="0" autoPict="0">
                <anchor moveWithCells="1">
                  <from>
                    <xdr:col>7</xdr:col>
                    <xdr:colOff>9525</xdr:colOff>
                    <xdr:row>53</xdr:row>
                    <xdr:rowOff>0</xdr:rowOff>
                  </from>
                  <to>
                    <xdr:col>7</xdr:col>
                    <xdr:colOff>828675</xdr:colOff>
                    <xdr:row>53</xdr:row>
                    <xdr:rowOff>238125</xdr:rowOff>
                  </to>
                </anchor>
              </controlPr>
            </control>
          </mc:Choice>
        </mc:AlternateContent>
        <mc:AlternateContent xmlns:mc="http://schemas.openxmlformats.org/markup-compatibility/2006">
          <mc:Choice Requires="x14">
            <control shapeId="17" r:id="rId12" name="Drop Down 38">
              <controlPr defaultSize="0" autoLine="0" autoPict="0">
                <anchor moveWithCells="1">
                  <from>
                    <xdr:col>7</xdr:col>
                    <xdr:colOff>9525</xdr:colOff>
                    <xdr:row>54</xdr:row>
                    <xdr:rowOff>0</xdr:rowOff>
                  </from>
                  <to>
                    <xdr:col>7</xdr:col>
                    <xdr:colOff>828675</xdr:colOff>
                    <xdr:row>54</xdr:row>
                    <xdr:rowOff>238125</xdr:rowOff>
                  </to>
                </anchor>
              </controlPr>
            </control>
          </mc:Choice>
        </mc:AlternateContent>
        <mc:AlternateContent xmlns:mc="http://schemas.openxmlformats.org/markup-compatibility/2006">
          <mc:Choice Requires="x14">
            <control shapeId="18" r:id="rId13" name="Drop Down 39">
              <controlPr defaultSize="0" autoLine="0" autoPict="0">
                <anchor moveWithCells="1">
                  <from>
                    <xdr:col>7</xdr:col>
                    <xdr:colOff>9525</xdr:colOff>
                    <xdr:row>55</xdr:row>
                    <xdr:rowOff>0</xdr:rowOff>
                  </from>
                  <to>
                    <xdr:col>7</xdr:col>
                    <xdr:colOff>828675</xdr:colOff>
                    <xdr:row>55</xdr:row>
                    <xdr:rowOff>238125</xdr:rowOff>
                  </to>
                </anchor>
              </controlPr>
            </control>
          </mc:Choice>
        </mc:AlternateContent>
        <mc:AlternateContent xmlns:mc="http://schemas.openxmlformats.org/markup-compatibility/2006">
          <mc:Choice Requires="x14">
            <control shapeId="19" r:id="rId14" name="Drop Down 40">
              <controlPr defaultSize="0" autoLine="0" autoPict="0">
                <anchor moveWithCells="1">
                  <from>
                    <xdr:col>7</xdr:col>
                    <xdr:colOff>9525</xdr:colOff>
                    <xdr:row>56</xdr:row>
                    <xdr:rowOff>0</xdr:rowOff>
                  </from>
                  <to>
                    <xdr:col>7</xdr:col>
                    <xdr:colOff>828675</xdr:colOff>
                    <xdr:row>56</xdr:row>
                    <xdr:rowOff>238125</xdr:rowOff>
                  </to>
                </anchor>
              </controlPr>
            </control>
          </mc:Choice>
        </mc:AlternateContent>
        <mc:AlternateContent xmlns:mc="http://schemas.openxmlformats.org/markup-compatibility/2006">
          <mc:Choice Requires="x14">
            <control shapeId="20" r:id="rId15" name="Drop Down 41">
              <controlPr defaultSize="0" autoLine="0" autoPict="0">
                <anchor moveWithCells="1">
                  <from>
                    <xdr:col>7</xdr:col>
                    <xdr:colOff>9525</xdr:colOff>
                    <xdr:row>57</xdr:row>
                    <xdr:rowOff>0</xdr:rowOff>
                  </from>
                  <to>
                    <xdr:col>7</xdr:col>
                    <xdr:colOff>828675</xdr:colOff>
                    <xdr:row>57</xdr:row>
                    <xdr:rowOff>238125</xdr:rowOff>
                  </to>
                </anchor>
              </controlPr>
            </control>
          </mc:Choice>
        </mc:AlternateContent>
        <mc:AlternateContent xmlns:mc="http://schemas.openxmlformats.org/markup-compatibility/2006">
          <mc:Choice Requires="x14">
            <control shapeId="21" r:id="rId16" name="Drop Down 42">
              <controlPr defaultSize="0" autoLine="0" autoPict="0">
                <anchor moveWithCells="1">
                  <from>
                    <xdr:col>7</xdr:col>
                    <xdr:colOff>9525</xdr:colOff>
                    <xdr:row>58</xdr:row>
                    <xdr:rowOff>0</xdr:rowOff>
                  </from>
                  <to>
                    <xdr:col>7</xdr:col>
                    <xdr:colOff>828675</xdr:colOff>
                    <xdr:row>58</xdr:row>
                    <xdr:rowOff>238125</xdr:rowOff>
                  </to>
                </anchor>
              </controlPr>
            </control>
          </mc:Choice>
        </mc:AlternateContent>
        <mc:AlternateContent xmlns:mc="http://schemas.openxmlformats.org/markup-compatibility/2006">
          <mc:Choice Requires="x14">
            <control shapeId="22" r:id="rId17" name="Drop Down 43">
              <controlPr defaultSize="0" autoLine="0" autoPict="0">
                <anchor moveWithCells="1">
                  <from>
                    <xdr:col>7</xdr:col>
                    <xdr:colOff>9525</xdr:colOff>
                    <xdr:row>59</xdr:row>
                    <xdr:rowOff>0</xdr:rowOff>
                  </from>
                  <to>
                    <xdr:col>7</xdr:col>
                    <xdr:colOff>828675</xdr:colOff>
                    <xdr:row>59</xdr:row>
                    <xdr:rowOff>238125</xdr:rowOff>
                  </to>
                </anchor>
              </controlPr>
            </control>
          </mc:Choice>
        </mc:AlternateContent>
        <mc:AlternateContent xmlns:mc="http://schemas.openxmlformats.org/markup-compatibility/2006">
          <mc:Choice Requires="x14">
            <control shapeId="23" r:id="rId18" name="Drop Down 44">
              <controlPr defaultSize="0" autoLine="0" autoPict="0">
                <anchor moveWithCells="1">
                  <from>
                    <xdr:col>7</xdr:col>
                    <xdr:colOff>9525</xdr:colOff>
                    <xdr:row>60</xdr:row>
                    <xdr:rowOff>0</xdr:rowOff>
                  </from>
                  <to>
                    <xdr:col>7</xdr:col>
                    <xdr:colOff>828675</xdr:colOff>
                    <xdr:row>60</xdr:row>
                    <xdr:rowOff>238125</xdr:rowOff>
                  </to>
                </anchor>
              </controlPr>
            </control>
          </mc:Choice>
        </mc:AlternateContent>
        <mc:AlternateContent xmlns:mc="http://schemas.openxmlformats.org/markup-compatibility/2006">
          <mc:Choice Requires="x14">
            <control shapeId="24" r:id="rId19" name="Drop Down 45">
              <controlPr defaultSize="0" autoLine="0" autoPict="0">
                <anchor moveWithCells="1">
                  <from>
                    <xdr:col>7</xdr:col>
                    <xdr:colOff>9525</xdr:colOff>
                    <xdr:row>61</xdr:row>
                    <xdr:rowOff>0</xdr:rowOff>
                  </from>
                  <to>
                    <xdr:col>7</xdr:col>
                    <xdr:colOff>828675</xdr:colOff>
                    <xdr:row>61</xdr:row>
                    <xdr:rowOff>238125</xdr:rowOff>
                  </to>
                </anchor>
              </controlPr>
            </control>
          </mc:Choice>
        </mc:AlternateContent>
        <mc:AlternateContent xmlns:mc="http://schemas.openxmlformats.org/markup-compatibility/2006">
          <mc:Choice Requires="x14">
            <control shapeId="25" r:id="rId20" name="Drop Down 46">
              <controlPr defaultSize="0" autoLine="0" autoPict="0">
                <anchor moveWithCells="1">
                  <from>
                    <xdr:col>7</xdr:col>
                    <xdr:colOff>9525</xdr:colOff>
                    <xdr:row>62</xdr:row>
                    <xdr:rowOff>0</xdr:rowOff>
                  </from>
                  <to>
                    <xdr:col>7</xdr:col>
                    <xdr:colOff>828675</xdr:colOff>
                    <xdr:row>62</xdr:row>
                    <xdr:rowOff>238125</xdr:rowOff>
                  </to>
                </anchor>
              </controlPr>
            </control>
          </mc:Choice>
        </mc:AlternateContent>
        <mc:AlternateContent xmlns:mc="http://schemas.openxmlformats.org/markup-compatibility/2006">
          <mc:Choice Requires="x14">
            <control shapeId="26" r:id="rId21" name="Drop Down 47">
              <controlPr defaultSize="0" autoLine="0" autoPict="0">
                <anchor moveWithCells="1">
                  <from>
                    <xdr:col>7</xdr:col>
                    <xdr:colOff>9525</xdr:colOff>
                    <xdr:row>63</xdr:row>
                    <xdr:rowOff>0</xdr:rowOff>
                  </from>
                  <to>
                    <xdr:col>7</xdr:col>
                    <xdr:colOff>828675</xdr:colOff>
                    <xdr:row>63</xdr:row>
                    <xdr:rowOff>238125</xdr:rowOff>
                  </to>
                </anchor>
              </controlPr>
            </control>
          </mc:Choice>
        </mc:AlternateContent>
        <mc:AlternateContent xmlns:mc="http://schemas.openxmlformats.org/markup-compatibility/2006">
          <mc:Choice Requires="x14">
            <control shapeId="27" r:id="rId22" name="Drop Down 48">
              <controlPr defaultSize="0" autoLine="0" autoPict="0">
                <anchor moveWithCells="1">
                  <from>
                    <xdr:col>7</xdr:col>
                    <xdr:colOff>9525</xdr:colOff>
                    <xdr:row>64</xdr:row>
                    <xdr:rowOff>0</xdr:rowOff>
                  </from>
                  <to>
                    <xdr:col>7</xdr:col>
                    <xdr:colOff>828675</xdr:colOff>
                    <xdr:row>64</xdr:row>
                    <xdr:rowOff>238125</xdr:rowOff>
                  </to>
                </anchor>
              </controlPr>
            </control>
          </mc:Choice>
        </mc:AlternateContent>
        <mc:AlternateContent xmlns:mc="http://schemas.openxmlformats.org/markup-compatibility/2006">
          <mc:Choice Requires="x14">
            <control shapeId="28" r:id="rId23" name="Drop Down 49">
              <controlPr defaultSize="0" autoLine="0" autoPict="0">
                <anchor moveWithCells="1">
                  <from>
                    <xdr:col>7</xdr:col>
                    <xdr:colOff>9525</xdr:colOff>
                    <xdr:row>65</xdr:row>
                    <xdr:rowOff>0</xdr:rowOff>
                  </from>
                  <to>
                    <xdr:col>7</xdr:col>
                    <xdr:colOff>828675</xdr:colOff>
                    <xdr:row>65</xdr:row>
                    <xdr:rowOff>238125</xdr:rowOff>
                  </to>
                </anchor>
              </controlPr>
            </control>
          </mc:Choice>
        </mc:AlternateContent>
        <mc:AlternateContent xmlns:mc="http://schemas.openxmlformats.org/markup-compatibility/2006">
          <mc:Choice Requires="x14">
            <control shapeId="29" r:id="rId24" name="Drop Down 50">
              <controlPr defaultSize="0" autoLine="0" autoPict="0">
                <anchor moveWithCells="1">
                  <from>
                    <xdr:col>7</xdr:col>
                    <xdr:colOff>9525</xdr:colOff>
                    <xdr:row>66</xdr:row>
                    <xdr:rowOff>0</xdr:rowOff>
                  </from>
                  <to>
                    <xdr:col>7</xdr:col>
                    <xdr:colOff>828675</xdr:colOff>
                    <xdr:row>66</xdr:row>
                    <xdr:rowOff>238125</xdr:rowOff>
                  </to>
                </anchor>
              </controlPr>
            </control>
          </mc:Choice>
        </mc:AlternateContent>
        <mc:AlternateContent xmlns:mc="http://schemas.openxmlformats.org/markup-compatibility/2006">
          <mc:Choice Requires="x14">
            <control shapeId="30" r:id="rId25" name="Drop Down 51">
              <controlPr defaultSize="0" autoLine="0" autoPict="0">
                <anchor moveWithCells="1">
                  <from>
                    <xdr:col>7</xdr:col>
                    <xdr:colOff>9525</xdr:colOff>
                    <xdr:row>67</xdr:row>
                    <xdr:rowOff>0</xdr:rowOff>
                  </from>
                  <to>
                    <xdr:col>7</xdr:col>
                    <xdr:colOff>828675</xdr:colOff>
                    <xdr:row>67</xdr:row>
                    <xdr:rowOff>238125</xdr:rowOff>
                  </to>
                </anchor>
              </controlPr>
            </control>
          </mc:Choice>
        </mc:AlternateContent>
        <mc:AlternateContent xmlns:mc="http://schemas.openxmlformats.org/markup-compatibility/2006">
          <mc:Choice Requires="x14">
            <control shapeId="31" r:id="rId26" name="Drop Down 52">
              <controlPr defaultSize="0" autoLine="0" autoPict="0">
                <anchor moveWithCells="1">
                  <from>
                    <xdr:col>7</xdr:col>
                    <xdr:colOff>9525</xdr:colOff>
                    <xdr:row>68</xdr:row>
                    <xdr:rowOff>0</xdr:rowOff>
                  </from>
                  <to>
                    <xdr:col>7</xdr:col>
                    <xdr:colOff>828675</xdr:colOff>
                    <xdr:row>68</xdr:row>
                    <xdr:rowOff>238125</xdr:rowOff>
                  </to>
                </anchor>
              </controlPr>
            </control>
          </mc:Choice>
        </mc:AlternateContent>
        <mc:AlternateContent xmlns:mc="http://schemas.openxmlformats.org/markup-compatibility/2006">
          <mc:Choice Requires="x14">
            <control shapeId="32" r:id="rId27" name="Drop Down 53">
              <controlPr defaultSize="0" autoLine="0" autoPict="0">
                <anchor moveWithCells="1">
                  <from>
                    <xdr:col>7</xdr:col>
                    <xdr:colOff>9525</xdr:colOff>
                    <xdr:row>69</xdr:row>
                    <xdr:rowOff>0</xdr:rowOff>
                  </from>
                  <to>
                    <xdr:col>7</xdr:col>
                    <xdr:colOff>828675</xdr:colOff>
                    <xdr:row>69</xdr:row>
                    <xdr:rowOff>238125</xdr:rowOff>
                  </to>
                </anchor>
              </controlPr>
            </control>
          </mc:Choice>
        </mc:AlternateContent>
        <mc:AlternateContent xmlns:mc="http://schemas.openxmlformats.org/markup-compatibility/2006">
          <mc:Choice Requires="x14">
            <control shapeId="33" r:id="rId28" name="Drop Down 54">
              <controlPr defaultSize="0" autoLine="0" autoPict="0">
                <anchor moveWithCells="1">
                  <from>
                    <xdr:col>7</xdr:col>
                    <xdr:colOff>9525</xdr:colOff>
                    <xdr:row>70</xdr:row>
                    <xdr:rowOff>0</xdr:rowOff>
                  </from>
                  <to>
                    <xdr:col>7</xdr:col>
                    <xdr:colOff>828675</xdr:colOff>
                    <xdr:row>70</xdr:row>
                    <xdr:rowOff>238125</xdr:rowOff>
                  </to>
                </anchor>
              </controlPr>
            </control>
          </mc:Choice>
        </mc:AlternateContent>
        <mc:AlternateContent xmlns:mc="http://schemas.openxmlformats.org/markup-compatibility/2006">
          <mc:Choice Requires="x14">
            <control shapeId="34" r:id="rId29" name="Drop Down 55">
              <controlPr defaultSize="0" autoLine="0" autoPict="0">
                <anchor moveWithCells="1">
                  <from>
                    <xdr:col>7</xdr:col>
                    <xdr:colOff>9525</xdr:colOff>
                    <xdr:row>71</xdr:row>
                    <xdr:rowOff>0</xdr:rowOff>
                  </from>
                  <to>
                    <xdr:col>7</xdr:col>
                    <xdr:colOff>828675</xdr:colOff>
                    <xdr:row>71</xdr:row>
                    <xdr:rowOff>238125</xdr:rowOff>
                  </to>
                </anchor>
              </controlPr>
            </control>
          </mc:Choice>
        </mc:AlternateContent>
        <mc:AlternateContent xmlns:mc="http://schemas.openxmlformats.org/markup-compatibility/2006">
          <mc:Choice Requires="x14">
            <control shapeId="35" r:id="rId30" name="Drop Down 56">
              <controlPr defaultSize="0" autoLine="0" autoPict="0">
                <anchor moveWithCells="1">
                  <from>
                    <xdr:col>7</xdr:col>
                    <xdr:colOff>9525</xdr:colOff>
                    <xdr:row>72</xdr:row>
                    <xdr:rowOff>0</xdr:rowOff>
                  </from>
                  <to>
                    <xdr:col>7</xdr:col>
                    <xdr:colOff>828675</xdr:colOff>
                    <xdr:row>72</xdr:row>
                    <xdr:rowOff>238125</xdr:rowOff>
                  </to>
                </anchor>
              </controlPr>
            </control>
          </mc:Choice>
        </mc:AlternateContent>
        <mc:AlternateContent xmlns:mc="http://schemas.openxmlformats.org/markup-compatibility/2006">
          <mc:Choice Requires="x14">
            <control shapeId="36" r:id="rId31" name="Drop Down 57">
              <controlPr defaultSize="0" autoLine="0" autoPict="0">
                <anchor moveWithCells="1">
                  <from>
                    <xdr:col>7</xdr:col>
                    <xdr:colOff>9525</xdr:colOff>
                    <xdr:row>73</xdr:row>
                    <xdr:rowOff>0</xdr:rowOff>
                  </from>
                  <to>
                    <xdr:col>7</xdr:col>
                    <xdr:colOff>828675</xdr:colOff>
                    <xdr:row>73</xdr:row>
                    <xdr:rowOff>238125</xdr:rowOff>
                  </to>
                </anchor>
              </controlPr>
            </control>
          </mc:Choice>
        </mc:AlternateContent>
        <mc:AlternateContent xmlns:mc="http://schemas.openxmlformats.org/markup-compatibility/2006">
          <mc:Choice Requires="x14">
            <control shapeId="37" r:id="rId32" name="Drop Down 58">
              <controlPr defaultSize="0" autoLine="0" autoPict="0">
                <anchor moveWithCells="1">
                  <from>
                    <xdr:col>7</xdr:col>
                    <xdr:colOff>9525</xdr:colOff>
                    <xdr:row>74</xdr:row>
                    <xdr:rowOff>0</xdr:rowOff>
                  </from>
                  <to>
                    <xdr:col>7</xdr:col>
                    <xdr:colOff>828675</xdr:colOff>
                    <xdr:row>74</xdr:row>
                    <xdr:rowOff>238125</xdr:rowOff>
                  </to>
                </anchor>
              </controlPr>
            </control>
          </mc:Choice>
        </mc:AlternateContent>
        <mc:AlternateContent xmlns:mc="http://schemas.openxmlformats.org/markup-compatibility/2006">
          <mc:Choice Requires="x14">
            <control shapeId="38" r:id="rId33" name="Drop Down 59">
              <controlPr defaultSize="0" autoLine="0" autoPict="0">
                <anchor moveWithCells="1">
                  <from>
                    <xdr:col>7</xdr:col>
                    <xdr:colOff>9525</xdr:colOff>
                    <xdr:row>75</xdr:row>
                    <xdr:rowOff>0</xdr:rowOff>
                  </from>
                  <to>
                    <xdr:col>7</xdr:col>
                    <xdr:colOff>828675</xdr:colOff>
                    <xdr:row>75</xdr:row>
                    <xdr:rowOff>238125</xdr:rowOff>
                  </to>
                </anchor>
              </controlPr>
            </control>
          </mc:Choice>
        </mc:AlternateContent>
        <mc:AlternateContent xmlns:mc="http://schemas.openxmlformats.org/markup-compatibility/2006">
          <mc:Choice Requires="x14">
            <control shapeId="10300" r:id="rId34" name="Button 60">
              <controlPr defaultSize="0" print="0" autoFill="0" autoPict="0" macro="[0]!Button60_Click">
                <anchor moveWithCells="1" sizeWithCells="1">
                  <from>
                    <xdr:col>4</xdr:col>
                    <xdr:colOff>28575</xdr:colOff>
                    <xdr:row>43</xdr:row>
                    <xdr:rowOff>104775</xdr:rowOff>
                  </from>
                  <to>
                    <xdr:col>5</xdr:col>
                    <xdr:colOff>171450</xdr:colOff>
                    <xdr:row>44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sheetPr>
  <dimension ref="A1:CP991"/>
  <sheetViews>
    <sheetView showGridLines="0" showRowColHeaders="0" zoomScaleNormal="100" zoomScaleSheetLayoutView="70" workbookViewId="0">
      <pane ySplit="2" topLeftCell="A3" activePane="bottomLeft" state="frozen"/>
      <selection pane="bottomLeft"/>
    </sheetView>
  </sheetViews>
  <sheetFormatPr defaultRowHeight="20.100000000000001" customHeight="1" outlineLevelRow="1"/>
  <cols>
    <col min="1" max="1" width="30.7109375" style="14" customWidth="1"/>
    <col min="2" max="31" width="12.7109375" style="14" customWidth="1"/>
    <col min="32" max="32" width="50.7109375" style="14" customWidth="1"/>
    <col min="33" max="62" width="10.7109375" style="14" customWidth="1"/>
    <col min="63" max="63" width="12.5703125" style="14" bestFit="1" customWidth="1"/>
    <col min="64" max="64" width="10.7109375" style="14" customWidth="1"/>
    <col min="65" max="66" width="12.5703125" style="14" bestFit="1" customWidth="1"/>
    <col min="67" max="67" width="9.140625" style="14"/>
    <col min="68" max="68" width="10.7109375" style="14" customWidth="1"/>
    <col min="69" max="83" width="9.140625" style="14"/>
    <col min="84" max="86" width="10.7109375" style="14" customWidth="1"/>
    <col min="87" max="87" width="40.7109375" style="14" customWidth="1"/>
    <col min="88" max="89" width="15.7109375" style="14" customWidth="1"/>
    <col min="90" max="91" width="35.7109375" style="14" customWidth="1"/>
    <col min="92" max="92" width="15.7109375" style="14" customWidth="1"/>
    <col min="93" max="93" width="45.7109375" style="14" customWidth="1"/>
    <col min="94" max="95" width="15.7109375" style="14" customWidth="1"/>
    <col min="96" max="16384" width="9.140625" style="14"/>
  </cols>
  <sheetData>
    <row r="1" spans="1:66" s="13" customFormat="1" ht="30" customHeight="1" thickBot="1">
      <c r="A1" s="12" t="s">
        <v>970</v>
      </c>
    </row>
    <row r="2" spans="1:66" s="980" customFormat="1" ht="249.95" hidden="1" customHeight="1" outlineLevel="1" thickBot="1">
      <c r="A2" s="979"/>
    </row>
    <row r="3" spans="1:66" ht="30" customHeight="1" collapsed="1" thickBot="1">
      <c r="A3" s="245" t="s">
        <v>1198</v>
      </c>
      <c r="B3" s="191"/>
      <c r="C3" s="191"/>
      <c r="D3" s="191"/>
      <c r="E3" s="191"/>
      <c r="F3" s="191"/>
      <c r="G3" s="191"/>
      <c r="H3" s="191"/>
      <c r="I3" s="191"/>
      <c r="J3" s="191"/>
      <c r="K3" s="192"/>
      <c r="L3" s="382"/>
      <c r="M3" s="382"/>
      <c r="N3" s="382"/>
      <c r="O3" s="382"/>
      <c r="P3" s="382"/>
      <c r="Q3" s="382"/>
      <c r="R3" s="382"/>
      <c r="S3" s="382"/>
      <c r="T3" s="382"/>
      <c r="U3" s="382"/>
      <c r="V3" s="382"/>
      <c r="W3" s="382"/>
      <c r="X3" s="382"/>
      <c r="Y3" s="382"/>
      <c r="Z3" s="382"/>
      <c r="AA3" s="382"/>
      <c r="AB3" s="382"/>
      <c r="AC3" s="382"/>
      <c r="AD3" s="382"/>
      <c r="AE3" s="382"/>
      <c r="AK3" s="386" t="s">
        <v>1531</v>
      </c>
      <c r="AL3" s="1539" t="s">
        <v>1532</v>
      </c>
      <c r="AM3" s="1540"/>
      <c r="AN3" s="1540"/>
      <c r="AO3" s="1540"/>
      <c r="AP3" s="1540"/>
      <c r="AQ3" s="1540"/>
      <c r="AR3" s="1540"/>
      <c r="AS3" s="1540"/>
      <c r="AT3" s="1541"/>
      <c r="AU3" s="1539" t="s">
        <v>1533</v>
      </c>
      <c r="AV3" s="1540"/>
      <c r="AW3" s="1540"/>
      <c r="AX3" s="1540"/>
      <c r="AY3" s="1540"/>
      <c r="AZ3" s="1540"/>
      <c r="BA3" s="1540"/>
      <c r="BB3" s="1540"/>
      <c r="BC3" s="1540"/>
      <c r="BD3" s="1541"/>
      <c r="BE3" s="1539" t="s">
        <v>1534</v>
      </c>
      <c r="BF3" s="1540"/>
      <c r="BG3" s="1540"/>
      <c r="BH3" s="1540"/>
      <c r="BI3" s="1540"/>
      <c r="BJ3" s="1540"/>
      <c r="BK3" s="1540"/>
      <c r="BL3" s="1540"/>
      <c r="BM3" s="1540"/>
      <c r="BN3" s="1541"/>
    </row>
    <row r="4" spans="1:66" ht="20.100000000000001" customHeight="1">
      <c r="A4" s="161"/>
      <c r="B4" s="160"/>
      <c r="C4" s="160"/>
      <c r="D4" s="160"/>
      <c r="E4" s="160"/>
      <c r="F4" s="160"/>
      <c r="G4" s="160"/>
      <c r="H4" s="49"/>
      <c r="I4" s="49"/>
      <c r="J4" s="49"/>
      <c r="K4" s="20"/>
      <c r="L4" s="29"/>
      <c r="M4" s="968"/>
      <c r="N4" s="971"/>
      <c r="O4" s="971"/>
      <c r="P4" s="971"/>
      <c r="Q4" s="971"/>
      <c r="R4" s="971"/>
      <c r="S4" s="971"/>
      <c r="T4" s="971"/>
      <c r="U4" s="971"/>
      <c r="V4" s="971"/>
      <c r="W4" s="971"/>
      <c r="X4" s="971"/>
      <c r="Y4" s="971"/>
      <c r="Z4" s="971"/>
      <c r="AA4" s="971"/>
      <c r="AB4" s="971"/>
      <c r="AC4" s="971"/>
      <c r="AD4" s="971"/>
      <c r="AE4" s="971"/>
      <c r="AF4" s="194" t="s">
        <v>1527</v>
      </c>
      <c r="AG4" s="1528" t="s">
        <v>1530</v>
      </c>
      <c r="AH4" s="1528"/>
      <c r="AI4" s="1528"/>
      <c r="AJ4" s="1528"/>
      <c r="AK4" s="513">
        <v>2021</v>
      </c>
      <c r="AL4" s="262">
        <f t="shared" ref="AL4:BN4" si="0">AK4+1</f>
        <v>2022</v>
      </c>
      <c r="AM4" s="262">
        <f t="shared" si="0"/>
        <v>2023</v>
      </c>
      <c r="AN4" s="262">
        <f t="shared" si="0"/>
        <v>2024</v>
      </c>
      <c r="AO4" s="262">
        <f t="shared" si="0"/>
        <v>2025</v>
      </c>
      <c r="AP4" s="262">
        <f t="shared" si="0"/>
        <v>2026</v>
      </c>
      <c r="AQ4" s="262">
        <f t="shared" si="0"/>
        <v>2027</v>
      </c>
      <c r="AR4" s="262">
        <f t="shared" si="0"/>
        <v>2028</v>
      </c>
      <c r="AS4" s="262">
        <f t="shared" si="0"/>
        <v>2029</v>
      </c>
      <c r="AT4" s="262">
        <f t="shared" si="0"/>
        <v>2030</v>
      </c>
      <c r="AU4" s="262">
        <f t="shared" si="0"/>
        <v>2031</v>
      </c>
      <c r="AV4" s="262">
        <f t="shared" si="0"/>
        <v>2032</v>
      </c>
      <c r="AW4" s="262">
        <f t="shared" si="0"/>
        <v>2033</v>
      </c>
      <c r="AX4" s="262">
        <f t="shared" si="0"/>
        <v>2034</v>
      </c>
      <c r="AY4" s="262">
        <f t="shared" si="0"/>
        <v>2035</v>
      </c>
      <c r="AZ4" s="262">
        <f t="shared" si="0"/>
        <v>2036</v>
      </c>
      <c r="BA4" s="262">
        <f t="shared" si="0"/>
        <v>2037</v>
      </c>
      <c r="BB4" s="262">
        <f t="shared" si="0"/>
        <v>2038</v>
      </c>
      <c r="BC4" s="262">
        <f t="shared" si="0"/>
        <v>2039</v>
      </c>
      <c r="BD4" s="262">
        <f t="shared" si="0"/>
        <v>2040</v>
      </c>
      <c r="BE4" s="262">
        <f t="shared" si="0"/>
        <v>2041</v>
      </c>
      <c r="BF4" s="262">
        <f t="shared" si="0"/>
        <v>2042</v>
      </c>
      <c r="BG4" s="262">
        <f t="shared" si="0"/>
        <v>2043</v>
      </c>
      <c r="BH4" s="262">
        <f t="shared" si="0"/>
        <v>2044</v>
      </c>
      <c r="BI4" s="262">
        <f t="shared" si="0"/>
        <v>2045</v>
      </c>
      <c r="BJ4" s="262">
        <f t="shared" si="0"/>
        <v>2046</v>
      </c>
      <c r="BK4" s="262">
        <f t="shared" si="0"/>
        <v>2047</v>
      </c>
      <c r="BL4" s="262">
        <f t="shared" si="0"/>
        <v>2048</v>
      </c>
      <c r="BM4" s="262">
        <f t="shared" si="0"/>
        <v>2049</v>
      </c>
      <c r="BN4" s="262">
        <f t="shared" si="0"/>
        <v>2050</v>
      </c>
    </row>
    <row r="5" spans="1:66" ht="20.100000000000001" customHeight="1">
      <c r="A5" s="224" t="s">
        <v>1227</v>
      </c>
      <c r="B5" s="51"/>
      <c r="C5" s="51"/>
      <c r="D5" s="51"/>
      <c r="E5" s="51"/>
      <c r="F5" s="51"/>
      <c r="G5" s="51"/>
      <c r="H5" s="30"/>
      <c r="I5" s="30"/>
      <c r="J5" s="30"/>
      <c r="K5" s="21"/>
      <c r="L5" s="29"/>
      <c r="M5" s="968"/>
      <c r="N5" s="971"/>
      <c r="O5" s="971"/>
      <c r="P5" s="971"/>
      <c r="Q5" s="971"/>
      <c r="R5" s="971"/>
      <c r="S5" s="971"/>
      <c r="T5" s="971"/>
      <c r="U5" s="971"/>
      <c r="V5" s="971"/>
      <c r="W5" s="971"/>
      <c r="X5" s="971"/>
      <c r="Y5" s="971"/>
      <c r="Z5" s="971"/>
      <c r="AA5" s="971"/>
      <c r="AB5" s="971"/>
      <c r="AC5" s="971"/>
      <c r="AD5" s="971"/>
      <c r="AE5" s="971"/>
      <c r="AF5" s="194" t="s">
        <v>959</v>
      </c>
      <c r="AG5" s="1528" t="s">
        <v>1529</v>
      </c>
      <c r="AH5" s="1528"/>
      <c r="AI5" s="1528"/>
      <c r="AJ5" s="1528"/>
      <c r="AK5" s="514">
        <f>INDEX('DEFAULT DATA'!$E$9:M$41,START!$C$3,1)</f>
        <v>100.05590062111801</v>
      </c>
      <c r="AL5" s="272">
        <f>(100+INDEX('DEFAULT DATA'!$F$9:$H$41,START!$C$3,1))/100*AK5</f>
        <v>99.055341614906837</v>
      </c>
      <c r="AM5" s="272">
        <f>(100+INDEX('DEFAULT DATA'!$F$9:$H$41,START!$C$3,1))/100*AL5</f>
        <v>98.064788198757768</v>
      </c>
      <c r="AN5" s="272">
        <f>(100+INDEX('DEFAULT DATA'!$F$9:$H$41,START!$C$3,1))/100*AM5</f>
        <v>97.084140316770188</v>
      </c>
      <c r="AO5" s="272">
        <f>(100+INDEX('DEFAULT DATA'!$F$9:$H$41,START!$C$3,1))/100*AN5</f>
        <v>96.113298913602492</v>
      </c>
      <c r="AP5" s="272">
        <f>(100+INDEX('DEFAULT DATA'!$F$9:$H$41,START!$C$3,1))/100*AO5</f>
        <v>95.152165924466459</v>
      </c>
      <c r="AQ5" s="272">
        <f>(100+INDEX('DEFAULT DATA'!$F$9:$H$41,START!$C$3,1))/100*AP5</f>
        <v>94.200644265221797</v>
      </c>
      <c r="AR5" s="272">
        <f>(100+INDEX('DEFAULT DATA'!$F$9:$H$41,START!$C$3,1))/100*AQ5</f>
        <v>93.258637822569582</v>
      </c>
      <c r="AS5" s="272">
        <f>(100+INDEX('DEFAULT DATA'!$F$9:$H$41,START!$C$3,1))/100*AR5</f>
        <v>92.326051444343889</v>
      </c>
      <c r="AT5" s="272">
        <f>(100+INDEX('DEFAULT DATA'!$F$9:$H$41,START!$C$3,1))/100*AS5</f>
        <v>91.402790929900448</v>
      </c>
      <c r="AU5" s="272">
        <f>(100+INDEX('DEFAULT DATA'!$F$9:$H$41,START!$C$3,2))/100*AT5</f>
        <v>86.375637428755923</v>
      </c>
      <c r="AV5" s="272">
        <f>(100+INDEX('DEFAULT DATA'!$F$9:$H$41,START!$C$3,2))/100*AU5</f>
        <v>81.624977370174349</v>
      </c>
      <c r="AW5" s="272">
        <f>(100+INDEX('DEFAULT DATA'!$F$9:$H$41,START!$C$3,2))/100*AV5</f>
        <v>77.135603614814755</v>
      </c>
      <c r="AX5" s="272">
        <f>(100+INDEX('DEFAULT DATA'!$F$9:$H$41,START!$C$3,2))/100*AW5</f>
        <v>72.893145415999939</v>
      </c>
      <c r="AY5" s="272">
        <f>(100+INDEX('DEFAULT DATA'!$F$9:$H$41,START!$C$3,2))/100*AX5</f>
        <v>68.88402241811994</v>
      </c>
      <c r="AZ5" s="272">
        <f>(100+INDEX('DEFAULT DATA'!$F$9:$H$41,START!$C$3,2))/100*AY5</f>
        <v>65.095401185123336</v>
      </c>
      <c r="BA5" s="272">
        <f>(100+INDEX('DEFAULT DATA'!$F$9:$H$41,START!$C$3,2))/100*AZ5</f>
        <v>61.515154119941549</v>
      </c>
      <c r="BB5" s="272">
        <f>(100+INDEX('DEFAULT DATA'!$F$9:$H$41,START!$C$3,2))/100*BA5</f>
        <v>58.13182064334476</v>
      </c>
      <c r="BC5" s="272">
        <f>(100+INDEX('DEFAULT DATA'!$F$9:$H$41,START!$C$3,2))/100*BB5</f>
        <v>54.934570507960792</v>
      </c>
      <c r="BD5" s="272">
        <f>(100+INDEX('DEFAULT DATA'!$F$9:$H$41,START!$C$3,2))/100*BC5</f>
        <v>51.913169130022943</v>
      </c>
      <c r="BE5" s="272">
        <f>(100+INDEX('DEFAULT DATA'!$F$9:$H$41,START!$C$3,3))/100*BD5</f>
        <v>49.05794482787168</v>
      </c>
      <c r="BF5" s="272">
        <f>(100+INDEX('DEFAULT DATA'!$F$9:$H$41,START!$C$3,3))/100*BE5</f>
        <v>46.359757862338732</v>
      </c>
      <c r="BG5" s="272">
        <f>(100+INDEX('DEFAULT DATA'!$F$9:$H$41,START!$C$3,3))/100*BF5</f>
        <v>43.8099711799101</v>
      </c>
      <c r="BH5" s="272">
        <f>(100+INDEX('DEFAULT DATA'!$F$9:$H$41,START!$C$3,3))/100*BG5</f>
        <v>41.400422765015044</v>
      </c>
      <c r="BI5" s="272">
        <f>(100+INDEX('DEFAULT DATA'!$F$9:$H$41,START!$C$3,3))/100*BH5</f>
        <v>39.123399512939216</v>
      </c>
      <c r="BJ5" s="272">
        <f>(100+INDEX('DEFAULT DATA'!$F$9:$H$41,START!$C$3,3))/100*BI5</f>
        <v>36.971612539727559</v>
      </c>
      <c r="BK5" s="272">
        <f>(100+INDEX('DEFAULT DATA'!$F$9:$H$41,START!$C$3,3))/100*BJ5</f>
        <v>34.938173850042539</v>
      </c>
      <c r="BL5" s="272">
        <f>(100+INDEX('DEFAULT DATA'!$F$9:$H$41,START!$C$3,3))/100*BK5</f>
        <v>33.016574288290194</v>
      </c>
      <c r="BM5" s="272">
        <f>(100+INDEX('DEFAULT DATA'!$F$9:$H$41,START!$C$3,3))/100*BL5</f>
        <v>31.200662702434233</v>
      </c>
      <c r="BN5" s="272">
        <f>(100+INDEX('DEFAULT DATA'!$F$9:$H$41,START!$C$3,3))/100*BM5</f>
        <v>29.48462625380035</v>
      </c>
    </row>
    <row r="6" spans="1:66" ht="20.100000000000001" customHeight="1">
      <c r="A6" s="55"/>
      <c r="B6" s="381" t="s">
        <v>1244</v>
      </c>
      <c r="C6" s="27"/>
      <c r="D6" s="27"/>
      <c r="E6" s="27"/>
      <c r="F6" s="27"/>
      <c r="G6" s="27"/>
      <c r="H6" s="29"/>
      <c r="I6" s="29"/>
      <c r="J6" s="29"/>
      <c r="K6" s="22"/>
      <c r="L6" s="29"/>
      <c r="M6" s="968"/>
      <c r="N6" s="971"/>
      <c r="O6" s="971"/>
      <c r="P6" s="971"/>
      <c r="Q6" s="971"/>
      <c r="R6" s="971"/>
      <c r="S6" s="971"/>
      <c r="T6" s="971"/>
      <c r="U6" s="971"/>
      <c r="V6" s="971"/>
      <c r="W6" s="971"/>
      <c r="X6" s="971"/>
      <c r="Y6" s="971"/>
      <c r="Z6" s="971"/>
      <c r="AA6" s="971"/>
      <c r="AB6" s="971"/>
      <c r="AC6" s="971"/>
      <c r="AD6" s="971"/>
      <c r="AE6" s="971"/>
      <c r="AF6" s="194" t="s">
        <v>1381</v>
      </c>
      <c r="AG6" s="1528" t="s">
        <v>1528</v>
      </c>
      <c r="AH6" s="1528"/>
      <c r="AI6" s="1528"/>
      <c r="AJ6" s="1528"/>
      <c r="AK6" s="514">
        <f>INDEX('DEFAULT DATA'!$I$9:$I$41,START!$C$3,1)</f>
        <v>350</v>
      </c>
      <c r="AL6" s="272">
        <f>(100+INDEX('DEFAULT DATA'!$J$9:$L$41,START!$C$3,1))/100*AK6</f>
        <v>350</v>
      </c>
      <c r="AM6" s="272">
        <f>(100+INDEX('DEFAULT DATA'!$J$9:$L$41,START!$C$3,1))/100*AL6</f>
        <v>350</v>
      </c>
      <c r="AN6" s="272">
        <f>(100+INDEX('DEFAULT DATA'!$J$9:$L$41,START!$C$3,1))/100*AM6</f>
        <v>350</v>
      </c>
      <c r="AO6" s="272">
        <f>(100+INDEX('DEFAULT DATA'!$J$9:$L$41,START!$C$3,1))/100*AN6</f>
        <v>350</v>
      </c>
      <c r="AP6" s="272">
        <f>(100+INDEX('DEFAULT DATA'!$J$9:$L$41,START!$C$3,1))/100*AO6</f>
        <v>350</v>
      </c>
      <c r="AQ6" s="272">
        <f>(100+INDEX('DEFAULT DATA'!$J$9:$L$41,START!$C$3,1))/100*AP6</f>
        <v>350</v>
      </c>
      <c r="AR6" s="272">
        <f>(100+INDEX('DEFAULT DATA'!$J$9:$L$41,START!$C$3,1))/100*AQ6</f>
        <v>350</v>
      </c>
      <c r="AS6" s="272">
        <f>(100+INDEX('DEFAULT DATA'!$J$9:$L$41,START!$C$3,1))/100*AR6</f>
        <v>350</v>
      </c>
      <c r="AT6" s="272">
        <f>(100+INDEX('DEFAULT DATA'!$J$9:$L$41,START!$C$3,1))/100*AS6</f>
        <v>350</v>
      </c>
      <c r="AU6" s="272">
        <f>(100+INDEX('DEFAULT DATA'!$J$9:$L$41,START!$C$3,2))/100*AT6</f>
        <v>350</v>
      </c>
      <c r="AV6" s="272">
        <f>(100+INDEX('DEFAULT DATA'!$J$9:$L$41,START!$C$3,2))/100*AU6</f>
        <v>350</v>
      </c>
      <c r="AW6" s="272">
        <f>(100+INDEX('DEFAULT DATA'!$J$9:$L$41,START!$C$3,2))/100*AV6</f>
        <v>350</v>
      </c>
      <c r="AX6" s="272">
        <f>(100+INDEX('DEFAULT DATA'!$J$9:$L$41,START!$C$3,2))/100*AW6</f>
        <v>350</v>
      </c>
      <c r="AY6" s="272">
        <f>(100+INDEX('DEFAULT DATA'!$J$9:$L$41,START!$C$3,2))/100*AX6</f>
        <v>350</v>
      </c>
      <c r="AZ6" s="272">
        <f>(100+INDEX('DEFAULT DATA'!$J$9:$L$41,START!$C$3,2))/100*AY6</f>
        <v>350</v>
      </c>
      <c r="BA6" s="272">
        <f>(100+INDEX('DEFAULT DATA'!$J$9:$L$41,START!$C$3,2))/100*AZ6</f>
        <v>350</v>
      </c>
      <c r="BB6" s="272">
        <f>(100+INDEX('DEFAULT DATA'!$J$9:$L$41,START!$C$3,2))/100*BA6</f>
        <v>350</v>
      </c>
      <c r="BC6" s="272">
        <f>(100+INDEX('DEFAULT DATA'!$J$9:$L$41,START!$C$3,2))/100*BB6</f>
        <v>350</v>
      </c>
      <c r="BD6" s="272">
        <f>(100+INDEX('DEFAULT DATA'!$J$9:$L$41,START!$C$3,2))/100*BC6</f>
        <v>350</v>
      </c>
      <c r="BE6" s="272">
        <f>(100+INDEX('DEFAULT DATA'!$J$9:$L$41,START!$C$3,3))/100*BD6</f>
        <v>350</v>
      </c>
      <c r="BF6" s="272">
        <f>(100+INDEX('DEFAULT DATA'!$J$9:$L$41,START!$C$3,3))/100*BE6</f>
        <v>350</v>
      </c>
      <c r="BG6" s="272">
        <f>(100+INDEX('DEFAULT DATA'!$J$9:$L$41,START!$C$3,3))/100*BF6</f>
        <v>350</v>
      </c>
      <c r="BH6" s="272">
        <f>(100+INDEX('DEFAULT DATA'!$J$9:$L$41,START!$C$3,3))/100*BG6</f>
        <v>350</v>
      </c>
      <c r="BI6" s="272">
        <f>(100+INDEX('DEFAULT DATA'!$J$9:$L$41,START!$C$3,3))/100*BH6</f>
        <v>350</v>
      </c>
      <c r="BJ6" s="272">
        <f>(100+INDEX('DEFAULT DATA'!$J$9:$L$41,START!$C$3,3))/100*BI6</f>
        <v>350</v>
      </c>
      <c r="BK6" s="272">
        <f>(100+INDEX('DEFAULT DATA'!$J$9:$L$41,START!$C$3,3))/100*BJ6</f>
        <v>350</v>
      </c>
      <c r="BL6" s="272">
        <f>(100+INDEX('DEFAULT DATA'!$J$9:$L$41,START!$C$3,3))/100*BK6</f>
        <v>350</v>
      </c>
      <c r="BM6" s="272">
        <f>(100+INDEX('DEFAULT DATA'!$J$9:$L$41,START!$C$3,3))/100*BL6</f>
        <v>350</v>
      </c>
      <c r="BN6" s="272">
        <f>(100+INDEX('DEFAULT DATA'!$J$9:$L$41,START!$C$3,3))/100*BM6</f>
        <v>350</v>
      </c>
    </row>
    <row r="7" spans="1:66" ht="20.100000000000001" customHeight="1">
      <c r="A7" s="55" t="str">
        <f>INDEX('DEFAULT DATA'!$AIU$9:$AIX$41,START!$C$3,1)</f>
        <v>Apartment</v>
      </c>
      <c r="B7" s="400">
        <v>4442</v>
      </c>
      <c r="C7" s="27"/>
      <c r="D7" s="27"/>
      <c r="E7" s="27"/>
      <c r="F7" s="27"/>
      <c r="G7" s="27"/>
      <c r="H7" s="29"/>
      <c r="I7" s="29"/>
      <c r="J7" s="29"/>
      <c r="K7" s="22"/>
      <c r="L7" s="29"/>
      <c r="M7" s="968"/>
      <c r="N7" s="971"/>
      <c r="O7" s="971"/>
      <c r="P7" s="971"/>
      <c r="Q7" s="971"/>
      <c r="R7" s="971"/>
      <c r="S7" s="971"/>
      <c r="T7" s="971"/>
      <c r="U7" s="971"/>
      <c r="V7" s="971"/>
      <c r="W7" s="971"/>
      <c r="X7" s="971"/>
      <c r="Y7" s="971"/>
      <c r="Z7" s="971"/>
      <c r="AA7" s="971"/>
      <c r="AB7" s="971"/>
      <c r="AC7" s="971"/>
      <c r="AD7" s="971"/>
      <c r="AE7" s="971"/>
      <c r="AS7" s="258"/>
    </row>
    <row r="8" spans="1:66" ht="20.100000000000001" customHeight="1">
      <c r="A8" s="55" t="str">
        <f>INDEX('DEFAULT DATA'!$AIU$9:$AIX$41,START!$C$3,2)</f>
        <v>Terraced</v>
      </c>
      <c r="B8" s="23">
        <v>6222</v>
      </c>
      <c r="C8" s="27"/>
      <c r="D8" s="27"/>
      <c r="E8" s="27"/>
      <c r="F8" s="27"/>
      <c r="G8" s="27"/>
      <c r="H8" s="29"/>
      <c r="I8" s="29"/>
      <c r="J8" s="29"/>
      <c r="K8" s="22"/>
      <c r="L8" s="29"/>
      <c r="M8" s="968"/>
      <c r="N8" s="971"/>
      <c r="O8" s="971"/>
      <c r="P8" s="971"/>
      <c r="Q8" s="971"/>
      <c r="R8" s="971"/>
      <c r="S8" s="971"/>
      <c r="T8" s="971"/>
      <c r="U8" s="971"/>
      <c r="V8" s="971"/>
      <c r="W8" s="971"/>
      <c r="X8" s="971"/>
      <c r="Y8" s="971"/>
      <c r="Z8" s="971"/>
      <c r="AA8" s="971"/>
      <c r="AB8" s="971"/>
      <c r="AC8" s="971"/>
      <c r="AD8" s="971"/>
      <c r="AE8" s="971"/>
      <c r="AF8" s="271" t="s">
        <v>1474</v>
      </c>
      <c r="AS8" s="259"/>
    </row>
    <row r="9" spans="1:66" ht="20.100000000000001" customHeight="1">
      <c r="A9" s="55" t="str">
        <f>INDEX('DEFAULT DATA'!$AIU$9:$AIX$41,START!$C$3,3)</f>
        <v>Semi-detached</v>
      </c>
      <c r="B9" s="23">
        <v>25000</v>
      </c>
      <c r="C9" s="27"/>
      <c r="D9" s="27"/>
      <c r="E9" s="27"/>
      <c r="F9" s="27"/>
      <c r="G9" s="27"/>
      <c r="H9" s="29"/>
      <c r="I9" s="29"/>
      <c r="J9" s="29"/>
      <c r="K9" s="22"/>
      <c r="L9" s="29"/>
      <c r="M9" s="968"/>
      <c r="N9" s="971"/>
      <c r="O9" s="971"/>
      <c r="P9" s="971"/>
      <c r="Q9" s="971"/>
      <c r="R9" s="971"/>
      <c r="S9" s="971"/>
      <c r="T9" s="971"/>
      <c r="U9" s="971"/>
      <c r="V9" s="971"/>
      <c r="W9" s="971"/>
      <c r="X9" s="971"/>
      <c r="Y9" s="971"/>
      <c r="Z9" s="971"/>
      <c r="AA9" s="971"/>
      <c r="AB9" s="971"/>
      <c r="AC9" s="971"/>
      <c r="AD9" s="971"/>
      <c r="AE9" s="971"/>
      <c r="AF9" s="1500" t="s">
        <v>1382</v>
      </c>
      <c r="AG9" s="1545" t="s">
        <v>1877</v>
      </c>
      <c r="AH9" s="1546"/>
      <c r="AI9" s="1546"/>
      <c r="AJ9" s="1546"/>
      <c r="AK9" s="1546"/>
      <c r="AL9" s="1546"/>
      <c r="AM9" s="1546"/>
      <c r="AN9" s="1546"/>
      <c r="AO9" s="1546"/>
      <c r="AP9" s="1546"/>
      <c r="AQ9" s="1546"/>
      <c r="AR9" s="1546"/>
      <c r="AS9" s="1546"/>
      <c r="AT9" s="1546"/>
      <c r="AU9" s="1546"/>
      <c r="AV9" s="1546"/>
      <c r="AW9" s="1546"/>
      <c r="AX9" s="1546"/>
      <c r="AY9" s="1547"/>
    </row>
    <row r="10" spans="1:66" ht="20.100000000000001" customHeight="1">
      <c r="A10" s="674" t="str">
        <f>INDEX('DEFAULT DATA'!$AIU$9:$AIX$41,START!$C$3,4)</f>
        <v>Detached</v>
      </c>
      <c r="B10" s="23">
        <v>34566</v>
      </c>
      <c r="C10" s="27"/>
      <c r="D10" s="27"/>
      <c r="E10" s="27"/>
      <c r="F10" s="27"/>
      <c r="G10" s="27"/>
      <c r="H10" s="29"/>
      <c r="I10" s="29"/>
      <c r="J10" s="29"/>
      <c r="K10" s="22"/>
      <c r="L10" s="29"/>
      <c r="M10" s="968"/>
      <c r="N10" s="971"/>
      <c r="O10" s="971"/>
      <c r="P10" s="971"/>
      <c r="Q10" s="971"/>
      <c r="R10" s="971"/>
      <c r="S10" s="971"/>
      <c r="T10" s="971"/>
      <c r="U10" s="971"/>
      <c r="V10" s="971"/>
      <c r="W10" s="971"/>
      <c r="X10" s="971"/>
      <c r="Y10" s="971"/>
      <c r="Z10" s="971"/>
      <c r="AA10" s="971"/>
      <c r="AB10" s="971"/>
      <c r="AC10" s="971"/>
      <c r="AD10" s="971"/>
      <c r="AE10" s="971"/>
      <c r="AF10" s="1500"/>
      <c r="AG10" s="1471" t="s">
        <v>1537</v>
      </c>
      <c r="AH10" s="1479"/>
      <c r="AI10" s="1479"/>
      <c r="AJ10" s="1479"/>
      <c r="AK10" s="1479"/>
      <c r="AL10" s="1479"/>
      <c r="AM10" s="1479"/>
      <c r="AN10" s="1479"/>
      <c r="AO10" s="1479"/>
      <c r="AP10" s="1479"/>
      <c r="AQ10" s="1479"/>
      <c r="AR10" s="1479"/>
      <c r="AS10" s="1479"/>
      <c r="AT10" s="1479"/>
      <c r="AU10" s="1479"/>
      <c r="AV10" s="1479"/>
      <c r="AW10" s="1479"/>
      <c r="AX10" s="1479"/>
      <c r="AY10" s="1472"/>
    </row>
    <row r="11" spans="1:66" ht="20.100000000000001" customHeight="1">
      <c r="A11" s="55" t="s">
        <v>310</v>
      </c>
      <c r="B11" s="232">
        <f>SUM(B7:B10)</f>
        <v>70230</v>
      </c>
      <c r="C11" s="27"/>
      <c r="D11" s="27"/>
      <c r="E11" s="27"/>
      <c r="F11" s="27"/>
      <c r="G11" s="27"/>
      <c r="H11" s="29"/>
      <c r="I11" s="29"/>
      <c r="J11" s="29"/>
      <c r="K11" s="22"/>
      <c r="L11" s="29"/>
      <c r="M11" s="968"/>
      <c r="N11" s="971"/>
      <c r="O11" s="971"/>
      <c r="P11" s="971"/>
      <c r="Q11" s="971"/>
      <c r="R11" s="971"/>
      <c r="S11" s="971"/>
      <c r="T11" s="971"/>
      <c r="U11" s="971"/>
      <c r="V11" s="971"/>
      <c r="W11" s="971"/>
      <c r="X11" s="971"/>
      <c r="Y11" s="971"/>
      <c r="Z11" s="971"/>
      <c r="AA11" s="971"/>
      <c r="AB11" s="971"/>
      <c r="AC11" s="971"/>
      <c r="AD11" s="971"/>
      <c r="AE11" s="971"/>
      <c r="AF11" s="1500"/>
      <c r="AG11" s="1471" t="s">
        <v>1536</v>
      </c>
      <c r="AH11" s="1479"/>
      <c r="AI11" s="1479"/>
      <c r="AJ11" s="1479"/>
      <c r="AK11" s="1479"/>
      <c r="AL11" s="1479"/>
      <c r="AM11" s="1479"/>
      <c r="AN11" s="1479"/>
      <c r="AO11" s="1479"/>
      <c r="AP11" s="1479"/>
      <c r="AQ11" s="1479"/>
      <c r="AR11" s="1479"/>
      <c r="AS11" s="1479"/>
      <c r="AT11" s="1479"/>
      <c r="AU11" s="1479"/>
      <c r="AV11" s="1479"/>
      <c r="AW11" s="1479"/>
      <c r="AX11" s="1479"/>
      <c r="AY11" s="1472"/>
    </row>
    <row r="12" spans="1:66" ht="20.100000000000001" customHeight="1">
      <c r="A12" s="55"/>
      <c r="B12" s="27"/>
      <c r="C12" s="27"/>
      <c r="D12" s="27"/>
      <c r="E12" s="27"/>
      <c r="F12" s="27"/>
      <c r="G12" s="27"/>
      <c r="H12" s="29"/>
      <c r="I12" s="29"/>
      <c r="J12" s="29"/>
      <c r="K12" s="22"/>
      <c r="L12" s="29"/>
      <c r="M12" s="968"/>
      <c r="N12" s="971"/>
      <c r="O12" s="971"/>
      <c r="P12" s="971"/>
      <c r="Q12" s="971"/>
      <c r="R12" s="971"/>
      <c r="S12" s="971"/>
      <c r="T12" s="971"/>
      <c r="U12" s="971"/>
      <c r="V12" s="971"/>
      <c r="W12" s="971"/>
      <c r="X12" s="971"/>
      <c r="Y12" s="971"/>
      <c r="Z12" s="971"/>
      <c r="AA12" s="971"/>
      <c r="AB12" s="971"/>
      <c r="AC12" s="971"/>
      <c r="AD12" s="971"/>
      <c r="AE12" s="971"/>
      <c r="AF12" s="1500"/>
      <c r="AG12" s="1524" t="s">
        <v>1519</v>
      </c>
      <c r="AH12" s="1525"/>
      <c r="AI12" s="1525"/>
      <c r="AJ12" s="1525"/>
      <c r="AK12" s="1525"/>
      <c r="AL12" s="1525"/>
      <c r="AM12" s="1525"/>
      <c r="AN12" s="1525"/>
      <c r="AO12" s="1525"/>
      <c r="AP12" s="1525"/>
      <c r="AQ12" s="1525"/>
      <c r="AR12" s="1525"/>
      <c r="AS12" s="1525"/>
      <c r="AT12" s="1525"/>
      <c r="AU12" s="1525"/>
      <c r="AV12" s="1525"/>
      <c r="AW12" s="1525"/>
      <c r="AX12" s="1525"/>
      <c r="AY12" s="1526"/>
    </row>
    <row r="13" spans="1:66" ht="20.100000000000001" customHeight="1">
      <c r="A13" s="225" t="s">
        <v>1262</v>
      </c>
      <c r="B13" s="51"/>
      <c r="C13" s="51"/>
      <c r="D13" s="51"/>
      <c r="E13" s="51"/>
      <c r="F13" s="51"/>
      <c r="G13" s="51"/>
      <c r="H13" s="30"/>
      <c r="I13" s="30"/>
      <c r="J13" s="30"/>
      <c r="K13" s="21"/>
      <c r="L13" s="29"/>
      <c r="M13" s="968"/>
      <c r="N13" s="971"/>
      <c r="O13" s="971"/>
      <c r="P13" s="971"/>
      <c r="Q13" s="971"/>
      <c r="R13" s="971"/>
      <c r="S13" s="971"/>
      <c r="T13" s="971"/>
      <c r="U13" s="971"/>
      <c r="V13" s="971"/>
      <c r="W13" s="971"/>
      <c r="X13" s="971"/>
      <c r="Y13" s="971"/>
      <c r="Z13" s="971"/>
      <c r="AA13" s="971"/>
      <c r="AB13" s="971"/>
      <c r="AC13" s="971"/>
      <c r="AD13" s="971"/>
      <c r="AE13" s="971"/>
      <c r="AF13" s="1500"/>
      <c r="AG13" s="515" t="s">
        <v>1520</v>
      </c>
      <c r="AH13" s="516"/>
      <c r="AI13" s="516"/>
      <c r="AJ13" s="516"/>
      <c r="AK13" s="516"/>
      <c r="AL13" s="516"/>
      <c r="AM13" s="516"/>
      <c r="AN13" s="516"/>
      <c r="AO13" s="516"/>
      <c r="AP13" s="516"/>
      <c r="AQ13" s="516"/>
      <c r="AR13" s="516"/>
      <c r="AS13" s="516"/>
      <c r="AT13" s="516"/>
      <c r="AU13" s="516"/>
      <c r="AV13" s="516"/>
      <c r="AW13" s="516"/>
      <c r="AX13" s="516"/>
      <c r="AY13" s="517"/>
    </row>
    <row r="14" spans="1:66" ht="20.100000000000001" customHeight="1">
      <c r="A14" s="55"/>
      <c r="B14" s="381" t="s">
        <v>1336</v>
      </c>
      <c r="C14" s="27"/>
      <c r="D14" s="27"/>
      <c r="E14" s="27"/>
      <c r="F14" s="27"/>
      <c r="G14" s="27"/>
      <c r="H14" s="29"/>
      <c r="I14" s="29"/>
      <c r="J14" s="29"/>
      <c r="K14" s="22"/>
      <c r="L14" s="29"/>
      <c r="M14" s="968"/>
      <c r="N14" s="971"/>
      <c r="O14" s="971"/>
      <c r="P14" s="971"/>
      <c r="Q14" s="971"/>
      <c r="R14" s="971"/>
      <c r="S14" s="971"/>
      <c r="T14" s="971"/>
      <c r="U14" s="971"/>
      <c r="V14" s="971"/>
      <c r="W14" s="971"/>
      <c r="X14" s="971"/>
      <c r="Y14" s="971"/>
      <c r="Z14" s="971"/>
      <c r="AA14" s="971"/>
      <c r="AB14" s="971"/>
      <c r="AC14" s="971"/>
      <c r="AD14" s="971"/>
      <c r="AE14" s="971"/>
      <c r="AF14" s="1500"/>
      <c r="AG14" s="518" t="s">
        <v>1535</v>
      </c>
      <c r="AH14" s="519"/>
      <c r="AI14" s="519"/>
      <c r="AJ14" s="519"/>
      <c r="AK14" s="519"/>
      <c r="AL14" s="519"/>
      <c r="AM14" s="519"/>
      <c r="AN14" s="519"/>
      <c r="AO14" s="519"/>
      <c r="AP14" s="519"/>
      <c r="AQ14" s="519"/>
      <c r="AR14" s="519"/>
      <c r="AS14" s="519"/>
      <c r="AT14" s="519"/>
      <c r="AU14" s="519"/>
      <c r="AV14" s="519"/>
      <c r="AW14" s="519"/>
      <c r="AX14" s="519"/>
      <c r="AY14" s="520"/>
    </row>
    <row r="15" spans="1:66" ht="20.100000000000001" customHeight="1">
      <c r="A15" s="55" t="str">
        <f>INDEX('DEFAULT DATA'!$AIY$9:$AJD$41,START!$C$3,1)</f>
        <v>Retail</v>
      </c>
      <c r="B15" s="23">
        <v>262714</v>
      </c>
      <c r="C15" s="27"/>
      <c r="D15" s="27"/>
      <c r="E15" s="27"/>
      <c r="F15" s="27"/>
      <c r="G15" s="27"/>
      <c r="H15" s="29"/>
      <c r="I15" s="29"/>
      <c r="J15" s="29"/>
      <c r="K15" s="22"/>
      <c r="L15" s="29"/>
      <c r="M15" s="968"/>
      <c r="N15" s="971"/>
      <c r="O15" s="971"/>
      <c r="P15" s="971"/>
      <c r="Q15" s="971"/>
      <c r="R15" s="971"/>
      <c r="S15" s="971"/>
      <c r="T15" s="971"/>
      <c r="U15" s="971"/>
      <c r="V15" s="971"/>
      <c r="W15" s="971"/>
      <c r="X15" s="971"/>
      <c r="Y15" s="971"/>
      <c r="Z15" s="971"/>
      <c r="AA15" s="971"/>
      <c r="AB15" s="971"/>
      <c r="AC15" s="971"/>
      <c r="AD15" s="971"/>
      <c r="AE15" s="971"/>
      <c r="AF15" s="1500"/>
      <c r="AG15" s="1545" t="s">
        <v>1521</v>
      </c>
      <c r="AH15" s="1546"/>
      <c r="AI15" s="1546"/>
      <c r="AJ15" s="1546"/>
      <c r="AK15" s="1546"/>
      <c r="AL15" s="1546"/>
      <c r="AM15" s="1546"/>
      <c r="AN15" s="1546"/>
      <c r="AO15" s="1546"/>
      <c r="AP15" s="1546"/>
      <c r="AQ15" s="1546"/>
      <c r="AR15" s="1546"/>
      <c r="AS15" s="1546"/>
      <c r="AT15" s="1546"/>
      <c r="AU15" s="1546"/>
      <c r="AV15" s="1546"/>
      <c r="AW15" s="1546"/>
      <c r="AX15" s="1546"/>
      <c r="AY15" s="1547"/>
    </row>
    <row r="16" spans="1:66" ht="20.100000000000001" customHeight="1">
      <c r="A16" s="55" t="str">
        <f>INDEX('DEFAULT DATA'!$AIY$9:$AJD$41,START!$C$3,2)</f>
        <v>Health</v>
      </c>
      <c r="B16" s="23">
        <v>31619</v>
      </c>
      <c r="C16" s="27"/>
      <c r="D16" s="27"/>
      <c r="E16" s="27"/>
      <c r="F16" s="27"/>
      <c r="G16" s="27"/>
      <c r="H16" s="29"/>
      <c r="I16" s="29"/>
      <c r="J16" s="29"/>
      <c r="K16" s="22"/>
      <c r="L16" s="29"/>
      <c r="M16" s="968"/>
      <c r="N16" s="971"/>
      <c r="O16" s="971"/>
      <c r="P16" s="971"/>
      <c r="Q16" s="971"/>
      <c r="R16" s="971"/>
      <c r="S16" s="971"/>
      <c r="T16" s="971"/>
      <c r="U16" s="971"/>
      <c r="V16" s="971"/>
      <c r="W16" s="971"/>
      <c r="X16" s="971"/>
      <c r="Y16" s="971"/>
      <c r="Z16" s="971"/>
      <c r="AA16" s="971"/>
      <c r="AB16" s="971"/>
      <c r="AC16" s="971"/>
      <c r="AD16" s="971"/>
      <c r="AE16" s="971"/>
      <c r="AF16" s="1500"/>
      <c r="AG16" s="1471" t="s">
        <v>1522</v>
      </c>
      <c r="AH16" s="1479"/>
      <c r="AI16" s="1479"/>
      <c r="AJ16" s="1479"/>
      <c r="AK16" s="1479"/>
      <c r="AL16" s="1479"/>
      <c r="AM16" s="1479"/>
      <c r="AN16" s="1479"/>
      <c r="AO16" s="1479"/>
      <c r="AP16" s="1479"/>
      <c r="AQ16" s="1479"/>
      <c r="AR16" s="1479"/>
      <c r="AS16" s="1479"/>
      <c r="AT16" s="1479"/>
      <c r="AU16" s="1479"/>
      <c r="AV16" s="1479"/>
      <c r="AW16" s="1479"/>
      <c r="AX16" s="1479"/>
      <c r="AY16" s="1472"/>
    </row>
    <row r="17" spans="1:52" ht="20.100000000000001" customHeight="1">
      <c r="A17" s="55" t="str">
        <f>INDEX('DEFAULT DATA'!$AIY$9:$AJD$41,START!$C$3,3)</f>
        <v>Hospitality</v>
      </c>
      <c r="B17" s="23">
        <v>317908</v>
      </c>
      <c r="C17" s="27"/>
      <c r="D17" s="27"/>
      <c r="E17" s="27"/>
      <c r="F17" s="27"/>
      <c r="G17" s="27"/>
      <c r="H17" s="29"/>
      <c r="I17" s="29"/>
      <c r="J17" s="29"/>
      <c r="K17" s="22"/>
      <c r="L17" s="29"/>
      <c r="M17" s="968"/>
      <c r="N17" s="971"/>
      <c r="O17" s="971"/>
      <c r="P17" s="971"/>
      <c r="Q17" s="971"/>
      <c r="R17" s="971"/>
      <c r="S17" s="971"/>
      <c r="T17" s="971"/>
      <c r="U17" s="971"/>
      <c r="V17" s="971"/>
      <c r="W17" s="971"/>
      <c r="X17" s="971"/>
      <c r="Y17" s="971"/>
      <c r="Z17" s="971"/>
      <c r="AA17" s="971"/>
      <c r="AB17" s="971"/>
      <c r="AC17" s="971"/>
      <c r="AD17" s="971"/>
      <c r="AE17" s="971"/>
      <c r="AF17" s="1500"/>
      <c r="AG17" s="1545" t="s">
        <v>1523</v>
      </c>
      <c r="AH17" s="1546"/>
      <c r="AI17" s="1546"/>
      <c r="AJ17" s="1546"/>
      <c r="AK17" s="1546"/>
      <c r="AL17" s="1546"/>
      <c r="AM17" s="1546"/>
      <c r="AN17" s="1546"/>
      <c r="AO17" s="1546"/>
      <c r="AP17" s="1546"/>
      <c r="AQ17" s="1546"/>
      <c r="AR17" s="1546"/>
      <c r="AS17" s="1546"/>
      <c r="AT17" s="1546"/>
      <c r="AU17" s="1546"/>
      <c r="AV17" s="1546"/>
      <c r="AW17" s="1546"/>
      <c r="AX17" s="1546"/>
      <c r="AY17" s="1547"/>
    </row>
    <row r="18" spans="1:52" ht="20.100000000000001" customHeight="1">
      <c r="A18" s="55" t="str">
        <f>INDEX('DEFAULT DATA'!$AIY$9:$AJD$41,START!$C$3,4)</f>
        <v>Offices</v>
      </c>
      <c r="B18" s="23">
        <v>136770</v>
      </c>
      <c r="C18" s="27"/>
      <c r="D18" s="27"/>
      <c r="E18" s="27"/>
      <c r="F18" s="27"/>
      <c r="G18" s="27"/>
      <c r="H18" s="29"/>
      <c r="I18" s="29"/>
      <c r="J18" s="29"/>
      <c r="K18" s="22"/>
      <c r="L18" s="29"/>
      <c r="M18" s="968"/>
      <c r="N18" s="971"/>
      <c r="O18" s="971"/>
      <c r="P18" s="971"/>
      <c r="Q18" s="971"/>
      <c r="R18" s="971"/>
      <c r="S18" s="971"/>
      <c r="T18" s="971"/>
      <c r="U18" s="971"/>
      <c r="V18" s="971"/>
      <c r="W18" s="971"/>
      <c r="X18" s="971"/>
      <c r="Y18" s="971"/>
      <c r="Z18" s="971"/>
      <c r="AA18" s="971"/>
      <c r="AB18" s="971"/>
      <c r="AC18" s="971"/>
      <c r="AD18" s="971"/>
      <c r="AE18" s="971"/>
      <c r="AF18" s="1500"/>
      <c r="AG18" s="1471" t="s">
        <v>1524</v>
      </c>
      <c r="AH18" s="1479"/>
      <c r="AI18" s="1479"/>
      <c r="AJ18" s="1479"/>
      <c r="AK18" s="1479"/>
      <c r="AL18" s="1479"/>
      <c r="AM18" s="1479"/>
      <c r="AN18" s="1479"/>
      <c r="AO18" s="1479"/>
      <c r="AP18" s="1479"/>
      <c r="AQ18" s="1479"/>
      <c r="AR18" s="1479"/>
      <c r="AS18" s="1479"/>
      <c r="AT18" s="1479"/>
      <c r="AU18" s="1479"/>
      <c r="AV18" s="1479"/>
      <c r="AW18" s="1479"/>
      <c r="AX18" s="1479"/>
      <c r="AY18" s="1472"/>
    </row>
    <row r="19" spans="1:52" ht="20.100000000000001" customHeight="1">
      <c r="A19" s="55" t="str">
        <f>INDEX('DEFAULT DATA'!$AIY$9:$AJD$41,START!$C$3,5)</f>
        <v>Industrial</v>
      </c>
      <c r="B19" s="23">
        <v>1508421</v>
      </c>
      <c r="C19" s="27"/>
      <c r="D19" s="27"/>
      <c r="E19" s="27"/>
      <c r="F19" s="27"/>
      <c r="G19" s="27"/>
      <c r="H19" s="29"/>
      <c r="I19" s="29"/>
      <c r="J19" s="29"/>
      <c r="K19" s="22"/>
      <c r="L19" s="29"/>
      <c r="M19" s="968"/>
      <c r="N19" s="971"/>
      <c r="O19" s="971"/>
      <c r="P19" s="971"/>
      <c r="Q19" s="971"/>
      <c r="R19" s="971"/>
      <c r="S19" s="971"/>
      <c r="T19" s="971"/>
      <c r="U19" s="971"/>
      <c r="V19" s="971"/>
      <c r="W19" s="971"/>
      <c r="X19" s="971"/>
      <c r="Y19" s="971"/>
      <c r="Z19" s="971"/>
      <c r="AA19" s="971"/>
      <c r="AB19" s="971"/>
      <c r="AC19" s="971"/>
      <c r="AD19" s="971"/>
      <c r="AE19" s="971"/>
      <c r="AF19" s="1500"/>
      <c r="AG19" s="1545" t="s">
        <v>1525</v>
      </c>
      <c r="AH19" s="1546"/>
      <c r="AI19" s="1546"/>
      <c r="AJ19" s="1546"/>
      <c r="AK19" s="1546"/>
      <c r="AL19" s="1546"/>
      <c r="AM19" s="1546"/>
      <c r="AN19" s="1546"/>
      <c r="AO19" s="1546"/>
      <c r="AP19" s="1546"/>
      <c r="AQ19" s="1546"/>
      <c r="AR19" s="1546"/>
      <c r="AS19" s="1546"/>
      <c r="AT19" s="1546"/>
      <c r="AU19" s="1546"/>
      <c r="AV19" s="1546"/>
      <c r="AW19" s="1546"/>
      <c r="AX19" s="1546"/>
      <c r="AY19" s="1547"/>
    </row>
    <row r="20" spans="1:52" ht="20.100000000000001" customHeight="1">
      <c r="A20" s="674" t="str">
        <f>INDEX('DEFAULT DATA'!$AIY$9:$AJD$41,START!$C$3,6)</f>
        <v>Warehouses</v>
      </c>
      <c r="B20" s="23">
        <v>61143</v>
      </c>
      <c r="C20" s="27"/>
      <c r="D20" s="27"/>
      <c r="E20" s="27"/>
      <c r="F20" s="27"/>
      <c r="G20" s="27"/>
      <c r="H20" s="29"/>
      <c r="I20" s="29"/>
      <c r="J20" s="29"/>
      <c r="K20" s="22"/>
      <c r="L20" s="29"/>
      <c r="M20" s="968"/>
      <c r="N20" s="971"/>
      <c r="O20" s="971"/>
      <c r="P20" s="971"/>
      <c r="Q20" s="971"/>
      <c r="R20" s="971"/>
      <c r="S20" s="971"/>
      <c r="T20" s="971"/>
      <c r="U20" s="971"/>
      <c r="V20" s="971"/>
      <c r="W20" s="971"/>
      <c r="X20" s="971"/>
      <c r="Y20" s="971"/>
      <c r="Z20" s="971"/>
      <c r="AA20" s="971"/>
      <c r="AB20" s="971"/>
      <c r="AC20" s="971"/>
      <c r="AD20" s="971"/>
      <c r="AE20" s="971"/>
      <c r="AF20" s="1500"/>
      <c r="AG20" s="1471" t="s">
        <v>1526</v>
      </c>
      <c r="AH20" s="1479"/>
      <c r="AI20" s="1479"/>
      <c r="AJ20" s="1479"/>
      <c r="AK20" s="1479"/>
      <c r="AL20" s="1479"/>
      <c r="AM20" s="1479"/>
      <c r="AN20" s="1479"/>
      <c r="AO20" s="1479"/>
      <c r="AP20" s="1479"/>
      <c r="AQ20" s="1479"/>
      <c r="AR20" s="1479"/>
      <c r="AS20" s="1479"/>
      <c r="AT20" s="1479"/>
      <c r="AU20" s="1479"/>
      <c r="AV20" s="1479"/>
      <c r="AW20" s="1479"/>
      <c r="AX20" s="1479"/>
      <c r="AY20" s="1472"/>
    </row>
    <row r="21" spans="1:52" ht="20.100000000000001" customHeight="1">
      <c r="A21" s="55" t="s">
        <v>310</v>
      </c>
      <c r="B21" s="232">
        <f>SUM(B15:B20)</f>
        <v>2318575</v>
      </c>
      <c r="C21" s="29"/>
      <c r="D21" s="29"/>
      <c r="E21" s="29"/>
      <c r="F21" s="29"/>
      <c r="G21" s="29"/>
      <c r="H21" s="29"/>
      <c r="I21" s="29"/>
      <c r="J21" s="29"/>
      <c r="K21" s="22"/>
      <c r="L21" s="29"/>
      <c r="M21" s="968"/>
      <c r="N21" s="971"/>
      <c r="O21" s="971"/>
      <c r="P21" s="971"/>
      <c r="Q21" s="971"/>
      <c r="R21" s="971"/>
      <c r="S21" s="971"/>
      <c r="T21" s="971"/>
      <c r="U21" s="971"/>
      <c r="V21" s="971"/>
      <c r="W21" s="971"/>
      <c r="X21" s="971"/>
      <c r="Y21" s="971"/>
      <c r="Z21" s="971"/>
      <c r="AA21" s="971"/>
      <c r="AB21" s="971"/>
      <c r="AC21" s="971"/>
      <c r="AD21" s="971"/>
      <c r="AE21" s="971"/>
      <c r="AF21" s="1500"/>
      <c r="AG21" s="1551"/>
      <c r="AH21" s="1552"/>
      <c r="AI21" s="1552"/>
      <c r="AJ21" s="1552"/>
      <c r="AK21" s="1552"/>
      <c r="AL21" s="1552"/>
      <c r="AM21" s="1552"/>
      <c r="AN21" s="1552"/>
      <c r="AO21" s="1552"/>
      <c r="AP21" s="1552"/>
      <c r="AQ21" s="1552"/>
      <c r="AR21" s="1552"/>
      <c r="AS21" s="1552"/>
      <c r="AT21" s="1552"/>
      <c r="AU21" s="1552"/>
      <c r="AV21" s="1552"/>
      <c r="AW21" s="1552"/>
      <c r="AX21" s="1552"/>
      <c r="AY21" s="1553"/>
    </row>
    <row r="22" spans="1:52" ht="20.100000000000001" customHeight="1">
      <c r="A22" s="28"/>
      <c r="B22" s="29"/>
      <c r="C22" s="27"/>
      <c r="D22" s="27"/>
      <c r="E22" s="27"/>
      <c r="F22" s="27"/>
      <c r="G22" s="27"/>
      <c r="H22" s="29"/>
      <c r="I22" s="29"/>
      <c r="J22" s="29"/>
      <c r="K22" s="22"/>
      <c r="L22" s="29"/>
      <c r="M22" s="968"/>
      <c r="N22" s="971"/>
      <c r="O22" s="971"/>
      <c r="P22" s="971"/>
      <c r="Q22" s="971"/>
      <c r="R22" s="971"/>
      <c r="S22" s="971"/>
      <c r="T22" s="971"/>
      <c r="U22" s="971"/>
      <c r="V22" s="971"/>
      <c r="W22" s="971"/>
      <c r="X22" s="971"/>
      <c r="Y22" s="971"/>
      <c r="Z22" s="971"/>
      <c r="AA22" s="971"/>
      <c r="AB22" s="971"/>
      <c r="AC22" s="971"/>
      <c r="AD22" s="971"/>
      <c r="AE22" s="971"/>
      <c r="AF22" s="1500"/>
      <c r="AG22" s="1554"/>
      <c r="AH22" s="1555"/>
      <c r="AI22" s="1555"/>
      <c r="AJ22" s="1555"/>
      <c r="AK22" s="1555"/>
      <c r="AL22" s="1555"/>
      <c r="AM22" s="1555"/>
      <c r="AN22" s="1555"/>
      <c r="AO22" s="1555"/>
      <c r="AP22" s="1555"/>
      <c r="AQ22" s="1555"/>
      <c r="AR22" s="1555"/>
      <c r="AS22" s="1555"/>
      <c r="AT22" s="1555"/>
      <c r="AU22" s="1555"/>
      <c r="AV22" s="1555"/>
      <c r="AW22" s="1555"/>
      <c r="AX22" s="1555"/>
      <c r="AY22" s="1556"/>
    </row>
    <row r="23" spans="1:52" ht="20.100000000000001" customHeight="1" thickBot="1">
      <c r="A23" s="223"/>
      <c r="B23" s="379"/>
      <c r="C23" s="379"/>
      <c r="D23" s="379"/>
      <c r="E23" s="379"/>
      <c r="F23" s="379"/>
      <c r="G23" s="379"/>
      <c r="H23" s="32"/>
      <c r="I23" s="32"/>
      <c r="J23" s="32"/>
      <c r="K23" s="33"/>
      <c r="L23" s="29"/>
      <c r="M23" s="968"/>
      <c r="N23" s="971"/>
      <c r="O23" s="971"/>
      <c r="P23" s="971"/>
      <c r="Q23" s="971"/>
      <c r="R23" s="971"/>
      <c r="S23" s="971"/>
      <c r="T23" s="971"/>
      <c r="U23" s="971"/>
      <c r="V23" s="971"/>
      <c r="W23" s="971"/>
      <c r="X23" s="971"/>
      <c r="Y23" s="971"/>
      <c r="Z23" s="971"/>
      <c r="AA23" s="971"/>
      <c r="AB23" s="971"/>
      <c r="AC23" s="971"/>
      <c r="AD23" s="971"/>
      <c r="AE23" s="971"/>
      <c r="AF23" s="1500"/>
      <c r="AG23" s="1557"/>
      <c r="AH23" s="1558"/>
      <c r="AI23" s="1558"/>
      <c r="AJ23" s="1558"/>
      <c r="AK23" s="1558"/>
      <c r="AL23" s="1558"/>
      <c r="AM23" s="1558"/>
      <c r="AN23" s="1558"/>
      <c r="AO23" s="1558"/>
      <c r="AP23" s="1558"/>
      <c r="AQ23" s="1558"/>
      <c r="AR23" s="1558"/>
      <c r="AS23" s="1558"/>
      <c r="AT23" s="1558"/>
      <c r="AU23" s="1558"/>
      <c r="AV23" s="1558"/>
      <c r="AW23" s="1558"/>
      <c r="AX23" s="1558"/>
      <c r="AY23" s="1559"/>
    </row>
    <row r="24" spans="1:52" ht="30" customHeight="1" thickBot="1">
      <c r="A24" s="233" t="s">
        <v>242</v>
      </c>
      <c r="B24" s="234"/>
      <c r="C24" s="234"/>
      <c r="D24" s="234"/>
      <c r="E24" s="234"/>
      <c r="F24" s="234"/>
      <c r="G24" s="234"/>
      <c r="H24" s="235"/>
      <c r="I24" s="235"/>
      <c r="J24" s="235"/>
      <c r="K24" s="236"/>
      <c r="L24" s="384"/>
      <c r="M24" s="384"/>
      <c r="N24" s="384"/>
      <c r="O24" s="384"/>
      <c r="P24" s="384"/>
      <c r="Q24" s="384"/>
      <c r="R24" s="384"/>
      <c r="S24" s="384"/>
      <c r="T24" s="384"/>
      <c r="U24" s="384"/>
      <c r="V24" s="384"/>
      <c r="W24" s="384"/>
      <c r="X24" s="384"/>
      <c r="Y24" s="384"/>
      <c r="Z24" s="384"/>
      <c r="AA24" s="384"/>
      <c r="AB24" s="384"/>
      <c r="AC24" s="384"/>
      <c r="AD24" s="384"/>
      <c r="AE24" s="384"/>
      <c r="AF24" s="271"/>
    </row>
    <row r="25" spans="1:52" ht="20.100000000000001" customHeight="1">
      <c r="A25" s="237" t="s">
        <v>1238</v>
      </c>
      <c r="B25" s="261">
        <f>2021+START!C2</f>
        <v>2023</v>
      </c>
      <c r="C25" s="238"/>
      <c r="D25" s="238"/>
      <c r="E25" s="238"/>
      <c r="F25" s="238"/>
      <c r="G25" s="238"/>
      <c r="H25" s="238"/>
      <c r="I25" s="238"/>
      <c r="J25" s="239"/>
      <c r="K25" s="240"/>
      <c r="L25" s="384"/>
      <c r="M25" s="384"/>
      <c r="N25" s="384"/>
      <c r="O25" s="384"/>
      <c r="P25" s="384"/>
      <c r="Q25" s="384"/>
      <c r="R25" s="384"/>
      <c r="S25" s="384"/>
      <c r="T25" s="384"/>
      <c r="U25" s="384"/>
      <c r="V25" s="384"/>
      <c r="W25" s="384"/>
      <c r="X25" s="384"/>
      <c r="Y25" s="384"/>
      <c r="Z25" s="384"/>
      <c r="AA25" s="384"/>
      <c r="AB25" s="384"/>
      <c r="AC25" s="384"/>
      <c r="AD25" s="384"/>
      <c r="AE25" s="384"/>
      <c r="AF25" s="1532" t="s">
        <v>1411</v>
      </c>
      <c r="AG25" s="972" t="s">
        <v>1538</v>
      </c>
      <c r="AH25" s="972"/>
      <c r="AI25" s="972"/>
      <c r="AJ25" s="972"/>
      <c r="AK25" s="972"/>
      <c r="AL25" s="972"/>
      <c r="AM25" s="972"/>
      <c r="AN25" s="972"/>
      <c r="AO25" s="972"/>
      <c r="AP25" s="972"/>
      <c r="AQ25" s="972"/>
      <c r="AR25" s="972"/>
      <c r="AS25" s="972"/>
      <c r="AT25" s="972"/>
      <c r="AU25" s="972"/>
      <c r="AV25" s="972"/>
      <c r="AW25" s="972"/>
      <c r="AX25" s="978"/>
      <c r="AY25" s="978"/>
      <c r="AZ25" s="977"/>
    </row>
    <row r="26" spans="1:52" ht="20.100000000000001" customHeight="1">
      <c r="A26" s="230" t="s">
        <v>1391</v>
      </c>
      <c r="B26" s="218"/>
      <c r="C26" s="218"/>
      <c r="D26" s="218"/>
      <c r="E26" s="218"/>
      <c r="F26" s="218"/>
      <c r="G26" s="218"/>
      <c r="H26" s="217"/>
      <c r="I26" s="217"/>
      <c r="J26" s="217"/>
      <c r="K26" s="229"/>
      <c r="L26" s="29"/>
      <c r="M26" s="968"/>
      <c r="N26" s="971"/>
      <c r="O26" s="971"/>
      <c r="P26" s="971"/>
      <c r="Q26" s="971"/>
      <c r="R26" s="971"/>
      <c r="S26" s="971"/>
      <c r="T26" s="971"/>
      <c r="U26" s="971"/>
      <c r="V26" s="971"/>
      <c r="W26" s="971"/>
      <c r="X26" s="971"/>
      <c r="Y26" s="971"/>
      <c r="Z26" s="971"/>
      <c r="AA26" s="971"/>
      <c r="AB26" s="971"/>
      <c r="AC26" s="971"/>
      <c r="AD26" s="971"/>
      <c r="AE26" s="971"/>
      <c r="AF26" s="1533"/>
      <c r="AG26" s="972" t="s">
        <v>1539</v>
      </c>
      <c r="AH26" s="972"/>
      <c r="AI26" s="972"/>
      <c r="AJ26" s="972"/>
      <c r="AK26" s="972"/>
      <c r="AL26" s="972"/>
      <c r="AM26" s="972"/>
      <c r="AN26" s="972"/>
      <c r="AO26" s="972"/>
      <c r="AP26" s="972"/>
      <c r="AQ26" s="972"/>
      <c r="AR26" s="972"/>
      <c r="AS26" s="972"/>
      <c r="AT26" s="972"/>
      <c r="AU26" s="972"/>
      <c r="AV26" s="972"/>
      <c r="AW26" s="972"/>
      <c r="AX26" s="978"/>
      <c r="AY26" s="978"/>
      <c r="AZ26" s="977"/>
    </row>
    <row r="27" spans="1:52" ht="20.100000000000001" customHeight="1">
      <c r="A27" s="241" t="s">
        <v>1432</v>
      </c>
      <c r="B27" s="220" t="s">
        <v>933</v>
      </c>
      <c r="C27" s="220" t="s">
        <v>1220</v>
      </c>
      <c r="D27" s="220" t="s">
        <v>1221</v>
      </c>
      <c r="E27" s="220" t="s">
        <v>1222</v>
      </c>
      <c r="F27" s="220" t="s">
        <v>1223</v>
      </c>
      <c r="G27" s="220" t="s">
        <v>1224</v>
      </c>
      <c r="H27" s="220" t="s">
        <v>1225</v>
      </c>
      <c r="I27" s="220" t="s">
        <v>1226</v>
      </c>
      <c r="J27" s="220" t="s">
        <v>170</v>
      </c>
      <c r="K27" s="41"/>
      <c r="L27" s="29"/>
      <c r="M27" s="968"/>
      <c r="N27" s="971"/>
      <c r="O27" s="971"/>
      <c r="P27" s="971"/>
      <c r="Q27" s="971"/>
      <c r="R27" s="971"/>
      <c r="S27" s="971"/>
      <c r="T27" s="971"/>
      <c r="U27" s="971"/>
      <c r="V27" s="971"/>
      <c r="W27" s="971"/>
      <c r="X27" s="971"/>
      <c r="Y27" s="971"/>
      <c r="Z27" s="971"/>
      <c r="AA27" s="971"/>
      <c r="AB27" s="971"/>
      <c r="AC27" s="971"/>
      <c r="AD27" s="971"/>
      <c r="AE27" s="971"/>
      <c r="AF27" s="1533"/>
      <c r="AG27" s="972" t="s">
        <v>1540</v>
      </c>
      <c r="AH27" s="972"/>
      <c r="AI27" s="972"/>
      <c r="AJ27" s="972"/>
      <c r="AK27" s="972"/>
      <c r="AL27" s="972"/>
      <c r="AM27" s="972"/>
      <c r="AN27" s="972"/>
      <c r="AO27" s="972"/>
      <c r="AP27" s="972"/>
      <c r="AQ27" s="972"/>
      <c r="AR27" s="972"/>
      <c r="AS27" s="972"/>
      <c r="AT27" s="972"/>
      <c r="AU27" s="972"/>
      <c r="AV27" s="972"/>
      <c r="AW27" s="972"/>
      <c r="AX27" s="978"/>
      <c r="AY27" s="978"/>
      <c r="AZ27" s="977"/>
    </row>
    <row r="28" spans="1:52" ht="20.100000000000001" customHeight="1">
      <c r="A28" s="241" t="s">
        <v>1216</v>
      </c>
      <c r="B28" s="195">
        <f>INDEX($AL$43:$BN$50,1,START!$C$2)</f>
        <v>2562.9471291100717</v>
      </c>
      <c r="C28" s="195">
        <f>INDEX($AL$43:$BN$50,2,START!$C$2)</f>
        <v>146.64775581009226</v>
      </c>
      <c r="D28" s="195">
        <f>INDEX($AL$43:$BN$50,3,START!$C$2)</f>
        <v>1620.3851038026037</v>
      </c>
      <c r="E28" s="195">
        <f>INDEX($AL$43:$BN$50,4,START!$C$2)</f>
        <v>0</v>
      </c>
      <c r="F28" s="195">
        <f>INDEX($AL$43:$BN$50,5,START!$C$2)</f>
        <v>0</v>
      </c>
      <c r="G28" s="195">
        <f>INDEX($AL$43:$BN$50,6,START!$C$2)</f>
        <v>0</v>
      </c>
      <c r="H28" s="195">
        <f>INDEX($AL$43:$BN$50,7,START!$C$2)</f>
        <v>0</v>
      </c>
      <c r="I28" s="195">
        <f>INDEX($AL$43:$BN$50,8,START!$C$2)</f>
        <v>7622.7793861681639</v>
      </c>
      <c r="J28" s="262">
        <f>SUM(B28:I28)</f>
        <v>11952.759374890931</v>
      </c>
      <c r="K28" s="41"/>
      <c r="L28" s="29"/>
      <c r="M28" s="968"/>
      <c r="N28" s="971"/>
      <c r="O28" s="971"/>
      <c r="P28" s="971"/>
      <c r="Q28" s="971"/>
      <c r="R28" s="971"/>
      <c r="S28" s="971"/>
      <c r="T28" s="971"/>
      <c r="U28" s="971"/>
      <c r="V28" s="971"/>
      <c r="W28" s="971"/>
      <c r="X28" s="971"/>
      <c r="Y28" s="971"/>
      <c r="Z28" s="971"/>
      <c r="AA28" s="971"/>
      <c r="AB28" s="971"/>
      <c r="AC28" s="971"/>
      <c r="AD28" s="971"/>
      <c r="AE28" s="971"/>
      <c r="AF28" s="1533"/>
      <c r="AG28" s="1479" t="s">
        <v>1541</v>
      </c>
      <c r="AH28" s="1479"/>
      <c r="AI28" s="1479"/>
      <c r="AJ28" s="1479"/>
      <c r="AK28" s="1479"/>
      <c r="AL28" s="1479"/>
      <c r="AM28" s="1479"/>
      <c r="AN28" s="1479"/>
      <c r="AO28" s="1479"/>
      <c r="AP28" s="1479"/>
      <c r="AQ28" s="1479"/>
      <c r="AR28" s="1479"/>
      <c r="AS28" s="1479"/>
      <c r="AT28" s="1479"/>
      <c r="AU28" s="1479"/>
      <c r="AV28" s="1479"/>
      <c r="AW28" s="1479"/>
      <c r="AX28" s="978"/>
      <c r="AY28" s="978"/>
      <c r="AZ28" s="977"/>
    </row>
    <row r="29" spans="1:52" ht="20.100000000000001" customHeight="1">
      <c r="A29" s="241" t="s">
        <v>1219</v>
      </c>
      <c r="B29" s="262">
        <f>INDEX($AL$61:$BN$68,1,START!$C$2)</f>
        <v>3967.8641411381814</v>
      </c>
      <c r="C29" s="262">
        <f>INDEX($AL$61:$BN$68,2,START!$C$2)</f>
        <v>227.03487131991611</v>
      </c>
      <c r="D29" s="262">
        <f>INDEX($AL$61:$BN$68,3,START!$C$2)</f>
        <v>2508.6229345844195</v>
      </c>
      <c r="E29" s="262">
        <f>INDEX($AL$61:$BN$68,4,START!$C$2)</f>
        <v>0</v>
      </c>
      <c r="F29" s="262">
        <f>INDEX($AL$61:$BN$68,5,START!$C$2)</f>
        <v>0</v>
      </c>
      <c r="G29" s="262">
        <f>INDEX($AL$61:$BN$68,6,START!$C$2)</f>
        <v>0</v>
      </c>
      <c r="H29" s="262">
        <f>INDEX($AL$61:$BN$68,7,START!$C$2)</f>
        <v>0</v>
      </c>
      <c r="I29" s="262">
        <f>INDEX($AL$61:$BN$68,8,START!$C$2)</f>
        <v>11801.3175686095</v>
      </c>
      <c r="J29" s="262">
        <f t="shared" ref="J29" si="1">SUM(B29:I29)</f>
        <v>18504.839515652016</v>
      </c>
      <c r="K29" s="41"/>
      <c r="L29" s="29"/>
      <c r="M29" s="968"/>
      <c r="N29" s="971"/>
      <c r="O29" s="971"/>
      <c r="P29" s="971"/>
      <c r="Q29" s="971"/>
      <c r="R29" s="971"/>
      <c r="S29" s="971"/>
      <c r="T29" s="971"/>
      <c r="U29" s="971"/>
      <c r="V29" s="971"/>
      <c r="W29" s="971"/>
      <c r="X29" s="971"/>
      <c r="Y29" s="971"/>
      <c r="Z29" s="971"/>
      <c r="AA29" s="971"/>
      <c r="AB29" s="971"/>
      <c r="AC29" s="971"/>
      <c r="AD29" s="971"/>
      <c r="AE29" s="971"/>
      <c r="AF29" s="1533"/>
      <c r="AG29" s="1479" t="s">
        <v>1542</v>
      </c>
      <c r="AH29" s="1479"/>
      <c r="AI29" s="1479"/>
      <c r="AJ29" s="1479"/>
      <c r="AK29" s="1479"/>
      <c r="AL29" s="1479"/>
      <c r="AM29" s="1479"/>
      <c r="AN29" s="1479"/>
      <c r="AO29" s="1479"/>
      <c r="AP29" s="1479"/>
      <c r="AQ29" s="1479"/>
      <c r="AR29" s="1479"/>
      <c r="AS29" s="1479"/>
      <c r="AT29" s="1479"/>
      <c r="AU29" s="1479"/>
      <c r="AV29" s="1479"/>
      <c r="AW29" s="1479"/>
      <c r="AX29" s="978"/>
      <c r="AY29" s="978"/>
      <c r="AZ29" s="977"/>
    </row>
    <row r="30" spans="1:52" ht="20.100000000000001" customHeight="1">
      <c r="A30" s="241" t="s">
        <v>1218</v>
      </c>
      <c r="B30" s="262">
        <f>INDEX($AL$79:$BN$86,1,START!$C$2)</f>
        <v>16702.065463761457</v>
      </c>
      <c r="C30" s="262">
        <f>INDEX($AL$79:$BN$86,2,START!$C$2)</f>
        <v>955.66560458246352</v>
      </c>
      <c r="D30" s="262">
        <f>INDEX($AL$79:$BN$86,3,START!$C$2)</f>
        <v>10559.631828851774</v>
      </c>
      <c r="E30" s="262">
        <f>INDEX($AL$79:$BN$86,4,START!$C$2)</f>
        <v>0</v>
      </c>
      <c r="F30" s="262">
        <f>INDEX($AL$79:$BN$86,5,START!$C$2)</f>
        <v>0</v>
      </c>
      <c r="G30" s="262">
        <f>INDEX($AL$79:$BN$86,6,START!$C$2)</f>
        <v>0</v>
      </c>
      <c r="H30" s="262">
        <f>INDEX($AL$79:$BN$86,7,START!$C$2)</f>
        <v>0</v>
      </c>
      <c r="I30" s="262">
        <f>INDEX($AL$79:$BN$86,8,START!$C$2)</f>
        <v>49675.687366910235</v>
      </c>
      <c r="J30" s="262">
        <f t="shared" ref="J30" si="2">SUM(B30:I30)</f>
        <v>77893.050264105928</v>
      </c>
      <c r="K30" s="41"/>
      <c r="L30" s="29"/>
      <c r="M30" s="968"/>
      <c r="N30" s="971"/>
      <c r="O30" s="971"/>
      <c r="P30" s="971"/>
      <c r="Q30" s="971"/>
      <c r="R30" s="971"/>
      <c r="S30" s="971"/>
      <c r="T30" s="971"/>
      <c r="U30" s="971"/>
      <c r="V30" s="971"/>
      <c r="W30" s="971"/>
      <c r="X30" s="971"/>
      <c r="Y30" s="971"/>
      <c r="Z30" s="971"/>
      <c r="AA30" s="971"/>
      <c r="AB30" s="971"/>
      <c r="AC30" s="971"/>
      <c r="AD30" s="971"/>
      <c r="AE30" s="971"/>
      <c r="AF30" s="1533"/>
      <c r="AG30" s="1479" t="s">
        <v>1543</v>
      </c>
      <c r="AH30" s="1479"/>
      <c r="AI30" s="1479"/>
      <c r="AJ30" s="1479"/>
      <c r="AK30" s="1479"/>
      <c r="AL30" s="1479"/>
      <c r="AM30" s="1479"/>
      <c r="AN30" s="1479"/>
      <c r="AO30" s="1479"/>
      <c r="AP30" s="1479"/>
      <c r="AQ30" s="1479"/>
      <c r="AR30" s="1479"/>
      <c r="AS30" s="1479"/>
      <c r="AT30" s="1479"/>
      <c r="AU30" s="1479"/>
      <c r="AV30" s="1479"/>
      <c r="AW30" s="1479"/>
      <c r="AX30" s="978"/>
      <c r="AY30" s="978"/>
      <c r="AZ30" s="977"/>
    </row>
    <row r="31" spans="1:52" ht="20.100000000000001" customHeight="1">
      <c r="A31" s="241" t="s">
        <v>1217</v>
      </c>
      <c r="B31" s="262">
        <f>INDEX($AL$99:$BN$106,1,START!$C$2)</f>
        <v>35479.159099870543</v>
      </c>
      <c r="C31" s="262">
        <f>INDEX($AL$99:$BN$106,2,START!$C$2)</f>
        <v>2030.0610187896607</v>
      </c>
      <c r="D31" s="262">
        <f>INDEX($AL$99:$BN$106,3,START!$C$2)</f>
        <v>22431.169276923378</v>
      </c>
      <c r="E31" s="262">
        <f>INDEX($AL$99:$BN$106,4,START!$C$2)</f>
        <v>0</v>
      </c>
      <c r="F31" s="262">
        <f>INDEX($AL$99:$BN$106,5,START!$C$2)</f>
        <v>0</v>
      </c>
      <c r="G31" s="262">
        <f>INDEX($AL$99:$BN$106,6,START!$C$2)</f>
        <v>0</v>
      </c>
      <c r="H31" s="262">
        <f>INDEX($AL$99:$BN$106,7,START!$C$2)</f>
        <v>0</v>
      </c>
      <c r="I31" s="262">
        <f>INDEX($AL$99:$BN$106,8,START!$C$2)</f>
        <v>59317.647965395925</v>
      </c>
      <c r="J31" s="262">
        <f t="shared" ref="J31" si="3">SUM(B31:I31)</f>
        <v>119258.03736097951</v>
      </c>
      <c r="K31" s="41"/>
      <c r="L31" s="29"/>
      <c r="M31" s="968"/>
      <c r="N31" s="971"/>
      <c r="O31" s="971"/>
      <c r="P31" s="971"/>
      <c r="Q31" s="971"/>
      <c r="R31" s="971"/>
      <c r="S31" s="971"/>
      <c r="T31" s="971"/>
      <c r="U31" s="971"/>
      <c r="V31" s="971"/>
      <c r="W31" s="971"/>
      <c r="X31" s="971"/>
      <c r="Y31" s="971"/>
      <c r="Z31" s="971"/>
      <c r="AA31" s="971"/>
      <c r="AB31" s="971"/>
      <c r="AC31" s="971"/>
      <c r="AD31" s="971"/>
      <c r="AE31" s="971"/>
      <c r="AF31" s="1533"/>
      <c r="AG31" s="1479" t="s">
        <v>1544</v>
      </c>
      <c r="AH31" s="1479"/>
      <c r="AI31" s="1479"/>
      <c r="AJ31" s="1479"/>
      <c r="AK31" s="1479"/>
      <c r="AL31" s="1479"/>
      <c r="AM31" s="1479"/>
      <c r="AN31" s="1479"/>
      <c r="AO31" s="1479"/>
      <c r="AP31" s="1479"/>
      <c r="AQ31" s="1479"/>
      <c r="AR31" s="1479"/>
      <c r="AS31" s="1479"/>
      <c r="AT31" s="1479"/>
      <c r="AU31" s="1479"/>
      <c r="AV31" s="1479"/>
      <c r="AW31" s="1479"/>
      <c r="AX31" s="978"/>
      <c r="AY31" s="978"/>
      <c r="AZ31" s="977"/>
    </row>
    <row r="32" spans="1:52" ht="20.100000000000001" customHeight="1">
      <c r="A32" s="226" t="s">
        <v>1393</v>
      </c>
      <c r="B32" s="197"/>
      <c r="C32" s="197"/>
      <c r="D32" s="197"/>
      <c r="E32" s="197"/>
      <c r="F32" s="263"/>
      <c r="G32" s="263"/>
      <c r="H32" s="264"/>
      <c r="I32" s="264"/>
      <c r="J32" s="265">
        <f>SUM(J28:J31)</f>
        <v>227608.68651562839</v>
      </c>
      <c r="K32" s="41"/>
      <c r="L32" s="29"/>
      <c r="M32" s="968"/>
      <c r="N32" s="971"/>
      <c r="O32" s="971"/>
      <c r="P32" s="971"/>
      <c r="Q32" s="971"/>
      <c r="R32" s="971"/>
      <c r="S32" s="971"/>
      <c r="T32" s="971"/>
      <c r="U32" s="971"/>
      <c r="V32" s="971"/>
      <c r="W32" s="971"/>
      <c r="X32" s="971"/>
      <c r="Y32" s="971"/>
      <c r="Z32" s="971"/>
      <c r="AA32" s="971"/>
      <c r="AB32" s="971"/>
      <c r="AC32" s="971"/>
      <c r="AD32" s="971"/>
      <c r="AE32" s="971"/>
      <c r="AF32" s="1533"/>
      <c r="AG32" s="1479" t="s">
        <v>1545</v>
      </c>
      <c r="AH32" s="1479"/>
      <c r="AI32" s="1479"/>
      <c r="AJ32" s="1479"/>
      <c r="AK32" s="1479"/>
      <c r="AL32" s="1479"/>
      <c r="AM32" s="1479"/>
      <c r="AN32" s="1479"/>
      <c r="AO32" s="1479"/>
      <c r="AP32" s="1479"/>
      <c r="AQ32" s="1479"/>
      <c r="AR32" s="1479"/>
      <c r="AS32" s="1479"/>
      <c r="AT32" s="1479"/>
      <c r="AU32" s="1479"/>
      <c r="AV32" s="1479"/>
      <c r="AW32" s="1479"/>
      <c r="AX32" s="978"/>
      <c r="AY32" s="978"/>
      <c r="AZ32" s="977"/>
    </row>
    <row r="33" spans="1:87" ht="20.100000000000001" customHeight="1">
      <c r="A33" s="40"/>
      <c r="B33" s="34"/>
      <c r="C33" s="34"/>
      <c r="D33" s="34"/>
      <c r="E33" s="34"/>
      <c r="F33" s="34"/>
      <c r="G33" s="34"/>
      <c r="H33" s="34"/>
      <c r="I33" s="34"/>
      <c r="J33" s="34"/>
      <c r="K33" s="41"/>
      <c r="L33" s="29"/>
      <c r="M33" s="968"/>
      <c r="N33" s="971"/>
      <c r="O33" s="971"/>
      <c r="P33" s="971"/>
      <c r="Q33" s="971"/>
      <c r="R33" s="971"/>
      <c r="S33" s="971"/>
      <c r="T33" s="971"/>
      <c r="U33" s="971"/>
      <c r="V33" s="971"/>
      <c r="W33" s="971"/>
      <c r="X33" s="971"/>
      <c r="Y33" s="971"/>
      <c r="Z33" s="971"/>
      <c r="AA33" s="971"/>
      <c r="AB33" s="971"/>
      <c r="AC33" s="971"/>
      <c r="AD33" s="971"/>
      <c r="AE33" s="971"/>
      <c r="AF33" s="1534"/>
      <c r="AG33" s="1471" t="s">
        <v>1390</v>
      </c>
      <c r="AH33" s="1479"/>
      <c r="AI33" s="1479"/>
      <c r="AJ33" s="1479"/>
      <c r="AK33" s="1479"/>
      <c r="AL33" s="1479"/>
      <c r="AM33" s="1479"/>
      <c r="AN33" s="1479"/>
      <c r="AO33" s="1479"/>
      <c r="AP33" s="1479"/>
      <c r="AQ33" s="1479"/>
      <c r="AR33" s="1479"/>
      <c r="AS33" s="1479"/>
      <c r="AT33" s="1479"/>
      <c r="AU33" s="1479"/>
      <c r="AV33" s="1479"/>
      <c r="AW33" s="1479"/>
      <c r="AX33" s="978"/>
      <c r="AY33" s="978"/>
      <c r="AZ33" s="977"/>
    </row>
    <row r="34" spans="1:87" ht="20.100000000000001" customHeight="1">
      <c r="A34" s="242"/>
      <c r="B34" s="197"/>
      <c r="C34" s="197"/>
      <c r="D34" s="197"/>
      <c r="E34" s="197"/>
      <c r="F34" s="197"/>
      <c r="G34" s="197"/>
      <c r="H34" s="34"/>
      <c r="I34" s="34"/>
      <c r="J34" s="227"/>
      <c r="K34" s="41"/>
      <c r="L34" s="29"/>
      <c r="M34" s="968"/>
      <c r="N34" s="971"/>
      <c r="O34" s="971"/>
      <c r="P34" s="971"/>
      <c r="Q34" s="971"/>
      <c r="R34" s="971"/>
      <c r="S34" s="971"/>
      <c r="T34" s="971"/>
      <c r="U34" s="971"/>
      <c r="V34" s="971"/>
      <c r="W34" s="971"/>
      <c r="X34" s="971"/>
      <c r="Y34" s="971"/>
      <c r="Z34" s="971"/>
      <c r="AA34" s="971"/>
      <c r="AB34" s="971"/>
      <c r="AC34" s="971"/>
      <c r="AD34" s="971"/>
      <c r="AE34" s="971"/>
    </row>
    <row r="35" spans="1:87" ht="20.100000000000001" customHeight="1">
      <c r="A35" s="228" t="s">
        <v>1433</v>
      </c>
      <c r="B35" s="218"/>
      <c r="C35" s="218"/>
      <c r="D35" s="218"/>
      <c r="E35" s="218"/>
      <c r="F35" s="218"/>
      <c r="G35" s="218"/>
      <c r="H35" s="217"/>
      <c r="I35" s="217"/>
      <c r="J35" s="217"/>
      <c r="K35" s="229"/>
      <c r="L35" s="29"/>
      <c r="M35" s="968"/>
      <c r="N35" s="971"/>
      <c r="O35" s="971"/>
      <c r="P35" s="971"/>
      <c r="Q35" s="971"/>
      <c r="R35" s="971"/>
      <c r="S35" s="971"/>
      <c r="T35" s="971"/>
      <c r="U35" s="971"/>
      <c r="V35" s="971"/>
      <c r="W35" s="971"/>
      <c r="X35" s="971"/>
      <c r="Y35" s="971"/>
      <c r="Z35" s="971"/>
      <c r="AA35" s="971"/>
      <c r="AB35" s="971"/>
      <c r="AC35" s="971"/>
      <c r="AD35" s="971"/>
      <c r="AE35" s="971"/>
      <c r="AF35" s="271" t="s">
        <v>1400</v>
      </c>
      <c r="BP35" s="17" t="s">
        <v>1628</v>
      </c>
      <c r="BQ35" s="17"/>
    </row>
    <row r="36" spans="1:87" ht="20.100000000000001" customHeight="1" thickBot="1">
      <c r="A36" s="241" t="s">
        <v>1432</v>
      </c>
      <c r="B36" s="220" t="s">
        <v>933</v>
      </c>
      <c r="C36" s="220" t="s">
        <v>1220</v>
      </c>
      <c r="D36" s="220" t="s">
        <v>1221</v>
      </c>
      <c r="E36" s="220" t="s">
        <v>1222</v>
      </c>
      <c r="F36" s="220" t="s">
        <v>1223</v>
      </c>
      <c r="G36" s="220" t="s">
        <v>1224</v>
      </c>
      <c r="H36" s="220" t="s">
        <v>1225</v>
      </c>
      <c r="I36" s="220" t="s">
        <v>1226</v>
      </c>
      <c r="J36" s="220" t="s">
        <v>170</v>
      </c>
      <c r="K36" s="41"/>
      <c r="L36" s="29"/>
      <c r="M36" s="968"/>
      <c r="N36" s="971"/>
      <c r="O36" s="971"/>
      <c r="P36" s="971"/>
      <c r="Q36" s="971"/>
      <c r="R36" s="971"/>
      <c r="S36" s="971"/>
      <c r="T36" s="971"/>
      <c r="U36" s="971"/>
      <c r="V36" s="971"/>
      <c r="W36" s="971"/>
      <c r="X36" s="971"/>
      <c r="Y36" s="971"/>
      <c r="Z36" s="971"/>
      <c r="AA36" s="971"/>
      <c r="AB36" s="971"/>
      <c r="AC36" s="971"/>
      <c r="AD36" s="971"/>
      <c r="AE36" s="971"/>
      <c r="AF36" s="488" t="s">
        <v>1356</v>
      </c>
      <c r="AG36" s="1510" t="s">
        <v>1355</v>
      </c>
      <c r="AH36" s="1511"/>
      <c r="AI36" s="1511"/>
      <c r="AJ36" s="1512"/>
      <c r="AK36" s="489">
        <v>2021</v>
      </c>
      <c r="AL36" s="489">
        <f>AK36+1</f>
        <v>2022</v>
      </c>
      <c r="AM36" s="489">
        <f t="shared" ref="AM36:BN36" si="4">AL36+1</f>
        <v>2023</v>
      </c>
      <c r="AN36" s="489">
        <f t="shared" si="4"/>
        <v>2024</v>
      </c>
      <c r="AO36" s="489">
        <f t="shared" si="4"/>
        <v>2025</v>
      </c>
      <c r="AP36" s="489">
        <f t="shared" si="4"/>
        <v>2026</v>
      </c>
      <c r="AQ36" s="489">
        <f t="shared" si="4"/>
        <v>2027</v>
      </c>
      <c r="AR36" s="489">
        <f t="shared" si="4"/>
        <v>2028</v>
      </c>
      <c r="AS36" s="489">
        <f t="shared" si="4"/>
        <v>2029</v>
      </c>
      <c r="AT36" s="489">
        <f t="shared" si="4"/>
        <v>2030</v>
      </c>
      <c r="AU36" s="489">
        <f t="shared" si="4"/>
        <v>2031</v>
      </c>
      <c r="AV36" s="489">
        <f t="shared" si="4"/>
        <v>2032</v>
      </c>
      <c r="AW36" s="489">
        <f t="shared" si="4"/>
        <v>2033</v>
      </c>
      <c r="AX36" s="489">
        <f t="shared" si="4"/>
        <v>2034</v>
      </c>
      <c r="AY36" s="489">
        <f t="shared" si="4"/>
        <v>2035</v>
      </c>
      <c r="AZ36" s="489">
        <f t="shared" si="4"/>
        <v>2036</v>
      </c>
      <c r="BA36" s="489">
        <f t="shared" si="4"/>
        <v>2037</v>
      </c>
      <c r="BB36" s="489">
        <f t="shared" si="4"/>
        <v>2038</v>
      </c>
      <c r="BC36" s="489">
        <f t="shared" si="4"/>
        <v>2039</v>
      </c>
      <c r="BD36" s="489">
        <f t="shared" si="4"/>
        <v>2040</v>
      </c>
      <c r="BE36" s="489">
        <f t="shared" si="4"/>
        <v>2041</v>
      </c>
      <c r="BF36" s="489">
        <f t="shared" si="4"/>
        <v>2042</v>
      </c>
      <c r="BG36" s="489">
        <f t="shared" si="4"/>
        <v>2043</v>
      </c>
      <c r="BH36" s="489">
        <f t="shared" si="4"/>
        <v>2044</v>
      </c>
      <c r="BI36" s="489">
        <f t="shared" si="4"/>
        <v>2045</v>
      </c>
      <c r="BJ36" s="489">
        <f t="shared" si="4"/>
        <v>2046</v>
      </c>
      <c r="BK36" s="489">
        <f t="shared" si="4"/>
        <v>2047</v>
      </c>
      <c r="BL36" s="489">
        <f t="shared" si="4"/>
        <v>2048</v>
      </c>
      <c r="BM36" s="489">
        <f t="shared" si="4"/>
        <v>2049</v>
      </c>
      <c r="BN36" s="489">
        <f t="shared" si="4"/>
        <v>2050</v>
      </c>
      <c r="BP36" s="522"/>
      <c r="BQ36" s="523" t="s">
        <v>1591</v>
      </c>
    </row>
    <row r="37" spans="1:87" ht="20.100000000000001" customHeight="1">
      <c r="A37" s="241" t="s">
        <v>1228</v>
      </c>
      <c r="B37" s="262">
        <f>INDEX($AL$143:$BN$150,1,START!$C$2)</f>
        <v>0</v>
      </c>
      <c r="C37" s="262">
        <f>INDEX($AL$143:$BN$150,1,START!$C$2)</f>
        <v>0</v>
      </c>
      <c r="D37" s="262">
        <f>INDEX($AL$143:$BN$150,1,START!$C$2)</f>
        <v>0</v>
      </c>
      <c r="E37" s="262">
        <f>INDEX($AL$143:$BN$150,1,START!$C$2)</f>
        <v>0</v>
      </c>
      <c r="F37" s="262">
        <f>INDEX($AL$143:$BN$150,1,START!$C$2)</f>
        <v>0</v>
      </c>
      <c r="G37" s="262">
        <f>INDEX($AL$143:$BN$150,1,START!$C$2)</f>
        <v>0</v>
      </c>
      <c r="H37" s="262">
        <f>INDEX($AL$143:$BN$150,1,START!$C$2)</f>
        <v>0</v>
      </c>
      <c r="I37" s="262">
        <f>INDEX($AL$143:$BN$150,1,START!$C$2)</f>
        <v>0</v>
      </c>
      <c r="J37" s="262">
        <f>INDEX($AL$143:$BN$150,1,START!$C$2)</f>
        <v>0</v>
      </c>
      <c r="K37" s="41"/>
      <c r="L37" s="29"/>
      <c r="M37" s="968"/>
      <c r="N37" s="971"/>
      <c r="O37" s="971"/>
      <c r="P37" s="971"/>
      <c r="Q37" s="971"/>
      <c r="R37" s="971"/>
      <c r="S37" s="971"/>
      <c r="T37" s="971"/>
      <c r="U37" s="971"/>
      <c r="V37" s="971"/>
      <c r="W37" s="971"/>
      <c r="X37" s="971"/>
      <c r="Y37" s="971"/>
      <c r="Z37" s="971"/>
      <c r="AA37" s="971"/>
      <c r="AB37" s="971"/>
      <c r="AC37" s="971"/>
      <c r="AD37" s="971"/>
      <c r="AE37" s="971"/>
      <c r="AF37" s="1491" t="s">
        <v>1216</v>
      </c>
      <c r="AG37" s="1429" t="s">
        <v>1377</v>
      </c>
      <c r="AH37" s="1430"/>
      <c r="AI37" s="1430"/>
      <c r="AJ37" s="1516"/>
      <c r="AK37" s="490">
        <v>0</v>
      </c>
      <c r="AL37" s="330">
        <f>IF((AL$36-2021)=START!$C$2,BUILDINGS!$B7,ROUND(BUILDINGS!AK37-(INDEX('DEFAULT DATA'!$VL$9:$VN$41,START!$C$3,1)/100*(AK37+AK38+AK39)),0))</f>
        <v>0</v>
      </c>
      <c r="AM37" s="330">
        <f>IF((AM$36-2021)=START!$C$2,BUILDINGS!$B7,ROUND(BUILDINGS!AL37-(INDEX('DEFAULT DATA'!$VL$9:$VN$41,START!$C$3,1)/100*(AL37+AL38+AL39)),0))</f>
        <v>4442</v>
      </c>
      <c r="AN37" s="330">
        <f>IF((AN$36-2021)=START!$C$2,BUILDINGS!$B7,ROUND(BUILDINGS!AM37-(INDEX('DEFAULT DATA'!$VL$9:$VN$41,START!$C$3,1)/100*(AM37+AM38+AM39)),0))</f>
        <v>4442</v>
      </c>
      <c r="AO37" s="330">
        <f>IF((AO$36-2021)=START!$C$2,BUILDINGS!$B7,ROUND(BUILDINGS!AN37-(INDEX('DEFAULT DATA'!$VL$9:$VN$41,START!$C$3,1)/100*(AN37+AN38+AN39)),0))</f>
        <v>4442</v>
      </c>
      <c r="AP37" s="330">
        <f>IF((AP$36-2021)=START!$C$2,BUILDINGS!$B7,ROUND(BUILDINGS!AO37-(INDEX('DEFAULT DATA'!$VL$9:$VN$41,START!$C$3,1)/100*(AO37+AO38+AO39)),0))</f>
        <v>4442</v>
      </c>
      <c r="AQ37" s="330">
        <f>IF((AQ$36-2021)=START!$C$2,BUILDINGS!$B7,ROUND(BUILDINGS!AP37-(INDEX('DEFAULT DATA'!$VL$9:$VN$41,START!$C$3,1)/100*(AP37+AP38+AP39)),0))</f>
        <v>4442</v>
      </c>
      <c r="AR37" s="330">
        <f>IF((AR$36-2021)=START!$C$2,BUILDINGS!$B7,ROUND(BUILDINGS!AQ37-(INDEX('DEFAULT DATA'!$VL$9:$VN$41,START!$C$3,1)/100*(AQ37+AQ38+AQ39)),0))</f>
        <v>4442</v>
      </c>
      <c r="AS37" s="330">
        <f>IF((AS$36-2021)=START!$C$2,BUILDINGS!$B7,ROUND(BUILDINGS!AR37-(INDEX('DEFAULT DATA'!$VL$9:$VN$41,START!$C$3,1)/100*(AR37+AR38+AR39)),0))</f>
        <v>4442</v>
      </c>
      <c r="AT37" s="330">
        <f>IF((AT$36-2021)=START!$C$2,BUILDINGS!$B7,ROUND(BUILDINGS!AS37-(INDEX('DEFAULT DATA'!$VL$9:$VN$41,START!$C$3,1)/100*(AS37+AS38+AS39)),0))</f>
        <v>4442</v>
      </c>
      <c r="AU37" s="330">
        <f>IF((AU$36-2021)=START!$C$2,BUILDINGS!$B7,ROUND(BUILDINGS!AT37-(INDEX('DEFAULT DATA'!$VL$9:$VN$41,START!$C$3,2)/100*(AT37+AT38+AT39)),0))</f>
        <v>4442</v>
      </c>
      <c r="AV37" s="330">
        <f>IF((AV$36-2021)=START!$C$2,BUILDINGS!$B7,ROUND(BUILDINGS!AU37-(INDEX('DEFAULT DATA'!$VL$9:$VN$41,START!$C$3,2)/100*(AU37+AU38+AU39)),0))</f>
        <v>4442</v>
      </c>
      <c r="AW37" s="330">
        <f>IF((AW$36-2021)=START!$C$2,BUILDINGS!$B7,ROUND(BUILDINGS!AV37-(INDEX('DEFAULT DATA'!$VL$9:$VN$41,START!$C$3,2)/100*(AV37+AV38+AV39)),0))</f>
        <v>4442</v>
      </c>
      <c r="AX37" s="330">
        <f>IF((AX$36-2021)=START!$C$2,BUILDINGS!$B7,ROUND(BUILDINGS!AW37-(INDEX('DEFAULT DATA'!$VL$9:$VN$41,START!$C$3,2)/100*(AW37+AW38+AW39)),0))</f>
        <v>4442</v>
      </c>
      <c r="AY37" s="330">
        <f>IF((AY$36-2021)=START!$C$2,BUILDINGS!$B7,ROUND(BUILDINGS!AX37-(INDEX('DEFAULT DATA'!$VL$9:$VN$41,START!$C$3,2)/100*(AX37+AX38+AX39)),0))</f>
        <v>4442</v>
      </c>
      <c r="AZ37" s="330">
        <f>IF((AZ$36-2021)=START!$C$2,BUILDINGS!$B7,ROUND(BUILDINGS!AY37-(INDEX('DEFAULT DATA'!$VL$9:$VN$41,START!$C$3,2)/100*(AY37+AY38+AY39)),0))</f>
        <v>4442</v>
      </c>
      <c r="BA37" s="330">
        <f>IF((BA$36-2021)=START!$C$2,BUILDINGS!$B7,ROUND(BUILDINGS!AZ37-(INDEX('DEFAULT DATA'!$VL$9:$VN$41,START!$C$3,2)/100*(AZ37+AZ38+AZ39)),0))</f>
        <v>4442</v>
      </c>
      <c r="BB37" s="330">
        <f>IF((BB$36-2021)=START!$C$2,BUILDINGS!$B7,ROUND(BUILDINGS!BA37-(INDEX('DEFAULT DATA'!$VL$9:$VN$41,START!$C$3,2)/100*(BA37+BA38+BA39)),0))</f>
        <v>4442</v>
      </c>
      <c r="BC37" s="330">
        <f>IF((BC$36-2021)=START!$C$2,BUILDINGS!$B7,ROUND(BUILDINGS!BB37-(INDEX('DEFAULT DATA'!$VL$9:$VN$41,START!$C$3,2)/100*(BB37+BB38+BB39)),0))</f>
        <v>4442</v>
      </c>
      <c r="BD37" s="330">
        <f>IF((BD$36-2021)=START!$C$2,BUILDINGS!$B7,ROUND(BUILDINGS!BC37-(INDEX('DEFAULT DATA'!$VL$9:$VN$41,START!$C$3,2)/100*(BC37+BC38+BC39)),0))</f>
        <v>4442</v>
      </c>
      <c r="BE37" s="330">
        <f>IF((BE$36-2021)=START!$C$2,BUILDINGS!$B7,ROUND(BUILDINGS!BD37-(INDEX('DEFAULT DATA'!$VL$9:$VN$41,START!$C$3,3)/100*(BD37+BD38+BD39)),0))</f>
        <v>4442</v>
      </c>
      <c r="BF37" s="330">
        <f>IF((BF$36-2021)=START!$C$2,BUILDINGS!$B7,ROUND(BUILDINGS!BE37-(INDEX('DEFAULT DATA'!$VL$9:$VN$41,START!$C$3,3)/100*(BE37+BE38+BE39)),0))</f>
        <v>4442</v>
      </c>
      <c r="BG37" s="330">
        <f>IF((BG$36-2021)=START!$C$2,BUILDINGS!$B7,ROUND(BUILDINGS!BF37-(INDEX('DEFAULT DATA'!$VL$9:$VN$41,START!$C$3,3)/100*(BF37+BF38+BF39)),0))</f>
        <v>4442</v>
      </c>
      <c r="BH37" s="330">
        <f>IF((BH$36-2021)=START!$C$2,BUILDINGS!$B7,ROUND(BUILDINGS!BG37-(INDEX('DEFAULT DATA'!$VL$9:$VN$41,START!$C$3,3)/100*(BG37+BG38+BG39)),0))</f>
        <v>4442</v>
      </c>
      <c r="BI37" s="330">
        <f>IF((BI$36-2021)=START!$C$2,BUILDINGS!$B7,ROUND(BUILDINGS!BH37-(INDEX('DEFAULT DATA'!$VL$9:$VN$41,START!$C$3,3)/100*(BH37+BH38+BH39)),0))</f>
        <v>4442</v>
      </c>
      <c r="BJ37" s="330">
        <f>IF((BJ$36-2021)=START!$C$2,BUILDINGS!$B7,ROUND(BUILDINGS!BI37-(INDEX('DEFAULT DATA'!$VL$9:$VN$41,START!$C$3,3)/100*(BI37+BI38+BI39)),0))</f>
        <v>4442</v>
      </c>
      <c r="BK37" s="330">
        <f>IF((BK$36-2021)=START!$C$2,BUILDINGS!$B7,ROUND(BUILDINGS!BJ37-(INDEX('DEFAULT DATA'!$VL$9:$VN$41,START!$C$3,3)/100*(BJ37+BJ38+BJ39)),0))</f>
        <v>4442</v>
      </c>
      <c r="BL37" s="330">
        <f>IF((BL$36-2021)=START!$C$2,BUILDINGS!$B7,ROUND(BUILDINGS!BK37-(INDEX('DEFAULT DATA'!$VL$9:$VN$41,START!$C$3,3)/100*(BK37+BK38+BK39)),0))</f>
        <v>4442</v>
      </c>
      <c r="BM37" s="330">
        <f>IF((BM$36-2021)=START!$C$2,BUILDINGS!$B7,ROUND(BUILDINGS!BL37-(INDEX('DEFAULT DATA'!$VL$9:$VN$41,START!$C$3,3)/100*(BL37+BL38+BL39)),0))</f>
        <v>4442</v>
      </c>
      <c r="BN37" s="331">
        <f>IF((BN$36-2021)=START!$C$2,BUILDINGS!$B7,ROUND(BUILDINGS!BM37-(INDEX('DEFAULT DATA'!$VL$9:$VN$41,START!$C$3,3)/100*(BM37+BM38+BM39)),0))</f>
        <v>4442</v>
      </c>
      <c r="BP37" s="524" t="s">
        <v>1708</v>
      </c>
      <c r="BQ37" s="521"/>
    </row>
    <row r="38" spans="1:87" ht="20.100000000000001" customHeight="1">
      <c r="A38" s="241" t="s">
        <v>1229</v>
      </c>
      <c r="B38" s="262">
        <f>INDEX($AL$156:$BN$163,1,START!$C$2)</f>
        <v>0</v>
      </c>
      <c r="C38" s="262">
        <f>INDEX($AL$156:$BN$163,1,START!$C$2)</f>
        <v>0</v>
      </c>
      <c r="D38" s="262">
        <f>INDEX($AL$156:$BN$163,1,START!$C$2)</f>
        <v>0</v>
      </c>
      <c r="E38" s="262">
        <f>INDEX($AL$156:$BN$163,1,START!$C$2)</f>
        <v>0</v>
      </c>
      <c r="F38" s="262">
        <f>INDEX($AL$156:$BN$163,1,START!$C$2)</f>
        <v>0</v>
      </c>
      <c r="G38" s="262">
        <f>INDEX($AL$156:$BN$163,1,START!$C$2)</f>
        <v>0</v>
      </c>
      <c r="H38" s="262">
        <f>INDEX($AL$156:$BN$163,1,START!$C$2)</f>
        <v>0</v>
      </c>
      <c r="I38" s="262">
        <f>INDEX($AL$156:$BN$163,1,START!$C$2)</f>
        <v>0</v>
      </c>
      <c r="J38" s="262">
        <f t="shared" ref="J38:J41" si="5">SUM(B38:I38)</f>
        <v>0</v>
      </c>
      <c r="K38" s="41"/>
      <c r="L38" s="29"/>
      <c r="M38" s="968"/>
      <c r="N38" s="971"/>
      <c r="O38" s="971"/>
      <c r="P38" s="971"/>
      <c r="Q38" s="971"/>
      <c r="R38" s="971"/>
      <c r="S38" s="971"/>
      <c r="T38" s="971"/>
      <c r="U38" s="971"/>
      <c r="V38" s="971"/>
      <c r="W38" s="971"/>
      <c r="X38" s="971"/>
      <c r="Y38" s="971"/>
      <c r="Z38" s="971"/>
      <c r="AA38" s="971"/>
      <c r="AB38" s="971"/>
      <c r="AC38" s="971"/>
      <c r="AD38" s="971"/>
      <c r="AE38" s="971"/>
      <c r="AF38" s="1492"/>
      <c r="AG38" s="1513" t="s">
        <v>1379</v>
      </c>
      <c r="AH38" s="1514"/>
      <c r="AI38" s="1514"/>
      <c r="AJ38" s="1515"/>
      <c r="AK38" s="491">
        <v>0</v>
      </c>
      <c r="AL38" s="262">
        <f>IF((AL$36-2021)=START!$C$2,0,BUILDINGS!AK38+ROUND((INDEX('DEFAULT DATA'!$VR$9:$VT$41,START!$C$3,1)/100*(AK37+AK38+AK39)),0))</f>
        <v>0</v>
      </c>
      <c r="AM38" s="262">
        <f>IF((AM$36-2021)=START!$C$2,0,BUILDINGS!AL38+ROUND((INDEX('DEFAULT DATA'!$VR$9:$VT$41,START!$C$3,1)/100*(AL37+AL38+AL39)),0))</f>
        <v>0</v>
      </c>
      <c r="AN38" s="262">
        <f>IF((AN$36-2021)=START!$C$2,0,BUILDINGS!AM38+ROUND((INDEX('DEFAULT DATA'!$VR$9:$VT$41,START!$C$3,1)/100*(AM37+AM38+AM39)),0))</f>
        <v>0</v>
      </c>
      <c r="AO38" s="262">
        <f>IF((AO$36-2021)=START!$C$2,0,BUILDINGS!AN38+ROUND((INDEX('DEFAULT DATA'!$VR$9:$VT$41,START!$C$3,1)/100*(AN37+AN38+AN39)),0))</f>
        <v>0</v>
      </c>
      <c r="AP38" s="262">
        <f>IF((AP$36-2021)=START!$C$2,0,BUILDINGS!AO38+ROUND((INDEX('DEFAULT DATA'!$VR$9:$VT$41,START!$C$3,1)/100*(AO37+AO38+AO39)),0))</f>
        <v>0</v>
      </c>
      <c r="AQ38" s="262">
        <f>IF((AQ$36-2021)=START!$C$2,0,BUILDINGS!AP38+ROUND((INDEX('DEFAULT DATA'!$VR$9:$VT$41,START!$C$3,1)/100*(AP37+AP38+AP39)),0))</f>
        <v>0</v>
      </c>
      <c r="AR38" s="262">
        <f>IF((AR$36-2021)=START!$C$2,0,BUILDINGS!AQ38+ROUND((INDEX('DEFAULT DATA'!$VR$9:$VT$41,START!$C$3,1)/100*(AQ37+AQ38+AQ39)),0))</f>
        <v>0</v>
      </c>
      <c r="AS38" s="262">
        <f>IF((AS$36-2021)=START!$C$2,0,BUILDINGS!AR38+ROUND((INDEX('DEFAULT DATA'!$VR$9:$VT$41,START!$C$3,1)/100*(AR37+AR38+AR39)),0))</f>
        <v>0</v>
      </c>
      <c r="AT38" s="262">
        <f>IF((AT$36-2021)=START!$C$2,0,BUILDINGS!AS38+ROUND((INDEX('DEFAULT DATA'!$VR$9:$VT$41,START!$C$3,1)/100*(AS37+AS38+AS39)),0))</f>
        <v>0</v>
      </c>
      <c r="AU38" s="262">
        <f>IF((AU$36-2021)=START!$C$2,0,BUILDINGS!AT38+ROUND((INDEX('DEFAULT DATA'!$VR$9:$VT$41,START!$C$3,2)/100*(AT37+AT38+AT39)),0))</f>
        <v>0</v>
      </c>
      <c r="AV38" s="262">
        <f>IF((AV$36-2021)=START!$C$2,0,BUILDINGS!AU38+ROUND((INDEX('DEFAULT DATA'!$VR$9:$VT$41,START!$C$3,2)/100*(AU37+AU38+AU39)),0))</f>
        <v>0</v>
      </c>
      <c r="AW38" s="262">
        <f>IF((AW$36-2021)=START!$C$2,0,BUILDINGS!AV38+ROUND((INDEX('DEFAULT DATA'!$VR$9:$VT$41,START!$C$3,2)/100*(AV37+AV38+AV39)),0))</f>
        <v>0</v>
      </c>
      <c r="AX38" s="262">
        <f>IF((AX$36-2021)=START!$C$2,0,BUILDINGS!AW38+ROUND((INDEX('DEFAULT DATA'!$VR$9:$VT$41,START!$C$3,2)/100*(AW37+AW38+AW39)),0))</f>
        <v>0</v>
      </c>
      <c r="AY38" s="262">
        <f>IF((AY$36-2021)=START!$C$2,0,BUILDINGS!AX38+ROUND((INDEX('DEFAULT DATA'!$VR$9:$VT$41,START!$C$3,2)/100*(AX37+AX38+AX39)),0))</f>
        <v>0</v>
      </c>
      <c r="AZ38" s="262">
        <f>IF((AZ$36-2021)=START!$C$2,0,BUILDINGS!AY38+ROUND((INDEX('DEFAULT DATA'!$VR$9:$VT$41,START!$C$3,2)/100*(AY37+AY38+AY39)),0))</f>
        <v>0</v>
      </c>
      <c r="BA38" s="262">
        <f>IF((BA$36-2021)=START!$C$2,0,BUILDINGS!AZ38+ROUND((INDEX('DEFAULT DATA'!$VR$9:$VT$41,START!$C$3,2)/100*(AZ37+AZ38+AZ39)),0))</f>
        <v>0</v>
      </c>
      <c r="BB38" s="262">
        <f>IF((BB$36-2021)=START!$C$2,0,BUILDINGS!BA38+ROUND((INDEX('DEFAULT DATA'!$VR$9:$VT$41,START!$C$3,2)/100*(BA37+BA38+BA39)),0))</f>
        <v>0</v>
      </c>
      <c r="BC38" s="262">
        <f>IF((BC$36-2021)=START!$C$2,0,BUILDINGS!BB38+ROUND((INDEX('DEFAULT DATA'!$VR$9:$VT$41,START!$C$3,2)/100*(BB37+BB38+BB39)),0))</f>
        <v>0</v>
      </c>
      <c r="BD38" s="262">
        <f>IF((BD$36-2021)=START!$C$2,0,BUILDINGS!BC38+ROUND((INDEX('DEFAULT DATA'!$VR$9:$VT$41,START!$C$3,2)/100*(BC37+BC38+BC39)),0))</f>
        <v>0</v>
      </c>
      <c r="BE38" s="262">
        <f>IF((BE$36-2021)=START!$C$2,0,BUILDINGS!BD38+ROUND((INDEX('DEFAULT DATA'!$VR$9:$VT$41,START!$C$3,3)/100*(BD37+BD38+BD39)),0))</f>
        <v>0</v>
      </c>
      <c r="BF38" s="262">
        <f>IF((BF$36-2021)=START!$C$2,0,BUILDINGS!BE38+ROUND((INDEX('DEFAULT DATA'!$VR$9:$VT$41,START!$C$3,3)/100*(BE37+BE38+BE39)),0))</f>
        <v>0</v>
      </c>
      <c r="BG38" s="262">
        <f>IF((BG$36-2021)=START!$C$2,0,BUILDINGS!BF38+ROUND((INDEX('DEFAULT DATA'!$VR$9:$VT$41,START!$C$3,3)/100*(BF37+BF38+BF39)),0))</f>
        <v>0</v>
      </c>
      <c r="BH38" s="262">
        <f>IF((BH$36-2021)=START!$C$2,0,BUILDINGS!BG38+ROUND((INDEX('DEFAULT DATA'!$VR$9:$VT$41,START!$C$3,3)/100*(BG37+BG38+BG39)),0))</f>
        <v>0</v>
      </c>
      <c r="BI38" s="262">
        <f>IF((BI$36-2021)=START!$C$2,0,BUILDINGS!BH38+ROUND((INDEX('DEFAULT DATA'!$VR$9:$VT$41,START!$C$3,3)/100*(BH37+BH38+BH39)),0))</f>
        <v>0</v>
      </c>
      <c r="BJ38" s="262">
        <f>IF((BJ$36-2021)=START!$C$2,0,BUILDINGS!BI38+ROUND((INDEX('DEFAULT DATA'!$VR$9:$VT$41,START!$C$3,3)/100*(BI37+BI38+BI39)),0))</f>
        <v>0</v>
      </c>
      <c r="BK38" s="262">
        <f>IF((BK$36-2021)=START!$C$2,0,BUILDINGS!BJ38+ROUND((INDEX('DEFAULT DATA'!$VR$9:$VT$41,START!$C$3,3)/100*(BJ37+BJ38+BJ39)),0))</f>
        <v>0</v>
      </c>
      <c r="BL38" s="262">
        <f>IF((BL$36-2021)=START!$C$2,0,BUILDINGS!BK38+ROUND((INDEX('DEFAULT DATA'!$VR$9:$VT$41,START!$C$3,3)/100*(BK37+BK38+BK39)),0))</f>
        <v>0</v>
      </c>
      <c r="BM38" s="262">
        <f>IF((BM$36-2021)=START!$C$2,0,BUILDINGS!BL38+ROUND((INDEX('DEFAULT DATA'!$VR$9:$VT$41,START!$C$3,3)/100*(BL37+BL38+BL39)),0))</f>
        <v>0</v>
      </c>
      <c r="BN38" s="492">
        <f>IF((BN$36-2021)=START!$C$2,0,BUILDINGS!BM38+ROUND((INDEX('DEFAULT DATA'!$VR$9:$VT$41,START!$C$3,3)/100*(BM37+BM38+BM39)),0))</f>
        <v>0</v>
      </c>
      <c r="BP38" s="524" t="s">
        <v>1709</v>
      </c>
      <c r="BQ38" s="521"/>
    </row>
    <row r="39" spans="1:87" ht="20.100000000000001" customHeight="1" thickBot="1">
      <c r="A39" s="241" t="s">
        <v>1230</v>
      </c>
      <c r="B39" s="262">
        <f>INDEX($AL$169:$BN$176,1,START!$C$2)</f>
        <v>0</v>
      </c>
      <c r="C39" s="262">
        <f>INDEX($AL$169:$BN$176,1,START!$C$2)</f>
        <v>0</v>
      </c>
      <c r="D39" s="262">
        <f>INDEX($AL$169:$BN$176,1,START!$C$2)</f>
        <v>0</v>
      </c>
      <c r="E39" s="262">
        <f>INDEX($AL$169:$BN$176,1,START!$C$2)</f>
        <v>0</v>
      </c>
      <c r="F39" s="262">
        <f>INDEX($AL$169:$BN$176,1,START!$C$2)</f>
        <v>0</v>
      </c>
      <c r="G39" s="262">
        <f>INDEX($AL$169:$BN$176,1,START!$C$2)</f>
        <v>0</v>
      </c>
      <c r="H39" s="262">
        <f>INDEX($AL$169:$BN$176,1,START!$C$2)</f>
        <v>0</v>
      </c>
      <c r="I39" s="262">
        <f>INDEX($AL$169:$BN$176,1,START!$C$2)</f>
        <v>0</v>
      </c>
      <c r="J39" s="262">
        <f t="shared" si="5"/>
        <v>0</v>
      </c>
      <c r="K39" s="41"/>
      <c r="L39" s="29"/>
      <c r="M39" s="968"/>
      <c r="N39" s="971"/>
      <c r="O39" s="971"/>
      <c r="P39" s="971"/>
      <c r="Q39" s="971"/>
      <c r="R39" s="971"/>
      <c r="S39" s="971"/>
      <c r="T39" s="971"/>
      <c r="U39" s="971"/>
      <c r="V39" s="971"/>
      <c r="W39" s="971"/>
      <c r="X39" s="971"/>
      <c r="Y39" s="971"/>
      <c r="Z39" s="971"/>
      <c r="AA39" s="971"/>
      <c r="AB39" s="971"/>
      <c r="AC39" s="971"/>
      <c r="AD39" s="971"/>
      <c r="AE39" s="971"/>
      <c r="AF39" s="1493"/>
      <c r="AG39" s="1477" t="s">
        <v>1378</v>
      </c>
      <c r="AH39" s="1527"/>
      <c r="AI39" s="1527"/>
      <c r="AJ39" s="1478"/>
      <c r="AK39" s="493">
        <v>0</v>
      </c>
      <c r="AL39" s="335">
        <f>IF((AL$36-2021)=START!$C$2,0,BUILDINGS!AK39+ROUND((INDEX('DEFAULT DATA'!$VU$9:$VW$41,START!$C$3,1)/100*(AK37+AK38+AK39)),0))</f>
        <v>0</v>
      </c>
      <c r="AM39" s="335">
        <f>IF((AM$36-2021)=START!$C$2,0,BUILDINGS!AL39+ROUND((INDEX('DEFAULT DATA'!$VU$9:$VW$41,START!$C$3,1)/100*(AL37+AL38+AL39)),0))</f>
        <v>0</v>
      </c>
      <c r="AN39" s="335">
        <f>IF((AN$36-2021)=START!$C$2,0,BUILDINGS!AM39+ROUND((INDEX('DEFAULT DATA'!$VU$9:$VW$41,START!$C$3,1)/100*(AM37+AM38+AM39)),0))</f>
        <v>0</v>
      </c>
      <c r="AO39" s="335">
        <f>IF((AO$36-2021)=START!$C$2,0,BUILDINGS!AN39+ROUND((INDEX('DEFAULT DATA'!$VU$9:$VW$41,START!$C$3,1)/100*(AN37+AN38+AN39)),0))</f>
        <v>0</v>
      </c>
      <c r="AP39" s="335">
        <f>IF((AP$36-2021)=START!$C$2,0,BUILDINGS!AO39+ROUND((INDEX('DEFAULT DATA'!$VU$9:$VW$41,START!$C$3,1)/100*(AO37+AO38+AO39)),0))</f>
        <v>0</v>
      </c>
      <c r="AQ39" s="335">
        <f>IF((AQ$36-2021)=START!$C$2,0,BUILDINGS!AP39+ROUND((INDEX('DEFAULT DATA'!$VU$9:$VW$41,START!$C$3,1)/100*(AP37+AP38+AP39)),0))</f>
        <v>0</v>
      </c>
      <c r="AR39" s="335">
        <f>IF((AR$36-2021)=START!$C$2,0,BUILDINGS!AQ39+ROUND((INDEX('DEFAULT DATA'!$VU$9:$VW$41,START!$C$3,1)/100*(AQ37+AQ38+AQ39)),0))</f>
        <v>0</v>
      </c>
      <c r="AS39" s="335">
        <f>IF((AS$36-2021)=START!$C$2,0,BUILDINGS!AR39+ROUND((INDEX('DEFAULT DATA'!$VU$9:$VW$41,START!$C$3,1)/100*(AR37+AR38+AR39)),0))</f>
        <v>0</v>
      </c>
      <c r="AT39" s="335">
        <f>IF((AT$36-2021)=START!$C$2,0,BUILDINGS!AS39+ROUND((INDEX('DEFAULT DATA'!$VU$9:$VW$41,START!$C$3,1)/100*(AS37+AS38+AS39)),0))</f>
        <v>0</v>
      </c>
      <c r="AU39" s="335">
        <f>IF((AU$36-2021)=START!$C$2,0,BUILDINGS!AT39+ROUND((INDEX('DEFAULT DATA'!$VU$9:$VW$41,START!$C$3,2)/100*(AT37+AT38+AT39)),0))</f>
        <v>0</v>
      </c>
      <c r="AV39" s="335">
        <f>IF((AV$36-2021)=START!$C$2,0,BUILDINGS!AU39+ROUND((INDEX('DEFAULT DATA'!$VU$9:$VW$41,START!$C$3,2)/100*(AU37+AU38+AU39)),0))</f>
        <v>0</v>
      </c>
      <c r="AW39" s="335">
        <f>IF((AW$36-2021)=START!$C$2,0,BUILDINGS!AV39+ROUND((INDEX('DEFAULT DATA'!$VU$9:$VW$41,START!$C$3,2)/100*(AV37+AV38+AV39)),0))</f>
        <v>0</v>
      </c>
      <c r="AX39" s="335">
        <f>IF((AX$36-2021)=START!$C$2,0,BUILDINGS!AW39+ROUND((INDEX('DEFAULT DATA'!$VU$9:$VW$41,START!$C$3,2)/100*(AW37+AW38+AW39)),0))</f>
        <v>0</v>
      </c>
      <c r="AY39" s="335">
        <f>IF((AY$36-2021)=START!$C$2,0,BUILDINGS!AX39+ROUND((INDEX('DEFAULT DATA'!$VU$9:$VW$41,START!$C$3,2)/100*(AX37+AX38+AX39)),0))</f>
        <v>0</v>
      </c>
      <c r="AZ39" s="335">
        <f>IF((AZ$36-2021)=START!$C$2,0,BUILDINGS!AY39+ROUND((INDEX('DEFAULT DATA'!$VU$9:$VW$41,START!$C$3,2)/100*(AY37+AY38+AY39)),0))</f>
        <v>0</v>
      </c>
      <c r="BA39" s="335">
        <f>IF((BA$36-2021)=START!$C$2,0,BUILDINGS!AZ39+ROUND((INDEX('DEFAULT DATA'!$VU$9:$VW$41,START!$C$3,2)/100*(AZ37+AZ38+AZ39)),0))</f>
        <v>0</v>
      </c>
      <c r="BB39" s="335">
        <f>IF((BB$36-2021)=START!$C$2,0,BUILDINGS!BA39+ROUND((INDEX('DEFAULT DATA'!$VU$9:$VW$41,START!$C$3,2)/100*(BA37+BA38+BA39)),0))</f>
        <v>0</v>
      </c>
      <c r="BC39" s="335">
        <f>IF((BC$36-2021)=START!$C$2,0,BUILDINGS!BB39+ROUND((INDEX('DEFAULT DATA'!$VU$9:$VW$41,START!$C$3,2)/100*(BB37+BB38+BB39)),0))</f>
        <v>0</v>
      </c>
      <c r="BD39" s="335">
        <f>IF((BD$36-2021)=START!$C$2,0,BUILDINGS!BC39+ROUND((INDEX('DEFAULT DATA'!$VU$9:$VW$41,START!$C$3,2)/100*(BC37+BC38+BC39)),0))</f>
        <v>0</v>
      </c>
      <c r="BE39" s="335">
        <f>IF((BE$36-2021)=START!$C$2,0,BUILDINGS!BD39+ROUND((INDEX('DEFAULT DATA'!$VU$9:$VW$41,START!$C$3,3)/100*(BD37+BD38+BD39)),0))</f>
        <v>0</v>
      </c>
      <c r="BF39" s="335">
        <f>IF((BF$36-2021)=START!$C$2,0,BUILDINGS!BE39+ROUND((INDEX('DEFAULT DATA'!$VU$9:$VW$41,START!$C$3,3)/100*(BE37+BE38+BE39)),0))</f>
        <v>0</v>
      </c>
      <c r="BG39" s="335">
        <f>IF((BG$36-2021)=START!$C$2,0,BUILDINGS!BF39+ROUND((INDEX('DEFAULT DATA'!$VU$9:$VW$41,START!$C$3,3)/100*(BF37+BF38+BF39)),0))</f>
        <v>0</v>
      </c>
      <c r="BH39" s="335">
        <f>IF((BH$36-2021)=START!$C$2,0,BUILDINGS!BG39+ROUND((INDEX('DEFAULT DATA'!$VU$9:$VW$41,START!$C$3,3)/100*(BG37+BG38+BG39)),0))</f>
        <v>0</v>
      </c>
      <c r="BI39" s="335">
        <f>IF((BI$36-2021)=START!$C$2,0,BUILDINGS!BH39+ROUND((INDEX('DEFAULT DATA'!$VU$9:$VW$41,START!$C$3,3)/100*(BH37+BH38+BH39)),0))</f>
        <v>0</v>
      </c>
      <c r="BJ39" s="335">
        <f>IF((BJ$36-2021)=START!$C$2,0,BUILDINGS!BI39+ROUND((INDEX('DEFAULT DATA'!$VU$9:$VW$41,START!$C$3,3)/100*(BI37+BI38+BI39)),0))</f>
        <v>0</v>
      </c>
      <c r="BK39" s="335">
        <f>IF((BK$36-2021)=START!$C$2,0,BUILDINGS!BJ39+ROUND((INDEX('DEFAULT DATA'!$VU$9:$VW$41,START!$C$3,3)/100*(BJ37+BJ38+BJ39)),0))</f>
        <v>0</v>
      </c>
      <c r="BL39" s="335">
        <f>IF((BL$36-2021)=START!$C$2,0,BUILDINGS!BK39+ROUND((INDEX('DEFAULT DATA'!$VU$9:$VW$41,START!$C$3,3)/100*(BK37+BK38+BK39)),0))</f>
        <v>0</v>
      </c>
      <c r="BM39" s="335">
        <f>IF((BM$36-2021)=START!$C$2,0,BUILDINGS!BL39+ROUND((INDEX('DEFAULT DATA'!$VU$9:$VW$41,START!$C$3,3)/100*(BL37+BL38+BL39)),0))</f>
        <v>0</v>
      </c>
      <c r="BN39" s="494">
        <f>IF((BN$36-2021)=START!$C$2,0,BUILDINGS!BM39+ROUND((INDEX('DEFAULT DATA'!$VU$9:$VW$41,START!$C$3,3)/100*(BM37+BM38+BM39)),0))</f>
        <v>0</v>
      </c>
      <c r="BP39" s="525" t="s">
        <v>1710</v>
      </c>
      <c r="BQ39" s="521"/>
    </row>
    <row r="40" spans="1:87" ht="20.100000000000001" customHeight="1">
      <c r="A40" s="241" t="s">
        <v>1231</v>
      </c>
      <c r="B40" s="262">
        <f>INDEX($AL$182:$BN$189,1,START!$C$2)</f>
        <v>0</v>
      </c>
      <c r="C40" s="262">
        <f>INDEX($AL$182:$BN$189,1,START!$C$2)</f>
        <v>0</v>
      </c>
      <c r="D40" s="262">
        <f>INDEX($AL$182:$BN$189,1,START!$C$2)</f>
        <v>0</v>
      </c>
      <c r="E40" s="262">
        <f>INDEX($AL$182:$BN$189,1,START!$C$2)</f>
        <v>0</v>
      </c>
      <c r="F40" s="262">
        <f>INDEX($AL$182:$BN$189,1,START!$C$2)</f>
        <v>0</v>
      </c>
      <c r="G40" s="262">
        <f>INDEX($AL$182:$BN$189,1,START!$C$2)</f>
        <v>0</v>
      </c>
      <c r="H40" s="262">
        <f>INDEX($AL$182:$BN$189,1,START!$C$2)</f>
        <v>0</v>
      </c>
      <c r="I40" s="262">
        <f>INDEX($AL$182:$BN$189,1,START!$C$2)</f>
        <v>0</v>
      </c>
      <c r="J40" s="262">
        <f t="shared" si="5"/>
        <v>0</v>
      </c>
      <c r="K40" s="41"/>
      <c r="L40" s="29"/>
      <c r="M40" s="968"/>
      <c r="N40" s="971"/>
      <c r="O40" s="971"/>
      <c r="P40" s="971"/>
      <c r="Q40" s="971"/>
      <c r="R40" s="971"/>
      <c r="S40" s="971"/>
      <c r="T40" s="971"/>
      <c r="U40" s="971"/>
      <c r="V40" s="971"/>
      <c r="W40" s="971"/>
      <c r="X40" s="971"/>
      <c r="Y40" s="971"/>
      <c r="Z40" s="971"/>
      <c r="AA40" s="971"/>
      <c r="AB40" s="971"/>
      <c r="AC40" s="971"/>
      <c r="AD40" s="971"/>
      <c r="AE40" s="971"/>
      <c r="AF40" s="332"/>
      <c r="AG40" s="1429" t="s">
        <v>1354</v>
      </c>
      <c r="AH40" s="1430"/>
      <c r="AI40" s="1430"/>
      <c r="AJ40" s="1516"/>
      <c r="AK40" s="495">
        <f t="shared" ref="AK40:BN40" si="6">SUM(AK37:AK39)</f>
        <v>0</v>
      </c>
      <c r="AL40" s="495">
        <f t="shared" si="6"/>
        <v>0</v>
      </c>
      <c r="AM40" s="495">
        <f t="shared" si="6"/>
        <v>4442</v>
      </c>
      <c r="AN40" s="495">
        <f t="shared" si="6"/>
        <v>4442</v>
      </c>
      <c r="AO40" s="495">
        <f t="shared" si="6"/>
        <v>4442</v>
      </c>
      <c r="AP40" s="495">
        <f t="shared" si="6"/>
        <v>4442</v>
      </c>
      <c r="AQ40" s="495">
        <f t="shared" si="6"/>
        <v>4442</v>
      </c>
      <c r="AR40" s="495">
        <f t="shared" si="6"/>
        <v>4442</v>
      </c>
      <c r="AS40" s="495">
        <f t="shared" si="6"/>
        <v>4442</v>
      </c>
      <c r="AT40" s="495">
        <f t="shared" si="6"/>
        <v>4442</v>
      </c>
      <c r="AU40" s="495">
        <f t="shared" si="6"/>
        <v>4442</v>
      </c>
      <c r="AV40" s="495">
        <f t="shared" si="6"/>
        <v>4442</v>
      </c>
      <c r="AW40" s="495">
        <f t="shared" si="6"/>
        <v>4442</v>
      </c>
      <c r="AX40" s="495">
        <f t="shared" si="6"/>
        <v>4442</v>
      </c>
      <c r="AY40" s="495">
        <f t="shared" si="6"/>
        <v>4442</v>
      </c>
      <c r="AZ40" s="495">
        <f t="shared" si="6"/>
        <v>4442</v>
      </c>
      <c r="BA40" s="495">
        <f t="shared" si="6"/>
        <v>4442</v>
      </c>
      <c r="BB40" s="495">
        <f t="shared" si="6"/>
        <v>4442</v>
      </c>
      <c r="BC40" s="495">
        <f t="shared" si="6"/>
        <v>4442</v>
      </c>
      <c r="BD40" s="495">
        <f t="shared" si="6"/>
        <v>4442</v>
      </c>
      <c r="BE40" s="495">
        <f t="shared" si="6"/>
        <v>4442</v>
      </c>
      <c r="BF40" s="495">
        <f t="shared" si="6"/>
        <v>4442</v>
      </c>
      <c r="BG40" s="495">
        <f t="shared" si="6"/>
        <v>4442</v>
      </c>
      <c r="BH40" s="495">
        <f t="shared" si="6"/>
        <v>4442</v>
      </c>
      <c r="BI40" s="495">
        <f t="shared" si="6"/>
        <v>4442</v>
      </c>
      <c r="BJ40" s="495">
        <f t="shared" si="6"/>
        <v>4442</v>
      </c>
      <c r="BK40" s="495">
        <f t="shared" si="6"/>
        <v>4442</v>
      </c>
      <c r="BL40" s="495">
        <f t="shared" si="6"/>
        <v>4442</v>
      </c>
      <c r="BM40" s="495">
        <f t="shared" si="6"/>
        <v>4442</v>
      </c>
      <c r="BN40" s="495">
        <f t="shared" si="6"/>
        <v>4442</v>
      </c>
      <c r="CF40" s="392" t="s">
        <v>1593</v>
      </c>
      <c r="CG40" s="392" t="s">
        <v>1464</v>
      </c>
      <c r="CH40" s="392" t="s">
        <v>1465</v>
      </c>
    </row>
    <row r="41" spans="1:87" ht="20.100000000000001" customHeight="1">
      <c r="A41" s="241" t="s">
        <v>1232</v>
      </c>
      <c r="B41" s="262">
        <f>INDEX($AL$195:$BN$202,1,START!$C$2)</f>
        <v>0</v>
      </c>
      <c r="C41" s="262">
        <f>INDEX($AL$195:$BN$202,1,START!$C$2)</f>
        <v>0</v>
      </c>
      <c r="D41" s="262">
        <f>INDEX($AL$195:$BN$202,1,START!$C$2)</f>
        <v>0</v>
      </c>
      <c r="E41" s="262">
        <f>INDEX($AL$195:$BN$202,1,START!$C$2)</f>
        <v>0</v>
      </c>
      <c r="F41" s="262">
        <f>INDEX($AL$195:$BN$202,1,START!$C$2)</f>
        <v>0</v>
      </c>
      <c r="G41" s="262">
        <f>INDEX($AL$195:$BN$202,1,START!$C$2)</f>
        <v>0</v>
      </c>
      <c r="H41" s="262">
        <f>INDEX($AL$195:$BN$202,1,START!$C$2)</f>
        <v>0</v>
      </c>
      <c r="I41" s="262">
        <f>INDEX($AL$195:$BN$202,1,START!$C$2)</f>
        <v>0</v>
      </c>
      <c r="J41" s="262">
        <f t="shared" si="5"/>
        <v>0</v>
      </c>
      <c r="K41" s="41"/>
      <c r="L41" s="29"/>
      <c r="M41" s="968"/>
      <c r="N41" s="971"/>
      <c r="O41" s="971"/>
      <c r="P41" s="971"/>
      <c r="Q41" s="971"/>
      <c r="R41" s="971"/>
      <c r="S41" s="971"/>
      <c r="T41" s="971"/>
      <c r="U41" s="971"/>
      <c r="V41" s="971"/>
      <c r="W41" s="971"/>
      <c r="X41" s="971"/>
      <c r="Y41" s="971"/>
      <c r="Z41" s="971"/>
      <c r="AA41" s="971"/>
      <c r="AB41" s="971"/>
      <c r="AC41" s="971"/>
      <c r="AD41" s="971"/>
      <c r="AE41" s="971"/>
      <c r="CF41" s="392" t="s">
        <v>1594</v>
      </c>
      <c r="CG41" s="392" t="s">
        <v>1594</v>
      </c>
      <c r="CH41" s="392" t="s">
        <v>1594</v>
      </c>
    </row>
    <row r="42" spans="1:87" ht="20.100000000000001" customHeight="1" thickBot="1">
      <c r="A42" s="241" t="s">
        <v>1233</v>
      </c>
      <c r="B42" s="262">
        <f>INDEX($AL$208:$BN$215,1,START!$C$2)</f>
        <v>0</v>
      </c>
      <c r="C42" s="262">
        <f>INDEX($AL$208:$BN$215,1,START!$C$2)</f>
        <v>0</v>
      </c>
      <c r="D42" s="262">
        <f>INDEX($AL$208:$BN$215,1,START!$C$2)</f>
        <v>0</v>
      </c>
      <c r="E42" s="262">
        <f>INDEX($AL$208:$BN$215,1,START!$C$2)</f>
        <v>0</v>
      </c>
      <c r="F42" s="262">
        <f>INDEX($AL$208:$BN$215,1,START!$C$2)</f>
        <v>0</v>
      </c>
      <c r="G42" s="262">
        <f>INDEX($AL$208:$BN$215,1,START!$C$2)</f>
        <v>0</v>
      </c>
      <c r="H42" s="262">
        <f>INDEX($AL$208:$BN$215,1,START!$C$2)</f>
        <v>0</v>
      </c>
      <c r="I42" s="262">
        <f>INDEX($AL$208:$BN$215,1,START!$C$2)</f>
        <v>0</v>
      </c>
      <c r="J42" s="262">
        <f>SUM(B42:I42)</f>
        <v>0</v>
      </c>
      <c r="K42" s="41"/>
      <c r="L42" s="29"/>
      <c r="M42" s="968"/>
      <c r="N42" s="971"/>
      <c r="O42" s="971"/>
      <c r="P42" s="971"/>
      <c r="Q42" s="971"/>
      <c r="R42" s="971"/>
      <c r="S42" s="971"/>
      <c r="T42" s="971"/>
      <c r="U42" s="971"/>
      <c r="V42" s="971"/>
      <c r="W42" s="971"/>
      <c r="X42" s="971"/>
      <c r="Y42" s="971"/>
      <c r="Z42" s="971"/>
      <c r="AA42" s="971"/>
      <c r="AB42" s="971"/>
      <c r="AC42" s="971"/>
      <c r="AD42" s="971"/>
      <c r="AE42" s="971"/>
      <c r="AF42" s="333" t="s">
        <v>1380</v>
      </c>
      <c r="AG42" s="1510" t="s">
        <v>1401</v>
      </c>
      <c r="AH42" s="1511"/>
      <c r="AI42" s="1511"/>
      <c r="AJ42" s="1512"/>
      <c r="AK42" s="489">
        <v>2021</v>
      </c>
      <c r="AL42" s="489">
        <f>AK42+1</f>
        <v>2022</v>
      </c>
      <c r="AM42" s="489">
        <f t="shared" ref="AM42:BN42" si="7">AL42+1</f>
        <v>2023</v>
      </c>
      <c r="AN42" s="489">
        <f t="shared" si="7"/>
        <v>2024</v>
      </c>
      <c r="AO42" s="489">
        <f t="shared" si="7"/>
        <v>2025</v>
      </c>
      <c r="AP42" s="489">
        <f t="shared" si="7"/>
        <v>2026</v>
      </c>
      <c r="AQ42" s="489">
        <f t="shared" si="7"/>
        <v>2027</v>
      </c>
      <c r="AR42" s="489">
        <f t="shared" si="7"/>
        <v>2028</v>
      </c>
      <c r="AS42" s="489">
        <f t="shared" si="7"/>
        <v>2029</v>
      </c>
      <c r="AT42" s="489">
        <f t="shared" si="7"/>
        <v>2030</v>
      </c>
      <c r="AU42" s="489">
        <f t="shared" si="7"/>
        <v>2031</v>
      </c>
      <c r="AV42" s="489">
        <f t="shared" si="7"/>
        <v>2032</v>
      </c>
      <c r="AW42" s="489">
        <f t="shared" si="7"/>
        <v>2033</v>
      </c>
      <c r="AX42" s="489">
        <f t="shared" si="7"/>
        <v>2034</v>
      </c>
      <c r="AY42" s="489">
        <f t="shared" si="7"/>
        <v>2035</v>
      </c>
      <c r="AZ42" s="489">
        <f t="shared" si="7"/>
        <v>2036</v>
      </c>
      <c r="BA42" s="489">
        <f t="shared" si="7"/>
        <v>2037</v>
      </c>
      <c r="BB42" s="489">
        <f t="shared" si="7"/>
        <v>2038</v>
      </c>
      <c r="BC42" s="489">
        <f t="shared" si="7"/>
        <v>2039</v>
      </c>
      <c r="BD42" s="489">
        <f t="shared" si="7"/>
        <v>2040</v>
      </c>
      <c r="BE42" s="489">
        <f t="shared" si="7"/>
        <v>2041</v>
      </c>
      <c r="BF42" s="489">
        <f t="shared" si="7"/>
        <v>2042</v>
      </c>
      <c r="BG42" s="489">
        <f t="shared" si="7"/>
        <v>2043</v>
      </c>
      <c r="BH42" s="489">
        <f t="shared" si="7"/>
        <v>2044</v>
      </c>
      <c r="BI42" s="489">
        <f t="shared" si="7"/>
        <v>2045</v>
      </c>
      <c r="BJ42" s="489">
        <f t="shared" si="7"/>
        <v>2046</v>
      </c>
      <c r="BK42" s="489">
        <f t="shared" si="7"/>
        <v>2047</v>
      </c>
      <c r="BL42" s="489">
        <f t="shared" si="7"/>
        <v>2048</v>
      </c>
      <c r="BM42" s="489">
        <f t="shared" si="7"/>
        <v>2049</v>
      </c>
      <c r="BN42" s="489">
        <f t="shared" si="7"/>
        <v>2050</v>
      </c>
      <c r="BP42" s="17" t="s">
        <v>1627</v>
      </c>
      <c r="BQ42" s="17"/>
      <c r="CF42" s="392" t="s">
        <v>1592</v>
      </c>
      <c r="CG42" s="392" t="s">
        <v>1592</v>
      </c>
      <c r="CH42" s="392" t="s">
        <v>1592</v>
      </c>
      <c r="CI42" s="392" t="s">
        <v>1598</v>
      </c>
    </row>
    <row r="43" spans="1:87" ht="20.100000000000001" customHeight="1">
      <c r="A43" s="226" t="s">
        <v>1394</v>
      </c>
      <c r="B43" s="197"/>
      <c r="C43" s="197"/>
      <c r="D43" s="197"/>
      <c r="E43" s="197"/>
      <c r="F43" s="197"/>
      <c r="G43" s="197"/>
      <c r="H43" s="34"/>
      <c r="I43" s="34"/>
      <c r="J43" s="265">
        <f>SUM(J37:J42)</f>
        <v>0</v>
      </c>
      <c r="K43" s="41"/>
      <c r="AF43" s="1491" t="s">
        <v>1376</v>
      </c>
      <c r="AG43" s="1429" t="s">
        <v>933</v>
      </c>
      <c r="AH43" s="1430"/>
      <c r="AI43" s="1430"/>
      <c r="AJ43" s="1516"/>
      <c r="AK43" s="317">
        <v>0</v>
      </c>
      <c r="AL43" s="322">
        <f>IF((AL$42-2021)&lt;START!$C$2,0,((AL$37*INDEX('DEFAULT DATA'!$AFS$9:$AFZ$41,START!$C$3,1))+(AL$38*INDEX('DEFAULT DATA'!$XC$9:$XJ$41,START!$C$3,1))+(AL$39*INDEX('DEFAULT DATA'!$YI$9:$YP$41,START!$C$3,1)))*AL5/1000000)</f>
        <v>0</v>
      </c>
      <c r="AM43" s="322">
        <f>IF((AM$42-2021)&lt;START!$C$2,0,((AM$37*INDEX('DEFAULT DATA'!$AFS$9:$AFZ$41,START!$C$3,1))+(AM$38*INDEX('DEFAULT DATA'!$XC$9:$XJ$41,START!$C$3,1))+(AM$39*INDEX('DEFAULT DATA'!$YI$9:$YP$41,START!$C$3,1)))*AM5/1000000)</f>
        <v>2562.9471291100717</v>
      </c>
      <c r="AN43" s="322">
        <f>IF((AN$42-2021)&lt;START!$C$2,0,((AN$37*INDEX('DEFAULT DATA'!$AFS$9:$AFZ$41,START!$C$3,1))+(AN$38*INDEX('DEFAULT DATA'!$XC$9:$XJ$41,START!$C$3,1))+(AN$39*INDEX('DEFAULT DATA'!$YI$9:$YP$41,START!$C$3,1)))*AN5/1000000)</f>
        <v>2537.3176578189714</v>
      </c>
      <c r="AO43" s="322">
        <f>IF((AO$42-2021)&lt;START!$C$2,0,((AO$37*INDEX('DEFAULT DATA'!$AFS$9:$AFZ$41,START!$C$3,1))+(AO$38*INDEX('DEFAULT DATA'!$XC$9:$XJ$41,START!$C$3,1))+(AO$39*INDEX('DEFAULT DATA'!$YI$9:$YP$41,START!$C$3,1)))*AO5/1000000)</f>
        <v>2511.9444812407814</v>
      </c>
      <c r="AP43" s="322">
        <f>IF((AP$42-2021)&lt;START!$C$2,0,((AP$37*INDEX('DEFAULT DATA'!$AFS$9:$AFZ$41,START!$C$3,1))+(AP$38*INDEX('DEFAULT DATA'!$XC$9:$XJ$41,START!$C$3,1))+(AP$39*INDEX('DEFAULT DATA'!$YI$9:$YP$41,START!$C$3,1)))*AP5/1000000)</f>
        <v>2486.8250364283736</v>
      </c>
      <c r="AQ43" s="322">
        <f>IF((AQ$42-2021)&lt;START!$C$2,0,((AQ$37*INDEX('DEFAULT DATA'!$AFS$9:$AFZ$41,START!$C$3,1))+(AQ$38*INDEX('DEFAULT DATA'!$XC$9:$XJ$41,START!$C$3,1))+(AQ$39*INDEX('DEFAULT DATA'!$YI$9:$YP$41,START!$C$3,1)))*AQ5/1000000)</f>
        <v>2461.9567860640896</v>
      </c>
      <c r="AR43" s="322">
        <f>IF((AR$42-2021)&lt;START!$C$2,0,((AR$37*INDEX('DEFAULT DATA'!$AFS$9:$AFZ$41,START!$C$3,1))+(AR$38*INDEX('DEFAULT DATA'!$XC$9:$XJ$41,START!$C$3,1))+(AR$39*INDEX('DEFAULT DATA'!$YI$9:$YP$41,START!$C$3,1)))*AR5/1000000)</f>
        <v>2437.3372182034486</v>
      </c>
      <c r="AS43" s="322">
        <f>IF((AS$42-2021)&lt;START!$C$2,0,((AS$37*INDEX('DEFAULT DATA'!$AFS$9:$AFZ$41,START!$C$3,1))+(AS$38*INDEX('DEFAULT DATA'!$XC$9:$XJ$41,START!$C$3,1))+(AS$39*INDEX('DEFAULT DATA'!$YI$9:$YP$41,START!$C$3,1)))*AS5/1000000)</f>
        <v>2412.9638460214146</v>
      </c>
      <c r="AT43" s="322">
        <f>IF((AT$42-2021)&lt;START!$C$2,0,((AT$37*INDEX('DEFAULT DATA'!$AFS$9:$AFZ$41,START!$C$3,1))+(AT$38*INDEX('DEFAULT DATA'!$XC$9:$XJ$41,START!$C$3,1))+(AT$39*INDEX('DEFAULT DATA'!$YI$9:$YP$41,START!$C$3,1)))*AT5/1000000)</f>
        <v>2388.8342075611999</v>
      </c>
      <c r="AU43" s="322">
        <f>IF((AU$42-2021)&lt;START!$C$2,0,((AU$37*INDEX('DEFAULT DATA'!$AFS$9:$AFZ$41,START!$C$3,1))+(AU$38*INDEX('DEFAULT DATA'!$XC$9:$XJ$41,START!$C$3,1))+(AU$39*INDEX('DEFAULT DATA'!$YI$9:$YP$41,START!$C$3,1)))*AU5/1000000)</f>
        <v>2257.4483261453342</v>
      </c>
      <c r="AV43" s="322">
        <f>IF((AV$42-2021)&lt;START!$C$2,0,((AV$37*INDEX('DEFAULT DATA'!$AFS$9:$AFZ$41,START!$C$3,1))+(AV$38*INDEX('DEFAULT DATA'!$XC$9:$XJ$41,START!$C$3,1))+(AV$39*INDEX('DEFAULT DATA'!$YI$9:$YP$41,START!$C$3,1)))*AV5/1000000)</f>
        <v>2133.2886682073408</v>
      </c>
      <c r="AW43" s="322">
        <f>IF((AW$42-2021)&lt;START!$C$2,0,((AW$37*INDEX('DEFAULT DATA'!$AFS$9:$AFZ$41,START!$C$3,1))+(AW$38*INDEX('DEFAULT DATA'!$XC$9:$XJ$41,START!$C$3,1))+(AW$39*INDEX('DEFAULT DATA'!$YI$9:$YP$41,START!$C$3,1)))*AW5/1000000)</f>
        <v>2015.9577914559372</v>
      </c>
      <c r="AX43" s="322">
        <f>IF((AX$42-2021)&lt;START!$C$2,0,((AX$37*INDEX('DEFAULT DATA'!$AFS$9:$AFZ$41,START!$C$3,1))+(AX$38*INDEX('DEFAULT DATA'!$XC$9:$XJ$41,START!$C$3,1))+(AX$39*INDEX('DEFAULT DATA'!$YI$9:$YP$41,START!$C$3,1)))*AX5/1000000)</f>
        <v>1905.0801129258605</v>
      </c>
      <c r="AY43" s="322">
        <f>IF((AY$42-2021)&lt;START!$C$2,0,((AY$37*INDEX('DEFAULT DATA'!$AFS$9:$AFZ$41,START!$C$3,1))+(AY$38*INDEX('DEFAULT DATA'!$XC$9:$XJ$41,START!$C$3,1))+(AY$39*INDEX('DEFAULT DATA'!$YI$9:$YP$41,START!$C$3,1)))*AY5/1000000)</f>
        <v>1800.3007067149379</v>
      </c>
      <c r="AZ43" s="322">
        <f>IF((AZ$42-2021)&lt;START!$C$2,0,((AZ$37*INDEX('DEFAULT DATA'!$AFS$9:$AFZ$41,START!$C$3,1))+(AZ$38*INDEX('DEFAULT DATA'!$XC$9:$XJ$41,START!$C$3,1))+(AZ$39*INDEX('DEFAULT DATA'!$YI$9:$YP$41,START!$C$3,1)))*AZ5/1000000)</f>
        <v>1701.2841678456164</v>
      </c>
      <c r="BA43" s="322">
        <f>IF((BA$42-2021)&lt;START!$C$2,0,((BA$37*INDEX('DEFAULT DATA'!$AFS$9:$AFZ$41,START!$C$3,1))+(BA$38*INDEX('DEFAULT DATA'!$XC$9:$XJ$41,START!$C$3,1))+(BA$39*INDEX('DEFAULT DATA'!$YI$9:$YP$41,START!$C$3,1)))*BA5/1000000)</f>
        <v>1607.7135386141074</v>
      </c>
      <c r="BB43" s="322">
        <f>IF((BB$42-2021)&lt;START!$C$2,0,((BB$37*INDEX('DEFAULT DATA'!$AFS$9:$AFZ$41,START!$C$3,1))+(BB$38*INDEX('DEFAULT DATA'!$XC$9:$XJ$41,START!$C$3,1))+(BB$39*INDEX('DEFAULT DATA'!$YI$9:$YP$41,START!$C$3,1)))*BB5/1000000)</f>
        <v>1519.2892939903311</v>
      </c>
      <c r="BC43" s="322">
        <f>IF((BC$42-2021)&lt;START!$C$2,0,((BC$37*INDEX('DEFAULT DATA'!$AFS$9:$AFZ$41,START!$C$3,1))+(BC$38*INDEX('DEFAULT DATA'!$XC$9:$XJ$41,START!$C$3,1))+(BC$39*INDEX('DEFAULT DATA'!$YI$9:$YP$41,START!$C$3,1)))*BC5/1000000)</f>
        <v>1435.7283828208631</v>
      </c>
      <c r="BD43" s="322">
        <f>IF((BD$42-2021)&lt;START!$C$2,0,((BD$37*INDEX('DEFAULT DATA'!$AFS$9:$AFZ$41,START!$C$3,1))+(BD$38*INDEX('DEFAULT DATA'!$XC$9:$XJ$41,START!$C$3,1))+(BD$39*INDEX('DEFAULT DATA'!$YI$9:$YP$41,START!$C$3,1)))*BD5/1000000)</f>
        <v>1356.7633217657153</v>
      </c>
      <c r="BE43" s="322">
        <f>IF((BE$42-2021)&lt;START!$C$2,0,((BE$37*INDEX('DEFAULT DATA'!$AFS$9:$AFZ$41,START!$C$3,1))+(BE$38*INDEX('DEFAULT DATA'!$XC$9:$XJ$41,START!$C$3,1))+(BE$39*INDEX('DEFAULT DATA'!$YI$9:$YP$41,START!$C$3,1)))*BE5/1000000)</f>
        <v>1282.1413390686009</v>
      </c>
      <c r="BF43" s="322">
        <f>IF((BF$42-2021)&lt;START!$C$2,0,((BF$37*INDEX('DEFAULT DATA'!$AFS$9:$AFZ$41,START!$C$3,1))+(BF$38*INDEX('DEFAULT DATA'!$XC$9:$XJ$41,START!$C$3,1))+(BF$39*INDEX('DEFAULT DATA'!$YI$9:$YP$41,START!$C$3,1)))*BF5/1000000)</f>
        <v>1211.6235654198276</v>
      </c>
      <c r="BG43" s="322">
        <f>IF((BG$42-2021)&lt;START!$C$2,0,((BG$37*INDEX('DEFAULT DATA'!$AFS$9:$AFZ$41,START!$C$3,1))+(BG$38*INDEX('DEFAULT DATA'!$XC$9:$XJ$41,START!$C$3,1))+(BG$39*INDEX('DEFAULT DATA'!$YI$9:$YP$41,START!$C$3,1)))*BG5/1000000)</f>
        <v>1144.984269321737</v>
      </c>
      <c r="BH43" s="322">
        <f>IF((BH$42-2021)&lt;START!$C$2,0,((BH$37*INDEX('DEFAULT DATA'!$AFS$9:$AFZ$41,START!$C$3,1))+(BH$38*INDEX('DEFAULT DATA'!$XC$9:$XJ$41,START!$C$3,1))+(BH$39*INDEX('DEFAULT DATA'!$YI$9:$YP$41,START!$C$3,1)))*BH5/1000000)</f>
        <v>1082.0101345090416</v>
      </c>
      <c r="BI43" s="322">
        <f>IF((BI$42-2021)&lt;START!$C$2,0,((BI$37*INDEX('DEFAULT DATA'!$AFS$9:$AFZ$41,START!$C$3,1))+(BI$38*INDEX('DEFAULT DATA'!$XC$9:$XJ$41,START!$C$3,1))+(BI$39*INDEX('DEFAULT DATA'!$YI$9:$YP$41,START!$C$3,1)))*BI5/1000000)</f>
        <v>1022.4995771110442</v>
      </c>
      <c r="BJ43" s="322">
        <f>IF((BJ$42-2021)&lt;START!$C$2,0,((BJ$37*INDEX('DEFAULT DATA'!$AFS$9:$AFZ$41,START!$C$3,1))+(BJ$38*INDEX('DEFAULT DATA'!$XC$9:$XJ$41,START!$C$3,1))+(BJ$39*INDEX('DEFAULT DATA'!$YI$9:$YP$41,START!$C$3,1)))*BJ5/1000000)</f>
        <v>966.26210036993677</v>
      </c>
      <c r="BK43" s="322">
        <f>IF((BK$42-2021)&lt;START!$C$2,0,((BK$37*INDEX('DEFAULT DATA'!$AFS$9:$AFZ$41,START!$C$3,1))+(BK$38*INDEX('DEFAULT DATA'!$XC$9:$XJ$41,START!$C$3,1))+(BK$39*INDEX('DEFAULT DATA'!$YI$9:$YP$41,START!$C$3,1)))*BK5/1000000)</f>
        <v>913.1176848495902</v>
      </c>
      <c r="BL43" s="322">
        <f>IF((BL$42-2021)&lt;START!$C$2,0,((BL$37*INDEX('DEFAULT DATA'!$AFS$9:$AFZ$41,START!$C$3,1))+(BL$38*INDEX('DEFAULT DATA'!$XC$9:$XJ$41,START!$C$3,1))+(BL$39*INDEX('DEFAULT DATA'!$YI$9:$YP$41,START!$C$3,1)))*BL5/1000000)</f>
        <v>862.89621218286266</v>
      </c>
      <c r="BM43" s="322">
        <f>IF((BM$42-2021)&lt;START!$C$2,0,((BM$37*INDEX('DEFAULT DATA'!$AFS$9:$AFZ$41,START!$C$3,1))+(BM$38*INDEX('DEFAULT DATA'!$XC$9:$XJ$41,START!$C$3,1))+(BM$39*INDEX('DEFAULT DATA'!$YI$9:$YP$41,START!$C$3,1)))*BM5/1000000)</f>
        <v>815.43692051280516</v>
      </c>
      <c r="BN43" s="323">
        <f>IF((BN$42-2021)&lt;START!$C$2,0,((BN$37*INDEX('DEFAULT DATA'!$AFS$9:$AFZ$41,START!$C$3,1))+(BN$38*INDEX('DEFAULT DATA'!$XC$9:$XJ$41,START!$C$3,1))+(BN$39*INDEX('DEFAULT DATA'!$YI$9:$YP$41,START!$C$3,1)))*BN5/1000000)</f>
        <v>770.58788988460083</v>
      </c>
      <c r="BP43" s="522" t="str">
        <f>AG43</f>
        <v>Electricity</v>
      </c>
      <c r="BQ43" s="526" t="s">
        <v>1727</v>
      </c>
      <c r="BR43" s="527"/>
      <c r="BS43" s="527"/>
      <c r="BT43" s="527"/>
      <c r="BU43" s="527"/>
      <c r="BV43" s="527"/>
      <c r="BW43" s="527"/>
      <c r="BX43" s="527"/>
      <c r="BY43" s="527"/>
      <c r="BZ43" s="527"/>
      <c r="CA43" s="527"/>
      <c r="CB43" s="527"/>
      <c r="CC43" s="527"/>
      <c r="CD43" s="527"/>
      <c r="CE43" s="528"/>
      <c r="CF43" s="529" t="s">
        <v>1595</v>
      </c>
      <c r="CG43" s="529" t="s">
        <v>1596</v>
      </c>
      <c r="CH43" s="529" t="s">
        <v>1597</v>
      </c>
      <c r="CI43" s="529" t="s">
        <v>1599</v>
      </c>
    </row>
    <row r="44" spans="1:87" ht="20.100000000000001" customHeight="1">
      <c r="A44" s="40"/>
      <c r="B44" s="34"/>
      <c r="C44" s="34"/>
      <c r="D44" s="34"/>
      <c r="E44" s="34"/>
      <c r="F44" s="34"/>
      <c r="G44" s="34"/>
      <c r="H44" s="34"/>
      <c r="I44" s="34"/>
      <c r="J44" s="34"/>
      <c r="K44" s="41"/>
      <c r="L44" s="29"/>
      <c r="M44" s="968"/>
      <c r="N44" s="971"/>
      <c r="O44" s="971"/>
      <c r="P44" s="971"/>
      <c r="Q44" s="971"/>
      <c r="R44" s="971"/>
      <c r="S44" s="971"/>
      <c r="T44" s="971"/>
      <c r="U44" s="971"/>
      <c r="V44" s="971"/>
      <c r="W44" s="971"/>
      <c r="X44" s="971"/>
      <c r="Y44" s="971"/>
      <c r="Z44" s="971"/>
      <c r="AA44" s="971"/>
      <c r="AB44" s="971"/>
      <c r="AC44" s="971"/>
      <c r="AD44" s="971"/>
      <c r="AE44" s="971"/>
      <c r="AF44" s="1492"/>
      <c r="AG44" s="1513" t="s">
        <v>1220</v>
      </c>
      <c r="AH44" s="1514"/>
      <c r="AI44" s="1514"/>
      <c r="AJ44" s="1515"/>
      <c r="AK44" s="220">
        <v>0</v>
      </c>
      <c r="AL44" s="272">
        <f>IF((AL$42-2021)&lt;START!$C$2,0,((AL$37*INDEX('DEFAULT DATA'!$AFS$9:$AFZ$41,START!$C$3,2))+(AL$38*INDEX('DEFAULT DATA'!$XC$9:$XJ$41,START!$C$3,2))+(AL$39*INDEX('DEFAULT DATA'!$YI$9:$YP$41,START!$C$3,2)))*INDEX('DEFAULT DATA'!$VD$9:$VK$41,START!$C$3,2)/1000000)</f>
        <v>0</v>
      </c>
      <c r="AM44" s="272">
        <f>IF((AM$42-2021)&lt;START!$C$2,0,((AM$37*INDEX('DEFAULT DATA'!$AFS$9:$AFZ$41,START!$C$3,2))+(AM$38*INDEX('DEFAULT DATA'!$XC$9:$XJ$41,START!$C$3,2))+(AM$39*INDEX('DEFAULT DATA'!$YI$9:$YP$41,START!$C$3,2)))*INDEX('DEFAULT DATA'!$VD$9:$VK$41,START!$C$3,2)/1000000)</f>
        <v>146.64775581009226</v>
      </c>
      <c r="AN44" s="272">
        <f>IF((AN$42-2021)&lt;START!$C$2,0,((AN$37*INDEX('DEFAULT DATA'!$AFS$9:$AFZ$41,START!$C$3,2))+(AN$38*INDEX('DEFAULT DATA'!$XC$9:$XJ$41,START!$C$3,2))+(AN$39*INDEX('DEFAULT DATA'!$YI$9:$YP$41,START!$C$3,2)))*INDEX('DEFAULT DATA'!$VD$9:$VK$41,START!$C$3,2)/1000000)</f>
        <v>146.64775581009226</v>
      </c>
      <c r="AO44" s="272">
        <f>IF((AO$42-2021)&lt;START!$C$2,0,((AO$37*INDEX('DEFAULT DATA'!$AFS$9:$AFZ$41,START!$C$3,2))+(AO$38*INDEX('DEFAULT DATA'!$XC$9:$XJ$41,START!$C$3,2))+(AO$39*INDEX('DEFAULT DATA'!$YI$9:$YP$41,START!$C$3,2)))*INDEX('DEFAULT DATA'!$VD$9:$VK$41,START!$C$3,2)/1000000)</f>
        <v>146.64775581009226</v>
      </c>
      <c r="AP44" s="272">
        <f>IF((AP$42-2021)&lt;START!$C$2,0,((AP$37*INDEX('DEFAULT DATA'!$AFS$9:$AFZ$41,START!$C$3,2))+(AP$38*INDEX('DEFAULT DATA'!$XC$9:$XJ$41,START!$C$3,2))+(AP$39*INDEX('DEFAULT DATA'!$YI$9:$YP$41,START!$C$3,2)))*INDEX('DEFAULT DATA'!$VD$9:$VK$41,START!$C$3,2)/1000000)</f>
        <v>146.64775581009226</v>
      </c>
      <c r="AQ44" s="272">
        <f>IF((AQ$42-2021)&lt;START!$C$2,0,((AQ$37*INDEX('DEFAULT DATA'!$AFS$9:$AFZ$41,START!$C$3,2))+(AQ$38*INDEX('DEFAULT DATA'!$XC$9:$XJ$41,START!$C$3,2))+(AQ$39*INDEX('DEFAULT DATA'!$YI$9:$YP$41,START!$C$3,2)))*INDEX('DEFAULT DATA'!$VD$9:$VK$41,START!$C$3,2)/1000000)</f>
        <v>146.64775581009226</v>
      </c>
      <c r="AR44" s="272">
        <f>IF((AR$42-2021)&lt;START!$C$2,0,((AR$37*INDEX('DEFAULT DATA'!$AFS$9:$AFZ$41,START!$C$3,2))+(AR$38*INDEX('DEFAULT DATA'!$XC$9:$XJ$41,START!$C$3,2))+(AR$39*INDEX('DEFAULT DATA'!$YI$9:$YP$41,START!$C$3,2)))*INDEX('DEFAULT DATA'!$VD$9:$VK$41,START!$C$3,2)/1000000)</f>
        <v>146.64775581009226</v>
      </c>
      <c r="AS44" s="272">
        <f>IF((AS$42-2021)&lt;START!$C$2,0,((AS$37*INDEX('DEFAULT DATA'!$AFS$9:$AFZ$41,START!$C$3,2))+(AS$38*INDEX('DEFAULT DATA'!$XC$9:$XJ$41,START!$C$3,2))+(AS$39*INDEX('DEFAULT DATA'!$YI$9:$YP$41,START!$C$3,2)))*INDEX('DEFAULT DATA'!$VD$9:$VK$41,START!$C$3,2)/1000000)</f>
        <v>146.64775581009226</v>
      </c>
      <c r="AT44" s="272">
        <f>IF((AT$42-2021)&lt;START!$C$2,0,((AT$37*INDEX('DEFAULT DATA'!$AFS$9:$AFZ$41,START!$C$3,2))+(AT$38*INDEX('DEFAULT DATA'!$XC$9:$XJ$41,START!$C$3,2))+(AT$39*INDEX('DEFAULT DATA'!$YI$9:$YP$41,START!$C$3,2)))*INDEX('DEFAULT DATA'!$VD$9:$VK$41,START!$C$3,2)/1000000)</f>
        <v>146.64775581009226</v>
      </c>
      <c r="AU44" s="272">
        <f>IF((AU$42-2021)&lt;START!$C$2,0,((AU$37*INDEX('DEFAULT DATA'!$AFS$9:$AFZ$41,START!$C$3,2))+(AU$38*INDEX('DEFAULT DATA'!$XC$9:$XJ$41,START!$C$3,2))+(AU$39*INDEX('DEFAULT DATA'!$YI$9:$YP$41,START!$C$3,2)))*INDEX('DEFAULT DATA'!$VD$9:$VK$41,START!$C$3,2)/1000000)</f>
        <v>146.64775581009226</v>
      </c>
      <c r="AV44" s="272">
        <f>IF((AV$42-2021)&lt;START!$C$2,0,((AV$37*INDEX('DEFAULT DATA'!$AFS$9:$AFZ$41,START!$C$3,2))+(AV$38*INDEX('DEFAULT DATA'!$XC$9:$XJ$41,START!$C$3,2))+(AV$39*INDEX('DEFAULT DATA'!$YI$9:$YP$41,START!$C$3,2)))*INDEX('DEFAULT DATA'!$VD$9:$VK$41,START!$C$3,2)/1000000)</f>
        <v>146.64775581009226</v>
      </c>
      <c r="AW44" s="272">
        <f>IF((AW$42-2021)&lt;START!$C$2,0,((AW$37*INDEX('DEFAULT DATA'!$AFS$9:$AFZ$41,START!$C$3,2))+(AW$38*INDEX('DEFAULT DATA'!$XC$9:$XJ$41,START!$C$3,2))+(AW$39*INDEX('DEFAULT DATA'!$YI$9:$YP$41,START!$C$3,2)))*INDEX('DEFAULT DATA'!$VD$9:$VK$41,START!$C$3,2)/1000000)</f>
        <v>146.64775581009226</v>
      </c>
      <c r="AX44" s="272">
        <f>IF((AX$42-2021)&lt;START!$C$2,0,((AX$37*INDEX('DEFAULT DATA'!$AFS$9:$AFZ$41,START!$C$3,2))+(AX$38*INDEX('DEFAULT DATA'!$XC$9:$XJ$41,START!$C$3,2))+(AX$39*INDEX('DEFAULT DATA'!$YI$9:$YP$41,START!$C$3,2)))*INDEX('DEFAULT DATA'!$VD$9:$VK$41,START!$C$3,2)/1000000)</f>
        <v>146.64775581009226</v>
      </c>
      <c r="AY44" s="272">
        <f>IF((AY$42-2021)&lt;START!$C$2,0,((AY$37*INDEX('DEFAULT DATA'!$AFS$9:$AFZ$41,START!$C$3,2))+(AY$38*INDEX('DEFAULT DATA'!$XC$9:$XJ$41,START!$C$3,2))+(AY$39*INDEX('DEFAULT DATA'!$YI$9:$YP$41,START!$C$3,2)))*INDEX('DEFAULT DATA'!$VD$9:$VK$41,START!$C$3,2)/1000000)</f>
        <v>146.64775581009226</v>
      </c>
      <c r="AZ44" s="272">
        <f>IF((AZ$42-2021)&lt;START!$C$2,0,((AZ$37*INDEX('DEFAULT DATA'!$AFS$9:$AFZ$41,START!$C$3,2))+(AZ$38*INDEX('DEFAULT DATA'!$XC$9:$XJ$41,START!$C$3,2))+(AZ$39*INDEX('DEFAULT DATA'!$YI$9:$YP$41,START!$C$3,2)))*INDEX('DEFAULT DATA'!$VD$9:$VK$41,START!$C$3,2)/1000000)</f>
        <v>146.64775581009226</v>
      </c>
      <c r="BA44" s="272">
        <f>IF((BA$42-2021)&lt;START!$C$2,0,((BA$37*INDEX('DEFAULT DATA'!$AFS$9:$AFZ$41,START!$C$3,2))+(BA$38*INDEX('DEFAULT DATA'!$XC$9:$XJ$41,START!$C$3,2))+(BA$39*INDEX('DEFAULT DATA'!$YI$9:$YP$41,START!$C$3,2)))*INDEX('DEFAULT DATA'!$VD$9:$VK$41,START!$C$3,2)/1000000)</f>
        <v>146.64775581009226</v>
      </c>
      <c r="BB44" s="272">
        <f>IF((BB$42-2021)&lt;START!$C$2,0,((BB$37*INDEX('DEFAULT DATA'!$AFS$9:$AFZ$41,START!$C$3,2))+(BB$38*INDEX('DEFAULT DATA'!$XC$9:$XJ$41,START!$C$3,2))+(BB$39*INDEX('DEFAULT DATA'!$YI$9:$YP$41,START!$C$3,2)))*INDEX('DEFAULT DATA'!$VD$9:$VK$41,START!$C$3,2)/1000000)</f>
        <v>146.64775581009226</v>
      </c>
      <c r="BC44" s="272">
        <f>IF((BC$42-2021)&lt;START!$C$2,0,((BC$37*INDEX('DEFAULT DATA'!$AFS$9:$AFZ$41,START!$C$3,2))+(BC$38*INDEX('DEFAULT DATA'!$XC$9:$XJ$41,START!$C$3,2))+(BC$39*INDEX('DEFAULT DATA'!$YI$9:$YP$41,START!$C$3,2)))*INDEX('DEFAULT DATA'!$VD$9:$VK$41,START!$C$3,2)/1000000)</f>
        <v>146.64775581009226</v>
      </c>
      <c r="BD44" s="272">
        <f>IF((BD$42-2021)&lt;START!$C$2,0,((BD$37*INDEX('DEFAULT DATA'!$AFS$9:$AFZ$41,START!$C$3,2))+(BD$38*INDEX('DEFAULT DATA'!$XC$9:$XJ$41,START!$C$3,2))+(BD$39*INDEX('DEFAULT DATA'!$YI$9:$YP$41,START!$C$3,2)))*INDEX('DEFAULT DATA'!$VD$9:$VK$41,START!$C$3,2)/1000000)</f>
        <v>146.64775581009226</v>
      </c>
      <c r="BE44" s="272">
        <f>IF((BE$42-2021)&lt;START!$C$2,0,((BE$37*INDEX('DEFAULT DATA'!$AFS$9:$AFZ$41,START!$C$3,2))+(BE$38*INDEX('DEFAULT DATA'!$XC$9:$XJ$41,START!$C$3,2))+(BE$39*INDEX('DEFAULT DATA'!$YI$9:$YP$41,START!$C$3,2)))*INDEX('DEFAULT DATA'!$VD$9:$VK$41,START!$C$3,2)/1000000)</f>
        <v>146.64775581009226</v>
      </c>
      <c r="BF44" s="272">
        <f>IF((BF$42-2021)&lt;START!$C$2,0,((BF$37*INDEX('DEFAULT DATA'!$AFS$9:$AFZ$41,START!$C$3,2))+(BF$38*INDEX('DEFAULT DATA'!$XC$9:$XJ$41,START!$C$3,2))+(BF$39*INDEX('DEFAULT DATA'!$YI$9:$YP$41,START!$C$3,2)))*INDEX('DEFAULT DATA'!$VD$9:$VK$41,START!$C$3,2)/1000000)</f>
        <v>146.64775581009226</v>
      </c>
      <c r="BG44" s="272">
        <f>IF((BG$42-2021)&lt;START!$C$2,0,((BG$37*INDEX('DEFAULT DATA'!$AFS$9:$AFZ$41,START!$C$3,2))+(BG$38*INDEX('DEFAULT DATA'!$XC$9:$XJ$41,START!$C$3,2))+(BG$39*INDEX('DEFAULT DATA'!$YI$9:$YP$41,START!$C$3,2)))*INDEX('DEFAULT DATA'!$VD$9:$VK$41,START!$C$3,2)/1000000)</f>
        <v>146.64775581009226</v>
      </c>
      <c r="BH44" s="272">
        <f>IF((BH$42-2021)&lt;START!$C$2,0,((BH$37*INDEX('DEFAULT DATA'!$AFS$9:$AFZ$41,START!$C$3,2))+(BH$38*INDEX('DEFAULT DATA'!$XC$9:$XJ$41,START!$C$3,2))+(BH$39*INDEX('DEFAULT DATA'!$YI$9:$YP$41,START!$C$3,2)))*INDEX('DEFAULT DATA'!$VD$9:$VK$41,START!$C$3,2)/1000000)</f>
        <v>146.64775581009226</v>
      </c>
      <c r="BI44" s="272">
        <f>IF((BI$42-2021)&lt;START!$C$2,0,((BI$37*INDEX('DEFAULT DATA'!$AFS$9:$AFZ$41,START!$C$3,2))+(BI$38*INDEX('DEFAULT DATA'!$XC$9:$XJ$41,START!$C$3,2))+(BI$39*INDEX('DEFAULT DATA'!$YI$9:$YP$41,START!$C$3,2)))*INDEX('DEFAULT DATA'!$VD$9:$VK$41,START!$C$3,2)/1000000)</f>
        <v>146.64775581009226</v>
      </c>
      <c r="BJ44" s="272">
        <f>IF((BJ$42-2021)&lt;START!$C$2,0,((BJ$37*INDEX('DEFAULT DATA'!$AFS$9:$AFZ$41,START!$C$3,2))+(BJ$38*INDEX('DEFAULT DATA'!$XC$9:$XJ$41,START!$C$3,2))+(BJ$39*INDEX('DEFAULT DATA'!$YI$9:$YP$41,START!$C$3,2)))*INDEX('DEFAULT DATA'!$VD$9:$VK$41,START!$C$3,2)/1000000)</f>
        <v>146.64775581009226</v>
      </c>
      <c r="BK44" s="272">
        <f>IF((BK$42-2021)&lt;START!$C$2,0,((BK$37*INDEX('DEFAULT DATA'!$AFS$9:$AFZ$41,START!$C$3,2))+(BK$38*INDEX('DEFAULT DATA'!$XC$9:$XJ$41,START!$C$3,2))+(BK$39*INDEX('DEFAULT DATA'!$YI$9:$YP$41,START!$C$3,2)))*INDEX('DEFAULT DATA'!$VD$9:$VK$41,START!$C$3,2)/1000000)</f>
        <v>146.64775581009226</v>
      </c>
      <c r="BL44" s="272">
        <f>IF((BL$42-2021)&lt;START!$C$2,0,((BL$37*INDEX('DEFAULT DATA'!$AFS$9:$AFZ$41,START!$C$3,2))+(BL$38*INDEX('DEFAULT DATA'!$XC$9:$XJ$41,START!$C$3,2))+(BL$39*INDEX('DEFAULT DATA'!$YI$9:$YP$41,START!$C$3,2)))*INDEX('DEFAULT DATA'!$VD$9:$VK$41,START!$C$3,2)/1000000)</f>
        <v>146.64775581009226</v>
      </c>
      <c r="BM44" s="272">
        <f>IF((BM$42-2021)&lt;START!$C$2,0,((BM$37*INDEX('DEFAULT DATA'!$AFS$9:$AFZ$41,START!$C$3,2))+(BM$38*INDEX('DEFAULT DATA'!$XC$9:$XJ$41,START!$C$3,2))+(BM$39*INDEX('DEFAULT DATA'!$YI$9:$YP$41,START!$C$3,2)))*INDEX('DEFAULT DATA'!$VD$9:$VK$41,START!$C$3,2)/1000000)</f>
        <v>146.64775581009226</v>
      </c>
      <c r="BN44" s="324">
        <f>IF((BN$42-2021)&lt;START!$C$2,0,((BN$37*INDEX('DEFAULT DATA'!$AFS$9:$AFZ$41,START!$C$3,2))+(BN$38*INDEX('DEFAULT DATA'!$XC$9:$XJ$41,START!$C$3,2))+(BN$39*INDEX('DEFAULT DATA'!$YI$9:$YP$41,START!$C$3,2)))*INDEX('DEFAULT DATA'!$VD$9:$VK$41,START!$C$3,2)/1000000)</f>
        <v>146.64775581009226</v>
      </c>
      <c r="BP44" s="524" t="str">
        <f t="shared" ref="BP44:BP50" si="8">AG44</f>
        <v>Gas</v>
      </c>
      <c r="BQ44" s="530" t="s">
        <v>1720</v>
      </c>
      <c r="BR44" s="531"/>
      <c r="BS44" s="531"/>
      <c r="BT44" s="531"/>
      <c r="BU44" s="531"/>
      <c r="BV44" s="531"/>
      <c r="BW44" s="531"/>
      <c r="BX44" s="531"/>
      <c r="BY44" s="531"/>
      <c r="BZ44" s="531"/>
      <c r="CA44" s="531"/>
      <c r="CB44" s="531"/>
      <c r="CC44" s="531"/>
      <c r="CD44" s="531"/>
      <c r="CE44" s="532"/>
      <c r="CF44" s="529" t="s">
        <v>1600</v>
      </c>
      <c r="CG44" s="529" t="s">
        <v>1607</v>
      </c>
      <c r="CH44" s="529" t="s">
        <v>1614</v>
      </c>
      <c r="CI44" s="529" t="s">
        <v>1248</v>
      </c>
    </row>
    <row r="45" spans="1:87" ht="20.100000000000001" customHeight="1">
      <c r="A45" s="40"/>
      <c r="B45" s="34"/>
      <c r="C45" s="34"/>
      <c r="D45" s="34"/>
      <c r="E45" s="34"/>
      <c r="F45" s="34"/>
      <c r="G45" s="34"/>
      <c r="H45" s="34"/>
      <c r="I45" s="34"/>
      <c r="J45" s="34"/>
      <c r="K45" s="41"/>
      <c r="L45" s="29"/>
      <c r="M45" s="968"/>
      <c r="N45" s="971"/>
      <c r="O45" s="971"/>
      <c r="P45" s="971"/>
      <c r="Q45" s="971"/>
      <c r="R45" s="971"/>
      <c r="S45" s="971"/>
      <c r="T45" s="971"/>
      <c r="U45" s="971"/>
      <c r="V45" s="971"/>
      <c r="W45" s="971"/>
      <c r="X45" s="971"/>
      <c r="Y45" s="971"/>
      <c r="Z45" s="971"/>
      <c r="AA45" s="971"/>
      <c r="AB45" s="971"/>
      <c r="AC45" s="971"/>
      <c r="AD45" s="971"/>
      <c r="AE45" s="971"/>
      <c r="AF45" s="1492"/>
      <c r="AG45" s="1513" t="s">
        <v>1221</v>
      </c>
      <c r="AH45" s="1514"/>
      <c r="AI45" s="1514"/>
      <c r="AJ45" s="1515"/>
      <c r="AK45" s="220">
        <v>0</v>
      </c>
      <c r="AL45" s="272">
        <f>IF((AL$42-2021)&lt;START!$C$2,0,((AL$37*INDEX('DEFAULT DATA'!$AFS$9:$AFZ$41,START!$C$3,3))+(AL$38*INDEX('DEFAULT DATA'!$XC$9:$XJ$41,START!$C$3,3))+(AL$39*INDEX('DEFAULT DATA'!$YI$9:$YP$41,START!$C$3,3)))*INDEX('DEFAULT DATA'!$VD$9:$VK$41,START!$C$3,3)/1000000)</f>
        <v>0</v>
      </c>
      <c r="AM45" s="272">
        <f>IF((AM$42-2021)&lt;START!$C$2,0,((AM$37*INDEX('DEFAULT DATA'!$AFS$9:$AFZ$41,START!$C$3,3))+(AM$38*INDEX('DEFAULT DATA'!$XC$9:$XJ$41,START!$C$3,3))+(AM$39*INDEX('DEFAULT DATA'!$YI$9:$YP$41,START!$C$3,3)))*INDEX('DEFAULT DATA'!$VD$9:$VK$41,START!$C$3,3)/1000000)</f>
        <v>1620.3851038026037</v>
      </c>
      <c r="AN45" s="272">
        <f>IF((AN$42-2021)&lt;START!$C$2,0,((AN$37*INDEX('DEFAULT DATA'!$AFS$9:$AFZ$41,START!$C$3,3))+(AN$38*INDEX('DEFAULT DATA'!$XC$9:$XJ$41,START!$C$3,3))+(AN$39*INDEX('DEFAULT DATA'!$YI$9:$YP$41,START!$C$3,3)))*INDEX('DEFAULT DATA'!$VD$9:$VK$41,START!$C$3,3)/1000000)</f>
        <v>1620.3851038026037</v>
      </c>
      <c r="AO45" s="272">
        <f>IF((AO$42-2021)&lt;START!$C$2,0,((AO$37*INDEX('DEFAULT DATA'!$AFS$9:$AFZ$41,START!$C$3,3))+(AO$38*INDEX('DEFAULT DATA'!$XC$9:$XJ$41,START!$C$3,3))+(AO$39*INDEX('DEFAULT DATA'!$YI$9:$YP$41,START!$C$3,3)))*INDEX('DEFAULT DATA'!$VD$9:$VK$41,START!$C$3,3)/1000000)</f>
        <v>1620.3851038026037</v>
      </c>
      <c r="AP45" s="272">
        <f>IF((AP$42-2021)&lt;START!$C$2,0,((AP$37*INDEX('DEFAULT DATA'!$AFS$9:$AFZ$41,START!$C$3,3))+(AP$38*INDEX('DEFAULT DATA'!$XC$9:$XJ$41,START!$C$3,3))+(AP$39*INDEX('DEFAULT DATA'!$YI$9:$YP$41,START!$C$3,3)))*INDEX('DEFAULT DATA'!$VD$9:$VK$41,START!$C$3,3)/1000000)</f>
        <v>1620.3851038026037</v>
      </c>
      <c r="AQ45" s="272">
        <f>IF((AQ$42-2021)&lt;START!$C$2,0,((AQ$37*INDEX('DEFAULT DATA'!$AFS$9:$AFZ$41,START!$C$3,3))+(AQ$38*INDEX('DEFAULT DATA'!$XC$9:$XJ$41,START!$C$3,3))+(AQ$39*INDEX('DEFAULT DATA'!$YI$9:$YP$41,START!$C$3,3)))*INDEX('DEFAULT DATA'!$VD$9:$VK$41,START!$C$3,3)/1000000)</f>
        <v>1620.3851038026037</v>
      </c>
      <c r="AR45" s="272">
        <f>IF((AR$42-2021)&lt;START!$C$2,0,((AR$37*INDEX('DEFAULT DATA'!$AFS$9:$AFZ$41,START!$C$3,3))+(AR$38*INDEX('DEFAULT DATA'!$XC$9:$XJ$41,START!$C$3,3))+(AR$39*INDEX('DEFAULT DATA'!$YI$9:$YP$41,START!$C$3,3)))*INDEX('DEFAULT DATA'!$VD$9:$VK$41,START!$C$3,3)/1000000)</f>
        <v>1620.3851038026037</v>
      </c>
      <c r="AS45" s="272">
        <f>IF((AS$42-2021)&lt;START!$C$2,0,((AS$37*INDEX('DEFAULT DATA'!$AFS$9:$AFZ$41,START!$C$3,3))+(AS$38*INDEX('DEFAULT DATA'!$XC$9:$XJ$41,START!$C$3,3))+(AS$39*INDEX('DEFAULT DATA'!$YI$9:$YP$41,START!$C$3,3)))*INDEX('DEFAULT DATA'!$VD$9:$VK$41,START!$C$3,3)/1000000)</f>
        <v>1620.3851038026037</v>
      </c>
      <c r="AT45" s="272">
        <f>IF((AT$42-2021)&lt;START!$C$2,0,((AT$37*INDEX('DEFAULT DATA'!$AFS$9:$AFZ$41,START!$C$3,3))+(AT$38*INDEX('DEFAULT DATA'!$XC$9:$XJ$41,START!$C$3,3))+(AT$39*INDEX('DEFAULT DATA'!$YI$9:$YP$41,START!$C$3,3)))*INDEX('DEFAULT DATA'!$VD$9:$VK$41,START!$C$3,3)/1000000)</f>
        <v>1620.3851038026037</v>
      </c>
      <c r="AU45" s="272">
        <f>IF((AU$42-2021)&lt;START!$C$2,0,((AU$37*INDEX('DEFAULT DATA'!$AFS$9:$AFZ$41,START!$C$3,3))+(AU$38*INDEX('DEFAULT DATA'!$XC$9:$XJ$41,START!$C$3,3))+(AU$39*INDEX('DEFAULT DATA'!$YI$9:$YP$41,START!$C$3,3)))*INDEX('DEFAULT DATA'!$VD$9:$VK$41,START!$C$3,3)/1000000)</f>
        <v>1620.3851038026037</v>
      </c>
      <c r="AV45" s="272">
        <f>IF((AV$42-2021)&lt;START!$C$2,0,((AV$37*INDEX('DEFAULT DATA'!$AFS$9:$AFZ$41,START!$C$3,3))+(AV$38*INDEX('DEFAULT DATA'!$XC$9:$XJ$41,START!$C$3,3))+(AV$39*INDEX('DEFAULT DATA'!$YI$9:$YP$41,START!$C$3,3)))*INDEX('DEFAULT DATA'!$VD$9:$VK$41,START!$C$3,3)/1000000)</f>
        <v>1620.3851038026037</v>
      </c>
      <c r="AW45" s="272">
        <f>IF((AW$42-2021)&lt;START!$C$2,0,((AW$37*INDEX('DEFAULT DATA'!$AFS$9:$AFZ$41,START!$C$3,3))+(AW$38*INDEX('DEFAULT DATA'!$XC$9:$XJ$41,START!$C$3,3))+(AW$39*INDEX('DEFAULT DATA'!$YI$9:$YP$41,START!$C$3,3)))*INDEX('DEFAULT DATA'!$VD$9:$VK$41,START!$C$3,3)/1000000)</f>
        <v>1620.3851038026037</v>
      </c>
      <c r="AX45" s="272">
        <f>IF((AX$42-2021)&lt;START!$C$2,0,((AX$37*INDEX('DEFAULT DATA'!$AFS$9:$AFZ$41,START!$C$3,3))+(AX$38*INDEX('DEFAULT DATA'!$XC$9:$XJ$41,START!$C$3,3))+(AX$39*INDEX('DEFAULT DATA'!$YI$9:$YP$41,START!$C$3,3)))*INDEX('DEFAULT DATA'!$VD$9:$VK$41,START!$C$3,3)/1000000)</f>
        <v>1620.3851038026037</v>
      </c>
      <c r="AY45" s="272">
        <f>IF((AY$42-2021)&lt;START!$C$2,0,((AY$37*INDEX('DEFAULT DATA'!$AFS$9:$AFZ$41,START!$C$3,3))+(AY$38*INDEX('DEFAULT DATA'!$XC$9:$XJ$41,START!$C$3,3))+(AY$39*INDEX('DEFAULT DATA'!$YI$9:$YP$41,START!$C$3,3)))*INDEX('DEFAULT DATA'!$VD$9:$VK$41,START!$C$3,3)/1000000)</f>
        <v>1620.3851038026037</v>
      </c>
      <c r="AZ45" s="272">
        <f>IF((AZ$42-2021)&lt;START!$C$2,0,((AZ$37*INDEX('DEFAULT DATA'!$AFS$9:$AFZ$41,START!$C$3,3))+(AZ$38*INDEX('DEFAULT DATA'!$XC$9:$XJ$41,START!$C$3,3))+(AZ$39*INDEX('DEFAULT DATA'!$YI$9:$YP$41,START!$C$3,3)))*INDEX('DEFAULT DATA'!$VD$9:$VK$41,START!$C$3,3)/1000000)</f>
        <v>1620.3851038026037</v>
      </c>
      <c r="BA45" s="272">
        <f>IF((BA$42-2021)&lt;START!$C$2,0,((BA$37*INDEX('DEFAULT DATA'!$AFS$9:$AFZ$41,START!$C$3,3))+(BA$38*INDEX('DEFAULT DATA'!$XC$9:$XJ$41,START!$C$3,3))+(BA$39*INDEX('DEFAULT DATA'!$YI$9:$YP$41,START!$C$3,3)))*INDEX('DEFAULT DATA'!$VD$9:$VK$41,START!$C$3,3)/1000000)</f>
        <v>1620.3851038026037</v>
      </c>
      <c r="BB45" s="272">
        <f>IF((BB$42-2021)&lt;START!$C$2,0,((BB$37*INDEX('DEFAULT DATA'!$AFS$9:$AFZ$41,START!$C$3,3))+(BB$38*INDEX('DEFAULT DATA'!$XC$9:$XJ$41,START!$C$3,3))+(BB$39*INDEX('DEFAULT DATA'!$YI$9:$YP$41,START!$C$3,3)))*INDEX('DEFAULT DATA'!$VD$9:$VK$41,START!$C$3,3)/1000000)</f>
        <v>1620.3851038026037</v>
      </c>
      <c r="BC45" s="272">
        <f>IF((BC$42-2021)&lt;START!$C$2,0,((BC$37*INDEX('DEFAULT DATA'!$AFS$9:$AFZ$41,START!$C$3,3))+(BC$38*INDEX('DEFAULT DATA'!$XC$9:$XJ$41,START!$C$3,3))+(BC$39*INDEX('DEFAULT DATA'!$YI$9:$YP$41,START!$C$3,3)))*INDEX('DEFAULT DATA'!$VD$9:$VK$41,START!$C$3,3)/1000000)</f>
        <v>1620.3851038026037</v>
      </c>
      <c r="BD45" s="272">
        <f>IF((BD$42-2021)&lt;START!$C$2,0,((BD$37*INDEX('DEFAULT DATA'!$AFS$9:$AFZ$41,START!$C$3,3))+(BD$38*INDEX('DEFAULT DATA'!$XC$9:$XJ$41,START!$C$3,3))+(BD$39*INDEX('DEFAULT DATA'!$YI$9:$YP$41,START!$C$3,3)))*INDEX('DEFAULT DATA'!$VD$9:$VK$41,START!$C$3,3)/1000000)</f>
        <v>1620.3851038026037</v>
      </c>
      <c r="BE45" s="272">
        <f>IF((BE$42-2021)&lt;START!$C$2,0,((BE$37*INDEX('DEFAULT DATA'!$AFS$9:$AFZ$41,START!$C$3,3))+(BE$38*INDEX('DEFAULT DATA'!$XC$9:$XJ$41,START!$C$3,3))+(BE$39*INDEX('DEFAULT DATA'!$YI$9:$YP$41,START!$C$3,3)))*INDEX('DEFAULT DATA'!$VD$9:$VK$41,START!$C$3,3)/1000000)</f>
        <v>1620.3851038026037</v>
      </c>
      <c r="BF45" s="272">
        <f>IF((BF$42-2021)&lt;START!$C$2,0,((BF$37*INDEX('DEFAULT DATA'!$AFS$9:$AFZ$41,START!$C$3,3))+(BF$38*INDEX('DEFAULT DATA'!$XC$9:$XJ$41,START!$C$3,3))+(BF$39*INDEX('DEFAULT DATA'!$YI$9:$YP$41,START!$C$3,3)))*INDEX('DEFAULT DATA'!$VD$9:$VK$41,START!$C$3,3)/1000000)</f>
        <v>1620.3851038026037</v>
      </c>
      <c r="BG45" s="272">
        <f>IF((BG$42-2021)&lt;START!$C$2,0,((BG$37*INDEX('DEFAULT DATA'!$AFS$9:$AFZ$41,START!$C$3,3))+(BG$38*INDEX('DEFAULT DATA'!$XC$9:$XJ$41,START!$C$3,3))+(BG$39*INDEX('DEFAULT DATA'!$YI$9:$YP$41,START!$C$3,3)))*INDEX('DEFAULT DATA'!$VD$9:$VK$41,START!$C$3,3)/1000000)</f>
        <v>1620.3851038026037</v>
      </c>
      <c r="BH45" s="272">
        <f>IF((BH$42-2021)&lt;START!$C$2,0,((BH$37*INDEX('DEFAULT DATA'!$AFS$9:$AFZ$41,START!$C$3,3))+(BH$38*INDEX('DEFAULT DATA'!$XC$9:$XJ$41,START!$C$3,3))+(BH$39*INDEX('DEFAULT DATA'!$YI$9:$YP$41,START!$C$3,3)))*INDEX('DEFAULT DATA'!$VD$9:$VK$41,START!$C$3,3)/1000000)</f>
        <v>1620.3851038026037</v>
      </c>
      <c r="BI45" s="272">
        <f>IF((BI$42-2021)&lt;START!$C$2,0,((BI$37*INDEX('DEFAULT DATA'!$AFS$9:$AFZ$41,START!$C$3,3))+(BI$38*INDEX('DEFAULT DATA'!$XC$9:$XJ$41,START!$C$3,3))+(BI$39*INDEX('DEFAULT DATA'!$YI$9:$YP$41,START!$C$3,3)))*INDEX('DEFAULT DATA'!$VD$9:$VK$41,START!$C$3,3)/1000000)</f>
        <v>1620.3851038026037</v>
      </c>
      <c r="BJ45" s="272">
        <f>IF((BJ$42-2021)&lt;START!$C$2,0,((BJ$37*INDEX('DEFAULT DATA'!$AFS$9:$AFZ$41,START!$C$3,3))+(BJ$38*INDEX('DEFAULT DATA'!$XC$9:$XJ$41,START!$C$3,3))+(BJ$39*INDEX('DEFAULT DATA'!$YI$9:$YP$41,START!$C$3,3)))*INDEX('DEFAULT DATA'!$VD$9:$VK$41,START!$C$3,3)/1000000)</f>
        <v>1620.3851038026037</v>
      </c>
      <c r="BK45" s="272">
        <f>IF((BK$42-2021)&lt;START!$C$2,0,((BK$37*INDEX('DEFAULT DATA'!$AFS$9:$AFZ$41,START!$C$3,3))+(BK$38*INDEX('DEFAULT DATA'!$XC$9:$XJ$41,START!$C$3,3))+(BK$39*INDEX('DEFAULT DATA'!$YI$9:$YP$41,START!$C$3,3)))*INDEX('DEFAULT DATA'!$VD$9:$VK$41,START!$C$3,3)/1000000)</f>
        <v>1620.3851038026037</v>
      </c>
      <c r="BL45" s="272">
        <f>IF((BL$42-2021)&lt;START!$C$2,0,((BL$37*INDEX('DEFAULT DATA'!$AFS$9:$AFZ$41,START!$C$3,3))+(BL$38*INDEX('DEFAULT DATA'!$XC$9:$XJ$41,START!$C$3,3))+(BL$39*INDEX('DEFAULT DATA'!$YI$9:$YP$41,START!$C$3,3)))*INDEX('DEFAULT DATA'!$VD$9:$VK$41,START!$C$3,3)/1000000)</f>
        <v>1620.3851038026037</v>
      </c>
      <c r="BM45" s="272">
        <f>IF((BM$42-2021)&lt;START!$C$2,0,((BM$37*INDEX('DEFAULT DATA'!$AFS$9:$AFZ$41,START!$C$3,3))+(BM$38*INDEX('DEFAULT DATA'!$XC$9:$XJ$41,START!$C$3,3))+(BM$39*INDEX('DEFAULT DATA'!$YI$9:$YP$41,START!$C$3,3)))*INDEX('DEFAULT DATA'!$VD$9:$VK$41,START!$C$3,3)/1000000)</f>
        <v>1620.3851038026037</v>
      </c>
      <c r="BN45" s="324">
        <f>IF((BN$42-2021)&lt;START!$C$2,0,((BN$37*INDEX('DEFAULT DATA'!$AFS$9:$AFZ$41,START!$C$3,3))+(BN$38*INDEX('DEFAULT DATA'!$XC$9:$XJ$41,START!$C$3,3))+(BN$39*INDEX('DEFAULT DATA'!$YI$9:$YP$41,START!$C$3,3)))*INDEX('DEFAULT DATA'!$VD$9:$VK$41,START!$C$3,3)/1000000)</f>
        <v>1620.3851038026037</v>
      </c>
      <c r="BP45" s="524" t="str">
        <f t="shared" si="8"/>
        <v>Oil</v>
      </c>
      <c r="BQ45" s="530" t="s">
        <v>1721</v>
      </c>
      <c r="BR45" s="531"/>
      <c r="BS45" s="531"/>
      <c r="BT45" s="531"/>
      <c r="BU45" s="531"/>
      <c r="BV45" s="531"/>
      <c r="BW45" s="531"/>
      <c r="BX45" s="531"/>
      <c r="BY45" s="531"/>
      <c r="BZ45" s="531"/>
      <c r="CA45" s="531"/>
      <c r="CB45" s="531"/>
      <c r="CC45" s="531"/>
      <c r="CD45" s="531"/>
      <c r="CE45" s="532"/>
      <c r="CF45" s="529" t="s">
        <v>1601</v>
      </c>
      <c r="CG45" s="529" t="s">
        <v>1608</v>
      </c>
      <c r="CH45" s="529" t="s">
        <v>1615</v>
      </c>
      <c r="CI45" s="529" t="s">
        <v>1621</v>
      </c>
    </row>
    <row r="46" spans="1:87" ht="20.100000000000001" customHeight="1">
      <c r="A46" s="40"/>
      <c r="B46" s="34"/>
      <c r="C46" s="34"/>
      <c r="D46" s="34"/>
      <c r="E46" s="34"/>
      <c r="F46" s="34"/>
      <c r="G46" s="197"/>
      <c r="H46" s="34"/>
      <c r="I46" s="34"/>
      <c r="J46" s="227"/>
      <c r="K46" s="41"/>
      <c r="L46" s="29"/>
      <c r="M46" s="968"/>
      <c r="N46" s="971"/>
      <c r="O46" s="971"/>
      <c r="P46" s="971"/>
      <c r="Q46" s="971"/>
      <c r="R46" s="971"/>
      <c r="S46" s="971"/>
      <c r="T46" s="971"/>
      <c r="U46" s="971"/>
      <c r="V46" s="971"/>
      <c r="W46" s="971"/>
      <c r="X46" s="971"/>
      <c r="Y46" s="971"/>
      <c r="Z46" s="971"/>
      <c r="AA46" s="971"/>
      <c r="AB46" s="971"/>
      <c r="AC46" s="971"/>
      <c r="AD46" s="971"/>
      <c r="AE46" s="971"/>
      <c r="AF46" s="1492"/>
      <c r="AG46" s="1513" t="s">
        <v>1222</v>
      </c>
      <c r="AH46" s="1514"/>
      <c r="AI46" s="1514"/>
      <c r="AJ46" s="1515"/>
      <c r="AK46" s="220">
        <v>0</v>
      </c>
      <c r="AL46" s="272">
        <f>IF((AL$42-2021)&lt;START!$C$2,0,((AL$37*INDEX('DEFAULT DATA'!$AFS$9:$AFZ$41,START!$C$3,4))+(AL$38*INDEX('DEFAULT DATA'!$XC$9:$XJ$41,START!$C$3,4))+(AL$39*INDEX('DEFAULT DATA'!$YI$9:$YP$41,START!$C$3,4)))*INDEX('DEFAULT DATA'!$VD$9:$VK$41,START!$C$3,4)/1000000)</f>
        <v>0</v>
      </c>
      <c r="AM46" s="272">
        <f>IF((AM$42-2021)&lt;START!$C$2,0,((AM$37*INDEX('DEFAULT DATA'!$AFS$9:$AFZ$41,START!$C$3,4))+(AM$38*INDEX('DEFAULT DATA'!$XC$9:$XJ$41,START!$C$3,4))+(AM$39*INDEX('DEFAULT DATA'!$YI$9:$YP$41,START!$C$3,4)))*INDEX('DEFAULT DATA'!$VD$9:$VK$41,START!$C$3,4)/1000000)</f>
        <v>0</v>
      </c>
      <c r="AN46" s="272">
        <f>IF((AN$42-2021)&lt;START!$C$2,0,((AN$37*INDEX('DEFAULT DATA'!$AFS$9:$AFZ$41,START!$C$3,4))+(AN$38*INDEX('DEFAULT DATA'!$XC$9:$XJ$41,START!$C$3,4))+(AN$39*INDEX('DEFAULT DATA'!$YI$9:$YP$41,START!$C$3,4)))*INDEX('DEFAULT DATA'!$VD$9:$VK$41,START!$C$3,4)/1000000)</f>
        <v>0</v>
      </c>
      <c r="AO46" s="272">
        <f>IF((AO$42-2021)&lt;START!$C$2,0,((AO$37*INDEX('DEFAULT DATA'!$AFS$9:$AFZ$41,START!$C$3,4))+(AO$38*INDEX('DEFAULT DATA'!$XC$9:$XJ$41,START!$C$3,4))+(AO$39*INDEX('DEFAULT DATA'!$YI$9:$YP$41,START!$C$3,4)))*INDEX('DEFAULT DATA'!$VD$9:$VK$41,START!$C$3,4)/1000000)</f>
        <v>0</v>
      </c>
      <c r="AP46" s="272">
        <f>IF((AP$42-2021)&lt;START!$C$2,0,((AP$37*INDEX('DEFAULT DATA'!$AFS$9:$AFZ$41,START!$C$3,4))+(AP$38*INDEX('DEFAULT DATA'!$XC$9:$XJ$41,START!$C$3,4))+(AP$39*INDEX('DEFAULT DATA'!$YI$9:$YP$41,START!$C$3,4)))*INDEX('DEFAULT DATA'!$VD$9:$VK$41,START!$C$3,4)/1000000)</f>
        <v>0</v>
      </c>
      <c r="AQ46" s="272">
        <f>IF((AQ$42-2021)&lt;START!$C$2,0,((AQ$37*INDEX('DEFAULT DATA'!$AFS$9:$AFZ$41,START!$C$3,4))+(AQ$38*INDEX('DEFAULT DATA'!$XC$9:$XJ$41,START!$C$3,4))+(AQ$39*INDEX('DEFAULT DATA'!$YI$9:$YP$41,START!$C$3,4)))*INDEX('DEFAULT DATA'!$VD$9:$VK$41,START!$C$3,4)/1000000)</f>
        <v>0</v>
      </c>
      <c r="AR46" s="272">
        <f>IF((AR$42-2021)&lt;START!$C$2,0,((AR$37*INDEX('DEFAULT DATA'!$AFS$9:$AFZ$41,START!$C$3,4))+(AR$38*INDEX('DEFAULT DATA'!$XC$9:$XJ$41,START!$C$3,4))+(AR$39*INDEX('DEFAULT DATA'!$YI$9:$YP$41,START!$C$3,4)))*INDEX('DEFAULT DATA'!$VD$9:$VK$41,START!$C$3,4)/1000000)</f>
        <v>0</v>
      </c>
      <c r="AS46" s="272">
        <f>IF((AS$42-2021)&lt;START!$C$2,0,((AS$37*INDEX('DEFAULT DATA'!$AFS$9:$AFZ$41,START!$C$3,4))+(AS$38*INDEX('DEFAULT DATA'!$XC$9:$XJ$41,START!$C$3,4))+(AS$39*INDEX('DEFAULT DATA'!$YI$9:$YP$41,START!$C$3,4)))*INDEX('DEFAULT DATA'!$VD$9:$VK$41,START!$C$3,4)/1000000)</f>
        <v>0</v>
      </c>
      <c r="AT46" s="272">
        <f>IF((AT$42-2021)&lt;START!$C$2,0,((AT$37*INDEX('DEFAULT DATA'!$AFS$9:$AFZ$41,START!$C$3,4))+(AT$38*INDEX('DEFAULT DATA'!$XC$9:$XJ$41,START!$C$3,4))+(AT$39*INDEX('DEFAULT DATA'!$YI$9:$YP$41,START!$C$3,4)))*INDEX('DEFAULT DATA'!$VD$9:$VK$41,START!$C$3,4)/1000000)</f>
        <v>0</v>
      </c>
      <c r="AU46" s="272">
        <f>IF((AU$42-2021)&lt;START!$C$2,0,((AU$37*INDEX('DEFAULT DATA'!$AFS$9:$AFZ$41,START!$C$3,4))+(AU$38*INDEX('DEFAULT DATA'!$XC$9:$XJ$41,START!$C$3,4))+(AU$39*INDEX('DEFAULT DATA'!$YI$9:$YP$41,START!$C$3,4)))*INDEX('DEFAULT DATA'!$VD$9:$VK$41,START!$C$3,4)/1000000)</f>
        <v>0</v>
      </c>
      <c r="AV46" s="272">
        <f>IF((AV$42-2021)&lt;START!$C$2,0,((AV$37*INDEX('DEFAULT DATA'!$AFS$9:$AFZ$41,START!$C$3,4))+(AV$38*INDEX('DEFAULT DATA'!$XC$9:$XJ$41,START!$C$3,4))+(AV$39*INDEX('DEFAULT DATA'!$YI$9:$YP$41,START!$C$3,4)))*INDEX('DEFAULT DATA'!$VD$9:$VK$41,START!$C$3,4)/1000000)</f>
        <v>0</v>
      </c>
      <c r="AW46" s="272">
        <f>IF((AW$42-2021)&lt;START!$C$2,0,((AW$37*INDEX('DEFAULT DATA'!$AFS$9:$AFZ$41,START!$C$3,4))+(AW$38*INDEX('DEFAULT DATA'!$XC$9:$XJ$41,START!$C$3,4))+(AW$39*INDEX('DEFAULT DATA'!$YI$9:$YP$41,START!$C$3,4)))*INDEX('DEFAULT DATA'!$VD$9:$VK$41,START!$C$3,4)/1000000)</f>
        <v>0</v>
      </c>
      <c r="AX46" s="272">
        <f>IF((AX$42-2021)&lt;START!$C$2,0,((AX$37*INDEX('DEFAULT DATA'!$AFS$9:$AFZ$41,START!$C$3,4))+(AX$38*INDEX('DEFAULT DATA'!$XC$9:$XJ$41,START!$C$3,4))+(AX$39*INDEX('DEFAULT DATA'!$YI$9:$YP$41,START!$C$3,4)))*INDEX('DEFAULT DATA'!$VD$9:$VK$41,START!$C$3,4)/1000000)</f>
        <v>0</v>
      </c>
      <c r="AY46" s="272">
        <f>IF((AY$42-2021)&lt;START!$C$2,0,((AY$37*INDEX('DEFAULT DATA'!$AFS$9:$AFZ$41,START!$C$3,4))+(AY$38*INDEX('DEFAULT DATA'!$XC$9:$XJ$41,START!$C$3,4))+(AY$39*INDEX('DEFAULT DATA'!$YI$9:$YP$41,START!$C$3,4)))*INDEX('DEFAULT DATA'!$VD$9:$VK$41,START!$C$3,4)/1000000)</f>
        <v>0</v>
      </c>
      <c r="AZ46" s="272">
        <f>IF((AZ$42-2021)&lt;START!$C$2,0,((AZ$37*INDEX('DEFAULT DATA'!$AFS$9:$AFZ$41,START!$C$3,4))+(AZ$38*INDEX('DEFAULT DATA'!$XC$9:$XJ$41,START!$C$3,4))+(AZ$39*INDEX('DEFAULT DATA'!$YI$9:$YP$41,START!$C$3,4)))*INDEX('DEFAULT DATA'!$VD$9:$VK$41,START!$C$3,4)/1000000)</f>
        <v>0</v>
      </c>
      <c r="BA46" s="272">
        <f>IF((BA$42-2021)&lt;START!$C$2,0,((BA$37*INDEX('DEFAULT DATA'!$AFS$9:$AFZ$41,START!$C$3,4))+(BA$38*INDEX('DEFAULT DATA'!$XC$9:$XJ$41,START!$C$3,4))+(BA$39*INDEX('DEFAULT DATA'!$YI$9:$YP$41,START!$C$3,4)))*INDEX('DEFAULT DATA'!$VD$9:$VK$41,START!$C$3,4)/1000000)</f>
        <v>0</v>
      </c>
      <c r="BB46" s="272">
        <f>IF((BB$42-2021)&lt;START!$C$2,0,((BB$37*INDEX('DEFAULT DATA'!$AFS$9:$AFZ$41,START!$C$3,4))+(BB$38*INDEX('DEFAULT DATA'!$XC$9:$XJ$41,START!$C$3,4))+(BB$39*INDEX('DEFAULT DATA'!$YI$9:$YP$41,START!$C$3,4)))*INDEX('DEFAULT DATA'!$VD$9:$VK$41,START!$C$3,4)/1000000)</f>
        <v>0</v>
      </c>
      <c r="BC46" s="272">
        <f>IF((BC$42-2021)&lt;START!$C$2,0,((BC$37*INDEX('DEFAULT DATA'!$AFS$9:$AFZ$41,START!$C$3,4))+(BC$38*INDEX('DEFAULT DATA'!$XC$9:$XJ$41,START!$C$3,4))+(BC$39*INDEX('DEFAULT DATA'!$YI$9:$YP$41,START!$C$3,4)))*INDEX('DEFAULT DATA'!$VD$9:$VK$41,START!$C$3,4)/1000000)</f>
        <v>0</v>
      </c>
      <c r="BD46" s="272">
        <f>IF((BD$42-2021)&lt;START!$C$2,0,((BD$37*INDEX('DEFAULT DATA'!$AFS$9:$AFZ$41,START!$C$3,4))+(BD$38*INDEX('DEFAULT DATA'!$XC$9:$XJ$41,START!$C$3,4))+(BD$39*INDEX('DEFAULT DATA'!$YI$9:$YP$41,START!$C$3,4)))*INDEX('DEFAULT DATA'!$VD$9:$VK$41,START!$C$3,4)/1000000)</f>
        <v>0</v>
      </c>
      <c r="BE46" s="272">
        <f>IF((BE$42-2021)&lt;START!$C$2,0,((BE$37*INDEX('DEFAULT DATA'!$AFS$9:$AFZ$41,START!$C$3,4))+(BE$38*INDEX('DEFAULT DATA'!$XC$9:$XJ$41,START!$C$3,4))+(BE$39*INDEX('DEFAULT DATA'!$YI$9:$YP$41,START!$C$3,4)))*INDEX('DEFAULT DATA'!$VD$9:$VK$41,START!$C$3,4)/1000000)</f>
        <v>0</v>
      </c>
      <c r="BF46" s="272">
        <f>IF((BF$42-2021)&lt;START!$C$2,0,((BF$37*INDEX('DEFAULT DATA'!$AFS$9:$AFZ$41,START!$C$3,4))+(BF$38*INDEX('DEFAULT DATA'!$XC$9:$XJ$41,START!$C$3,4))+(BF$39*INDEX('DEFAULT DATA'!$YI$9:$YP$41,START!$C$3,4)))*INDEX('DEFAULT DATA'!$VD$9:$VK$41,START!$C$3,4)/1000000)</f>
        <v>0</v>
      </c>
      <c r="BG46" s="272">
        <f>IF((BG$42-2021)&lt;START!$C$2,0,((BG$37*INDEX('DEFAULT DATA'!$AFS$9:$AFZ$41,START!$C$3,4))+(BG$38*INDEX('DEFAULT DATA'!$XC$9:$XJ$41,START!$C$3,4))+(BG$39*INDEX('DEFAULT DATA'!$YI$9:$YP$41,START!$C$3,4)))*INDEX('DEFAULT DATA'!$VD$9:$VK$41,START!$C$3,4)/1000000)</f>
        <v>0</v>
      </c>
      <c r="BH46" s="272">
        <f>IF((BH$42-2021)&lt;START!$C$2,0,((BH$37*INDEX('DEFAULT DATA'!$AFS$9:$AFZ$41,START!$C$3,4))+(BH$38*INDEX('DEFAULT DATA'!$XC$9:$XJ$41,START!$C$3,4))+(BH$39*INDEX('DEFAULT DATA'!$YI$9:$YP$41,START!$C$3,4)))*INDEX('DEFAULT DATA'!$VD$9:$VK$41,START!$C$3,4)/1000000)</f>
        <v>0</v>
      </c>
      <c r="BI46" s="272">
        <f>IF((BI$42-2021)&lt;START!$C$2,0,((BI$37*INDEX('DEFAULT DATA'!$AFS$9:$AFZ$41,START!$C$3,4))+(BI$38*INDEX('DEFAULT DATA'!$XC$9:$XJ$41,START!$C$3,4))+(BI$39*INDEX('DEFAULT DATA'!$YI$9:$YP$41,START!$C$3,4)))*INDEX('DEFAULT DATA'!$VD$9:$VK$41,START!$C$3,4)/1000000)</f>
        <v>0</v>
      </c>
      <c r="BJ46" s="272">
        <f>IF((BJ$42-2021)&lt;START!$C$2,0,((BJ$37*INDEX('DEFAULT DATA'!$AFS$9:$AFZ$41,START!$C$3,4))+(BJ$38*INDEX('DEFAULT DATA'!$XC$9:$XJ$41,START!$C$3,4))+(BJ$39*INDEX('DEFAULT DATA'!$YI$9:$YP$41,START!$C$3,4)))*INDEX('DEFAULT DATA'!$VD$9:$VK$41,START!$C$3,4)/1000000)</f>
        <v>0</v>
      </c>
      <c r="BK46" s="272">
        <f>IF((BK$42-2021)&lt;START!$C$2,0,((BK$37*INDEX('DEFAULT DATA'!$AFS$9:$AFZ$41,START!$C$3,4))+(BK$38*INDEX('DEFAULT DATA'!$XC$9:$XJ$41,START!$C$3,4))+(BK$39*INDEX('DEFAULT DATA'!$YI$9:$YP$41,START!$C$3,4)))*INDEX('DEFAULT DATA'!$VD$9:$VK$41,START!$C$3,4)/1000000)</f>
        <v>0</v>
      </c>
      <c r="BL46" s="272">
        <f>IF((BL$42-2021)&lt;START!$C$2,0,((BL$37*INDEX('DEFAULT DATA'!$AFS$9:$AFZ$41,START!$C$3,4))+(BL$38*INDEX('DEFAULT DATA'!$XC$9:$XJ$41,START!$C$3,4))+(BL$39*INDEX('DEFAULT DATA'!$YI$9:$YP$41,START!$C$3,4)))*INDEX('DEFAULT DATA'!$VD$9:$VK$41,START!$C$3,4)/1000000)</f>
        <v>0</v>
      </c>
      <c r="BM46" s="272">
        <f>IF((BM$42-2021)&lt;START!$C$2,0,((BM$37*INDEX('DEFAULT DATA'!$AFS$9:$AFZ$41,START!$C$3,4))+(BM$38*INDEX('DEFAULT DATA'!$XC$9:$XJ$41,START!$C$3,4))+(BM$39*INDEX('DEFAULT DATA'!$YI$9:$YP$41,START!$C$3,4)))*INDEX('DEFAULT DATA'!$VD$9:$VK$41,START!$C$3,4)/1000000)</f>
        <v>0</v>
      </c>
      <c r="BN46" s="324">
        <f>IF((BN$42-2021)&lt;START!$C$2,0,((BN$37*INDEX('DEFAULT DATA'!$AFS$9:$AFZ$41,START!$C$3,4))+(BN$38*INDEX('DEFAULT DATA'!$XC$9:$XJ$41,START!$C$3,4))+(BN$39*INDEX('DEFAULT DATA'!$YI$9:$YP$41,START!$C$3,4)))*INDEX('DEFAULT DATA'!$VD$9:$VK$41,START!$C$3,4)/1000000)</f>
        <v>0</v>
      </c>
      <c r="BP46" s="524" t="str">
        <f t="shared" si="8"/>
        <v>Coal</v>
      </c>
      <c r="BQ46" s="530" t="s">
        <v>1722</v>
      </c>
      <c r="BR46" s="531"/>
      <c r="BS46" s="531"/>
      <c r="BT46" s="531"/>
      <c r="BU46" s="531"/>
      <c r="BV46" s="531"/>
      <c r="BW46" s="531"/>
      <c r="BX46" s="531"/>
      <c r="BY46" s="531"/>
      <c r="BZ46" s="531"/>
      <c r="CA46" s="531"/>
      <c r="CB46" s="531"/>
      <c r="CC46" s="531"/>
      <c r="CD46" s="531"/>
      <c r="CE46" s="532"/>
      <c r="CF46" s="529" t="s">
        <v>1602</v>
      </c>
      <c r="CG46" s="529" t="s">
        <v>1609</v>
      </c>
      <c r="CH46" s="529" t="s">
        <v>1616</v>
      </c>
      <c r="CI46" s="529" t="s">
        <v>1622</v>
      </c>
    </row>
    <row r="47" spans="1:87" ht="20.100000000000001" customHeight="1">
      <c r="A47" s="40"/>
      <c r="B47" s="34"/>
      <c r="C47" s="34"/>
      <c r="D47" s="34"/>
      <c r="E47" s="34"/>
      <c r="F47" s="34"/>
      <c r="G47" s="197"/>
      <c r="H47" s="34"/>
      <c r="I47" s="34"/>
      <c r="J47" s="227"/>
      <c r="K47" s="41"/>
      <c r="L47" s="29"/>
      <c r="M47" s="968"/>
      <c r="N47" s="971"/>
      <c r="O47" s="971"/>
      <c r="P47" s="971"/>
      <c r="Q47" s="971"/>
      <c r="R47" s="971"/>
      <c r="S47" s="971"/>
      <c r="T47" s="971"/>
      <c r="U47" s="971"/>
      <c r="V47" s="971"/>
      <c r="W47" s="971"/>
      <c r="X47" s="971"/>
      <c r="Y47" s="971"/>
      <c r="Z47" s="971"/>
      <c r="AA47" s="971"/>
      <c r="AB47" s="971"/>
      <c r="AC47" s="971"/>
      <c r="AD47" s="971"/>
      <c r="AE47" s="971"/>
      <c r="AF47" s="1492"/>
      <c r="AG47" s="1513" t="s">
        <v>1223</v>
      </c>
      <c r="AH47" s="1514"/>
      <c r="AI47" s="1514"/>
      <c r="AJ47" s="1515"/>
      <c r="AK47" s="220">
        <v>0</v>
      </c>
      <c r="AL47" s="272">
        <f>IF((AL$42-2021)&lt;START!$C$2,0,((AL$37*INDEX('DEFAULT DATA'!$AFS$9:$AFZ$41,START!$C$3,5))+(AL$38*INDEX('DEFAULT DATA'!$XC$9:$XJ$41,START!$C$3,5))+(AL$39*INDEX('DEFAULT DATA'!$YI$9:$YP$41,START!$C$3,5)))*INDEX('DEFAULT DATA'!$VD$9:$VK$41,START!$C$3,5)/1000000)</f>
        <v>0</v>
      </c>
      <c r="AM47" s="272">
        <f>IF((AM$42-2021)&lt;START!$C$2,0,((AM$37*INDEX('DEFAULT DATA'!$AFS$9:$AFZ$41,START!$C$3,5))+(AM$38*INDEX('DEFAULT DATA'!$XC$9:$XJ$41,START!$C$3,5))+(AM$39*INDEX('DEFAULT DATA'!$YI$9:$YP$41,START!$C$3,5)))*INDEX('DEFAULT DATA'!$VD$9:$VK$41,START!$C$3,5)/1000000)</f>
        <v>0</v>
      </c>
      <c r="AN47" s="272">
        <f>IF((AN$42-2021)&lt;START!$C$2,0,((AN$37*INDEX('DEFAULT DATA'!$AFS$9:$AFZ$41,START!$C$3,5))+(AN$38*INDEX('DEFAULT DATA'!$XC$9:$XJ$41,START!$C$3,5))+(AN$39*INDEX('DEFAULT DATA'!$YI$9:$YP$41,START!$C$3,5)))*INDEX('DEFAULT DATA'!$VD$9:$VK$41,START!$C$3,5)/1000000)</f>
        <v>0</v>
      </c>
      <c r="AO47" s="272">
        <f>IF((AO$42-2021)&lt;START!$C$2,0,((AO$37*INDEX('DEFAULT DATA'!$AFS$9:$AFZ$41,START!$C$3,5))+(AO$38*INDEX('DEFAULT DATA'!$XC$9:$XJ$41,START!$C$3,5))+(AO$39*INDEX('DEFAULT DATA'!$YI$9:$YP$41,START!$C$3,5)))*INDEX('DEFAULT DATA'!$VD$9:$VK$41,START!$C$3,5)/1000000)</f>
        <v>0</v>
      </c>
      <c r="AP47" s="272">
        <f>IF((AP$42-2021)&lt;START!$C$2,0,((AP$37*INDEX('DEFAULT DATA'!$AFS$9:$AFZ$41,START!$C$3,5))+(AP$38*INDEX('DEFAULT DATA'!$XC$9:$XJ$41,START!$C$3,5))+(AP$39*INDEX('DEFAULT DATA'!$YI$9:$YP$41,START!$C$3,5)))*INDEX('DEFAULT DATA'!$VD$9:$VK$41,START!$C$3,5)/1000000)</f>
        <v>0</v>
      </c>
      <c r="AQ47" s="272">
        <f>IF((AQ$42-2021)&lt;START!$C$2,0,((AQ$37*INDEX('DEFAULT DATA'!$AFS$9:$AFZ$41,START!$C$3,5))+(AQ$38*INDEX('DEFAULT DATA'!$XC$9:$XJ$41,START!$C$3,5))+(AQ$39*INDEX('DEFAULT DATA'!$YI$9:$YP$41,START!$C$3,5)))*INDEX('DEFAULT DATA'!$VD$9:$VK$41,START!$C$3,5)/1000000)</f>
        <v>0</v>
      </c>
      <c r="AR47" s="272">
        <f>IF((AR$42-2021)&lt;START!$C$2,0,((AR$37*INDEX('DEFAULT DATA'!$AFS$9:$AFZ$41,START!$C$3,5))+(AR$38*INDEX('DEFAULT DATA'!$XC$9:$XJ$41,START!$C$3,5))+(AR$39*INDEX('DEFAULT DATA'!$YI$9:$YP$41,START!$C$3,5)))*INDEX('DEFAULT DATA'!$VD$9:$VK$41,START!$C$3,5)/1000000)</f>
        <v>0</v>
      </c>
      <c r="AS47" s="272">
        <f>IF((AS$42-2021)&lt;START!$C$2,0,((AS$37*INDEX('DEFAULT DATA'!$AFS$9:$AFZ$41,START!$C$3,5))+(AS$38*INDEX('DEFAULT DATA'!$XC$9:$XJ$41,START!$C$3,5))+(AS$39*INDEX('DEFAULT DATA'!$YI$9:$YP$41,START!$C$3,5)))*INDEX('DEFAULT DATA'!$VD$9:$VK$41,START!$C$3,5)/1000000)</f>
        <v>0</v>
      </c>
      <c r="AT47" s="272">
        <f>IF((AT$42-2021)&lt;START!$C$2,0,((AT$37*INDEX('DEFAULT DATA'!$AFS$9:$AFZ$41,START!$C$3,5))+(AT$38*INDEX('DEFAULT DATA'!$XC$9:$XJ$41,START!$C$3,5))+(AT$39*INDEX('DEFAULT DATA'!$YI$9:$YP$41,START!$C$3,5)))*INDEX('DEFAULT DATA'!$VD$9:$VK$41,START!$C$3,5)/1000000)</f>
        <v>0</v>
      </c>
      <c r="AU47" s="272">
        <f>IF((AU$42-2021)&lt;START!$C$2,0,((AU$37*INDEX('DEFAULT DATA'!$AFS$9:$AFZ$41,START!$C$3,5))+(AU$38*INDEX('DEFAULT DATA'!$XC$9:$XJ$41,START!$C$3,5))+(AU$39*INDEX('DEFAULT DATA'!$YI$9:$YP$41,START!$C$3,5)))*INDEX('DEFAULT DATA'!$VD$9:$VK$41,START!$C$3,5)/1000000)</f>
        <v>0</v>
      </c>
      <c r="AV47" s="272">
        <f>IF((AV$42-2021)&lt;START!$C$2,0,((AV$37*INDEX('DEFAULT DATA'!$AFS$9:$AFZ$41,START!$C$3,5))+(AV$38*INDEX('DEFAULT DATA'!$XC$9:$XJ$41,START!$C$3,5))+(AV$39*INDEX('DEFAULT DATA'!$YI$9:$YP$41,START!$C$3,5)))*INDEX('DEFAULT DATA'!$VD$9:$VK$41,START!$C$3,5)/1000000)</f>
        <v>0</v>
      </c>
      <c r="AW47" s="272">
        <f>IF((AW$42-2021)&lt;START!$C$2,0,((AW$37*INDEX('DEFAULT DATA'!$AFS$9:$AFZ$41,START!$C$3,5))+(AW$38*INDEX('DEFAULT DATA'!$XC$9:$XJ$41,START!$C$3,5))+(AW$39*INDEX('DEFAULT DATA'!$YI$9:$YP$41,START!$C$3,5)))*INDEX('DEFAULT DATA'!$VD$9:$VK$41,START!$C$3,5)/1000000)</f>
        <v>0</v>
      </c>
      <c r="AX47" s="272">
        <f>IF((AX$42-2021)&lt;START!$C$2,0,((AX$37*INDEX('DEFAULT DATA'!$AFS$9:$AFZ$41,START!$C$3,5))+(AX$38*INDEX('DEFAULT DATA'!$XC$9:$XJ$41,START!$C$3,5))+(AX$39*INDEX('DEFAULT DATA'!$YI$9:$YP$41,START!$C$3,5)))*INDEX('DEFAULT DATA'!$VD$9:$VK$41,START!$C$3,5)/1000000)</f>
        <v>0</v>
      </c>
      <c r="AY47" s="272">
        <f>IF((AY$42-2021)&lt;START!$C$2,0,((AY$37*INDEX('DEFAULT DATA'!$AFS$9:$AFZ$41,START!$C$3,5))+(AY$38*INDEX('DEFAULT DATA'!$XC$9:$XJ$41,START!$C$3,5))+(AY$39*INDEX('DEFAULT DATA'!$YI$9:$YP$41,START!$C$3,5)))*INDEX('DEFAULT DATA'!$VD$9:$VK$41,START!$C$3,5)/1000000)</f>
        <v>0</v>
      </c>
      <c r="AZ47" s="272">
        <f>IF((AZ$42-2021)&lt;START!$C$2,0,((AZ$37*INDEX('DEFAULT DATA'!$AFS$9:$AFZ$41,START!$C$3,5))+(AZ$38*INDEX('DEFAULT DATA'!$XC$9:$XJ$41,START!$C$3,5))+(AZ$39*INDEX('DEFAULT DATA'!$YI$9:$YP$41,START!$C$3,5)))*INDEX('DEFAULT DATA'!$VD$9:$VK$41,START!$C$3,5)/1000000)</f>
        <v>0</v>
      </c>
      <c r="BA47" s="272">
        <f>IF((BA$42-2021)&lt;START!$C$2,0,((BA$37*INDEX('DEFAULT DATA'!$AFS$9:$AFZ$41,START!$C$3,5))+(BA$38*INDEX('DEFAULT DATA'!$XC$9:$XJ$41,START!$C$3,5))+(BA$39*INDEX('DEFAULT DATA'!$YI$9:$YP$41,START!$C$3,5)))*INDEX('DEFAULT DATA'!$VD$9:$VK$41,START!$C$3,5)/1000000)</f>
        <v>0</v>
      </c>
      <c r="BB47" s="272">
        <f>IF((BB$42-2021)&lt;START!$C$2,0,((BB$37*INDEX('DEFAULT DATA'!$AFS$9:$AFZ$41,START!$C$3,5))+(BB$38*INDEX('DEFAULT DATA'!$XC$9:$XJ$41,START!$C$3,5))+(BB$39*INDEX('DEFAULT DATA'!$YI$9:$YP$41,START!$C$3,5)))*INDEX('DEFAULT DATA'!$VD$9:$VK$41,START!$C$3,5)/1000000)</f>
        <v>0</v>
      </c>
      <c r="BC47" s="272">
        <f>IF((BC$42-2021)&lt;START!$C$2,0,((BC$37*INDEX('DEFAULT DATA'!$AFS$9:$AFZ$41,START!$C$3,5))+(BC$38*INDEX('DEFAULT DATA'!$XC$9:$XJ$41,START!$C$3,5))+(BC$39*INDEX('DEFAULT DATA'!$YI$9:$YP$41,START!$C$3,5)))*INDEX('DEFAULT DATA'!$VD$9:$VK$41,START!$C$3,5)/1000000)</f>
        <v>0</v>
      </c>
      <c r="BD47" s="272">
        <f>IF((BD$42-2021)&lt;START!$C$2,0,((BD$37*INDEX('DEFAULT DATA'!$AFS$9:$AFZ$41,START!$C$3,5))+(BD$38*INDEX('DEFAULT DATA'!$XC$9:$XJ$41,START!$C$3,5))+(BD$39*INDEX('DEFAULT DATA'!$YI$9:$YP$41,START!$C$3,5)))*INDEX('DEFAULT DATA'!$VD$9:$VK$41,START!$C$3,5)/1000000)</f>
        <v>0</v>
      </c>
      <c r="BE47" s="272">
        <f>IF((BE$42-2021)&lt;START!$C$2,0,((BE$37*INDEX('DEFAULT DATA'!$AFS$9:$AFZ$41,START!$C$3,5))+(BE$38*INDEX('DEFAULT DATA'!$XC$9:$XJ$41,START!$C$3,5))+(BE$39*INDEX('DEFAULT DATA'!$YI$9:$YP$41,START!$C$3,5)))*INDEX('DEFAULT DATA'!$VD$9:$VK$41,START!$C$3,5)/1000000)</f>
        <v>0</v>
      </c>
      <c r="BF47" s="272">
        <f>IF((BF$42-2021)&lt;START!$C$2,0,((BF$37*INDEX('DEFAULT DATA'!$AFS$9:$AFZ$41,START!$C$3,5))+(BF$38*INDEX('DEFAULT DATA'!$XC$9:$XJ$41,START!$C$3,5))+(BF$39*INDEX('DEFAULT DATA'!$YI$9:$YP$41,START!$C$3,5)))*INDEX('DEFAULT DATA'!$VD$9:$VK$41,START!$C$3,5)/1000000)</f>
        <v>0</v>
      </c>
      <c r="BG47" s="272">
        <f>IF((BG$42-2021)&lt;START!$C$2,0,((BG$37*INDEX('DEFAULT DATA'!$AFS$9:$AFZ$41,START!$C$3,5))+(BG$38*INDEX('DEFAULT DATA'!$XC$9:$XJ$41,START!$C$3,5))+(BG$39*INDEX('DEFAULT DATA'!$YI$9:$YP$41,START!$C$3,5)))*INDEX('DEFAULT DATA'!$VD$9:$VK$41,START!$C$3,5)/1000000)</f>
        <v>0</v>
      </c>
      <c r="BH47" s="272">
        <f>IF((BH$42-2021)&lt;START!$C$2,0,((BH$37*INDEX('DEFAULT DATA'!$AFS$9:$AFZ$41,START!$C$3,5))+(BH$38*INDEX('DEFAULT DATA'!$XC$9:$XJ$41,START!$C$3,5))+(BH$39*INDEX('DEFAULT DATA'!$YI$9:$YP$41,START!$C$3,5)))*INDEX('DEFAULT DATA'!$VD$9:$VK$41,START!$C$3,5)/1000000)</f>
        <v>0</v>
      </c>
      <c r="BI47" s="272">
        <f>IF((BI$42-2021)&lt;START!$C$2,0,((BI$37*INDEX('DEFAULT DATA'!$AFS$9:$AFZ$41,START!$C$3,5))+(BI$38*INDEX('DEFAULT DATA'!$XC$9:$XJ$41,START!$C$3,5))+(BI$39*INDEX('DEFAULT DATA'!$YI$9:$YP$41,START!$C$3,5)))*INDEX('DEFAULT DATA'!$VD$9:$VK$41,START!$C$3,5)/1000000)</f>
        <v>0</v>
      </c>
      <c r="BJ47" s="272">
        <f>IF((BJ$42-2021)&lt;START!$C$2,0,((BJ$37*INDEX('DEFAULT DATA'!$AFS$9:$AFZ$41,START!$C$3,5))+(BJ$38*INDEX('DEFAULT DATA'!$XC$9:$XJ$41,START!$C$3,5))+(BJ$39*INDEX('DEFAULT DATA'!$YI$9:$YP$41,START!$C$3,5)))*INDEX('DEFAULT DATA'!$VD$9:$VK$41,START!$C$3,5)/1000000)</f>
        <v>0</v>
      </c>
      <c r="BK47" s="272">
        <f>IF((BK$42-2021)&lt;START!$C$2,0,((BK$37*INDEX('DEFAULT DATA'!$AFS$9:$AFZ$41,START!$C$3,5))+(BK$38*INDEX('DEFAULT DATA'!$XC$9:$XJ$41,START!$C$3,5))+(BK$39*INDEX('DEFAULT DATA'!$YI$9:$YP$41,START!$C$3,5)))*INDEX('DEFAULT DATA'!$VD$9:$VK$41,START!$C$3,5)/1000000)</f>
        <v>0</v>
      </c>
      <c r="BL47" s="272">
        <f>IF((BL$42-2021)&lt;START!$C$2,0,((BL$37*INDEX('DEFAULT DATA'!$AFS$9:$AFZ$41,START!$C$3,5))+(BL$38*INDEX('DEFAULT DATA'!$XC$9:$XJ$41,START!$C$3,5))+(BL$39*INDEX('DEFAULT DATA'!$YI$9:$YP$41,START!$C$3,5)))*INDEX('DEFAULT DATA'!$VD$9:$VK$41,START!$C$3,5)/1000000)</f>
        <v>0</v>
      </c>
      <c r="BM47" s="272">
        <f>IF((BM$42-2021)&lt;START!$C$2,0,((BM$37*INDEX('DEFAULT DATA'!$AFS$9:$AFZ$41,START!$C$3,5))+(BM$38*INDEX('DEFAULT DATA'!$XC$9:$XJ$41,START!$C$3,5))+(BM$39*INDEX('DEFAULT DATA'!$YI$9:$YP$41,START!$C$3,5)))*INDEX('DEFAULT DATA'!$VD$9:$VK$41,START!$C$3,5)/1000000)</f>
        <v>0</v>
      </c>
      <c r="BN47" s="324">
        <f>IF((BN$42-2021)&lt;START!$C$2,0,((BN$37*INDEX('DEFAULT DATA'!$AFS$9:$AFZ$41,START!$C$3,5))+(BN$38*INDEX('DEFAULT DATA'!$XC$9:$XJ$41,START!$C$3,5))+(BN$39*INDEX('DEFAULT DATA'!$YI$9:$YP$41,START!$C$3,5)))*INDEX('DEFAULT DATA'!$VD$9:$VK$41,START!$C$3,5)/1000000)</f>
        <v>0</v>
      </c>
      <c r="BP47" s="524" t="str">
        <f t="shared" si="8"/>
        <v>Peat</v>
      </c>
      <c r="BQ47" s="530" t="s">
        <v>1723</v>
      </c>
      <c r="BR47" s="531"/>
      <c r="BS47" s="531"/>
      <c r="BT47" s="531"/>
      <c r="BU47" s="531"/>
      <c r="BV47" s="531"/>
      <c r="BW47" s="531"/>
      <c r="BX47" s="531"/>
      <c r="BY47" s="531"/>
      <c r="BZ47" s="531"/>
      <c r="CA47" s="531"/>
      <c r="CB47" s="531"/>
      <c r="CC47" s="531"/>
      <c r="CD47" s="531"/>
      <c r="CE47" s="532"/>
      <c r="CF47" s="529" t="s">
        <v>1603</v>
      </c>
      <c r="CG47" s="529" t="s">
        <v>1610</v>
      </c>
      <c r="CH47" s="529" t="s">
        <v>1617</v>
      </c>
      <c r="CI47" s="529" t="s">
        <v>1623</v>
      </c>
    </row>
    <row r="48" spans="1:87" ht="20.100000000000001" customHeight="1">
      <c r="A48" s="40"/>
      <c r="B48" s="34"/>
      <c r="C48" s="34"/>
      <c r="D48" s="34"/>
      <c r="E48" s="34"/>
      <c r="F48" s="34"/>
      <c r="G48" s="197"/>
      <c r="H48" s="34"/>
      <c r="I48" s="34"/>
      <c r="J48" s="227"/>
      <c r="K48" s="41"/>
      <c r="L48" s="29"/>
      <c r="M48" s="968"/>
      <c r="N48" s="971"/>
      <c r="O48" s="971"/>
      <c r="P48" s="971"/>
      <c r="Q48" s="971"/>
      <c r="R48" s="971"/>
      <c r="S48" s="971"/>
      <c r="T48" s="971"/>
      <c r="U48" s="971"/>
      <c r="V48" s="971"/>
      <c r="W48" s="971"/>
      <c r="X48" s="971"/>
      <c r="Y48" s="971"/>
      <c r="Z48" s="971"/>
      <c r="AA48" s="971"/>
      <c r="AB48" s="971"/>
      <c r="AC48" s="971"/>
      <c r="AD48" s="971"/>
      <c r="AE48" s="971"/>
      <c r="AF48" s="1492"/>
      <c r="AG48" s="1513" t="s">
        <v>1224</v>
      </c>
      <c r="AH48" s="1514"/>
      <c r="AI48" s="1514"/>
      <c r="AJ48" s="1515"/>
      <c r="AK48" s="220">
        <v>0</v>
      </c>
      <c r="AL48" s="272">
        <f>IF((AL$42-2021)&lt;START!$C$2,0,((AL$37*INDEX('DEFAULT DATA'!$AFS$9:$AFZ$41,START!$C$3,6))+(AL$38*INDEX('DEFAULT DATA'!$XC$9:$XJ$41,START!$C$3,6))+(AL$39*INDEX('DEFAULT DATA'!$YI$9:$YP$41,START!$C$3,6)))*INDEX('DEFAULT DATA'!$VD$9:$VK$41,START!$C$3,6)/1000000)</f>
        <v>0</v>
      </c>
      <c r="AM48" s="272">
        <f>IF((AM$42-2021)&lt;START!$C$2,0,((AM$37*INDEX('DEFAULT DATA'!$AFS$9:$AFZ$41,START!$C$3,6))+(AM$38*INDEX('DEFAULT DATA'!$XC$9:$XJ$41,START!$C$3,6))+(AM$39*INDEX('DEFAULT DATA'!$YI$9:$YP$41,START!$C$3,6)))*INDEX('DEFAULT DATA'!$VD$9:$VK$41,START!$C$3,6)/1000000)</f>
        <v>0</v>
      </c>
      <c r="AN48" s="272">
        <f>IF((AN$42-2021)&lt;START!$C$2,0,((AN$37*INDEX('DEFAULT DATA'!$AFS$9:$AFZ$41,START!$C$3,6))+(AN$38*INDEX('DEFAULT DATA'!$XC$9:$XJ$41,START!$C$3,6))+(AN$39*INDEX('DEFAULT DATA'!$YI$9:$YP$41,START!$C$3,6)))*INDEX('DEFAULT DATA'!$VD$9:$VK$41,START!$C$3,6)/1000000)</f>
        <v>0</v>
      </c>
      <c r="AO48" s="272">
        <f>IF((AO$42-2021)&lt;START!$C$2,0,((AO$37*INDEX('DEFAULT DATA'!$AFS$9:$AFZ$41,START!$C$3,6))+(AO$38*INDEX('DEFAULT DATA'!$XC$9:$XJ$41,START!$C$3,6))+(AO$39*INDEX('DEFAULT DATA'!$YI$9:$YP$41,START!$C$3,6)))*INDEX('DEFAULT DATA'!$VD$9:$VK$41,START!$C$3,6)/1000000)</f>
        <v>0</v>
      </c>
      <c r="AP48" s="272">
        <f>IF((AP$42-2021)&lt;START!$C$2,0,((AP$37*INDEX('DEFAULT DATA'!$AFS$9:$AFZ$41,START!$C$3,6))+(AP$38*INDEX('DEFAULT DATA'!$XC$9:$XJ$41,START!$C$3,6))+(AP$39*INDEX('DEFAULT DATA'!$YI$9:$YP$41,START!$C$3,6)))*INDEX('DEFAULT DATA'!$VD$9:$VK$41,START!$C$3,6)/1000000)</f>
        <v>0</v>
      </c>
      <c r="AQ48" s="272">
        <f>IF((AQ$42-2021)&lt;START!$C$2,0,((AQ$37*INDEX('DEFAULT DATA'!$AFS$9:$AFZ$41,START!$C$3,6))+(AQ$38*INDEX('DEFAULT DATA'!$XC$9:$XJ$41,START!$C$3,6))+(AQ$39*INDEX('DEFAULT DATA'!$YI$9:$YP$41,START!$C$3,6)))*INDEX('DEFAULT DATA'!$VD$9:$VK$41,START!$C$3,6)/1000000)</f>
        <v>0</v>
      </c>
      <c r="AR48" s="272">
        <f>IF((AR$42-2021)&lt;START!$C$2,0,((AR$37*INDEX('DEFAULT DATA'!$AFS$9:$AFZ$41,START!$C$3,6))+(AR$38*INDEX('DEFAULT DATA'!$XC$9:$XJ$41,START!$C$3,6))+(AR$39*INDEX('DEFAULT DATA'!$YI$9:$YP$41,START!$C$3,6)))*INDEX('DEFAULT DATA'!$VD$9:$VK$41,START!$C$3,6)/1000000)</f>
        <v>0</v>
      </c>
      <c r="AS48" s="272">
        <f>IF((AS$42-2021)&lt;START!$C$2,0,((AS$37*INDEX('DEFAULT DATA'!$AFS$9:$AFZ$41,START!$C$3,6))+(AS$38*INDEX('DEFAULT DATA'!$XC$9:$XJ$41,START!$C$3,6))+(AS$39*INDEX('DEFAULT DATA'!$YI$9:$YP$41,START!$C$3,6)))*INDEX('DEFAULT DATA'!$VD$9:$VK$41,START!$C$3,6)/1000000)</f>
        <v>0</v>
      </c>
      <c r="AT48" s="272">
        <f>IF((AT$42-2021)&lt;START!$C$2,0,((AT$37*INDEX('DEFAULT DATA'!$AFS$9:$AFZ$41,START!$C$3,6))+(AT$38*INDEX('DEFAULT DATA'!$XC$9:$XJ$41,START!$C$3,6))+(AT$39*INDEX('DEFAULT DATA'!$YI$9:$YP$41,START!$C$3,6)))*INDEX('DEFAULT DATA'!$VD$9:$VK$41,START!$C$3,6)/1000000)</f>
        <v>0</v>
      </c>
      <c r="AU48" s="272">
        <f>IF((AU$42-2021)&lt;START!$C$2,0,((AU$37*INDEX('DEFAULT DATA'!$AFS$9:$AFZ$41,START!$C$3,6))+(AU$38*INDEX('DEFAULT DATA'!$XC$9:$XJ$41,START!$C$3,6))+(AU$39*INDEX('DEFAULT DATA'!$YI$9:$YP$41,START!$C$3,6)))*INDEX('DEFAULT DATA'!$VD$9:$VK$41,START!$C$3,6)/1000000)</f>
        <v>0</v>
      </c>
      <c r="AV48" s="272">
        <f>IF((AV$42-2021)&lt;START!$C$2,0,((AV$37*INDEX('DEFAULT DATA'!$AFS$9:$AFZ$41,START!$C$3,6))+(AV$38*INDEX('DEFAULT DATA'!$XC$9:$XJ$41,START!$C$3,6))+(AV$39*INDEX('DEFAULT DATA'!$YI$9:$YP$41,START!$C$3,6)))*INDEX('DEFAULT DATA'!$VD$9:$VK$41,START!$C$3,6)/1000000)</f>
        <v>0</v>
      </c>
      <c r="AW48" s="272">
        <f>IF((AW$42-2021)&lt;START!$C$2,0,((AW$37*INDEX('DEFAULT DATA'!$AFS$9:$AFZ$41,START!$C$3,6))+(AW$38*INDEX('DEFAULT DATA'!$XC$9:$XJ$41,START!$C$3,6))+(AW$39*INDEX('DEFAULT DATA'!$YI$9:$YP$41,START!$C$3,6)))*INDEX('DEFAULT DATA'!$VD$9:$VK$41,START!$C$3,6)/1000000)</f>
        <v>0</v>
      </c>
      <c r="AX48" s="272">
        <f>IF((AX$42-2021)&lt;START!$C$2,0,((AX$37*INDEX('DEFAULT DATA'!$AFS$9:$AFZ$41,START!$C$3,6))+(AX$38*INDEX('DEFAULT DATA'!$XC$9:$XJ$41,START!$C$3,6))+(AX$39*INDEX('DEFAULT DATA'!$YI$9:$YP$41,START!$C$3,6)))*INDEX('DEFAULT DATA'!$VD$9:$VK$41,START!$C$3,6)/1000000)</f>
        <v>0</v>
      </c>
      <c r="AY48" s="272">
        <f>IF((AY$42-2021)&lt;START!$C$2,0,((AY$37*INDEX('DEFAULT DATA'!$AFS$9:$AFZ$41,START!$C$3,6))+(AY$38*INDEX('DEFAULT DATA'!$XC$9:$XJ$41,START!$C$3,6))+(AY$39*INDEX('DEFAULT DATA'!$YI$9:$YP$41,START!$C$3,6)))*INDEX('DEFAULT DATA'!$VD$9:$VK$41,START!$C$3,6)/1000000)</f>
        <v>0</v>
      </c>
      <c r="AZ48" s="272">
        <f>IF((AZ$42-2021)&lt;START!$C$2,0,((AZ$37*INDEX('DEFAULT DATA'!$AFS$9:$AFZ$41,START!$C$3,6))+(AZ$38*INDEX('DEFAULT DATA'!$XC$9:$XJ$41,START!$C$3,6))+(AZ$39*INDEX('DEFAULT DATA'!$YI$9:$YP$41,START!$C$3,6)))*INDEX('DEFAULT DATA'!$VD$9:$VK$41,START!$C$3,6)/1000000)</f>
        <v>0</v>
      </c>
      <c r="BA48" s="272">
        <f>IF((BA$42-2021)&lt;START!$C$2,0,((BA$37*INDEX('DEFAULT DATA'!$AFS$9:$AFZ$41,START!$C$3,6))+(BA$38*INDEX('DEFAULT DATA'!$XC$9:$XJ$41,START!$C$3,6))+(BA$39*INDEX('DEFAULT DATA'!$YI$9:$YP$41,START!$C$3,6)))*INDEX('DEFAULT DATA'!$VD$9:$VK$41,START!$C$3,6)/1000000)</f>
        <v>0</v>
      </c>
      <c r="BB48" s="272">
        <f>IF((BB$42-2021)&lt;START!$C$2,0,((BB$37*INDEX('DEFAULT DATA'!$AFS$9:$AFZ$41,START!$C$3,6))+(BB$38*INDEX('DEFAULT DATA'!$XC$9:$XJ$41,START!$C$3,6))+(BB$39*INDEX('DEFAULT DATA'!$YI$9:$YP$41,START!$C$3,6)))*INDEX('DEFAULT DATA'!$VD$9:$VK$41,START!$C$3,6)/1000000)</f>
        <v>0</v>
      </c>
      <c r="BC48" s="272">
        <f>IF((BC$42-2021)&lt;START!$C$2,0,((BC$37*INDEX('DEFAULT DATA'!$AFS$9:$AFZ$41,START!$C$3,6))+(BC$38*INDEX('DEFAULT DATA'!$XC$9:$XJ$41,START!$C$3,6))+(BC$39*INDEX('DEFAULT DATA'!$YI$9:$YP$41,START!$C$3,6)))*INDEX('DEFAULT DATA'!$VD$9:$VK$41,START!$C$3,6)/1000000)</f>
        <v>0</v>
      </c>
      <c r="BD48" s="272">
        <f>IF((BD$42-2021)&lt;START!$C$2,0,((BD$37*INDEX('DEFAULT DATA'!$AFS$9:$AFZ$41,START!$C$3,6))+(BD$38*INDEX('DEFAULT DATA'!$XC$9:$XJ$41,START!$C$3,6))+(BD$39*INDEX('DEFAULT DATA'!$YI$9:$YP$41,START!$C$3,6)))*INDEX('DEFAULT DATA'!$VD$9:$VK$41,START!$C$3,6)/1000000)</f>
        <v>0</v>
      </c>
      <c r="BE48" s="272">
        <f>IF((BE$42-2021)&lt;START!$C$2,0,((BE$37*INDEX('DEFAULT DATA'!$AFS$9:$AFZ$41,START!$C$3,6))+(BE$38*INDEX('DEFAULT DATA'!$XC$9:$XJ$41,START!$C$3,6))+(BE$39*INDEX('DEFAULT DATA'!$YI$9:$YP$41,START!$C$3,6)))*INDEX('DEFAULT DATA'!$VD$9:$VK$41,START!$C$3,6)/1000000)</f>
        <v>0</v>
      </c>
      <c r="BF48" s="272">
        <f>IF((BF$42-2021)&lt;START!$C$2,0,((BF$37*INDEX('DEFAULT DATA'!$AFS$9:$AFZ$41,START!$C$3,6))+(BF$38*INDEX('DEFAULT DATA'!$XC$9:$XJ$41,START!$C$3,6))+(BF$39*INDEX('DEFAULT DATA'!$YI$9:$YP$41,START!$C$3,6)))*INDEX('DEFAULT DATA'!$VD$9:$VK$41,START!$C$3,6)/1000000)</f>
        <v>0</v>
      </c>
      <c r="BG48" s="272">
        <f>IF((BG$42-2021)&lt;START!$C$2,0,((BG$37*INDEX('DEFAULT DATA'!$AFS$9:$AFZ$41,START!$C$3,6))+(BG$38*INDEX('DEFAULT DATA'!$XC$9:$XJ$41,START!$C$3,6))+(BG$39*INDEX('DEFAULT DATA'!$YI$9:$YP$41,START!$C$3,6)))*INDEX('DEFAULT DATA'!$VD$9:$VK$41,START!$C$3,6)/1000000)</f>
        <v>0</v>
      </c>
      <c r="BH48" s="272">
        <f>IF((BH$42-2021)&lt;START!$C$2,0,((BH$37*INDEX('DEFAULT DATA'!$AFS$9:$AFZ$41,START!$C$3,6))+(BH$38*INDEX('DEFAULT DATA'!$XC$9:$XJ$41,START!$C$3,6))+(BH$39*INDEX('DEFAULT DATA'!$YI$9:$YP$41,START!$C$3,6)))*INDEX('DEFAULT DATA'!$VD$9:$VK$41,START!$C$3,6)/1000000)</f>
        <v>0</v>
      </c>
      <c r="BI48" s="272">
        <f>IF((BI$42-2021)&lt;START!$C$2,0,((BI$37*INDEX('DEFAULT DATA'!$AFS$9:$AFZ$41,START!$C$3,6))+(BI$38*INDEX('DEFAULT DATA'!$XC$9:$XJ$41,START!$C$3,6))+(BI$39*INDEX('DEFAULT DATA'!$YI$9:$YP$41,START!$C$3,6)))*INDEX('DEFAULT DATA'!$VD$9:$VK$41,START!$C$3,6)/1000000)</f>
        <v>0</v>
      </c>
      <c r="BJ48" s="272">
        <f>IF((BJ$42-2021)&lt;START!$C$2,0,((BJ$37*INDEX('DEFAULT DATA'!$AFS$9:$AFZ$41,START!$C$3,6))+(BJ$38*INDEX('DEFAULT DATA'!$XC$9:$XJ$41,START!$C$3,6))+(BJ$39*INDEX('DEFAULT DATA'!$YI$9:$YP$41,START!$C$3,6)))*INDEX('DEFAULT DATA'!$VD$9:$VK$41,START!$C$3,6)/1000000)</f>
        <v>0</v>
      </c>
      <c r="BK48" s="272">
        <f>IF((BK$42-2021)&lt;START!$C$2,0,((BK$37*INDEX('DEFAULT DATA'!$AFS$9:$AFZ$41,START!$C$3,6))+(BK$38*INDEX('DEFAULT DATA'!$XC$9:$XJ$41,START!$C$3,6))+(BK$39*INDEX('DEFAULT DATA'!$YI$9:$YP$41,START!$C$3,6)))*INDEX('DEFAULT DATA'!$VD$9:$VK$41,START!$C$3,6)/1000000)</f>
        <v>0</v>
      </c>
      <c r="BL48" s="272">
        <f>IF((BL$42-2021)&lt;START!$C$2,0,((BL$37*INDEX('DEFAULT DATA'!$AFS$9:$AFZ$41,START!$C$3,6))+(BL$38*INDEX('DEFAULT DATA'!$XC$9:$XJ$41,START!$C$3,6))+(BL$39*INDEX('DEFAULT DATA'!$YI$9:$YP$41,START!$C$3,6)))*INDEX('DEFAULT DATA'!$VD$9:$VK$41,START!$C$3,6)/1000000)</f>
        <v>0</v>
      </c>
      <c r="BM48" s="272">
        <f>IF((BM$42-2021)&lt;START!$C$2,0,((BM$37*INDEX('DEFAULT DATA'!$AFS$9:$AFZ$41,START!$C$3,6))+(BM$38*INDEX('DEFAULT DATA'!$XC$9:$XJ$41,START!$C$3,6))+(BM$39*INDEX('DEFAULT DATA'!$YI$9:$YP$41,START!$C$3,6)))*INDEX('DEFAULT DATA'!$VD$9:$VK$41,START!$C$3,6)/1000000)</f>
        <v>0</v>
      </c>
      <c r="BN48" s="324">
        <f>IF((BN$42-2021)&lt;START!$C$2,0,((BN$37*INDEX('DEFAULT DATA'!$AFS$9:$AFZ$41,START!$C$3,6))+(BN$38*INDEX('DEFAULT DATA'!$XC$9:$XJ$41,START!$C$3,6))+(BN$39*INDEX('DEFAULT DATA'!$YI$9:$YP$41,START!$C$3,6)))*INDEX('DEFAULT DATA'!$VD$9:$VK$41,START!$C$3,6)/1000000)</f>
        <v>0</v>
      </c>
      <c r="BP48" s="524" t="str">
        <f t="shared" si="8"/>
        <v>Wood</v>
      </c>
      <c r="BQ48" s="530" t="s">
        <v>1724</v>
      </c>
      <c r="BR48" s="531"/>
      <c r="BS48" s="531"/>
      <c r="BT48" s="531"/>
      <c r="BU48" s="531"/>
      <c r="BV48" s="531"/>
      <c r="BW48" s="531"/>
      <c r="BX48" s="531"/>
      <c r="BY48" s="531"/>
      <c r="BZ48" s="531"/>
      <c r="CA48" s="531"/>
      <c r="CB48" s="531"/>
      <c r="CC48" s="531"/>
      <c r="CD48" s="531"/>
      <c r="CE48" s="532"/>
      <c r="CF48" s="529" t="s">
        <v>1604</v>
      </c>
      <c r="CG48" s="529" t="s">
        <v>1611</v>
      </c>
      <c r="CH48" s="529" t="s">
        <v>1618</v>
      </c>
      <c r="CI48" s="529" t="s">
        <v>1624</v>
      </c>
    </row>
    <row r="49" spans="1:87" ht="20.100000000000001" customHeight="1">
      <c r="A49" s="40"/>
      <c r="B49" s="34"/>
      <c r="C49" s="34"/>
      <c r="D49" s="34"/>
      <c r="E49" s="34"/>
      <c r="F49" s="34"/>
      <c r="G49" s="231"/>
      <c r="H49" s="34"/>
      <c r="I49" s="34"/>
      <c r="J49" s="227"/>
      <c r="K49" s="41"/>
      <c r="L49" s="29"/>
      <c r="M49" s="968"/>
      <c r="N49" s="971"/>
      <c r="O49" s="971"/>
      <c r="P49" s="971"/>
      <c r="Q49" s="971"/>
      <c r="R49" s="971"/>
      <c r="S49" s="971"/>
      <c r="T49" s="971"/>
      <c r="U49" s="971"/>
      <c r="V49" s="971"/>
      <c r="W49" s="971"/>
      <c r="X49" s="971"/>
      <c r="Y49" s="971"/>
      <c r="Z49" s="971"/>
      <c r="AA49" s="971"/>
      <c r="AB49" s="971"/>
      <c r="AC49" s="971"/>
      <c r="AD49" s="971"/>
      <c r="AE49" s="971"/>
      <c r="AF49" s="1492"/>
      <c r="AG49" s="1513" t="s">
        <v>1225</v>
      </c>
      <c r="AH49" s="1514"/>
      <c r="AI49" s="1514"/>
      <c r="AJ49" s="1515"/>
      <c r="AK49" s="220">
        <v>0</v>
      </c>
      <c r="AL49" s="272">
        <f>IF((AL$42-2021)&lt;START!$C$2,0,((AL$37*INDEX('DEFAULT DATA'!$AFS$9:$AFZ$41,START!$C$3,7))+(AL$38*INDEX('DEFAULT DATA'!$XC$9:$XJ$41,START!$C$3,7))+(AL$39*INDEX('DEFAULT DATA'!$YI$9:$YP$41,START!$C$3,7)))*INDEX('DEFAULT DATA'!$VD$9:$VK$41,START!$C$3,7)/1000000)</f>
        <v>0</v>
      </c>
      <c r="AM49" s="272">
        <f>IF((AM$42-2021)&lt;START!$C$2,0,((AM$37*INDEX('DEFAULT DATA'!$AFS$9:$AFZ$41,START!$C$3,7))+(AM$38*INDEX('DEFAULT DATA'!$XC$9:$XJ$41,START!$C$3,7))+(AM$39*INDEX('DEFAULT DATA'!$YI$9:$YP$41,START!$C$3,7)))*INDEX('DEFAULT DATA'!$VD$9:$VK$41,START!$C$3,7)/1000000)</f>
        <v>0</v>
      </c>
      <c r="AN49" s="272">
        <f>IF((AN$42-2021)&lt;START!$C$2,0,((AN$37*INDEX('DEFAULT DATA'!$AFS$9:$AFZ$41,START!$C$3,7))+(AN$38*INDEX('DEFAULT DATA'!$XC$9:$XJ$41,START!$C$3,7))+(AN$39*INDEX('DEFAULT DATA'!$YI$9:$YP$41,START!$C$3,7)))*INDEX('DEFAULT DATA'!$VD$9:$VK$41,START!$C$3,7)/1000000)</f>
        <v>0</v>
      </c>
      <c r="AO49" s="272">
        <f>IF((AO$42-2021)&lt;START!$C$2,0,((AO$37*INDEX('DEFAULT DATA'!$AFS$9:$AFZ$41,START!$C$3,7))+(AO$38*INDEX('DEFAULT DATA'!$XC$9:$XJ$41,START!$C$3,7))+(AO$39*INDEX('DEFAULT DATA'!$YI$9:$YP$41,START!$C$3,7)))*INDEX('DEFAULT DATA'!$VD$9:$VK$41,START!$C$3,7)/1000000)</f>
        <v>0</v>
      </c>
      <c r="AP49" s="272">
        <f>IF((AP$42-2021)&lt;START!$C$2,0,((AP$37*INDEX('DEFAULT DATA'!$AFS$9:$AFZ$41,START!$C$3,7))+(AP$38*INDEX('DEFAULT DATA'!$XC$9:$XJ$41,START!$C$3,7))+(AP$39*INDEX('DEFAULT DATA'!$YI$9:$YP$41,START!$C$3,7)))*INDEX('DEFAULT DATA'!$VD$9:$VK$41,START!$C$3,7)/1000000)</f>
        <v>0</v>
      </c>
      <c r="AQ49" s="272">
        <f>IF((AQ$42-2021)&lt;START!$C$2,0,((AQ$37*INDEX('DEFAULT DATA'!$AFS$9:$AFZ$41,START!$C$3,7))+(AQ$38*INDEX('DEFAULT DATA'!$XC$9:$XJ$41,START!$C$3,7))+(AQ$39*INDEX('DEFAULT DATA'!$YI$9:$YP$41,START!$C$3,7)))*INDEX('DEFAULT DATA'!$VD$9:$VK$41,START!$C$3,7)/1000000)</f>
        <v>0</v>
      </c>
      <c r="AR49" s="272">
        <f>IF((AR$42-2021)&lt;START!$C$2,0,((AR$37*INDEX('DEFAULT DATA'!$AFS$9:$AFZ$41,START!$C$3,7))+(AR$38*INDEX('DEFAULT DATA'!$XC$9:$XJ$41,START!$C$3,7))+(AR$39*INDEX('DEFAULT DATA'!$YI$9:$YP$41,START!$C$3,7)))*INDEX('DEFAULT DATA'!$VD$9:$VK$41,START!$C$3,7)/1000000)</f>
        <v>0</v>
      </c>
      <c r="AS49" s="272">
        <f>IF((AS$42-2021)&lt;START!$C$2,0,((AS$37*INDEX('DEFAULT DATA'!$AFS$9:$AFZ$41,START!$C$3,7))+(AS$38*INDEX('DEFAULT DATA'!$XC$9:$XJ$41,START!$C$3,7))+(AS$39*INDEX('DEFAULT DATA'!$YI$9:$YP$41,START!$C$3,7)))*INDEX('DEFAULT DATA'!$VD$9:$VK$41,START!$C$3,7)/1000000)</f>
        <v>0</v>
      </c>
      <c r="AT49" s="272">
        <f>IF((AT$42-2021)&lt;START!$C$2,0,((AT$37*INDEX('DEFAULT DATA'!$AFS$9:$AFZ$41,START!$C$3,7))+(AT$38*INDEX('DEFAULT DATA'!$XC$9:$XJ$41,START!$C$3,7))+(AT$39*INDEX('DEFAULT DATA'!$YI$9:$YP$41,START!$C$3,7)))*INDEX('DEFAULT DATA'!$VD$9:$VK$41,START!$C$3,7)/1000000)</f>
        <v>0</v>
      </c>
      <c r="AU49" s="272">
        <f>IF((AU$42-2021)&lt;START!$C$2,0,((AU$37*INDEX('DEFAULT DATA'!$AFS$9:$AFZ$41,START!$C$3,7))+(AU$38*INDEX('DEFAULT DATA'!$XC$9:$XJ$41,START!$C$3,7))+(AU$39*INDEX('DEFAULT DATA'!$YI$9:$YP$41,START!$C$3,7)))*INDEX('DEFAULT DATA'!$VD$9:$VK$41,START!$C$3,7)/1000000)</f>
        <v>0</v>
      </c>
      <c r="AV49" s="272">
        <f>IF((AV$42-2021)&lt;START!$C$2,0,((AV$37*INDEX('DEFAULT DATA'!$AFS$9:$AFZ$41,START!$C$3,7))+(AV$38*INDEX('DEFAULT DATA'!$XC$9:$XJ$41,START!$C$3,7))+(AV$39*INDEX('DEFAULT DATA'!$YI$9:$YP$41,START!$C$3,7)))*INDEX('DEFAULT DATA'!$VD$9:$VK$41,START!$C$3,7)/1000000)</f>
        <v>0</v>
      </c>
      <c r="AW49" s="272">
        <f>IF((AW$42-2021)&lt;START!$C$2,0,((AW$37*INDEX('DEFAULT DATA'!$AFS$9:$AFZ$41,START!$C$3,7))+(AW$38*INDEX('DEFAULT DATA'!$XC$9:$XJ$41,START!$C$3,7))+(AW$39*INDEX('DEFAULT DATA'!$YI$9:$YP$41,START!$C$3,7)))*INDEX('DEFAULT DATA'!$VD$9:$VK$41,START!$C$3,7)/1000000)</f>
        <v>0</v>
      </c>
      <c r="AX49" s="272">
        <f>IF((AX$42-2021)&lt;START!$C$2,0,((AX$37*INDEX('DEFAULT DATA'!$AFS$9:$AFZ$41,START!$C$3,7))+(AX$38*INDEX('DEFAULT DATA'!$XC$9:$XJ$41,START!$C$3,7))+(AX$39*INDEX('DEFAULT DATA'!$YI$9:$YP$41,START!$C$3,7)))*INDEX('DEFAULT DATA'!$VD$9:$VK$41,START!$C$3,7)/1000000)</f>
        <v>0</v>
      </c>
      <c r="AY49" s="272">
        <f>IF((AY$42-2021)&lt;START!$C$2,0,((AY$37*INDEX('DEFAULT DATA'!$AFS$9:$AFZ$41,START!$C$3,7))+(AY$38*INDEX('DEFAULT DATA'!$XC$9:$XJ$41,START!$C$3,7))+(AY$39*INDEX('DEFAULT DATA'!$YI$9:$YP$41,START!$C$3,7)))*INDEX('DEFAULT DATA'!$VD$9:$VK$41,START!$C$3,7)/1000000)</f>
        <v>0</v>
      </c>
      <c r="AZ49" s="272">
        <f>IF((AZ$42-2021)&lt;START!$C$2,0,((AZ$37*INDEX('DEFAULT DATA'!$AFS$9:$AFZ$41,START!$C$3,7))+(AZ$38*INDEX('DEFAULT DATA'!$XC$9:$XJ$41,START!$C$3,7))+(AZ$39*INDEX('DEFAULT DATA'!$YI$9:$YP$41,START!$C$3,7)))*INDEX('DEFAULT DATA'!$VD$9:$VK$41,START!$C$3,7)/1000000)</f>
        <v>0</v>
      </c>
      <c r="BA49" s="272">
        <f>IF((BA$42-2021)&lt;START!$C$2,0,((BA$37*INDEX('DEFAULT DATA'!$AFS$9:$AFZ$41,START!$C$3,7))+(BA$38*INDEX('DEFAULT DATA'!$XC$9:$XJ$41,START!$C$3,7))+(BA$39*INDEX('DEFAULT DATA'!$YI$9:$YP$41,START!$C$3,7)))*INDEX('DEFAULT DATA'!$VD$9:$VK$41,START!$C$3,7)/1000000)</f>
        <v>0</v>
      </c>
      <c r="BB49" s="272">
        <f>IF((BB$42-2021)&lt;START!$C$2,0,((BB$37*INDEX('DEFAULT DATA'!$AFS$9:$AFZ$41,START!$C$3,7))+(BB$38*INDEX('DEFAULT DATA'!$XC$9:$XJ$41,START!$C$3,7))+(BB$39*INDEX('DEFAULT DATA'!$YI$9:$YP$41,START!$C$3,7)))*INDEX('DEFAULT DATA'!$VD$9:$VK$41,START!$C$3,7)/1000000)</f>
        <v>0</v>
      </c>
      <c r="BC49" s="272">
        <f>IF((BC$42-2021)&lt;START!$C$2,0,((BC$37*INDEX('DEFAULT DATA'!$AFS$9:$AFZ$41,START!$C$3,7))+(BC$38*INDEX('DEFAULT DATA'!$XC$9:$XJ$41,START!$C$3,7))+(BC$39*INDEX('DEFAULT DATA'!$YI$9:$YP$41,START!$C$3,7)))*INDEX('DEFAULT DATA'!$VD$9:$VK$41,START!$C$3,7)/1000000)</f>
        <v>0</v>
      </c>
      <c r="BD49" s="272">
        <f>IF((BD$42-2021)&lt;START!$C$2,0,((BD$37*INDEX('DEFAULT DATA'!$AFS$9:$AFZ$41,START!$C$3,7))+(BD$38*INDEX('DEFAULT DATA'!$XC$9:$XJ$41,START!$C$3,7))+(BD$39*INDEX('DEFAULT DATA'!$YI$9:$YP$41,START!$C$3,7)))*INDEX('DEFAULT DATA'!$VD$9:$VK$41,START!$C$3,7)/1000000)</f>
        <v>0</v>
      </c>
      <c r="BE49" s="272">
        <f>IF((BE$42-2021)&lt;START!$C$2,0,((BE$37*INDEX('DEFAULT DATA'!$AFS$9:$AFZ$41,START!$C$3,7))+(BE$38*INDEX('DEFAULT DATA'!$XC$9:$XJ$41,START!$C$3,7))+(BE$39*INDEX('DEFAULT DATA'!$YI$9:$YP$41,START!$C$3,7)))*INDEX('DEFAULT DATA'!$VD$9:$VK$41,START!$C$3,7)/1000000)</f>
        <v>0</v>
      </c>
      <c r="BF49" s="272">
        <f>IF((BF$42-2021)&lt;START!$C$2,0,((BF$37*INDEX('DEFAULT DATA'!$AFS$9:$AFZ$41,START!$C$3,7))+(BF$38*INDEX('DEFAULT DATA'!$XC$9:$XJ$41,START!$C$3,7))+(BF$39*INDEX('DEFAULT DATA'!$YI$9:$YP$41,START!$C$3,7)))*INDEX('DEFAULT DATA'!$VD$9:$VK$41,START!$C$3,7)/1000000)</f>
        <v>0</v>
      </c>
      <c r="BG49" s="272">
        <f>IF((BG$42-2021)&lt;START!$C$2,0,((BG$37*INDEX('DEFAULT DATA'!$AFS$9:$AFZ$41,START!$C$3,7))+(BG$38*INDEX('DEFAULT DATA'!$XC$9:$XJ$41,START!$C$3,7))+(BG$39*INDEX('DEFAULT DATA'!$YI$9:$YP$41,START!$C$3,7)))*INDEX('DEFAULT DATA'!$VD$9:$VK$41,START!$C$3,7)/1000000)</f>
        <v>0</v>
      </c>
      <c r="BH49" s="272">
        <f>IF((BH$42-2021)&lt;START!$C$2,0,((BH$37*INDEX('DEFAULT DATA'!$AFS$9:$AFZ$41,START!$C$3,7))+(BH$38*INDEX('DEFAULT DATA'!$XC$9:$XJ$41,START!$C$3,7))+(BH$39*INDEX('DEFAULT DATA'!$YI$9:$YP$41,START!$C$3,7)))*INDEX('DEFAULT DATA'!$VD$9:$VK$41,START!$C$3,7)/1000000)</f>
        <v>0</v>
      </c>
      <c r="BI49" s="272">
        <f>IF((BI$42-2021)&lt;START!$C$2,0,((BI$37*INDEX('DEFAULT DATA'!$AFS$9:$AFZ$41,START!$C$3,7))+(BI$38*INDEX('DEFAULT DATA'!$XC$9:$XJ$41,START!$C$3,7))+(BI$39*INDEX('DEFAULT DATA'!$YI$9:$YP$41,START!$C$3,7)))*INDEX('DEFAULT DATA'!$VD$9:$VK$41,START!$C$3,7)/1000000)</f>
        <v>0</v>
      </c>
      <c r="BJ49" s="272">
        <f>IF((BJ$42-2021)&lt;START!$C$2,0,((BJ$37*INDEX('DEFAULT DATA'!$AFS$9:$AFZ$41,START!$C$3,7))+(BJ$38*INDEX('DEFAULT DATA'!$XC$9:$XJ$41,START!$C$3,7))+(BJ$39*INDEX('DEFAULT DATA'!$YI$9:$YP$41,START!$C$3,7)))*INDEX('DEFAULT DATA'!$VD$9:$VK$41,START!$C$3,7)/1000000)</f>
        <v>0</v>
      </c>
      <c r="BK49" s="272">
        <f>IF((BK$42-2021)&lt;START!$C$2,0,((BK$37*INDEX('DEFAULT DATA'!$AFS$9:$AFZ$41,START!$C$3,7))+(BK$38*INDEX('DEFAULT DATA'!$XC$9:$XJ$41,START!$C$3,7))+(BK$39*INDEX('DEFAULT DATA'!$YI$9:$YP$41,START!$C$3,7)))*INDEX('DEFAULT DATA'!$VD$9:$VK$41,START!$C$3,7)/1000000)</f>
        <v>0</v>
      </c>
      <c r="BL49" s="272">
        <f>IF((BL$42-2021)&lt;START!$C$2,0,((BL$37*INDEX('DEFAULT DATA'!$AFS$9:$AFZ$41,START!$C$3,7))+(BL$38*INDEX('DEFAULT DATA'!$XC$9:$XJ$41,START!$C$3,7))+(BL$39*INDEX('DEFAULT DATA'!$YI$9:$YP$41,START!$C$3,7)))*INDEX('DEFAULT DATA'!$VD$9:$VK$41,START!$C$3,7)/1000000)</f>
        <v>0</v>
      </c>
      <c r="BM49" s="272">
        <f>IF((BM$42-2021)&lt;START!$C$2,0,((BM$37*INDEX('DEFAULT DATA'!$AFS$9:$AFZ$41,START!$C$3,7))+(BM$38*INDEX('DEFAULT DATA'!$XC$9:$XJ$41,START!$C$3,7))+(BM$39*INDEX('DEFAULT DATA'!$YI$9:$YP$41,START!$C$3,7)))*INDEX('DEFAULT DATA'!$VD$9:$VK$41,START!$C$3,7)/1000000)</f>
        <v>0</v>
      </c>
      <c r="BN49" s="324">
        <f>IF((BN$42-2021)&lt;START!$C$2,0,((BN$37*INDEX('DEFAULT DATA'!$AFS$9:$AFZ$41,START!$C$3,7))+(BN$38*INDEX('DEFAULT DATA'!$XC$9:$XJ$41,START!$C$3,7))+(BN$39*INDEX('DEFAULT DATA'!$YI$9:$YP$41,START!$C$3,7)))*INDEX('DEFAULT DATA'!$VD$9:$VK$41,START!$C$3,7)/1000000)</f>
        <v>0</v>
      </c>
      <c r="BP49" s="524" t="str">
        <f t="shared" si="8"/>
        <v>Renewable</v>
      </c>
      <c r="BQ49" s="530" t="s">
        <v>1725</v>
      </c>
      <c r="BR49" s="531"/>
      <c r="BS49" s="531"/>
      <c r="BT49" s="531"/>
      <c r="BU49" s="531"/>
      <c r="BV49" s="531"/>
      <c r="BW49" s="531"/>
      <c r="BX49" s="531"/>
      <c r="BY49" s="531"/>
      <c r="BZ49" s="531"/>
      <c r="CA49" s="531"/>
      <c r="CB49" s="531"/>
      <c r="CC49" s="531"/>
      <c r="CD49" s="531"/>
      <c r="CE49" s="532"/>
      <c r="CF49" s="529" t="s">
        <v>1605</v>
      </c>
      <c r="CG49" s="529" t="s">
        <v>1612</v>
      </c>
      <c r="CH49" s="529" t="s">
        <v>1619</v>
      </c>
      <c r="CI49" s="529" t="s">
        <v>1625</v>
      </c>
    </row>
    <row r="50" spans="1:87" ht="20.100000000000001" customHeight="1" thickBot="1">
      <c r="A50" s="40"/>
      <c r="B50" s="34"/>
      <c r="C50" s="34"/>
      <c r="D50" s="34"/>
      <c r="E50" s="34"/>
      <c r="F50" s="34"/>
      <c r="G50" s="34"/>
      <c r="H50" s="34"/>
      <c r="I50" s="34"/>
      <c r="J50" s="34"/>
      <c r="K50" s="41"/>
      <c r="L50" s="29"/>
      <c r="M50" s="968"/>
      <c r="N50" s="971"/>
      <c r="O50" s="971"/>
      <c r="P50" s="971"/>
      <c r="Q50" s="971"/>
      <c r="R50" s="971"/>
      <c r="S50" s="971"/>
      <c r="T50" s="971"/>
      <c r="U50" s="971"/>
      <c r="V50" s="971"/>
      <c r="W50" s="971"/>
      <c r="X50" s="971"/>
      <c r="Y50" s="971"/>
      <c r="Z50" s="971"/>
      <c r="AA50" s="971"/>
      <c r="AB50" s="971"/>
      <c r="AC50" s="971"/>
      <c r="AD50" s="971"/>
      <c r="AE50" s="971"/>
      <c r="AF50" s="1493"/>
      <c r="AG50" s="1477" t="s">
        <v>1226</v>
      </c>
      <c r="AH50" s="1527"/>
      <c r="AI50" s="1527"/>
      <c r="AJ50" s="1478"/>
      <c r="AK50" s="320">
        <v>0</v>
      </c>
      <c r="AL50" s="325">
        <f>IF((AL$42-2021)&lt;START!$C$2,0,((AL$37*INDEX('DEFAULT DATA'!$AFS$9:$AFZ$41,START!$C$3,8))+(AL$38*INDEX('DEFAULT DATA'!$XC$9:$XJ$41,START!$C$3,8))+(AL$39*INDEX('DEFAULT DATA'!$YI$9:$YP$41,START!$C$3,8)))*AL6/1000000)</f>
        <v>0</v>
      </c>
      <c r="AM50" s="325">
        <f>IF((AM$42-2021)&lt;START!$C$2,0,((AM$37*INDEX('DEFAULT DATA'!$AFS$9:$AFZ$41,START!$C$3,8))+(AM$38*INDEX('DEFAULT DATA'!$XC$9:$XJ$41,START!$C$3,8))+(AM$39*INDEX('DEFAULT DATA'!$YI$9:$YP$41,START!$C$3,8)))*AM6/1000000)</f>
        <v>7622.7793861681639</v>
      </c>
      <c r="AN50" s="325">
        <f>IF((AN$42-2021)&lt;START!$C$2,0,((AN$37*INDEX('DEFAULT DATA'!$AFS$9:$AFZ$41,START!$C$3,8))+(AN$38*INDEX('DEFAULT DATA'!$XC$9:$XJ$41,START!$C$3,8))+(AN$39*INDEX('DEFAULT DATA'!$YI$9:$YP$41,START!$C$3,8)))*AN6/1000000)</f>
        <v>7622.7793861681639</v>
      </c>
      <c r="AO50" s="325">
        <f>IF((AO$42-2021)&lt;START!$C$2,0,((AO$37*INDEX('DEFAULT DATA'!$AFS$9:$AFZ$41,START!$C$3,8))+(AO$38*INDEX('DEFAULT DATA'!$XC$9:$XJ$41,START!$C$3,8))+(AO$39*INDEX('DEFAULT DATA'!$YI$9:$YP$41,START!$C$3,8)))*AO6/1000000)</f>
        <v>7622.7793861681639</v>
      </c>
      <c r="AP50" s="325">
        <f>IF((AP$42-2021)&lt;START!$C$2,0,((AP$37*INDEX('DEFAULT DATA'!$AFS$9:$AFZ$41,START!$C$3,8))+(AP$38*INDEX('DEFAULT DATA'!$XC$9:$XJ$41,START!$C$3,8))+(AP$39*INDEX('DEFAULT DATA'!$YI$9:$YP$41,START!$C$3,8)))*AP6/1000000)</f>
        <v>7622.7793861681639</v>
      </c>
      <c r="AQ50" s="325">
        <f>IF((AQ$42-2021)&lt;START!$C$2,0,((AQ$37*INDEX('DEFAULT DATA'!$AFS$9:$AFZ$41,START!$C$3,8))+(AQ$38*INDEX('DEFAULT DATA'!$XC$9:$XJ$41,START!$C$3,8))+(AQ$39*INDEX('DEFAULT DATA'!$YI$9:$YP$41,START!$C$3,8)))*AQ6/1000000)</f>
        <v>7622.7793861681639</v>
      </c>
      <c r="AR50" s="325">
        <f>IF((AR$42-2021)&lt;START!$C$2,0,((AR$37*INDEX('DEFAULT DATA'!$AFS$9:$AFZ$41,START!$C$3,8))+(AR$38*INDEX('DEFAULT DATA'!$XC$9:$XJ$41,START!$C$3,8))+(AR$39*INDEX('DEFAULT DATA'!$YI$9:$YP$41,START!$C$3,8)))*AR6/1000000)</f>
        <v>7622.7793861681639</v>
      </c>
      <c r="AS50" s="325">
        <f>IF((AS$42-2021)&lt;START!$C$2,0,((AS$37*INDEX('DEFAULT DATA'!$AFS$9:$AFZ$41,START!$C$3,8))+(AS$38*INDEX('DEFAULT DATA'!$XC$9:$XJ$41,START!$C$3,8))+(AS$39*INDEX('DEFAULT DATA'!$YI$9:$YP$41,START!$C$3,8)))*AS6/1000000)</f>
        <v>7622.7793861681639</v>
      </c>
      <c r="AT50" s="325">
        <f>IF((AT$42-2021)&lt;START!$C$2,0,((AT$37*INDEX('DEFAULT DATA'!$AFS$9:$AFZ$41,START!$C$3,8))+(AT$38*INDEX('DEFAULT DATA'!$XC$9:$XJ$41,START!$C$3,8))+(AT$39*INDEX('DEFAULT DATA'!$YI$9:$YP$41,START!$C$3,8)))*AT6/1000000)</f>
        <v>7622.7793861681639</v>
      </c>
      <c r="AU50" s="325">
        <f>IF((AU$42-2021)&lt;START!$C$2,0,((AU$37*INDEX('DEFAULT DATA'!$AFS$9:$AFZ$41,START!$C$3,8))+(AU$38*INDEX('DEFAULT DATA'!$XC$9:$XJ$41,START!$C$3,8))+(AU$39*INDEX('DEFAULT DATA'!$YI$9:$YP$41,START!$C$3,8)))*AU6/1000000)</f>
        <v>7622.7793861681639</v>
      </c>
      <c r="AV50" s="325">
        <f>IF((AV$42-2021)&lt;START!$C$2,0,((AV$37*INDEX('DEFAULT DATA'!$AFS$9:$AFZ$41,START!$C$3,8))+(AV$38*INDEX('DEFAULT DATA'!$XC$9:$XJ$41,START!$C$3,8))+(AV$39*INDEX('DEFAULT DATA'!$YI$9:$YP$41,START!$C$3,8)))*AV6/1000000)</f>
        <v>7622.7793861681639</v>
      </c>
      <c r="AW50" s="325">
        <f>IF((AW$42-2021)&lt;START!$C$2,0,((AW$37*INDEX('DEFAULT DATA'!$AFS$9:$AFZ$41,START!$C$3,8))+(AW$38*INDEX('DEFAULT DATA'!$XC$9:$XJ$41,START!$C$3,8))+(AW$39*INDEX('DEFAULT DATA'!$YI$9:$YP$41,START!$C$3,8)))*AW6/1000000)</f>
        <v>7622.7793861681639</v>
      </c>
      <c r="AX50" s="325">
        <f>IF((AX$42-2021)&lt;START!$C$2,0,((AX$37*INDEX('DEFAULT DATA'!$AFS$9:$AFZ$41,START!$C$3,8))+(AX$38*INDEX('DEFAULT DATA'!$XC$9:$XJ$41,START!$C$3,8))+(AX$39*INDEX('DEFAULT DATA'!$YI$9:$YP$41,START!$C$3,8)))*AX6/1000000)</f>
        <v>7622.7793861681639</v>
      </c>
      <c r="AY50" s="325">
        <f>IF((AY$42-2021)&lt;START!$C$2,0,((AY$37*INDEX('DEFAULT DATA'!$AFS$9:$AFZ$41,START!$C$3,8))+(AY$38*INDEX('DEFAULT DATA'!$XC$9:$XJ$41,START!$C$3,8))+(AY$39*INDEX('DEFAULT DATA'!$YI$9:$YP$41,START!$C$3,8)))*AY6/1000000)</f>
        <v>7622.7793861681639</v>
      </c>
      <c r="AZ50" s="325">
        <f>IF((AZ$42-2021)&lt;START!$C$2,0,((AZ$37*INDEX('DEFAULT DATA'!$AFS$9:$AFZ$41,START!$C$3,8))+(AZ$38*INDEX('DEFAULT DATA'!$XC$9:$XJ$41,START!$C$3,8))+(AZ$39*INDEX('DEFAULT DATA'!$YI$9:$YP$41,START!$C$3,8)))*AZ6/1000000)</f>
        <v>7622.7793861681639</v>
      </c>
      <c r="BA50" s="325">
        <f>IF((BA$42-2021)&lt;START!$C$2,0,((BA$37*INDEX('DEFAULT DATA'!$AFS$9:$AFZ$41,START!$C$3,8))+(BA$38*INDEX('DEFAULT DATA'!$XC$9:$XJ$41,START!$C$3,8))+(BA$39*INDEX('DEFAULT DATA'!$YI$9:$YP$41,START!$C$3,8)))*BA6/1000000)</f>
        <v>7622.7793861681639</v>
      </c>
      <c r="BB50" s="325">
        <f>IF((BB$42-2021)&lt;START!$C$2,0,((BB$37*INDEX('DEFAULT DATA'!$AFS$9:$AFZ$41,START!$C$3,8))+(BB$38*INDEX('DEFAULT DATA'!$XC$9:$XJ$41,START!$C$3,8))+(BB$39*INDEX('DEFAULT DATA'!$YI$9:$YP$41,START!$C$3,8)))*BB6/1000000)</f>
        <v>7622.7793861681639</v>
      </c>
      <c r="BC50" s="325">
        <f>IF((BC$42-2021)&lt;START!$C$2,0,((BC$37*INDEX('DEFAULT DATA'!$AFS$9:$AFZ$41,START!$C$3,8))+(BC$38*INDEX('DEFAULT DATA'!$XC$9:$XJ$41,START!$C$3,8))+(BC$39*INDEX('DEFAULT DATA'!$YI$9:$YP$41,START!$C$3,8)))*BC6/1000000)</f>
        <v>7622.7793861681639</v>
      </c>
      <c r="BD50" s="325">
        <f>IF((BD$42-2021)&lt;START!$C$2,0,((BD$37*INDEX('DEFAULT DATA'!$AFS$9:$AFZ$41,START!$C$3,8))+(BD$38*INDEX('DEFAULT DATA'!$XC$9:$XJ$41,START!$C$3,8))+(BD$39*INDEX('DEFAULT DATA'!$YI$9:$YP$41,START!$C$3,8)))*BD6/1000000)</f>
        <v>7622.7793861681639</v>
      </c>
      <c r="BE50" s="325">
        <f>IF((BE$42-2021)&lt;START!$C$2,0,((BE$37*INDEX('DEFAULT DATA'!$AFS$9:$AFZ$41,START!$C$3,8))+(BE$38*INDEX('DEFAULT DATA'!$XC$9:$XJ$41,START!$C$3,8))+(BE$39*INDEX('DEFAULT DATA'!$YI$9:$YP$41,START!$C$3,8)))*BE6/1000000)</f>
        <v>7622.7793861681639</v>
      </c>
      <c r="BF50" s="325">
        <f>IF((BF$42-2021)&lt;START!$C$2,0,((BF$37*INDEX('DEFAULT DATA'!$AFS$9:$AFZ$41,START!$C$3,8))+(BF$38*INDEX('DEFAULT DATA'!$XC$9:$XJ$41,START!$C$3,8))+(BF$39*INDEX('DEFAULT DATA'!$YI$9:$YP$41,START!$C$3,8)))*BF6/1000000)</f>
        <v>7622.7793861681639</v>
      </c>
      <c r="BG50" s="325">
        <f>IF((BG$42-2021)&lt;START!$C$2,0,((BG$37*INDEX('DEFAULT DATA'!$AFS$9:$AFZ$41,START!$C$3,8))+(BG$38*INDEX('DEFAULT DATA'!$XC$9:$XJ$41,START!$C$3,8))+(BG$39*INDEX('DEFAULT DATA'!$YI$9:$YP$41,START!$C$3,8)))*BG6/1000000)</f>
        <v>7622.7793861681639</v>
      </c>
      <c r="BH50" s="325">
        <f>IF((BH$42-2021)&lt;START!$C$2,0,((BH$37*INDEX('DEFAULT DATA'!$AFS$9:$AFZ$41,START!$C$3,8))+(BH$38*INDEX('DEFAULT DATA'!$XC$9:$XJ$41,START!$C$3,8))+(BH$39*INDEX('DEFAULT DATA'!$YI$9:$YP$41,START!$C$3,8)))*BH6/1000000)</f>
        <v>7622.7793861681639</v>
      </c>
      <c r="BI50" s="325">
        <f>IF((BI$42-2021)&lt;START!$C$2,0,((BI$37*INDEX('DEFAULT DATA'!$AFS$9:$AFZ$41,START!$C$3,8))+(BI$38*INDEX('DEFAULT DATA'!$XC$9:$XJ$41,START!$C$3,8))+(BI$39*INDEX('DEFAULT DATA'!$YI$9:$YP$41,START!$C$3,8)))*BI6/1000000)</f>
        <v>7622.7793861681639</v>
      </c>
      <c r="BJ50" s="325">
        <f>IF((BJ$42-2021)&lt;START!$C$2,0,((BJ$37*INDEX('DEFAULT DATA'!$AFS$9:$AFZ$41,START!$C$3,8))+(BJ$38*INDEX('DEFAULT DATA'!$XC$9:$XJ$41,START!$C$3,8))+(BJ$39*INDEX('DEFAULT DATA'!$YI$9:$YP$41,START!$C$3,8)))*BJ6/1000000)</f>
        <v>7622.7793861681639</v>
      </c>
      <c r="BK50" s="325">
        <f>IF((BK$42-2021)&lt;START!$C$2,0,((BK$37*INDEX('DEFAULT DATA'!$AFS$9:$AFZ$41,START!$C$3,8))+(BK$38*INDEX('DEFAULT DATA'!$XC$9:$XJ$41,START!$C$3,8))+(BK$39*INDEX('DEFAULT DATA'!$YI$9:$YP$41,START!$C$3,8)))*BK6/1000000)</f>
        <v>7622.7793861681639</v>
      </c>
      <c r="BL50" s="325">
        <f>IF((BL$42-2021)&lt;START!$C$2,0,((BL$37*INDEX('DEFAULT DATA'!$AFS$9:$AFZ$41,START!$C$3,8))+(BL$38*INDEX('DEFAULT DATA'!$XC$9:$XJ$41,START!$C$3,8))+(BL$39*INDEX('DEFAULT DATA'!$YI$9:$YP$41,START!$C$3,8)))*BL6/1000000)</f>
        <v>7622.7793861681639</v>
      </c>
      <c r="BM50" s="325">
        <f>IF((BM$42-2021)&lt;START!$C$2,0,((BM$37*INDEX('DEFAULT DATA'!$AFS$9:$AFZ$41,START!$C$3,8))+(BM$38*INDEX('DEFAULT DATA'!$XC$9:$XJ$41,START!$C$3,8))+(BM$39*INDEX('DEFAULT DATA'!$YI$9:$YP$41,START!$C$3,8)))*BM6/1000000)</f>
        <v>7622.7793861681639</v>
      </c>
      <c r="BN50" s="326">
        <f>IF((BN$42-2021)&lt;START!$C$2,0,((BN$37*INDEX('DEFAULT DATA'!$AFS$9:$AFZ$41,START!$C$3,8))+(BN$38*INDEX('DEFAULT DATA'!$XC$9:$XJ$41,START!$C$3,8))+(BN$39*INDEX('DEFAULT DATA'!$YI$9:$YP$41,START!$C$3,8)))*BN6/1000000)</f>
        <v>7622.7793861681639</v>
      </c>
      <c r="BP50" s="525" t="str">
        <f t="shared" si="8"/>
        <v>Heat</v>
      </c>
      <c r="BQ50" s="533" t="s">
        <v>1726</v>
      </c>
      <c r="BR50" s="534"/>
      <c r="BS50" s="534"/>
      <c r="BT50" s="534"/>
      <c r="BU50" s="534"/>
      <c r="BV50" s="534"/>
      <c r="BW50" s="534"/>
      <c r="BX50" s="534"/>
      <c r="BY50" s="534"/>
      <c r="BZ50" s="534"/>
      <c r="CA50" s="534"/>
      <c r="CB50" s="534"/>
      <c r="CC50" s="534"/>
      <c r="CD50" s="534"/>
      <c r="CE50" s="535"/>
      <c r="CF50" s="529" t="s">
        <v>1606</v>
      </c>
      <c r="CG50" s="529" t="s">
        <v>1613</v>
      </c>
      <c r="CH50" s="529" t="s">
        <v>1620</v>
      </c>
      <c r="CI50" s="529" t="s">
        <v>1626</v>
      </c>
    </row>
    <row r="51" spans="1:87" ht="20.100000000000001" customHeight="1">
      <c r="A51" s="40"/>
      <c r="B51" s="34"/>
      <c r="C51" s="34"/>
      <c r="D51" s="34"/>
      <c r="E51" s="34"/>
      <c r="F51" s="34"/>
      <c r="G51" s="34"/>
      <c r="H51" s="34"/>
      <c r="I51" s="34"/>
      <c r="J51" s="34"/>
      <c r="K51" s="41"/>
      <c r="L51" s="29"/>
      <c r="M51" s="968"/>
      <c r="N51" s="971"/>
      <c r="O51" s="971"/>
      <c r="P51" s="971"/>
      <c r="Q51" s="971"/>
      <c r="R51" s="971"/>
      <c r="S51" s="971"/>
      <c r="T51" s="971"/>
      <c r="U51" s="971"/>
      <c r="V51" s="971"/>
      <c r="W51" s="971"/>
      <c r="X51" s="971"/>
      <c r="Y51" s="971"/>
      <c r="Z51" s="971"/>
      <c r="AA51" s="971"/>
      <c r="AB51" s="971"/>
      <c r="AC51" s="971"/>
      <c r="AD51" s="971"/>
      <c r="AE51" s="971"/>
      <c r="AF51" s="496"/>
      <c r="AG51" s="1429" t="s">
        <v>310</v>
      </c>
      <c r="AH51" s="1430"/>
      <c r="AI51" s="1430"/>
      <c r="AJ51" s="1516"/>
      <c r="AK51" s="497">
        <f>SUM(AK43:AK50)</f>
        <v>0</v>
      </c>
      <c r="AL51" s="327">
        <f t="shared" ref="AL51" si="9">SUM(AL43:AL50)</f>
        <v>0</v>
      </c>
      <c r="AM51" s="327">
        <f t="shared" ref="AM51:BN51" si="10">SUM(AM43:AM50)</f>
        <v>11952.759374890931</v>
      </c>
      <c r="AN51" s="327">
        <f t="shared" si="10"/>
        <v>11927.129903599831</v>
      </c>
      <c r="AO51" s="327">
        <f t="shared" si="10"/>
        <v>11901.756727021642</v>
      </c>
      <c r="AP51" s="327">
        <f t="shared" si="10"/>
        <v>11876.637282209234</v>
      </c>
      <c r="AQ51" s="327">
        <f t="shared" si="10"/>
        <v>11851.769031844949</v>
      </c>
      <c r="AR51" s="327">
        <f t="shared" si="10"/>
        <v>11827.149463984308</v>
      </c>
      <c r="AS51" s="327">
        <f t="shared" si="10"/>
        <v>11802.776091802274</v>
      </c>
      <c r="AT51" s="327">
        <f t="shared" si="10"/>
        <v>11778.64645334206</v>
      </c>
      <c r="AU51" s="327">
        <f t="shared" si="10"/>
        <v>11647.260571926194</v>
      </c>
      <c r="AV51" s="327">
        <f t="shared" si="10"/>
        <v>11523.100913988201</v>
      </c>
      <c r="AW51" s="327">
        <f t="shared" si="10"/>
        <v>11405.770037236798</v>
      </c>
      <c r="AX51" s="327">
        <f t="shared" si="10"/>
        <v>11294.89235870672</v>
      </c>
      <c r="AY51" s="327">
        <f t="shared" si="10"/>
        <v>11190.112952495798</v>
      </c>
      <c r="AZ51" s="327">
        <f t="shared" si="10"/>
        <v>11091.096413626477</v>
      </c>
      <c r="BA51" s="327">
        <f t="shared" si="10"/>
        <v>10997.525784394968</v>
      </c>
      <c r="BB51" s="327">
        <f t="shared" si="10"/>
        <v>10909.101539771191</v>
      </c>
      <c r="BC51" s="327">
        <f t="shared" si="10"/>
        <v>10825.540628601724</v>
      </c>
      <c r="BD51" s="327">
        <f t="shared" si="10"/>
        <v>10746.575567546575</v>
      </c>
      <c r="BE51" s="327">
        <f t="shared" si="10"/>
        <v>10671.95358484946</v>
      </c>
      <c r="BF51" s="327">
        <f t="shared" si="10"/>
        <v>10601.435811200688</v>
      </c>
      <c r="BG51" s="327">
        <f t="shared" si="10"/>
        <v>10534.796515102596</v>
      </c>
      <c r="BH51" s="327">
        <f t="shared" si="10"/>
        <v>10471.822380289901</v>
      </c>
      <c r="BI51" s="327">
        <f t="shared" si="10"/>
        <v>10412.311822891905</v>
      </c>
      <c r="BJ51" s="327">
        <f t="shared" si="10"/>
        <v>10356.074346150795</v>
      </c>
      <c r="BK51" s="327">
        <f t="shared" si="10"/>
        <v>10302.929930630449</v>
      </c>
      <c r="BL51" s="327">
        <f t="shared" si="10"/>
        <v>10252.708457963723</v>
      </c>
      <c r="BM51" s="327">
        <f t="shared" si="10"/>
        <v>10205.249166293665</v>
      </c>
      <c r="BN51" s="327">
        <f t="shared" si="10"/>
        <v>10160.400135665461</v>
      </c>
    </row>
    <row r="52" spans="1:87" ht="20.100000000000001" customHeight="1">
      <c r="A52" s="40"/>
      <c r="B52" s="34"/>
      <c r="C52" s="34"/>
      <c r="D52" s="34"/>
      <c r="E52" s="34"/>
      <c r="F52" s="34"/>
      <c r="G52" s="34"/>
      <c r="H52" s="34"/>
      <c r="I52" s="34"/>
      <c r="J52" s="34"/>
      <c r="K52" s="41"/>
      <c r="L52" s="29"/>
      <c r="M52" s="968"/>
      <c r="N52" s="971"/>
      <c r="O52" s="971"/>
      <c r="P52" s="971"/>
      <c r="Q52" s="971"/>
      <c r="R52" s="971"/>
      <c r="S52" s="971"/>
      <c r="T52" s="971"/>
      <c r="U52" s="971"/>
      <c r="V52" s="971"/>
      <c r="W52" s="971"/>
      <c r="X52" s="971"/>
      <c r="Y52" s="971"/>
      <c r="Z52" s="971"/>
      <c r="AA52" s="971"/>
      <c r="AB52" s="971"/>
      <c r="AC52" s="971"/>
      <c r="AD52" s="971"/>
      <c r="AE52" s="971"/>
    </row>
    <row r="53" spans="1:87" ht="20.100000000000001" customHeight="1">
      <c r="A53" s="40"/>
      <c r="B53" s="34"/>
      <c r="C53" s="34"/>
      <c r="D53" s="34"/>
      <c r="E53" s="34"/>
      <c r="F53" s="34"/>
      <c r="G53" s="34"/>
      <c r="H53" s="34"/>
      <c r="I53" s="34"/>
      <c r="J53" s="34"/>
      <c r="K53" s="41"/>
      <c r="L53" s="29"/>
      <c r="M53" s="968"/>
      <c r="N53" s="971"/>
      <c r="O53" s="971"/>
      <c r="P53" s="971"/>
      <c r="Q53" s="971"/>
      <c r="R53" s="971"/>
      <c r="S53" s="971"/>
      <c r="T53" s="971"/>
      <c r="U53" s="971"/>
      <c r="V53" s="971"/>
      <c r="W53" s="971"/>
      <c r="X53" s="971"/>
      <c r="Y53" s="971"/>
      <c r="Z53" s="971"/>
      <c r="AA53" s="971"/>
      <c r="AB53" s="971"/>
      <c r="AC53" s="971"/>
      <c r="AD53" s="971"/>
      <c r="AE53" s="971"/>
      <c r="AF53" s="271" t="s">
        <v>1397</v>
      </c>
      <c r="BP53" s="17" t="s">
        <v>1629</v>
      </c>
      <c r="BQ53" s="17"/>
    </row>
    <row r="54" spans="1:87" ht="20.100000000000001" customHeight="1" thickBot="1">
      <c r="A54" s="40"/>
      <c r="B54" s="34"/>
      <c r="C54" s="34"/>
      <c r="D54" s="34"/>
      <c r="E54" s="34"/>
      <c r="F54" s="34"/>
      <c r="G54" s="34"/>
      <c r="H54" s="34"/>
      <c r="I54" s="34"/>
      <c r="J54" s="34"/>
      <c r="K54" s="41"/>
      <c r="L54" s="29"/>
      <c r="M54" s="968"/>
      <c r="N54" s="971"/>
      <c r="O54" s="971"/>
      <c r="P54" s="971"/>
      <c r="Q54" s="971"/>
      <c r="R54" s="971"/>
      <c r="S54" s="971"/>
      <c r="T54" s="971"/>
      <c r="U54" s="971"/>
      <c r="V54" s="971"/>
      <c r="W54" s="971"/>
      <c r="X54" s="971"/>
      <c r="Y54" s="971"/>
      <c r="Z54" s="971"/>
      <c r="AA54" s="971"/>
      <c r="AB54" s="971"/>
      <c r="AC54" s="971"/>
      <c r="AD54" s="971"/>
      <c r="AE54" s="971"/>
      <c r="AF54" s="488" t="s">
        <v>1356</v>
      </c>
      <c r="AG54" s="1510" t="s">
        <v>1355</v>
      </c>
      <c r="AH54" s="1511"/>
      <c r="AI54" s="1511"/>
      <c r="AJ54" s="1512"/>
      <c r="AK54" s="489">
        <v>2021</v>
      </c>
      <c r="AL54" s="489">
        <f t="shared" ref="AL54:BN54" si="11">AK54+1</f>
        <v>2022</v>
      </c>
      <c r="AM54" s="489">
        <f t="shared" si="11"/>
        <v>2023</v>
      </c>
      <c r="AN54" s="489">
        <f t="shared" si="11"/>
        <v>2024</v>
      </c>
      <c r="AO54" s="489">
        <f t="shared" si="11"/>
        <v>2025</v>
      </c>
      <c r="AP54" s="489">
        <f t="shared" si="11"/>
        <v>2026</v>
      </c>
      <c r="AQ54" s="489">
        <f t="shared" si="11"/>
        <v>2027</v>
      </c>
      <c r="AR54" s="489">
        <f t="shared" si="11"/>
        <v>2028</v>
      </c>
      <c r="AS54" s="489">
        <f t="shared" si="11"/>
        <v>2029</v>
      </c>
      <c r="AT54" s="489">
        <f t="shared" si="11"/>
        <v>2030</v>
      </c>
      <c r="AU54" s="489">
        <f t="shared" si="11"/>
        <v>2031</v>
      </c>
      <c r="AV54" s="489">
        <f t="shared" si="11"/>
        <v>2032</v>
      </c>
      <c r="AW54" s="489">
        <f t="shared" si="11"/>
        <v>2033</v>
      </c>
      <c r="AX54" s="489">
        <f t="shared" si="11"/>
        <v>2034</v>
      </c>
      <c r="AY54" s="489">
        <f t="shared" si="11"/>
        <v>2035</v>
      </c>
      <c r="AZ54" s="489">
        <f t="shared" si="11"/>
        <v>2036</v>
      </c>
      <c r="BA54" s="489">
        <f t="shared" si="11"/>
        <v>2037</v>
      </c>
      <c r="BB54" s="489">
        <f t="shared" si="11"/>
        <v>2038</v>
      </c>
      <c r="BC54" s="489">
        <f t="shared" si="11"/>
        <v>2039</v>
      </c>
      <c r="BD54" s="489">
        <f t="shared" si="11"/>
        <v>2040</v>
      </c>
      <c r="BE54" s="489">
        <f t="shared" si="11"/>
        <v>2041</v>
      </c>
      <c r="BF54" s="489">
        <f t="shared" si="11"/>
        <v>2042</v>
      </c>
      <c r="BG54" s="489">
        <f t="shared" si="11"/>
        <v>2043</v>
      </c>
      <c r="BH54" s="489">
        <f t="shared" si="11"/>
        <v>2044</v>
      </c>
      <c r="BI54" s="489">
        <f t="shared" si="11"/>
        <v>2045</v>
      </c>
      <c r="BJ54" s="489">
        <f t="shared" si="11"/>
        <v>2046</v>
      </c>
      <c r="BK54" s="489">
        <f t="shared" si="11"/>
        <v>2047</v>
      </c>
      <c r="BL54" s="489">
        <f t="shared" si="11"/>
        <v>2048</v>
      </c>
      <c r="BM54" s="489">
        <f t="shared" si="11"/>
        <v>2049</v>
      </c>
      <c r="BN54" s="489">
        <f t="shared" si="11"/>
        <v>2050</v>
      </c>
      <c r="BP54" s="522"/>
      <c r="BQ54" s="523" t="s">
        <v>1591</v>
      </c>
    </row>
    <row r="55" spans="1:87" ht="20.100000000000001" customHeight="1">
      <c r="A55" s="40"/>
      <c r="B55" s="34"/>
      <c r="C55" s="34"/>
      <c r="D55" s="34"/>
      <c r="E55" s="34"/>
      <c r="F55" s="34"/>
      <c r="G55" s="34"/>
      <c r="H55" s="34"/>
      <c r="I55" s="34"/>
      <c r="J55" s="34"/>
      <c r="K55" s="41"/>
      <c r="L55" s="29"/>
      <c r="M55" s="968"/>
      <c r="N55" s="971"/>
      <c r="O55" s="971"/>
      <c r="P55" s="971"/>
      <c r="Q55" s="971"/>
      <c r="R55" s="971"/>
      <c r="S55" s="971"/>
      <c r="T55" s="971"/>
      <c r="U55" s="971"/>
      <c r="V55" s="971"/>
      <c r="W55" s="971"/>
      <c r="X55" s="971"/>
      <c r="Y55" s="971"/>
      <c r="Z55" s="971"/>
      <c r="AA55" s="971"/>
      <c r="AB55" s="971"/>
      <c r="AC55" s="971"/>
      <c r="AD55" s="971"/>
      <c r="AE55" s="971"/>
      <c r="AF55" s="1491" t="s">
        <v>1219</v>
      </c>
      <c r="AG55" s="1429" t="s">
        <v>1364</v>
      </c>
      <c r="AH55" s="1430"/>
      <c r="AI55" s="1430"/>
      <c r="AJ55" s="1516"/>
      <c r="AK55" s="490">
        <v>0</v>
      </c>
      <c r="AL55" s="330">
        <f>IF((AL$54-2021)=START!$C$2,BUILDINGS!$B8,ROUND(BUILDINGS!AK55-(INDEX('DEFAULT DATA'!$VL$9:$VN$41,START!$C$3,1)/100*(AK55+AK56+AK57)),0))</f>
        <v>0</v>
      </c>
      <c r="AM55" s="330">
        <f>IF((AM$54-2021)=START!$C$2,BUILDINGS!$B8,ROUND(BUILDINGS!AL55-(INDEX('DEFAULT DATA'!$VL$9:$VN$41,START!$C$3,1)/100*(AL55+AL56+AL57)),0))</f>
        <v>6222</v>
      </c>
      <c r="AN55" s="330">
        <f>IF((AN$54-2021)=START!$C$2,BUILDINGS!$B8,ROUND(BUILDINGS!AM55-(INDEX('DEFAULT DATA'!$VL$9:$VN$41,START!$C$3,1)/100*(AM55+AM56+AM57)),0))</f>
        <v>6222</v>
      </c>
      <c r="AO55" s="330">
        <f>IF((AO$54-2021)=START!$C$2,BUILDINGS!$B8,ROUND(BUILDINGS!AN55-(INDEX('DEFAULT DATA'!$VL$9:$VN$41,START!$C$3,1)/100*(AN55+AN56+AN57)),0))</f>
        <v>6222</v>
      </c>
      <c r="AP55" s="330">
        <f>IF((AP$54-2021)=START!$C$2,BUILDINGS!$B8,ROUND(BUILDINGS!AO55-(INDEX('DEFAULT DATA'!$VL$9:$VN$41,START!$C$3,1)/100*(AO55+AO56+AO57)),0))</f>
        <v>6222</v>
      </c>
      <c r="AQ55" s="330">
        <f>IF((AQ$54-2021)=START!$C$2,BUILDINGS!$B8,ROUND(BUILDINGS!AP55-(INDEX('DEFAULT DATA'!$VL$9:$VN$41,START!$C$3,1)/100*(AP55+AP56+AP57)),0))</f>
        <v>6222</v>
      </c>
      <c r="AR55" s="330">
        <f>IF((AR$54-2021)=START!$C$2,BUILDINGS!$B8,ROUND(BUILDINGS!AQ55-(INDEX('DEFAULT DATA'!$VL$9:$VN$41,START!$C$3,1)/100*(AQ55+AQ56+AQ57)),0))</f>
        <v>6222</v>
      </c>
      <c r="AS55" s="330">
        <f>IF((AS$54-2021)=START!$C$2,BUILDINGS!$B8,ROUND(BUILDINGS!AR55-(INDEX('DEFAULT DATA'!$VL$9:$VN$41,START!$C$3,1)/100*(AR55+AR56+AR57)),0))</f>
        <v>6222</v>
      </c>
      <c r="AT55" s="330">
        <f>IF((AT$54-2021)=START!$C$2,BUILDINGS!$B8,ROUND(BUILDINGS!AS55-(INDEX('DEFAULT DATA'!$VL$9:$VN$41,START!$C$3,1)/100*(AS55+AS56+AS57)),0))</f>
        <v>6222</v>
      </c>
      <c r="AU55" s="330">
        <f>IF((AU$54-2021)=START!$C$2,BUILDINGS!$B8,ROUND(BUILDINGS!AT55-(INDEX('DEFAULT DATA'!$VL$9:$VN$41,START!$C$3,2)/100*(AT55+AT56+AT57)),0))</f>
        <v>6222</v>
      </c>
      <c r="AV55" s="330">
        <f>IF((AV$54-2021)=START!$C$2,BUILDINGS!$B8,ROUND(BUILDINGS!AU55-(INDEX('DEFAULT DATA'!$VL$9:$VN$41,START!$C$3,2)/100*(AU55+AU56+AU57)),0))</f>
        <v>6222</v>
      </c>
      <c r="AW55" s="330">
        <f>IF((AW$54-2021)=START!$C$2,BUILDINGS!$B8,ROUND(BUILDINGS!AV55-(INDEX('DEFAULT DATA'!$VL$9:$VN$41,START!$C$3,2)/100*(AV55+AV56+AV57)),0))</f>
        <v>6222</v>
      </c>
      <c r="AX55" s="330">
        <f>IF((AX$54-2021)=START!$C$2,BUILDINGS!$B8,ROUND(BUILDINGS!AW55-(INDEX('DEFAULT DATA'!$VL$9:$VN$41,START!$C$3,2)/100*(AW55+AW56+AW57)),0))</f>
        <v>6222</v>
      </c>
      <c r="AY55" s="330">
        <f>IF((AY$54-2021)=START!$C$2,BUILDINGS!$B8,ROUND(BUILDINGS!AX55-(INDEX('DEFAULT DATA'!$VL$9:$VN$41,START!$C$3,2)/100*(AX55+AX56+AX57)),0))</f>
        <v>6222</v>
      </c>
      <c r="AZ55" s="330">
        <f>IF((AZ$54-2021)=START!$C$2,BUILDINGS!$B8,ROUND(BUILDINGS!AY55-(INDEX('DEFAULT DATA'!$VL$9:$VN$41,START!$C$3,2)/100*(AY55+AY56+AY57)),0))</f>
        <v>6222</v>
      </c>
      <c r="BA55" s="330">
        <f>IF((BA$54-2021)=START!$C$2,BUILDINGS!$B8,ROUND(BUILDINGS!AZ55-(INDEX('DEFAULT DATA'!$VL$9:$VN$41,START!$C$3,2)/100*(AZ55+AZ56+AZ57)),0))</f>
        <v>6222</v>
      </c>
      <c r="BB55" s="330">
        <f>IF((BB$54-2021)=START!$C$2,BUILDINGS!$B8,ROUND(BUILDINGS!BA55-(INDEX('DEFAULT DATA'!$VL$9:$VN$41,START!$C$3,2)/100*(BA55+BA56+BA57)),0))</f>
        <v>6222</v>
      </c>
      <c r="BC55" s="330">
        <f>IF((BC$54-2021)=START!$C$2,BUILDINGS!$B8,ROUND(BUILDINGS!BB55-(INDEX('DEFAULT DATA'!$VL$9:$VN$41,START!$C$3,2)/100*(BB55+BB56+BB57)),0))</f>
        <v>6222</v>
      </c>
      <c r="BD55" s="330">
        <f>IF((BD$54-2021)=START!$C$2,BUILDINGS!$B8,ROUND(BUILDINGS!BC55-(INDEX('DEFAULT DATA'!$VL$9:$VN$41,START!$C$3,2)/100*(BC55+BC56+BC57)),0))</f>
        <v>6222</v>
      </c>
      <c r="BE55" s="330">
        <f>IF((BE$54-2021)=START!$C$2,BUILDINGS!$B8,ROUND(BUILDINGS!BD55-(INDEX('DEFAULT DATA'!$VL$9:$VN$41,START!$C$3,3)/100*(BD55+BD56+BD57)),0))</f>
        <v>6222</v>
      </c>
      <c r="BF55" s="330">
        <f>IF((BF$54-2021)=START!$C$2,BUILDINGS!$B8,ROUND(BUILDINGS!BE55-(INDEX('DEFAULT DATA'!$VL$9:$VN$41,START!$C$3,3)/100*(BE55+BE56+BE57)),0))</f>
        <v>6222</v>
      </c>
      <c r="BG55" s="330">
        <f>IF((BG$54-2021)=START!$C$2,BUILDINGS!$B8,ROUND(BUILDINGS!BF55-(INDEX('DEFAULT DATA'!$VL$9:$VN$41,START!$C$3,3)/100*(BF55+BF56+BF57)),0))</f>
        <v>6222</v>
      </c>
      <c r="BH55" s="330">
        <f>IF((BH$54-2021)=START!$C$2,BUILDINGS!$B8,ROUND(BUILDINGS!BG55-(INDEX('DEFAULT DATA'!$VL$9:$VN$41,START!$C$3,3)/100*(BG55+BG56+BG57)),0))</f>
        <v>6222</v>
      </c>
      <c r="BI55" s="330">
        <f>IF((BI$54-2021)=START!$C$2,BUILDINGS!$B8,ROUND(BUILDINGS!BH55-(INDEX('DEFAULT DATA'!$VL$9:$VN$41,START!$C$3,3)/100*(BH55+BH56+BH57)),0))</f>
        <v>6222</v>
      </c>
      <c r="BJ55" s="330">
        <f>IF((BJ$54-2021)=START!$C$2,BUILDINGS!$B8,ROUND(BUILDINGS!BI55-(INDEX('DEFAULT DATA'!$VL$9:$VN$41,START!$C$3,3)/100*(BI55+BI56+BI57)),0))</f>
        <v>6222</v>
      </c>
      <c r="BK55" s="330">
        <f>IF((BK$54-2021)=START!$C$2,BUILDINGS!$B8,ROUND(BUILDINGS!BJ55-(INDEX('DEFAULT DATA'!$VL$9:$VN$41,START!$C$3,3)/100*(BJ55+BJ56+BJ57)),0))</f>
        <v>6222</v>
      </c>
      <c r="BL55" s="330">
        <f>IF((BL$54-2021)=START!$C$2,BUILDINGS!$B8,ROUND(BUILDINGS!BK55-(INDEX('DEFAULT DATA'!$VL$9:$VN$41,START!$C$3,3)/100*(BK55+BK56+BK57)),0))</f>
        <v>6222</v>
      </c>
      <c r="BM55" s="330">
        <f>IF((BM$54-2021)=START!$C$2,BUILDINGS!$B8,ROUND(BUILDINGS!BL55-(INDEX('DEFAULT DATA'!$VL$9:$VN$41,START!$C$3,3)/100*(BL55+BL56+BL57)),0))</f>
        <v>6222</v>
      </c>
      <c r="BN55" s="331">
        <f>IF((BN$54-2021)=START!$C$2,BUILDINGS!$B8,ROUND(BUILDINGS!BM55-(INDEX('DEFAULT DATA'!$VL$9:$VN$41,START!$C$3,3)/100*(BM55+BM56+BM57)),0))</f>
        <v>6222</v>
      </c>
      <c r="BP55" s="524" t="s">
        <v>1711</v>
      </c>
      <c r="BQ55" s="521"/>
    </row>
    <row r="56" spans="1:87" ht="20.100000000000001" customHeight="1">
      <c r="A56" s="40"/>
      <c r="B56" s="34"/>
      <c r="C56" s="34"/>
      <c r="D56" s="34"/>
      <c r="E56" s="34"/>
      <c r="F56" s="34"/>
      <c r="G56" s="34"/>
      <c r="H56" s="34"/>
      <c r="I56" s="34"/>
      <c r="J56" s="34"/>
      <c r="K56" s="41"/>
      <c r="L56" s="29"/>
      <c r="M56" s="968"/>
      <c r="N56" s="971"/>
      <c r="O56" s="971"/>
      <c r="P56" s="971"/>
      <c r="Q56" s="971"/>
      <c r="R56" s="971"/>
      <c r="S56" s="971"/>
      <c r="T56" s="971"/>
      <c r="U56" s="971"/>
      <c r="V56" s="971"/>
      <c r="W56" s="971"/>
      <c r="X56" s="971"/>
      <c r="Y56" s="971"/>
      <c r="Z56" s="971"/>
      <c r="AA56" s="971"/>
      <c r="AB56" s="971"/>
      <c r="AC56" s="971"/>
      <c r="AD56" s="971"/>
      <c r="AE56" s="971"/>
      <c r="AF56" s="1492"/>
      <c r="AG56" s="1513" t="s">
        <v>1367</v>
      </c>
      <c r="AH56" s="1514"/>
      <c r="AI56" s="1514"/>
      <c r="AJ56" s="1515"/>
      <c r="AK56" s="491">
        <v>0</v>
      </c>
      <c r="AL56" s="262">
        <f>IF((AL$54-2021)=START!$C$2,0,BUILDINGS!AK56+ROUND((INDEX('DEFAULT DATA'!$VX$9:$VZ$40,START!$C$3,1)/100*(AK55+AK56+AK57)),0))</f>
        <v>0</v>
      </c>
      <c r="AM56" s="262">
        <f>IF((AM$54-2021)=START!$C$2,0,BUILDINGS!AL56+ROUND((INDEX('DEFAULT DATA'!$VX$9:$VZ$40,START!$C$3,1)/100*(AL55+AL56+AL57)),0))</f>
        <v>0</v>
      </c>
      <c r="AN56" s="262">
        <f>IF((AN$54-2021)=START!$C$2,0,BUILDINGS!AM56+ROUND((INDEX('DEFAULT DATA'!$VX$9:$VZ$40,START!$C$3,1)/100*(AM55+AM56+AM57)),0))</f>
        <v>0</v>
      </c>
      <c r="AO56" s="262">
        <f>IF((AO$54-2021)=START!$C$2,0,BUILDINGS!AN56+ROUND((INDEX('DEFAULT DATA'!$VX$9:$VZ$40,START!$C$3,1)/100*(AN55+AN56+AN57)),0))</f>
        <v>0</v>
      </c>
      <c r="AP56" s="262">
        <f>IF((AP$54-2021)=START!$C$2,0,BUILDINGS!AO56+ROUND((INDEX('DEFAULT DATA'!$VX$9:$VZ$40,START!$C$3,1)/100*(AO55+AO56+AO57)),0))</f>
        <v>0</v>
      </c>
      <c r="AQ56" s="262">
        <f>IF((AQ$54-2021)=START!$C$2,0,BUILDINGS!AP56+ROUND((INDEX('DEFAULT DATA'!$VX$9:$VZ$40,START!$C$3,1)/100*(AP55+AP56+AP57)),0))</f>
        <v>0</v>
      </c>
      <c r="AR56" s="262">
        <f>IF((AR$54-2021)=START!$C$2,0,BUILDINGS!AQ56+ROUND((INDEX('DEFAULT DATA'!$VX$9:$VZ$40,START!$C$3,1)/100*(AQ55+AQ56+AQ57)),0))</f>
        <v>0</v>
      </c>
      <c r="AS56" s="262">
        <f>IF((AS$54-2021)=START!$C$2,0,BUILDINGS!AR56+ROUND((INDEX('DEFAULT DATA'!$VX$9:$VZ$40,START!$C$3,1)/100*(AR55+AR56+AR57)),0))</f>
        <v>0</v>
      </c>
      <c r="AT56" s="262">
        <f>IF((AT$54-2021)=START!$C$2,0,BUILDINGS!AS56+ROUND((INDEX('DEFAULT DATA'!$VX$9:$VZ$40,START!$C$3,1)/100*(AS55+AS56+AS57)),0))</f>
        <v>0</v>
      </c>
      <c r="AU56" s="262">
        <f>IF((AU$54-2021)=START!$C$2,0,BUILDINGS!AT56+ROUND((INDEX('DEFAULT DATA'!$VX$9:$VZ$40,START!$C$3,2)/100*(AT55+AT56+AT57)),0))</f>
        <v>0</v>
      </c>
      <c r="AV56" s="262">
        <f>IF((AV$54-2021)=START!$C$2,0,BUILDINGS!AU56+ROUND((INDEX('DEFAULT DATA'!$VX$9:$VZ$40,START!$C$3,2)/100*(AU55+AU56+AU57)),0))</f>
        <v>0</v>
      </c>
      <c r="AW56" s="262">
        <f>IF((AW$54-2021)=START!$C$2,0,BUILDINGS!AV56+ROUND((INDEX('DEFAULT DATA'!$VX$9:$VZ$40,START!$C$3,2)/100*(AV55+AV56+AV57)),0))</f>
        <v>0</v>
      </c>
      <c r="AX56" s="262">
        <f>IF((AX$54-2021)=START!$C$2,0,BUILDINGS!AW56+ROUND((INDEX('DEFAULT DATA'!$VX$9:$VZ$40,START!$C$3,2)/100*(AW55+AW56+AW57)),0))</f>
        <v>0</v>
      </c>
      <c r="AY56" s="262">
        <f>IF((AY$54-2021)=START!$C$2,0,BUILDINGS!AX56+ROUND((INDEX('DEFAULT DATA'!$VX$9:$VZ$40,START!$C$3,2)/100*(AX55+AX56+AX57)),0))</f>
        <v>0</v>
      </c>
      <c r="AZ56" s="262">
        <f>IF((AZ$54-2021)=START!$C$2,0,BUILDINGS!AY56+ROUND((INDEX('DEFAULT DATA'!$VX$9:$VZ$40,START!$C$3,2)/100*(AY55+AY56+AY57)),0))</f>
        <v>0</v>
      </c>
      <c r="BA56" s="262">
        <f>IF((BA$54-2021)=START!$C$2,0,BUILDINGS!AZ56+ROUND((INDEX('DEFAULT DATA'!$VX$9:$VZ$40,START!$C$3,2)/100*(AZ55+AZ56+AZ57)),0))</f>
        <v>0</v>
      </c>
      <c r="BB56" s="262">
        <f>IF((BB$54-2021)=START!$C$2,0,BUILDINGS!BA56+ROUND((INDEX('DEFAULT DATA'!$VX$9:$VZ$40,START!$C$3,2)/100*(BA55+BA56+BA57)),0))</f>
        <v>0</v>
      </c>
      <c r="BC56" s="262">
        <f>IF((BC$54-2021)=START!$C$2,0,BUILDINGS!BB56+ROUND((INDEX('DEFAULT DATA'!$VX$9:$VZ$40,START!$C$3,2)/100*(BB55+BB56+BB57)),0))</f>
        <v>0</v>
      </c>
      <c r="BD56" s="262">
        <f>IF((BD$54-2021)=START!$C$2,0,BUILDINGS!BC56+ROUND((INDEX('DEFAULT DATA'!$VX$9:$VZ$40,START!$C$3,2)/100*(BC55+BC56+BC57)),0))</f>
        <v>0</v>
      </c>
      <c r="BE56" s="262">
        <f>IF((BE$54-2021)=START!$C$2,0,BUILDINGS!BD56+ROUND((INDEX('DEFAULT DATA'!$VX$9:$VZ$40,START!$C$3,3)/100*(BD55+BD56+BD57)),0))</f>
        <v>0</v>
      </c>
      <c r="BF56" s="262">
        <f>IF((BF$54-2021)=START!$C$2,0,BUILDINGS!BE56+ROUND((INDEX('DEFAULT DATA'!$VX$9:$VZ$40,START!$C$3,3)/100*(BE55+BE56+BE57)),0))</f>
        <v>0</v>
      </c>
      <c r="BG56" s="262">
        <f>IF((BG$54-2021)=START!$C$2,0,BUILDINGS!BF56+ROUND((INDEX('DEFAULT DATA'!$VX$9:$VZ$40,START!$C$3,3)/100*(BF55+BF56+BF57)),0))</f>
        <v>0</v>
      </c>
      <c r="BH56" s="262">
        <f>IF((BH$54-2021)=START!$C$2,0,BUILDINGS!BG56+ROUND((INDEX('DEFAULT DATA'!$VX$9:$VZ$40,START!$C$3,3)/100*(BG55+BG56+BG57)),0))</f>
        <v>0</v>
      </c>
      <c r="BI56" s="262">
        <f>IF((BI$54-2021)=START!$C$2,0,BUILDINGS!BH56+ROUND((INDEX('DEFAULT DATA'!$VX$9:$VZ$40,START!$C$3,3)/100*(BH55+BH56+BH57)),0))</f>
        <v>0</v>
      </c>
      <c r="BJ56" s="262">
        <f>IF((BJ$54-2021)=START!$C$2,0,BUILDINGS!BI56+ROUND((INDEX('DEFAULT DATA'!$VX$9:$VZ$40,START!$C$3,3)/100*(BI55+BI56+BI57)),0))</f>
        <v>0</v>
      </c>
      <c r="BK56" s="262">
        <f>IF((BK$54-2021)=START!$C$2,0,BUILDINGS!BJ56+ROUND((INDEX('DEFAULT DATA'!$VX$9:$VZ$40,START!$C$3,3)/100*(BJ55+BJ56+BJ57)),0))</f>
        <v>0</v>
      </c>
      <c r="BL56" s="262">
        <f>IF((BL$54-2021)=START!$C$2,0,BUILDINGS!BK56+ROUND((INDEX('DEFAULT DATA'!$VX$9:$VZ$40,START!$C$3,3)/100*(BK55+BK56+BK57)),0))</f>
        <v>0</v>
      </c>
      <c r="BM56" s="262">
        <f>IF((BM$54-2021)=START!$C$2,0,BUILDINGS!BL56+ROUND((INDEX('DEFAULT DATA'!$VX$9:$VZ$40,START!$C$3,3)/100*(BL55+BL56+BL57)),0))</f>
        <v>0</v>
      </c>
      <c r="BN56" s="492">
        <f>IF((BN$54-2021)=START!$C$2,0,BUILDINGS!BM56+ROUND((INDEX('DEFAULT DATA'!$VX$9:$VZ$40,START!$C$3,3)/100*(BM55+BM56+BM57)),0))</f>
        <v>0</v>
      </c>
      <c r="BP56" s="524" t="s">
        <v>1712</v>
      </c>
      <c r="BQ56" s="521"/>
    </row>
    <row r="57" spans="1:87" ht="20.100000000000001" customHeight="1" thickBot="1">
      <c r="A57" s="226"/>
      <c r="B57" s="197"/>
      <c r="C57" s="197"/>
      <c r="D57" s="197"/>
      <c r="E57" s="197"/>
      <c r="F57" s="197"/>
      <c r="G57" s="197"/>
      <c r="H57" s="34"/>
      <c r="I57" s="34"/>
      <c r="J57" s="34"/>
      <c r="K57" s="41"/>
      <c r="L57" s="29"/>
      <c r="M57" s="968"/>
      <c r="N57" s="971"/>
      <c r="O57" s="971"/>
      <c r="P57" s="971"/>
      <c r="Q57" s="971"/>
      <c r="R57" s="971"/>
      <c r="S57" s="971"/>
      <c r="T57" s="971"/>
      <c r="U57" s="971"/>
      <c r="V57" s="971"/>
      <c r="W57" s="971"/>
      <c r="X57" s="971"/>
      <c r="Y57" s="971"/>
      <c r="Z57" s="971"/>
      <c r="AA57" s="971"/>
      <c r="AB57" s="971"/>
      <c r="AC57" s="971"/>
      <c r="AD57" s="971"/>
      <c r="AE57" s="971"/>
      <c r="AF57" s="1493"/>
      <c r="AG57" s="498" t="s">
        <v>1365</v>
      </c>
      <c r="AH57" s="499"/>
      <c r="AI57" s="499"/>
      <c r="AJ57" s="340"/>
      <c r="AK57" s="493">
        <v>0</v>
      </c>
      <c r="AL57" s="335">
        <f>IF((AL$54-2021)=START!$C$2,0,BUILDINGS!AK57+ROUND((INDEX('DEFAULT DATA'!$WA$9:$WC$41,START!$C$3,1)/100*(AK55+AK56+AK57)),0))</f>
        <v>0</v>
      </c>
      <c r="AM57" s="335">
        <f>IF((AM$54-2021)=START!$C$2,0,BUILDINGS!AL57+ROUND((INDEX('DEFAULT DATA'!$WA$9:$WC$41,START!$C$3,1)/100*(AL55+AL56+AL57)),0))</f>
        <v>0</v>
      </c>
      <c r="AN57" s="335">
        <f>IF((AN$54-2021)=START!$C$2,0,BUILDINGS!AM57+ROUND((INDEX('DEFAULT DATA'!$WA$9:$WC$41,START!$C$3,1)/100*(AM55+AM56+AM57)),0))</f>
        <v>0</v>
      </c>
      <c r="AO57" s="335">
        <f>IF((AO$54-2021)=START!$C$2,0,BUILDINGS!AN57+ROUND((INDEX('DEFAULT DATA'!$WA$9:$WC$41,START!$C$3,1)/100*(AN55+AN56+AN57)),0))</f>
        <v>0</v>
      </c>
      <c r="AP57" s="335">
        <f>IF((AP$54-2021)=START!$C$2,0,BUILDINGS!AO57+ROUND((INDEX('DEFAULT DATA'!$WA$9:$WC$41,START!$C$3,1)/100*(AO55+AO56+AO57)),0))</f>
        <v>0</v>
      </c>
      <c r="AQ57" s="335">
        <f>IF((AQ$54-2021)=START!$C$2,0,BUILDINGS!AP57+ROUND((INDEX('DEFAULT DATA'!$WA$9:$WC$41,START!$C$3,1)/100*(AP55+AP56+AP57)),0))</f>
        <v>0</v>
      </c>
      <c r="AR57" s="335">
        <f>IF((AR$54-2021)=START!$C$2,0,BUILDINGS!AQ57+ROUND((INDEX('DEFAULT DATA'!$WA$9:$WC$41,START!$C$3,1)/100*(AQ55+AQ56+AQ57)),0))</f>
        <v>0</v>
      </c>
      <c r="AS57" s="335">
        <f>IF((AS$54-2021)=START!$C$2,0,BUILDINGS!AR57+ROUND((INDEX('DEFAULT DATA'!$WA$9:$WC$41,START!$C$3,1)/100*(AR55+AR56+AR57)),0))</f>
        <v>0</v>
      </c>
      <c r="AT57" s="335">
        <f>IF((AT$54-2021)=START!$C$2,0,BUILDINGS!AS57+ROUND((INDEX('DEFAULT DATA'!$WA$9:$WC$41,START!$C$3,1)/100*(AS55+AS56+AS57)),0))</f>
        <v>0</v>
      </c>
      <c r="AU57" s="335">
        <f>IF((AU$54-2021)=START!$C$2,0,BUILDINGS!AT57+ROUND((INDEX('DEFAULT DATA'!$WA$9:$WC$41,START!$C$3,2)/100*(AT55+AT56+AT57)),0))</f>
        <v>0</v>
      </c>
      <c r="AV57" s="335">
        <f>IF((AV$54-2021)=START!$C$2,0,BUILDINGS!AU57+ROUND((INDEX('DEFAULT DATA'!$WA$9:$WC$41,START!$C$3,2)/100*(AU55+AU56+AU57)),0))</f>
        <v>0</v>
      </c>
      <c r="AW57" s="335">
        <f>IF((AW$54-2021)=START!$C$2,0,BUILDINGS!AV57+ROUND((INDEX('DEFAULT DATA'!$WA$9:$WC$41,START!$C$3,2)/100*(AV55+AV56+AV57)),0))</f>
        <v>0</v>
      </c>
      <c r="AX57" s="335">
        <f>IF((AX$54-2021)=START!$C$2,0,BUILDINGS!AW57+ROUND((INDEX('DEFAULT DATA'!$WA$9:$WC$41,START!$C$3,2)/100*(AW55+AW56+AW57)),0))</f>
        <v>0</v>
      </c>
      <c r="AY57" s="335">
        <f>IF((AY$54-2021)=START!$C$2,0,BUILDINGS!AX57+ROUND((INDEX('DEFAULT DATA'!$WA$9:$WC$41,START!$C$3,2)/100*(AX55+AX56+AX57)),0))</f>
        <v>0</v>
      </c>
      <c r="AZ57" s="335">
        <f>IF((AZ$54-2021)=START!$C$2,0,BUILDINGS!AY57+ROUND((INDEX('DEFAULT DATA'!$WA$9:$WC$41,START!$C$3,2)/100*(AY55+AY56+AY57)),0))</f>
        <v>0</v>
      </c>
      <c r="BA57" s="335">
        <f>IF((BA$54-2021)=START!$C$2,0,BUILDINGS!AZ57+ROUND((INDEX('DEFAULT DATA'!$WA$9:$WC$41,START!$C$3,2)/100*(AZ55+AZ56+AZ57)),0))</f>
        <v>0</v>
      </c>
      <c r="BB57" s="335">
        <f>IF((BB$54-2021)=START!$C$2,0,BUILDINGS!BA57+ROUND((INDEX('DEFAULT DATA'!$WA$9:$WC$41,START!$C$3,2)/100*(BA55+BA56+BA57)),0))</f>
        <v>0</v>
      </c>
      <c r="BC57" s="335">
        <f>IF((BC$54-2021)=START!$C$2,0,BUILDINGS!BB57+ROUND((INDEX('DEFAULT DATA'!$WA$9:$WC$41,START!$C$3,2)/100*(BB55+BB56+BB57)),0))</f>
        <v>0</v>
      </c>
      <c r="BD57" s="335">
        <f>IF((BD$54-2021)=START!$C$2,0,BUILDINGS!BC57+ROUND((INDEX('DEFAULT DATA'!$WA$9:$WC$41,START!$C$3,2)/100*(BC55+BC56+BC57)),0))</f>
        <v>0</v>
      </c>
      <c r="BE57" s="335">
        <f>IF((BE$54-2021)=START!$C$2,0,BUILDINGS!BD57+ROUND((INDEX('DEFAULT DATA'!$WA$9:$WC$41,START!$C$3,3)/100*(BD55+BD56+BD57)),0))</f>
        <v>0</v>
      </c>
      <c r="BF57" s="335">
        <f>IF((BF$54-2021)=START!$C$2,0,BUILDINGS!BE57+ROUND((INDEX('DEFAULT DATA'!$WA$9:$WC$41,START!$C$3,3)/100*(BE55+BE56+BE57)),0))</f>
        <v>0</v>
      </c>
      <c r="BG57" s="335">
        <f>IF((BG$54-2021)=START!$C$2,0,BUILDINGS!BF57+ROUND((INDEX('DEFAULT DATA'!$WA$9:$WC$41,START!$C$3,3)/100*(BF55+BF56+BF57)),0))</f>
        <v>0</v>
      </c>
      <c r="BH57" s="335">
        <f>IF((BH$54-2021)=START!$C$2,0,BUILDINGS!BG57+ROUND((INDEX('DEFAULT DATA'!$WA$9:$WC$41,START!$C$3,3)/100*(BG55+BG56+BG57)),0))</f>
        <v>0</v>
      </c>
      <c r="BI57" s="335">
        <f>IF((BI$54-2021)=START!$C$2,0,BUILDINGS!BH57+ROUND((INDEX('DEFAULT DATA'!$WA$9:$WC$41,START!$C$3,3)/100*(BH55+BH56+BH57)),0))</f>
        <v>0</v>
      </c>
      <c r="BJ57" s="335">
        <f>IF((BJ$54-2021)=START!$C$2,0,BUILDINGS!BI57+ROUND((INDEX('DEFAULT DATA'!$WA$9:$WC$41,START!$C$3,3)/100*(BI55+BI56+BI57)),0))</f>
        <v>0</v>
      </c>
      <c r="BK57" s="335">
        <f>IF((BK$54-2021)=START!$C$2,0,BUILDINGS!BJ57+ROUND((INDEX('DEFAULT DATA'!$WA$9:$WC$41,START!$C$3,3)/100*(BJ55+BJ56+BJ57)),0))</f>
        <v>0</v>
      </c>
      <c r="BL57" s="335">
        <f>IF((BL$54-2021)=START!$C$2,0,BUILDINGS!BK57+ROUND((INDEX('DEFAULT DATA'!$WA$9:$WC$41,START!$C$3,3)/100*(BK55+BK56+BK57)),0))</f>
        <v>0</v>
      </c>
      <c r="BM57" s="335">
        <f>IF((BM$54-2021)=START!$C$2,0,BUILDINGS!BL57+ROUND((INDEX('DEFAULT DATA'!$WA$9:$WC$41,START!$C$3,3)/100*(BL55+BL56+BL57)),0))</f>
        <v>0</v>
      </c>
      <c r="BN57" s="494">
        <f>IF((BN$54-2021)=START!$C$2,0,BUILDINGS!BM57+ROUND((INDEX('DEFAULT DATA'!$WA$9:$WC$41,START!$C$3,3)/100*(BM55+BM56+BM57)),0))</f>
        <v>0</v>
      </c>
      <c r="BP57" s="525" t="s">
        <v>1713</v>
      </c>
      <c r="BQ57" s="521"/>
    </row>
    <row r="58" spans="1:87" ht="20.100000000000001" customHeight="1">
      <c r="A58" s="226"/>
      <c r="B58" s="197"/>
      <c r="C58" s="197"/>
      <c r="D58" s="197"/>
      <c r="E58" s="197"/>
      <c r="F58" s="197"/>
      <c r="G58" s="197"/>
      <c r="H58" s="34"/>
      <c r="I58" s="34"/>
      <c r="J58" s="34"/>
      <c r="K58" s="41"/>
      <c r="L58" s="29"/>
      <c r="M58" s="968"/>
      <c r="N58" s="971"/>
      <c r="O58" s="971"/>
      <c r="P58" s="971"/>
      <c r="Q58" s="971"/>
      <c r="R58" s="971"/>
      <c r="S58" s="971"/>
      <c r="T58" s="971"/>
      <c r="U58" s="971"/>
      <c r="V58" s="971"/>
      <c r="W58" s="971"/>
      <c r="X58" s="971"/>
      <c r="Y58" s="971"/>
      <c r="Z58" s="971"/>
      <c r="AA58" s="971"/>
      <c r="AB58" s="971"/>
      <c r="AC58" s="971"/>
      <c r="AD58" s="971"/>
      <c r="AE58" s="971"/>
      <c r="AF58" s="496"/>
      <c r="AG58" s="1429" t="s">
        <v>1366</v>
      </c>
      <c r="AH58" s="1430"/>
      <c r="AI58" s="1430"/>
      <c r="AJ58" s="1516"/>
      <c r="AK58" s="495">
        <f t="shared" ref="AK58:BN58" si="12">SUM(AK55:AK57)</f>
        <v>0</v>
      </c>
      <c r="AL58" s="495">
        <f t="shared" si="12"/>
        <v>0</v>
      </c>
      <c r="AM58" s="495">
        <f t="shared" si="12"/>
        <v>6222</v>
      </c>
      <c r="AN58" s="495">
        <f t="shared" si="12"/>
        <v>6222</v>
      </c>
      <c r="AO58" s="495">
        <f t="shared" si="12"/>
        <v>6222</v>
      </c>
      <c r="AP58" s="495">
        <f t="shared" si="12"/>
        <v>6222</v>
      </c>
      <c r="AQ58" s="495">
        <f t="shared" si="12"/>
        <v>6222</v>
      </c>
      <c r="AR58" s="495">
        <f t="shared" si="12"/>
        <v>6222</v>
      </c>
      <c r="AS58" s="495">
        <f t="shared" si="12"/>
        <v>6222</v>
      </c>
      <c r="AT58" s="495">
        <f t="shared" si="12"/>
        <v>6222</v>
      </c>
      <c r="AU58" s="495">
        <f t="shared" si="12"/>
        <v>6222</v>
      </c>
      <c r="AV58" s="495">
        <f t="shared" si="12"/>
        <v>6222</v>
      </c>
      <c r="AW58" s="495">
        <f t="shared" si="12"/>
        <v>6222</v>
      </c>
      <c r="AX58" s="495">
        <f t="shared" si="12"/>
        <v>6222</v>
      </c>
      <c r="AY58" s="495">
        <f t="shared" si="12"/>
        <v>6222</v>
      </c>
      <c r="AZ58" s="495">
        <f t="shared" si="12"/>
        <v>6222</v>
      </c>
      <c r="BA58" s="495">
        <f t="shared" si="12"/>
        <v>6222</v>
      </c>
      <c r="BB58" s="495">
        <f t="shared" si="12"/>
        <v>6222</v>
      </c>
      <c r="BC58" s="495">
        <f t="shared" si="12"/>
        <v>6222</v>
      </c>
      <c r="BD58" s="495">
        <f t="shared" si="12"/>
        <v>6222</v>
      </c>
      <c r="BE58" s="495">
        <f t="shared" si="12"/>
        <v>6222</v>
      </c>
      <c r="BF58" s="495">
        <f t="shared" si="12"/>
        <v>6222</v>
      </c>
      <c r="BG58" s="495">
        <f t="shared" si="12"/>
        <v>6222</v>
      </c>
      <c r="BH58" s="495">
        <f t="shared" si="12"/>
        <v>6222</v>
      </c>
      <c r="BI58" s="495">
        <f t="shared" si="12"/>
        <v>6222</v>
      </c>
      <c r="BJ58" s="495">
        <f t="shared" si="12"/>
        <v>6222</v>
      </c>
      <c r="BK58" s="495">
        <f t="shared" si="12"/>
        <v>6222</v>
      </c>
      <c r="BL58" s="495">
        <f t="shared" si="12"/>
        <v>6222</v>
      </c>
      <c r="BM58" s="495">
        <f t="shared" si="12"/>
        <v>6222</v>
      </c>
      <c r="BN58" s="495">
        <f t="shared" si="12"/>
        <v>6222</v>
      </c>
      <c r="BP58" s="17"/>
      <c r="BQ58" s="17"/>
      <c r="CF58" s="392" t="s">
        <v>1593</v>
      </c>
      <c r="CG58" s="392" t="s">
        <v>1464</v>
      </c>
      <c r="CH58" s="392" t="s">
        <v>1465</v>
      </c>
    </row>
    <row r="59" spans="1:87" ht="20.100000000000001" customHeight="1">
      <c r="A59" s="226"/>
      <c r="B59" s="197"/>
      <c r="C59" s="197"/>
      <c r="D59" s="197"/>
      <c r="E59" s="197"/>
      <c r="F59" s="197"/>
      <c r="G59" s="197"/>
      <c r="H59" s="34"/>
      <c r="I59" s="34"/>
      <c r="J59" s="34"/>
      <c r="K59" s="41"/>
      <c r="L59" s="29"/>
      <c r="M59" s="968"/>
      <c r="N59" s="971"/>
      <c r="O59" s="971"/>
      <c r="P59" s="971"/>
      <c r="Q59" s="971"/>
      <c r="R59" s="971"/>
      <c r="S59" s="971"/>
      <c r="T59" s="971"/>
      <c r="U59" s="971"/>
      <c r="V59" s="971"/>
      <c r="W59" s="971"/>
      <c r="X59" s="971"/>
      <c r="Y59" s="971"/>
      <c r="Z59" s="971"/>
      <c r="AA59" s="971"/>
      <c r="AB59" s="971"/>
      <c r="AC59" s="971"/>
      <c r="AD59" s="971"/>
      <c r="AE59" s="971"/>
      <c r="CF59" s="392" t="s">
        <v>1630</v>
      </c>
      <c r="CG59" s="392" t="s">
        <v>1630</v>
      </c>
      <c r="CH59" s="392" t="s">
        <v>1630</v>
      </c>
    </row>
    <row r="60" spans="1:87" ht="20.100000000000001" customHeight="1">
      <c r="A60" s="226"/>
      <c r="B60" s="197"/>
      <c r="C60" s="197"/>
      <c r="D60" s="197"/>
      <c r="E60" s="197"/>
      <c r="F60" s="197"/>
      <c r="G60" s="197"/>
      <c r="H60" s="34"/>
      <c r="I60" s="34"/>
      <c r="J60" s="34"/>
      <c r="K60" s="41"/>
      <c r="L60" s="29"/>
      <c r="M60" s="968"/>
      <c r="N60" s="971"/>
      <c r="O60" s="971"/>
      <c r="P60" s="971"/>
      <c r="Q60" s="971"/>
      <c r="R60" s="971"/>
      <c r="S60" s="971"/>
      <c r="T60" s="971"/>
      <c r="U60" s="971"/>
      <c r="V60" s="971"/>
      <c r="W60" s="971"/>
      <c r="X60" s="971"/>
      <c r="Y60" s="971"/>
      <c r="Z60" s="971"/>
      <c r="AA60" s="971"/>
      <c r="AB60" s="971"/>
      <c r="AC60" s="971"/>
      <c r="AD60" s="971"/>
      <c r="AE60" s="971"/>
      <c r="AF60" s="269" t="s">
        <v>1380</v>
      </c>
      <c r="AG60" s="1513" t="s">
        <v>1401</v>
      </c>
      <c r="AH60" s="1514"/>
      <c r="AI60" s="1514"/>
      <c r="AJ60" s="1515"/>
      <c r="AK60" s="262">
        <v>2021</v>
      </c>
      <c r="AL60" s="262">
        <f>AK60+1</f>
        <v>2022</v>
      </c>
      <c r="AM60" s="262">
        <f t="shared" ref="AM60:BN60" si="13">AL60+1</f>
        <v>2023</v>
      </c>
      <c r="AN60" s="262">
        <f t="shared" si="13"/>
        <v>2024</v>
      </c>
      <c r="AO60" s="262">
        <f t="shared" si="13"/>
        <v>2025</v>
      </c>
      <c r="AP60" s="262">
        <f t="shared" si="13"/>
        <v>2026</v>
      </c>
      <c r="AQ60" s="262">
        <f t="shared" si="13"/>
        <v>2027</v>
      </c>
      <c r="AR60" s="262">
        <f t="shared" si="13"/>
        <v>2028</v>
      </c>
      <c r="AS60" s="262">
        <f t="shared" si="13"/>
        <v>2029</v>
      </c>
      <c r="AT60" s="262">
        <f t="shared" si="13"/>
        <v>2030</v>
      </c>
      <c r="AU60" s="262">
        <f t="shared" si="13"/>
        <v>2031</v>
      </c>
      <c r="AV60" s="262">
        <f t="shared" si="13"/>
        <v>2032</v>
      </c>
      <c r="AW60" s="262">
        <f t="shared" si="13"/>
        <v>2033</v>
      </c>
      <c r="AX60" s="262">
        <f t="shared" si="13"/>
        <v>2034</v>
      </c>
      <c r="AY60" s="262">
        <f t="shared" si="13"/>
        <v>2035</v>
      </c>
      <c r="AZ60" s="262">
        <f t="shared" si="13"/>
        <v>2036</v>
      </c>
      <c r="BA60" s="262">
        <f t="shared" si="13"/>
        <v>2037</v>
      </c>
      <c r="BB60" s="262">
        <f t="shared" si="13"/>
        <v>2038</v>
      </c>
      <c r="BC60" s="262">
        <f t="shared" si="13"/>
        <v>2039</v>
      </c>
      <c r="BD60" s="262">
        <f t="shared" si="13"/>
        <v>2040</v>
      </c>
      <c r="BE60" s="262">
        <f t="shared" si="13"/>
        <v>2041</v>
      </c>
      <c r="BF60" s="262">
        <f t="shared" si="13"/>
        <v>2042</v>
      </c>
      <c r="BG60" s="262">
        <f t="shared" si="13"/>
        <v>2043</v>
      </c>
      <c r="BH60" s="262">
        <f t="shared" si="13"/>
        <v>2044</v>
      </c>
      <c r="BI60" s="262">
        <f t="shared" si="13"/>
        <v>2045</v>
      </c>
      <c r="BJ60" s="262">
        <f t="shared" si="13"/>
        <v>2046</v>
      </c>
      <c r="BK60" s="262">
        <f t="shared" si="13"/>
        <v>2047</v>
      </c>
      <c r="BL60" s="262">
        <f t="shared" si="13"/>
        <v>2048</v>
      </c>
      <c r="BM60" s="262">
        <f t="shared" si="13"/>
        <v>2049</v>
      </c>
      <c r="BN60" s="262">
        <f t="shared" si="13"/>
        <v>2050</v>
      </c>
      <c r="BP60" s="17" t="s">
        <v>1655</v>
      </c>
      <c r="BQ60" s="17"/>
      <c r="CF60" s="392" t="s">
        <v>1592</v>
      </c>
      <c r="CG60" s="392" t="s">
        <v>1592</v>
      </c>
      <c r="CH60" s="392" t="s">
        <v>1592</v>
      </c>
      <c r="CI60" s="392" t="s">
        <v>1598</v>
      </c>
    </row>
    <row r="61" spans="1:87" ht="20.100000000000001" customHeight="1">
      <c r="A61" s="226"/>
      <c r="B61" s="197"/>
      <c r="C61" s="197"/>
      <c r="D61" s="197"/>
      <c r="E61" s="197"/>
      <c r="F61" s="197"/>
      <c r="G61" s="197"/>
      <c r="H61" s="34"/>
      <c r="I61" s="34"/>
      <c r="J61" s="34"/>
      <c r="K61" s="41"/>
      <c r="L61" s="29"/>
      <c r="M61" s="968"/>
      <c r="N61" s="971"/>
      <c r="O61" s="971"/>
      <c r="P61" s="971"/>
      <c r="Q61" s="971"/>
      <c r="R61" s="971"/>
      <c r="S61" s="971"/>
      <c r="T61" s="971"/>
      <c r="U61" s="971"/>
      <c r="V61" s="971"/>
      <c r="W61" s="971"/>
      <c r="X61" s="971"/>
      <c r="Y61" s="971"/>
      <c r="Z61" s="971"/>
      <c r="AA61" s="971"/>
      <c r="AB61" s="971"/>
      <c r="AC61" s="971"/>
      <c r="AD61" s="971"/>
      <c r="AE61" s="971"/>
      <c r="AF61" s="1535" t="s">
        <v>1219</v>
      </c>
      <c r="AG61" s="1513" t="s">
        <v>933</v>
      </c>
      <c r="AH61" s="1514"/>
      <c r="AI61" s="1514"/>
      <c r="AJ61" s="1515"/>
      <c r="AK61" s="220">
        <v>0</v>
      </c>
      <c r="AL61" s="500">
        <f>IF((AL$60-2021)&lt;START!$C$2,0,((AL$55*INDEX('DEFAULT DATA'!$AGA$9:$AGH$41,START!$C$3,1))+(AL$56*INDEX('DEFAULT DATA'!$XK$9:$XR$41,START!$C$3,1))+(AL$57*INDEX('DEFAULT DATA'!$YQ$9:$YX$41,START!$C$3,1)))*AL5/1000000)</f>
        <v>0</v>
      </c>
      <c r="AM61" s="500">
        <f>IF((AM$60-2021)&lt;START!$C$2,0,((AM$55*INDEX('DEFAULT DATA'!$AGA$9:$AGH$41,START!$C$3,1))+(AM$56*INDEX('DEFAULT DATA'!$XK$9:$XR$41,START!$C$3,1))+(AM$57*INDEX('DEFAULT DATA'!$YQ$9:$YX$41,START!$C$3,1)))*AM5/1000000)</f>
        <v>3967.8641411381814</v>
      </c>
      <c r="AN61" s="500">
        <f>IF((AN$60-2021)&lt;START!$C$2,0,((AN$55*INDEX('DEFAULT DATA'!$AGA$9:$AGH$41,START!$C$3,1))+(AN$56*INDEX('DEFAULT DATA'!$XK$9:$XR$41,START!$C$3,1))+(AN$57*INDEX('DEFAULT DATA'!$YQ$9:$YX$41,START!$C$3,1)))*AN5/1000000)</f>
        <v>3928.1854997267997</v>
      </c>
      <c r="AO61" s="500">
        <f>IF((AO$60-2021)&lt;START!$C$2,0,((AO$55*INDEX('DEFAULT DATA'!$AGA$9:$AGH$41,START!$C$3,1))+(AO$56*INDEX('DEFAULT DATA'!$XK$9:$XR$41,START!$C$3,1))+(AO$57*INDEX('DEFAULT DATA'!$YQ$9:$YX$41,START!$C$3,1)))*AO5/1000000)</f>
        <v>3888.9036447295316</v>
      </c>
      <c r="AP61" s="500">
        <f>IF((AP$60-2021)&lt;START!$C$2,0,((AP$55*INDEX('DEFAULT DATA'!$AGA$9:$AGH$41,START!$C$3,1))+(AP$56*INDEX('DEFAULT DATA'!$XK$9:$XR$41,START!$C$3,1))+(AP$57*INDEX('DEFAULT DATA'!$YQ$9:$YX$41,START!$C$3,1)))*AP5/1000000)</f>
        <v>3850.0146082822362</v>
      </c>
      <c r="AQ61" s="500">
        <f>IF((AQ$60-2021)&lt;START!$C$2,0,((AQ$55*INDEX('DEFAULT DATA'!$AGA$9:$AGH$41,START!$C$3,1))+(AQ$56*INDEX('DEFAULT DATA'!$XK$9:$XR$41,START!$C$3,1))+(AQ$57*INDEX('DEFAULT DATA'!$YQ$9:$YX$41,START!$C$3,1)))*AQ5/1000000)</f>
        <v>3811.5144621994136</v>
      </c>
      <c r="AR61" s="500">
        <f>IF((AR$60-2021)&lt;START!$C$2,0,((AR$55*INDEX('DEFAULT DATA'!$AGA$9:$AGH$41,START!$C$3,1))+(AR$56*INDEX('DEFAULT DATA'!$XK$9:$XR$41,START!$C$3,1))+(AR$57*INDEX('DEFAULT DATA'!$YQ$9:$YX$41,START!$C$3,1)))*AR5/1000000)</f>
        <v>3773.3993175774199</v>
      </c>
      <c r="AS61" s="500">
        <f>IF((AS$60-2021)&lt;START!$C$2,0,((AS$55*INDEX('DEFAULT DATA'!$AGA$9:$AGH$41,START!$C$3,1))+(AS$56*INDEX('DEFAULT DATA'!$XK$9:$XR$41,START!$C$3,1))+(AS$57*INDEX('DEFAULT DATA'!$YQ$9:$YX$41,START!$C$3,1)))*AS5/1000000)</f>
        <v>3735.6653244016456</v>
      </c>
      <c r="AT61" s="500">
        <f>IF((AT$60-2021)&lt;START!$C$2,0,((AT$55*INDEX('DEFAULT DATA'!$AGA$9:$AGH$41,START!$C$3,1))+(AT$56*INDEX('DEFAULT DATA'!$XK$9:$XR$41,START!$C$3,1))+(AT$57*INDEX('DEFAULT DATA'!$YQ$9:$YX$41,START!$C$3,1)))*AT5/1000000)</f>
        <v>3698.3086711576289</v>
      </c>
      <c r="AU61" s="500">
        <f>IF((AU$60-2021)&lt;START!$C$2,0,((AU$55*INDEX('DEFAULT DATA'!$AGA$9:$AGH$41,START!$C$3,1))+(AU$56*INDEX('DEFAULT DATA'!$XK$9:$XR$41,START!$C$3,1))+(AU$57*INDEX('DEFAULT DATA'!$YQ$9:$YX$41,START!$C$3,1)))*AU5/1000000)</f>
        <v>3494.9016942439594</v>
      </c>
      <c r="AV61" s="500">
        <f>IF((AV$60-2021)&lt;START!$C$2,0,((AV$55*INDEX('DEFAULT DATA'!$AGA$9:$AGH$41,START!$C$3,1))+(AV$56*INDEX('DEFAULT DATA'!$XK$9:$XR$41,START!$C$3,1))+(AV$57*INDEX('DEFAULT DATA'!$YQ$9:$YX$41,START!$C$3,1)))*AV5/1000000)</f>
        <v>3302.6821010605418</v>
      </c>
      <c r="AW61" s="500">
        <f>IF((AW$60-2021)&lt;START!$C$2,0,((AW$55*INDEX('DEFAULT DATA'!$AGA$9:$AGH$41,START!$C$3,1))+(AW$56*INDEX('DEFAULT DATA'!$XK$9:$XR$41,START!$C$3,1))+(AW$57*INDEX('DEFAULT DATA'!$YQ$9:$YX$41,START!$C$3,1)))*AW5/1000000)</f>
        <v>3121.0345855022119</v>
      </c>
      <c r="AX61" s="500">
        <f>IF((AX$60-2021)&lt;START!$C$2,0,((AX$55*INDEX('DEFAULT DATA'!$AGA$9:$AGH$41,START!$C$3,1))+(AX$56*INDEX('DEFAULT DATA'!$XK$9:$XR$41,START!$C$3,1))+(AX$57*INDEX('DEFAULT DATA'!$YQ$9:$YX$41,START!$C$3,1)))*AX5/1000000)</f>
        <v>2949.37768329959</v>
      </c>
      <c r="AY61" s="500">
        <f>IF((AY$60-2021)&lt;START!$C$2,0,((AY$55*INDEX('DEFAULT DATA'!$AGA$9:$AGH$41,START!$C$3,1))+(AY$56*INDEX('DEFAULT DATA'!$XK$9:$XR$41,START!$C$3,1))+(AY$57*INDEX('DEFAULT DATA'!$YQ$9:$YX$41,START!$C$3,1)))*AY5/1000000)</f>
        <v>2787.1619107181123</v>
      </c>
      <c r="AZ61" s="500">
        <f>IF((AZ$60-2021)&lt;START!$C$2,0,((AZ$55*INDEX('DEFAULT DATA'!$AGA$9:$AGH$41,START!$C$3,1))+(AZ$56*INDEX('DEFAULT DATA'!$XK$9:$XR$41,START!$C$3,1))+(AZ$57*INDEX('DEFAULT DATA'!$YQ$9:$YX$41,START!$C$3,1)))*AZ5/1000000)</f>
        <v>2633.8680056286157</v>
      </c>
      <c r="BA61" s="500">
        <f>IF((BA$60-2021)&lt;START!$C$2,0,((BA$55*INDEX('DEFAULT DATA'!$AGA$9:$AGH$41,START!$C$3,1))+(BA$56*INDEX('DEFAULT DATA'!$XK$9:$XR$41,START!$C$3,1))+(BA$57*INDEX('DEFAULT DATA'!$YQ$9:$YX$41,START!$C$3,1)))*BA5/1000000)</f>
        <v>2489.0052653190419</v>
      </c>
      <c r="BB61" s="500">
        <f>IF((BB$60-2021)&lt;START!$C$2,0,((BB$55*INDEX('DEFAULT DATA'!$AGA$9:$AGH$41,START!$C$3,1))+(BB$56*INDEX('DEFAULT DATA'!$XK$9:$XR$41,START!$C$3,1))+(BB$57*INDEX('DEFAULT DATA'!$YQ$9:$YX$41,START!$C$3,1)))*BB5/1000000)</f>
        <v>2352.1099757264942</v>
      </c>
      <c r="BC61" s="500">
        <f>IF((BC$60-2021)&lt;START!$C$2,0,((BC$55*INDEX('DEFAULT DATA'!$AGA$9:$AGH$41,START!$C$3,1))+(BC$56*INDEX('DEFAULT DATA'!$XK$9:$XR$41,START!$C$3,1))+(BC$57*INDEX('DEFAULT DATA'!$YQ$9:$YX$41,START!$C$3,1)))*BC5/1000000)</f>
        <v>2222.7439270615373</v>
      </c>
      <c r="BD61" s="500">
        <f>IF((BD$60-2021)&lt;START!$C$2,0,((BD$55*INDEX('DEFAULT DATA'!$AGA$9:$AGH$41,START!$C$3,1))+(BD$56*INDEX('DEFAULT DATA'!$XK$9:$XR$41,START!$C$3,1))+(BD$57*INDEX('DEFAULT DATA'!$YQ$9:$YX$41,START!$C$3,1)))*BD5/1000000)</f>
        <v>2100.4930110731525</v>
      </c>
      <c r="BE61" s="500">
        <f>IF((BE$60-2021)&lt;START!$C$2,0,((BE$55*INDEX('DEFAULT DATA'!$AGA$9:$AGH$41,START!$C$3,1))+(BE$56*INDEX('DEFAULT DATA'!$XK$9:$XR$41,START!$C$3,1))+(BE$57*INDEX('DEFAULT DATA'!$YQ$9:$YX$41,START!$C$3,1)))*BE5/1000000)</f>
        <v>1984.9658954641288</v>
      </c>
      <c r="BF61" s="500">
        <f>IF((BF$60-2021)&lt;START!$C$2,0,((BF$55*INDEX('DEFAULT DATA'!$AGA$9:$AGH$41,START!$C$3,1))+(BF$56*INDEX('DEFAULT DATA'!$XK$9:$XR$41,START!$C$3,1))+(BF$57*INDEX('DEFAULT DATA'!$YQ$9:$YX$41,START!$C$3,1)))*BF5/1000000)</f>
        <v>1875.7927712136016</v>
      </c>
      <c r="BG61" s="500">
        <f>IF((BG$60-2021)&lt;START!$C$2,0,((BG$55*INDEX('DEFAULT DATA'!$AGA$9:$AGH$41,START!$C$3,1))+(BG$56*INDEX('DEFAULT DATA'!$XK$9:$XR$41,START!$C$3,1))+(BG$57*INDEX('DEFAULT DATA'!$YQ$9:$YX$41,START!$C$3,1)))*BG5/1000000)</f>
        <v>1772.6241687968534</v>
      </c>
      <c r="BH61" s="500">
        <f>IF((BH$60-2021)&lt;START!$C$2,0,((BH$55*INDEX('DEFAULT DATA'!$AGA$9:$AGH$41,START!$C$3,1))+(BH$56*INDEX('DEFAULT DATA'!$XK$9:$XR$41,START!$C$3,1))+(BH$57*INDEX('DEFAULT DATA'!$YQ$9:$YX$41,START!$C$3,1)))*BH5/1000000)</f>
        <v>1675.1298395130266</v>
      </c>
      <c r="BI61" s="500">
        <f>IF((BI$60-2021)&lt;START!$C$2,0,((BI$55*INDEX('DEFAULT DATA'!$AGA$9:$AGH$41,START!$C$3,1))+(BI$56*INDEX('DEFAULT DATA'!$XK$9:$XR$41,START!$C$3,1))+(BI$57*INDEX('DEFAULT DATA'!$YQ$9:$YX$41,START!$C$3,1)))*BI5/1000000)</f>
        <v>1582.9976983398099</v>
      </c>
      <c r="BJ61" s="500">
        <f>IF((BJ$60-2021)&lt;START!$C$2,0,((BJ$55*INDEX('DEFAULT DATA'!$AGA$9:$AGH$41,START!$C$3,1))+(BJ$56*INDEX('DEFAULT DATA'!$XK$9:$XR$41,START!$C$3,1))+(BJ$57*INDEX('DEFAULT DATA'!$YQ$9:$YX$41,START!$C$3,1)))*BJ5/1000000)</f>
        <v>1495.9328249311204</v>
      </c>
      <c r="BK61" s="500">
        <f>IF((BK$60-2021)&lt;START!$C$2,0,((BK$55*INDEX('DEFAULT DATA'!$AGA$9:$AGH$41,START!$C$3,1))+(BK$56*INDEX('DEFAULT DATA'!$XK$9:$XR$41,START!$C$3,1))+(BK$57*INDEX('DEFAULT DATA'!$YQ$9:$YX$41,START!$C$3,1)))*BK5/1000000)</f>
        <v>1413.6565195599087</v>
      </c>
      <c r="BL61" s="500">
        <f>IF((BL$60-2021)&lt;START!$C$2,0,((BL$55*INDEX('DEFAULT DATA'!$AGA$9:$AGH$41,START!$C$3,1))+(BL$56*INDEX('DEFAULT DATA'!$XK$9:$XR$41,START!$C$3,1))+(BL$57*INDEX('DEFAULT DATA'!$YQ$9:$YX$41,START!$C$3,1)))*BL5/1000000)</f>
        <v>1335.9054109841134</v>
      </c>
      <c r="BM61" s="500">
        <f>IF((BM$60-2021)&lt;START!$C$2,0,((BM$55*INDEX('DEFAULT DATA'!$AGA$9:$AGH$41,START!$C$3,1))+(BM$56*INDEX('DEFAULT DATA'!$XK$9:$XR$41,START!$C$3,1))+(BM$57*INDEX('DEFAULT DATA'!$YQ$9:$YX$41,START!$C$3,1)))*BM5/1000000)</f>
        <v>1262.4306133799873</v>
      </c>
      <c r="BN61" s="500">
        <f>IF((BN$60-2021)&lt;START!$C$2,0,((BN$55*INDEX('DEFAULT DATA'!$AGA$9:$AGH$41,START!$C$3,1))+(BN$56*INDEX('DEFAULT DATA'!$XK$9:$XR$41,START!$C$3,1))+(BN$57*INDEX('DEFAULT DATA'!$YQ$9:$YX$41,START!$C$3,1)))*BN5/1000000)</f>
        <v>1192.9969296440877</v>
      </c>
      <c r="BP61" s="522" t="str">
        <f>AG61</f>
        <v>Electricity</v>
      </c>
      <c r="BQ61" s="526" t="s">
        <v>1728</v>
      </c>
      <c r="BR61" s="527"/>
      <c r="BS61" s="527"/>
      <c r="BT61" s="527"/>
      <c r="BU61" s="527"/>
      <c r="BV61" s="527"/>
      <c r="BW61" s="527"/>
      <c r="BX61" s="527"/>
      <c r="BY61" s="527"/>
      <c r="BZ61" s="527"/>
      <c r="CA61" s="527"/>
      <c r="CB61" s="527"/>
      <c r="CC61" s="527"/>
      <c r="CD61" s="527"/>
      <c r="CE61" s="528"/>
      <c r="CF61" s="529" t="s">
        <v>1631</v>
      </c>
      <c r="CG61" s="529" t="s">
        <v>1639</v>
      </c>
      <c r="CH61" s="529" t="s">
        <v>1647</v>
      </c>
      <c r="CI61" s="529" t="s">
        <v>1599</v>
      </c>
    </row>
    <row r="62" spans="1:87" ht="20.100000000000001" customHeight="1">
      <c r="A62" s="226"/>
      <c r="B62" s="197"/>
      <c r="C62" s="197"/>
      <c r="D62" s="197"/>
      <c r="E62" s="197"/>
      <c r="F62" s="197"/>
      <c r="G62" s="197"/>
      <c r="H62" s="34"/>
      <c r="I62" s="34"/>
      <c r="J62" s="34"/>
      <c r="K62" s="41"/>
      <c r="L62" s="29"/>
      <c r="M62" s="968"/>
      <c r="N62" s="971"/>
      <c r="O62" s="971"/>
      <c r="P62" s="971"/>
      <c r="Q62" s="971"/>
      <c r="R62" s="971"/>
      <c r="S62" s="971"/>
      <c r="T62" s="971"/>
      <c r="U62" s="971"/>
      <c r="V62" s="971"/>
      <c r="W62" s="971"/>
      <c r="X62" s="971"/>
      <c r="Y62" s="971"/>
      <c r="Z62" s="971"/>
      <c r="AA62" s="971"/>
      <c r="AB62" s="971"/>
      <c r="AC62" s="971"/>
      <c r="AD62" s="971"/>
      <c r="AE62" s="971"/>
      <c r="AF62" s="1492"/>
      <c r="AG62" s="1513" t="s">
        <v>1220</v>
      </c>
      <c r="AH62" s="1514"/>
      <c r="AI62" s="1514"/>
      <c r="AJ62" s="1515"/>
      <c r="AK62" s="220">
        <v>0</v>
      </c>
      <c r="AL62" s="500">
        <f>IF((AL$60-2021)&lt;START!$C$2,0,((AL$55*INDEX('DEFAULT DATA'!$AGA$9:$AGH$41,START!$C$3,2))+(AL$56*INDEX('DEFAULT DATA'!$XK$9:$XR$41,START!$C$3,2))+(AL$57*INDEX('DEFAULT DATA'!$YQ$9:$YX$41,START!$C$3,2)))*INDEX('DEFAULT DATA'!$VD$9:$VK$41,START!$C$3,2)/1000000)</f>
        <v>0</v>
      </c>
      <c r="AM62" s="500">
        <f>IF((AM$60-2021)&lt;START!$C$2,0,((AM$55*INDEX('DEFAULT DATA'!$AGA$9:$AGH$41,START!$C$3,2))+(AM$56*INDEX('DEFAULT DATA'!$XK$9:$XR$41,START!$C$3,2))+(AM$57*INDEX('DEFAULT DATA'!$YQ$9:$YX$41,START!$C$3,2)))*INDEX('DEFAULT DATA'!$VD$9:$VK$41,START!$C$3,2)/1000000)</f>
        <v>227.03487131991611</v>
      </c>
      <c r="AN62" s="500">
        <f>IF((AN$60-2021)&lt;START!$C$2,0,((AN$55*INDEX('DEFAULT DATA'!$AGA$9:$AGH$41,START!$C$3,2))+(AN$56*INDEX('DEFAULT DATA'!$XK$9:$XR$41,START!$C$3,2))+(AN$57*INDEX('DEFAULT DATA'!$YQ$9:$YX$41,START!$C$3,2)))*INDEX('DEFAULT DATA'!$VD$9:$VK$41,START!$C$3,2)/1000000)</f>
        <v>227.03487131991611</v>
      </c>
      <c r="AO62" s="500">
        <f>IF((AO$60-2021)&lt;START!$C$2,0,((AO$55*INDEX('DEFAULT DATA'!$AGA$9:$AGH$41,START!$C$3,2))+(AO$56*INDEX('DEFAULT DATA'!$XK$9:$XR$41,START!$C$3,2))+(AO$57*INDEX('DEFAULT DATA'!$YQ$9:$YX$41,START!$C$3,2)))*INDEX('DEFAULT DATA'!$VD$9:$VK$41,START!$C$3,2)/1000000)</f>
        <v>227.03487131991611</v>
      </c>
      <c r="AP62" s="500">
        <f>IF((AP$60-2021)&lt;START!$C$2,0,((AP$55*INDEX('DEFAULT DATA'!$AGA$9:$AGH$41,START!$C$3,2))+(AP$56*INDEX('DEFAULT DATA'!$XK$9:$XR$41,START!$C$3,2))+(AP$57*INDEX('DEFAULT DATA'!$YQ$9:$YX$41,START!$C$3,2)))*INDEX('DEFAULT DATA'!$VD$9:$VK$41,START!$C$3,2)/1000000)</f>
        <v>227.03487131991611</v>
      </c>
      <c r="AQ62" s="500">
        <f>IF((AQ$60-2021)&lt;START!$C$2,0,((AQ$55*INDEX('DEFAULT DATA'!$AGA$9:$AGH$41,START!$C$3,2))+(AQ$56*INDEX('DEFAULT DATA'!$XK$9:$XR$41,START!$C$3,2))+(AQ$57*INDEX('DEFAULT DATA'!$YQ$9:$YX$41,START!$C$3,2)))*INDEX('DEFAULT DATA'!$VD$9:$VK$41,START!$C$3,2)/1000000)</f>
        <v>227.03487131991611</v>
      </c>
      <c r="AR62" s="500">
        <f>IF((AR$60-2021)&lt;START!$C$2,0,((AR$55*INDEX('DEFAULT DATA'!$AGA$9:$AGH$41,START!$C$3,2))+(AR$56*INDEX('DEFAULT DATA'!$XK$9:$XR$41,START!$C$3,2))+(AR$57*INDEX('DEFAULT DATA'!$YQ$9:$YX$41,START!$C$3,2)))*INDEX('DEFAULT DATA'!$VD$9:$VK$41,START!$C$3,2)/1000000)</f>
        <v>227.03487131991611</v>
      </c>
      <c r="AS62" s="500">
        <f>IF((AS$60-2021)&lt;START!$C$2,0,((AS$55*INDEX('DEFAULT DATA'!$AGA$9:$AGH$41,START!$C$3,2))+(AS$56*INDEX('DEFAULT DATA'!$XK$9:$XR$41,START!$C$3,2))+(AS$57*INDEX('DEFAULT DATA'!$YQ$9:$YX$41,START!$C$3,2)))*INDEX('DEFAULT DATA'!$VD$9:$VK$41,START!$C$3,2)/1000000)</f>
        <v>227.03487131991611</v>
      </c>
      <c r="AT62" s="500">
        <f>IF((AT$60-2021)&lt;START!$C$2,0,((AT$55*INDEX('DEFAULT DATA'!$AGA$9:$AGH$41,START!$C$3,2))+(AT$56*INDEX('DEFAULT DATA'!$XK$9:$XR$41,START!$C$3,2))+(AT$57*INDEX('DEFAULT DATA'!$YQ$9:$YX$41,START!$C$3,2)))*INDEX('DEFAULT DATA'!$VD$9:$VK$41,START!$C$3,2)/1000000)</f>
        <v>227.03487131991611</v>
      </c>
      <c r="AU62" s="500">
        <f>IF((AU$60-2021)&lt;START!$C$2,0,((AU$55*INDEX('DEFAULT DATA'!$AGA$9:$AGH$41,START!$C$3,2))+(AU$56*INDEX('DEFAULT DATA'!$XK$9:$XR$41,START!$C$3,2))+(AU$57*INDEX('DEFAULT DATA'!$YQ$9:$YX$41,START!$C$3,2)))*INDEX('DEFAULT DATA'!$VD$9:$VK$41,START!$C$3,2)/1000000)</f>
        <v>227.03487131991611</v>
      </c>
      <c r="AV62" s="500">
        <f>IF((AV$60-2021)&lt;START!$C$2,0,((AV$55*INDEX('DEFAULT DATA'!$AGA$9:$AGH$41,START!$C$3,2))+(AV$56*INDEX('DEFAULT DATA'!$XK$9:$XR$41,START!$C$3,2))+(AV$57*INDEX('DEFAULT DATA'!$YQ$9:$YX$41,START!$C$3,2)))*INDEX('DEFAULT DATA'!$VD$9:$VK$41,START!$C$3,2)/1000000)</f>
        <v>227.03487131991611</v>
      </c>
      <c r="AW62" s="500">
        <f>IF((AW$60-2021)&lt;START!$C$2,0,((AW$55*INDEX('DEFAULT DATA'!$AGA$9:$AGH$41,START!$C$3,2))+(AW$56*INDEX('DEFAULT DATA'!$XK$9:$XR$41,START!$C$3,2))+(AW$57*INDEX('DEFAULT DATA'!$YQ$9:$YX$41,START!$C$3,2)))*INDEX('DEFAULT DATA'!$VD$9:$VK$41,START!$C$3,2)/1000000)</f>
        <v>227.03487131991611</v>
      </c>
      <c r="AX62" s="500">
        <f>IF((AX$60-2021)&lt;START!$C$2,0,((AX$55*INDEX('DEFAULT DATA'!$AGA$9:$AGH$41,START!$C$3,2))+(AX$56*INDEX('DEFAULT DATA'!$XK$9:$XR$41,START!$C$3,2))+(AX$57*INDEX('DEFAULT DATA'!$YQ$9:$YX$41,START!$C$3,2)))*INDEX('DEFAULT DATA'!$VD$9:$VK$41,START!$C$3,2)/1000000)</f>
        <v>227.03487131991611</v>
      </c>
      <c r="AY62" s="500">
        <f>IF((AY$60-2021)&lt;START!$C$2,0,((AY$55*INDEX('DEFAULT DATA'!$AGA$9:$AGH$41,START!$C$3,2))+(AY$56*INDEX('DEFAULT DATA'!$XK$9:$XR$41,START!$C$3,2))+(AY$57*INDEX('DEFAULT DATA'!$YQ$9:$YX$41,START!$C$3,2)))*INDEX('DEFAULT DATA'!$VD$9:$VK$41,START!$C$3,2)/1000000)</f>
        <v>227.03487131991611</v>
      </c>
      <c r="AZ62" s="500">
        <f>IF((AZ$60-2021)&lt;START!$C$2,0,((AZ$55*INDEX('DEFAULT DATA'!$AGA$9:$AGH$41,START!$C$3,2))+(AZ$56*INDEX('DEFAULT DATA'!$XK$9:$XR$41,START!$C$3,2))+(AZ$57*INDEX('DEFAULT DATA'!$YQ$9:$YX$41,START!$C$3,2)))*INDEX('DEFAULT DATA'!$VD$9:$VK$41,START!$C$3,2)/1000000)</f>
        <v>227.03487131991611</v>
      </c>
      <c r="BA62" s="500">
        <f>IF((BA$60-2021)&lt;START!$C$2,0,((BA$55*INDEX('DEFAULT DATA'!$AGA$9:$AGH$41,START!$C$3,2))+(BA$56*INDEX('DEFAULT DATA'!$XK$9:$XR$41,START!$C$3,2))+(BA$57*INDEX('DEFAULT DATA'!$YQ$9:$YX$41,START!$C$3,2)))*INDEX('DEFAULT DATA'!$VD$9:$VK$41,START!$C$3,2)/1000000)</f>
        <v>227.03487131991611</v>
      </c>
      <c r="BB62" s="500">
        <f>IF((BB$60-2021)&lt;START!$C$2,0,((BB$55*INDEX('DEFAULT DATA'!$AGA$9:$AGH$41,START!$C$3,2))+(BB$56*INDEX('DEFAULT DATA'!$XK$9:$XR$41,START!$C$3,2))+(BB$57*INDEX('DEFAULT DATA'!$YQ$9:$YX$41,START!$C$3,2)))*INDEX('DEFAULT DATA'!$VD$9:$VK$41,START!$C$3,2)/1000000)</f>
        <v>227.03487131991611</v>
      </c>
      <c r="BC62" s="500">
        <f>IF((BC$60-2021)&lt;START!$C$2,0,((BC$55*INDEX('DEFAULT DATA'!$AGA$9:$AGH$41,START!$C$3,2))+(BC$56*INDEX('DEFAULT DATA'!$XK$9:$XR$41,START!$C$3,2))+(BC$57*INDEX('DEFAULT DATA'!$YQ$9:$YX$41,START!$C$3,2)))*INDEX('DEFAULT DATA'!$VD$9:$VK$41,START!$C$3,2)/1000000)</f>
        <v>227.03487131991611</v>
      </c>
      <c r="BD62" s="500">
        <f>IF((BD$60-2021)&lt;START!$C$2,0,((BD$55*INDEX('DEFAULT DATA'!$AGA$9:$AGH$41,START!$C$3,2))+(BD$56*INDEX('DEFAULT DATA'!$XK$9:$XR$41,START!$C$3,2))+(BD$57*INDEX('DEFAULT DATA'!$YQ$9:$YX$41,START!$C$3,2)))*INDEX('DEFAULT DATA'!$VD$9:$VK$41,START!$C$3,2)/1000000)</f>
        <v>227.03487131991611</v>
      </c>
      <c r="BE62" s="500">
        <f>IF((BE$60-2021)&lt;START!$C$2,0,((BE$55*INDEX('DEFAULT DATA'!$AGA$9:$AGH$41,START!$C$3,2))+(BE$56*INDEX('DEFAULT DATA'!$XK$9:$XR$41,START!$C$3,2))+(BE$57*INDEX('DEFAULT DATA'!$YQ$9:$YX$41,START!$C$3,2)))*INDEX('DEFAULT DATA'!$VD$9:$VK$41,START!$C$3,2)/1000000)</f>
        <v>227.03487131991611</v>
      </c>
      <c r="BF62" s="500">
        <f>IF((BF$60-2021)&lt;START!$C$2,0,((BF$55*INDEX('DEFAULT DATA'!$AGA$9:$AGH$41,START!$C$3,2))+(BF$56*INDEX('DEFAULT DATA'!$XK$9:$XR$41,START!$C$3,2))+(BF$57*INDEX('DEFAULT DATA'!$YQ$9:$YX$41,START!$C$3,2)))*INDEX('DEFAULT DATA'!$VD$9:$VK$41,START!$C$3,2)/1000000)</f>
        <v>227.03487131991611</v>
      </c>
      <c r="BG62" s="500">
        <f>IF((BG$60-2021)&lt;START!$C$2,0,((BG$55*INDEX('DEFAULT DATA'!$AGA$9:$AGH$41,START!$C$3,2))+(BG$56*INDEX('DEFAULT DATA'!$XK$9:$XR$41,START!$C$3,2))+(BG$57*INDEX('DEFAULT DATA'!$YQ$9:$YX$41,START!$C$3,2)))*INDEX('DEFAULT DATA'!$VD$9:$VK$41,START!$C$3,2)/1000000)</f>
        <v>227.03487131991611</v>
      </c>
      <c r="BH62" s="500">
        <f>IF((BH$60-2021)&lt;START!$C$2,0,((BH$55*INDEX('DEFAULT DATA'!$AGA$9:$AGH$41,START!$C$3,2))+(BH$56*INDEX('DEFAULT DATA'!$XK$9:$XR$41,START!$C$3,2))+(BH$57*INDEX('DEFAULT DATA'!$YQ$9:$YX$41,START!$C$3,2)))*INDEX('DEFAULT DATA'!$VD$9:$VK$41,START!$C$3,2)/1000000)</f>
        <v>227.03487131991611</v>
      </c>
      <c r="BI62" s="500">
        <f>IF((BI$60-2021)&lt;START!$C$2,0,((BI$55*INDEX('DEFAULT DATA'!$AGA$9:$AGH$41,START!$C$3,2))+(BI$56*INDEX('DEFAULT DATA'!$XK$9:$XR$41,START!$C$3,2))+(BI$57*INDEX('DEFAULT DATA'!$YQ$9:$YX$41,START!$C$3,2)))*INDEX('DEFAULT DATA'!$VD$9:$VK$41,START!$C$3,2)/1000000)</f>
        <v>227.03487131991611</v>
      </c>
      <c r="BJ62" s="500">
        <f>IF((BJ$60-2021)&lt;START!$C$2,0,((BJ$55*INDEX('DEFAULT DATA'!$AGA$9:$AGH$41,START!$C$3,2))+(BJ$56*INDEX('DEFAULT DATA'!$XK$9:$XR$41,START!$C$3,2))+(BJ$57*INDEX('DEFAULT DATA'!$YQ$9:$YX$41,START!$C$3,2)))*INDEX('DEFAULT DATA'!$VD$9:$VK$41,START!$C$3,2)/1000000)</f>
        <v>227.03487131991611</v>
      </c>
      <c r="BK62" s="500">
        <f>IF((BK$60-2021)&lt;START!$C$2,0,((BK$55*INDEX('DEFAULT DATA'!$AGA$9:$AGH$41,START!$C$3,2))+(BK$56*INDEX('DEFAULT DATA'!$XK$9:$XR$41,START!$C$3,2))+(BK$57*INDEX('DEFAULT DATA'!$YQ$9:$YX$41,START!$C$3,2)))*INDEX('DEFAULT DATA'!$VD$9:$VK$41,START!$C$3,2)/1000000)</f>
        <v>227.03487131991611</v>
      </c>
      <c r="BL62" s="500">
        <f>IF((BL$60-2021)&lt;START!$C$2,0,((BL$55*INDEX('DEFAULT DATA'!$AGA$9:$AGH$41,START!$C$3,2))+(BL$56*INDEX('DEFAULT DATA'!$XK$9:$XR$41,START!$C$3,2))+(BL$57*INDEX('DEFAULT DATA'!$YQ$9:$YX$41,START!$C$3,2)))*INDEX('DEFAULT DATA'!$VD$9:$VK$41,START!$C$3,2)/1000000)</f>
        <v>227.03487131991611</v>
      </c>
      <c r="BM62" s="500">
        <f>IF((BM$60-2021)&lt;START!$C$2,0,((BM$55*INDEX('DEFAULT DATA'!$AGA$9:$AGH$41,START!$C$3,2))+(BM$56*INDEX('DEFAULT DATA'!$XK$9:$XR$41,START!$C$3,2))+(BM$57*INDEX('DEFAULT DATA'!$YQ$9:$YX$41,START!$C$3,2)))*INDEX('DEFAULT DATA'!$VD$9:$VK$41,START!$C$3,2)/1000000)</f>
        <v>227.03487131991611</v>
      </c>
      <c r="BN62" s="500">
        <f>IF((BN$60-2021)&lt;START!$C$2,0,((BN$55*INDEX('DEFAULT DATA'!$AGA$9:$AGH$41,START!$C$3,2))+(BN$56*INDEX('DEFAULT DATA'!$XK$9:$XR$41,START!$C$3,2))+(BN$57*INDEX('DEFAULT DATA'!$YQ$9:$YX$41,START!$C$3,2)))*INDEX('DEFAULT DATA'!$VD$9:$VK$41,START!$C$3,2)/1000000)</f>
        <v>227.03487131991611</v>
      </c>
      <c r="BP62" s="524" t="str">
        <f t="shared" ref="BP62:BP68" si="14">AG62</f>
        <v>Gas</v>
      </c>
      <c r="BQ62" s="530" t="s">
        <v>1729</v>
      </c>
      <c r="BR62" s="531"/>
      <c r="BS62" s="531"/>
      <c r="BT62" s="531"/>
      <c r="BU62" s="531"/>
      <c r="BV62" s="531"/>
      <c r="BW62" s="531"/>
      <c r="BX62" s="531"/>
      <c r="BY62" s="531"/>
      <c r="BZ62" s="531"/>
      <c r="CA62" s="531"/>
      <c r="CB62" s="531"/>
      <c r="CC62" s="531"/>
      <c r="CD62" s="531"/>
      <c r="CE62" s="532"/>
      <c r="CF62" s="529" t="s">
        <v>1632</v>
      </c>
      <c r="CG62" s="529" t="s">
        <v>1640</v>
      </c>
      <c r="CH62" s="529" t="s">
        <v>1648</v>
      </c>
      <c r="CI62" s="529" t="s">
        <v>1248</v>
      </c>
    </row>
    <row r="63" spans="1:87" ht="20.100000000000001" customHeight="1">
      <c r="A63" s="226"/>
      <c r="B63" s="197"/>
      <c r="C63" s="197"/>
      <c r="D63" s="197"/>
      <c r="E63" s="197"/>
      <c r="F63" s="197"/>
      <c r="G63" s="197"/>
      <c r="H63" s="34"/>
      <c r="I63" s="34"/>
      <c r="J63" s="34"/>
      <c r="K63" s="41"/>
      <c r="L63" s="29"/>
      <c r="M63" s="968"/>
      <c r="N63" s="971"/>
      <c r="O63" s="971"/>
      <c r="P63" s="971"/>
      <c r="Q63" s="971"/>
      <c r="R63" s="971"/>
      <c r="S63" s="971"/>
      <c r="T63" s="971"/>
      <c r="U63" s="971"/>
      <c r="V63" s="971"/>
      <c r="W63" s="971"/>
      <c r="X63" s="971"/>
      <c r="Y63" s="971"/>
      <c r="Z63" s="971"/>
      <c r="AA63" s="971"/>
      <c r="AB63" s="971"/>
      <c r="AC63" s="971"/>
      <c r="AD63" s="971"/>
      <c r="AE63" s="971"/>
      <c r="AF63" s="1492"/>
      <c r="AG63" s="1513" t="s">
        <v>1221</v>
      </c>
      <c r="AH63" s="1514"/>
      <c r="AI63" s="1514"/>
      <c r="AJ63" s="1515"/>
      <c r="AK63" s="220">
        <v>0</v>
      </c>
      <c r="AL63" s="500">
        <f>IF((AL$60-2021)&lt;START!$C$2,0,((AL$55*INDEX('DEFAULT DATA'!$AGA$9:$AGH$41,START!$C$3,3))+(AL$56*INDEX('DEFAULT DATA'!$XK$9:$XR$41,START!$C$3,3))+(AL$57*INDEX('DEFAULT DATA'!$YQ$9:$YX$41,START!$C$3,3)))*INDEX('DEFAULT DATA'!$VD$9:$VK$41,START!$C$3,3)/1000000)</f>
        <v>0</v>
      </c>
      <c r="AM63" s="500">
        <f>IF((AM$60-2021)&lt;START!$C$2,0,((AM$55*INDEX('DEFAULT DATA'!$AGA$9:$AGH$41,START!$C$3,3))+(AM$56*INDEX('DEFAULT DATA'!$XK$9:$XR$41,START!$C$3,3))+(AM$57*INDEX('DEFAULT DATA'!$YQ$9:$YX$41,START!$C$3,3)))*INDEX('DEFAULT DATA'!$VD$9:$VK$41,START!$C$3,3)/1000000)</f>
        <v>2508.6229345844195</v>
      </c>
      <c r="AN63" s="500">
        <f>IF((AN$60-2021)&lt;START!$C$2,0,((AN$55*INDEX('DEFAULT DATA'!$AGA$9:$AGH$41,START!$C$3,3))+(AN$56*INDEX('DEFAULT DATA'!$XK$9:$XR$41,START!$C$3,3))+(AN$57*INDEX('DEFAULT DATA'!$YQ$9:$YX$41,START!$C$3,3)))*INDEX('DEFAULT DATA'!$VD$9:$VK$41,START!$C$3,3)/1000000)</f>
        <v>2508.6229345844195</v>
      </c>
      <c r="AO63" s="500">
        <f>IF((AO$60-2021)&lt;START!$C$2,0,((AO$55*INDEX('DEFAULT DATA'!$AGA$9:$AGH$41,START!$C$3,3))+(AO$56*INDEX('DEFAULT DATA'!$XK$9:$XR$41,START!$C$3,3))+(AO$57*INDEX('DEFAULT DATA'!$YQ$9:$YX$41,START!$C$3,3)))*INDEX('DEFAULT DATA'!$VD$9:$VK$41,START!$C$3,3)/1000000)</f>
        <v>2508.6229345844195</v>
      </c>
      <c r="AP63" s="500">
        <f>IF((AP$60-2021)&lt;START!$C$2,0,((AP$55*INDEX('DEFAULT DATA'!$AGA$9:$AGH$41,START!$C$3,3))+(AP$56*INDEX('DEFAULT DATA'!$XK$9:$XR$41,START!$C$3,3))+(AP$57*INDEX('DEFAULT DATA'!$YQ$9:$YX$41,START!$C$3,3)))*INDEX('DEFAULT DATA'!$VD$9:$VK$41,START!$C$3,3)/1000000)</f>
        <v>2508.6229345844195</v>
      </c>
      <c r="AQ63" s="500">
        <f>IF((AQ$60-2021)&lt;START!$C$2,0,((AQ$55*INDEX('DEFAULT DATA'!$AGA$9:$AGH$41,START!$C$3,3))+(AQ$56*INDEX('DEFAULT DATA'!$XK$9:$XR$41,START!$C$3,3))+(AQ$57*INDEX('DEFAULT DATA'!$YQ$9:$YX$41,START!$C$3,3)))*INDEX('DEFAULT DATA'!$VD$9:$VK$41,START!$C$3,3)/1000000)</f>
        <v>2508.6229345844195</v>
      </c>
      <c r="AR63" s="500">
        <f>IF((AR$60-2021)&lt;START!$C$2,0,((AR$55*INDEX('DEFAULT DATA'!$AGA$9:$AGH$41,START!$C$3,3))+(AR$56*INDEX('DEFAULT DATA'!$XK$9:$XR$41,START!$C$3,3))+(AR$57*INDEX('DEFAULT DATA'!$YQ$9:$YX$41,START!$C$3,3)))*INDEX('DEFAULT DATA'!$VD$9:$VK$41,START!$C$3,3)/1000000)</f>
        <v>2508.6229345844195</v>
      </c>
      <c r="AS63" s="500">
        <f>IF((AS$60-2021)&lt;START!$C$2,0,((AS$55*INDEX('DEFAULT DATA'!$AGA$9:$AGH$41,START!$C$3,3))+(AS$56*INDEX('DEFAULT DATA'!$XK$9:$XR$41,START!$C$3,3))+(AS$57*INDEX('DEFAULT DATA'!$YQ$9:$YX$41,START!$C$3,3)))*INDEX('DEFAULT DATA'!$VD$9:$VK$41,START!$C$3,3)/1000000)</f>
        <v>2508.6229345844195</v>
      </c>
      <c r="AT63" s="500">
        <f>IF((AT$60-2021)&lt;START!$C$2,0,((AT$55*INDEX('DEFAULT DATA'!$AGA$9:$AGH$41,START!$C$3,3))+(AT$56*INDEX('DEFAULT DATA'!$XK$9:$XR$41,START!$C$3,3))+(AT$57*INDEX('DEFAULT DATA'!$YQ$9:$YX$41,START!$C$3,3)))*INDEX('DEFAULT DATA'!$VD$9:$VK$41,START!$C$3,3)/1000000)</f>
        <v>2508.6229345844195</v>
      </c>
      <c r="AU63" s="500">
        <f>IF((AU$60-2021)&lt;START!$C$2,0,((AU$55*INDEX('DEFAULT DATA'!$AGA$9:$AGH$41,START!$C$3,3))+(AU$56*INDEX('DEFAULT DATA'!$XK$9:$XR$41,START!$C$3,3))+(AU$57*INDEX('DEFAULT DATA'!$YQ$9:$YX$41,START!$C$3,3)))*INDEX('DEFAULT DATA'!$VD$9:$VK$41,START!$C$3,3)/1000000)</f>
        <v>2508.6229345844195</v>
      </c>
      <c r="AV63" s="500">
        <f>IF((AV$60-2021)&lt;START!$C$2,0,((AV$55*INDEX('DEFAULT DATA'!$AGA$9:$AGH$41,START!$C$3,3))+(AV$56*INDEX('DEFAULT DATA'!$XK$9:$XR$41,START!$C$3,3))+(AV$57*INDEX('DEFAULT DATA'!$YQ$9:$YX$41,START!$C$3,3)))*INDEX('DEFAULT DATA'!$VD$9:$VK$41,START!$C$3,3)/1000000)</f>
        <v>2508.6229345844195</v>
      </c>
      <c r="AW63" s="500">
        <f>IF((AW$60-2021)&lt;START!$C$2,0,((AW$55*INDEX('DEFAULT DATA'!$AGA$9:$AGH$41,START!$C$3,3))+(AW$56*INDEX('DEFAULT DATA'!$XK$9:$XR$41,START!$C$3,3))+(AW$57*INDEX('DEFAULT DATA'!$YQ$9:$YX$41,START!$C$3,3)))*INDEX('DEFAULT DATA'!$VD$9:$VK$41,START!$C$3,3)/1000000)</f>
        <v>2508.6229345844195</v>
      </c>
      <c r="AX63" s="500">
        <f>IF((AX$60-2021)&lt;START!$C$2,0,((AX$55*INDEX('DEFAULT DATA'!$AGA$9:$AGH$41,START!$C$3,3))+(AX$56*INDEX('DEFAULT DATA'!$XK$9:$XR$41,START!$C$3,3))+(AX$57*INDEX('DEFAULT DATA'!$YQ$9:$YX$41,START!$C$3,3)))*INDEX('DEFAULT DATA'!$VD$9:$VK$41,START!$C$3,3)/1000000)</f>
        <v>2508.6229345844195</v>
      </c>
      <c r="AY63" s="500">
        <f>IF((AY$60-2021)&lt;START!$C$2,0,((AY$55*INDEX('DEFAULT DATA'!$AGA$9:$AGH$41,START!$C$3,3))+(AY$56*INDEX('DEFAULT DATA'!$XK$9:$XR$41,START!$C$3,3))+(AY$57*INDEX('DEFAULT DATA'!$YQ$9:$YX$41,START!$C$3,3)))*INDEX('DEFAULT DATA'!$VD$9:$VK$41,START!$C$3,3)/1000000)</f>
        <v>2508.6229345844195</v>
      </c>
      <c r="AZ63" s="500">
        <f>IF((AZ$60-2021)&lt;START!$C$2,0,((AZ$55*INDEX('DEFAULT DATA'!$AGA$9:$AGH$41,START!$C$3,3))+(AZ$56*INDEX('DEFAULT DATA'!$XK$9:$XR$41,START!$C$3,3))+(AZ$57*INDEX('DEFAULT DATA'!$YQ$9:$YX$41,START!$C$3,3)))*INDEX('DEFAULT DATA'!$VD$9:$VK$41,START!$C$3,3)/1000000)</f>
        <v>2508.6229345844195</v>
      </c>
      <c r="BA63" s="500">
        <f>IF((BA$60-2021)&lt;START!$C$2,0,((BA$55*INDEX('DEFAULT DATA'!$AGA$9:$AGH$41,START!$C$3,3))+(BA$56*INDEX('DEFAULT DATA'!$XK$9:$XR$41,START!$C$3,3))+(BA$57*INDEX('DEFAULT DATA'!$YQ$9:$YX$41,START!$C$3,3)))*INDEX('DEFAULT DATA'!$VD$9:$VK$41,START!$C$3,3)/1000000)</f>
        <v>2508.6229345844195</v>
      </c>
      <c r="BB63" s="500">
        <f>IF((BB$60-2021)&lt;START!$C$2,0,((BB$55*INDEX('DEFAULT DATA'!$AGA$9:$AGH$41,START!$C$3,3))+(BB$56*INDEX('DEFAULT DATA'!$XK$9:$XR$41,START!$C$3,3))+(BB$57*INDEX('DEFAULT DATA'!$YQ$9:$YX$41,START!$C$3,3)))*INDEX('DEFAULT DATA'!$VD$9:$VK$41,START!$C$3,3)/1000000)</f>
        <v>2508.6229345844195</v>
      </c>
      <c r="BC63" s="500">
        <f>IF((BC$60-2021)&lt;START!$C$2,0,((BC$55*INDEX('DEFAULT DATA'!$AGA$9:$AGH$41,START!$C$3,3))+(BC$56*INDEX('DEFAULT DATA'!$XK$9:$XR$41,START!$C$3,3))+(BC$57*INDEX('DEFAULT DATA'!$YQ$9:$YX$41,START!$C$3,3)))*INDEX('DEFAULT DATA'!$VD$9:$VK$41,START!$C$3,3)/1000000)</f>
        <v>2508.6229345844195</v>
      </c>
      <c r="BD63" s="500">
        <f>IF((BD$60-2021)&lt;START!$C$2,0,((BD$55*INDEX('DEFAULT DATA'!$AGA$9:$AGH$41,START!$C$3,3))+(BD$56*INDEX('DEFAULT DATA'!$XK$9:$XR$41,START!$C$3,3))+(BD$57*INDEX('DEFAULT DATA'!$YQ$9:$YX$41,START!$C$3,3)))*INDEX('DEFAULT DATA'!$VD$9:$VK$41,START!$C$3,3)/1000000)</f>
        <v>2508.6229345844195</v>
      </c>
      <c r="BE63" s="500">
        <f>IF((BE$60-2021)&lt;START!$C$2,0,((BE$55*INDEX('DEFAULT DATA'!$AGA$9:$AGH$41,START!$C$3,3))+(BE$56*INDEX('DEFAULT DATA'!$XK$9:$XR$41,START!$C$3,3))+(BE$57*INDEX('DEFAULT DATA'!$YQ$9:$YX$41,START!$C$3,3)))*INDEX('DEFAULT DATA'!$VD$9:$VK$41,START!$C$3,3)/1000000)</f>
        <v>2508.6229345844195</v>
      </c>
      <c r="BF63" s="500">
        <f>IF((BF$60-2021)&lt;START!$C$2,0,((BF$55*INDEX('DEFAULT DATA'!$AGA$9:$AGH$41,START!$C$3,3))+(BF$56*INDEX('DEFAULT DATA'!$XK$9:$XR$41,START!$C$3,3))+(BF$57*INDEX('DEFAULT DATA'!$YQ$9:$YX$41,START!$C$3,3)))*INDEX('DEFAULT DATA'!$VD$9:$VK$41,START!$C$3,3)/1000000)</f>
        <v>2508.6229345844195</v>
      </c>
      <c r="BG63" s="500">
        <f>IF((BG$60-2021)&lt;START!$C$2,0,((BG$55*INDEX('DEFAULT DATA'!$AGA$9:$AGH$41,START!$C$3,3))+(BG$56*INDEX('DEFAULT DATA'!$XK$9:$XR$41,START!$C$3,3))+(BG$57*INDEX('DEFAULT DATA'!$YQ$9:$YX$41,START!$C$3,3)))*INDEX('DEFAULT DATA'!$VD$9:$VK$41,START!$C$3,3)/1000000)</f>
        <v>2508.6229345844195</v>
      </c>
      <c r="BH63" s="500">
        <f>IF((BH$60-2021)&lt;START!$C$2,0,((BH$55*INDEX('DEFAULT DATA'!$AGA$9:$AGH$41,START!$C$3,3))+(BH$56*INDEX('DEFAULT DATA'!$XK$9:$XR$41,START!$C$3,3))+(BH$57*INDEX('DEFAULT DATA'!$YQ$9:$YX$41,START!$C$3,3)))*INDEX('DEFAULT DATA'!$VD$9:$VK$41,START!$C$3,3)/1000000)</f>
        <v>2508.6229345844195</v>
      </c>
      <c r="BI63" s="500">
        <f>IF((BI$60-2021)&lt;START!$C$2,0,((BI$55*INDEX('DEFAULT DATA'!$AGA$9:$AGH$41,START!$C$3,3))+(BI$56*INDEX('DEFAULT DATA'!$XK$9:$XR$41,START!$C$3,3))+(BI$57*INDEX('DEFAULT DATA'!$YQ$9:$YX$41,START!$C$3,3)))*INDEX('DEFAULT DATA'!$VD$9:$VK$41,START!$C$3,3)/1000000)</f>
        <v>2508.6229345844195</v>
      </c>
      <c r="BJ63" s="500">
        <f>IF((BJ$60-2021)&lt;START!$C$2,0,((BJ$55*INDEX('DEFAULT DATA'!$AGA$9:$AGH$41,START!$C$3,3))+(BJ$56*INDEX('DEFAULT DATA'!$XK$9:$XR$41,START!$C$3,3))+(BJ$57*INDEX('DEFAULT DATA'!$YQ$9:$YX$41,START!$C$3,3)))*INDEX('DEFAULT DATA'!$VD$9:$VK$41,START!$C$3,3)/1000000)</f>
        <v>2508.6229345844195</v>
      </c>
      <c r="BK63" s="500">
        <f>IF((BK$60-2021)&lt;START!$C$2,0,((BK$55*INDEX('DEFAULT DATA'!$AGA$9:$AGH$41,START!$C$3,3))+(BK$56*INDEX('DEFAULT DATA'!$XK$9:$XR$41,START!$C$3,3))+(BK$57*INDEX('DEFAULT DATA'!$YQ$9:$YX$41,START!$C$3,3)))*INDEX('DEFAULT DATA'!$VD$9:$VK$41,START!$C$3,3)/1000000)</f>
        <v>2508.6229345844195</v>
      </c>
      <c r="BL63" s="500">
        <f>IF((BL$60-2021)&lt;START!$C$2,0,((BL$55*INDEX('DEFAULT DATA'!$AGA$9:$AGH$41,START!$C$3,3))+(BL$56*INDEX('DEFAULT DATA'!$XK$9:$XR$41,START!$C$3,3))+(BL$57*INDEX('DEFAULT DATA'!$YQ$9:$YX$41,START!$C$3,3)))*INDEX('DEFAULT DATA'!$VD$9:$VK$41,START!$C$3,3)/1000000)</f>
        <v>2508.6229345844195</v>
      </c>
      <c r="BM63" s="500">
        <f>IF((BM$60-2021)&lt;START!$C$2,0,((BM$55*INDEX('DEFAULT DATA'!$AGA$9:$AGH$41,START!$C$3,3))+(BM$56*INDEX('DEFAULT DATA'!$XK$9:$XR$41,START!$C$3,3))+(BM$57*INDEX('DEFAULT DATA'!$YQ$9:$YX$41,START!$C$3,3)))*INDEX('DEFAULT DATA'!$VD$9:$VK$41,START!$C$3,3)/1000000)</f>
        <v>2508.6229345844195</v>
      </c>
      <c r="BN63" s="500">
        <f>IF((BN$60-2021)&lt;START!$C$2,0,((BN$55*INDEX('DEFAULT DATA'!$AGA$9:$AGH$41,START!$C$3,3))+(BN$56*INDEX('DEFAULT DATA'!$XK$9:$XR$41,START!$C$3,3))+(BN$57*INDEX('DEFAULT DATA'!$YQ$9:$YX$41,START!$C$3,3)))*INDEX('DEFAULT DATA'!$VD$9:$VK$41,START!$C$3,3)/1000000)</f>
        <v>2508.6229345844195</v>
      </c>
      <c r="BP63" s="524" t="str">
        <f t="shared" si="14"/>
        <v>Oil</v>
      </c>
      <c r="BQ63" s="530" t="s">
        <v>1730</v>
      </c>
      <c r="BR63" s="531"/>
      <c r="BS63" s="531"/>
      <c r="BT63" s="531"/>
      <c r="BU63" s="531"/>
      <c r="BV63" s="531"/>
      <c r="BW63" s="531"/>
      <c r="BX63" s="531"/>
      <c r="BY63" s="531"/>
      <c r="BZ63" s="531"/>
      <c r="CA63" s="531"/>
      <c r="CB63" s="531"/>
      <c r="CC63" s="531"/>
      <c r="CD63" s="531"/>
      <c r="CE63" s="532"/>
      <c r="CF63" s="529" t="s">
        <v>1633</v>
      </c>
      <c r="CG63" s="529" t="s">
        <v>1641</v>
      </c>
      <c r="CH63" s="529" t="s">
        <v>1649</v>
      </c>
      <c r="CI63" s="529" t="s">
        <v>1621</v>
      </c>
    </row>
    <row r="64" spans="1:87" ht="20.100000000000001" customHeight="1">
      <c r="A64" s="226"/>
      <c r="B64" s="197"/>
      <c r="C64" s="197"/>
      <c r="D64" s="197"/>
      <c r="E64" s="197"/>
      <c r="F64" s="197"/>
      <c r="G64" s="197"/>
      <c r="H64" s="34"/>
      <c r="I64" s="34"/>
      <c r="J64" s="34"/>
      <c r="K64" s="41"/>
      <c r="L64" s="29"/>
      <c r="M64" s="968"/>
      <c r="N64" s="971"/>
      <c r="O64" s="971"/>
      <c r="P64" s="971"/>
      <c r="Q64" s="971"/>
      <c r="R64" s="971"/>
      <c r="S64" s="971"/>
      <c r="T64" s="971"/>
      <c r="U64" s="971"/>
      <c r="V64" s="971"/>
      <c r="W64" s="971"/>
      <c r="X64" s="971"/>
      <c r="Y64" s="971"/>
      <c r="Z64" s="971"/>
      <c r="AA64" s="971"/>
      <c r="AB64" s="971"/>
      <c r="AC64" s="971"/>
      <c r="AD64" s="971"/>
      <c r="AE64" s="971"/>
      <c r="AF64" s="1492"/>
      <c r="AG64" s="1513" t="s">
        <v>1222</v>
      </c>
      <c r="AH64" s="1514"/>
      <c r="AI64" s="1514"/>
      <c r="AJ64" s="1515"/>
      <c r="AK64" s="220">
        <v>0</v>
      </c>
      <c r="AL64" s="500">
        <f>IF((AL$60-2021)&lt;START!$C$2,0,((AL$55*INDEX('DEFAULT DATA'!$AGA$9:$AGH$41,START!$C$3,4))+(AL$56*INDEX('DEFAULT DATA'!$XK$9:$XR$41,START!$C$3,4))+(AL$57*INDEX('DEFAULT DATA'!$YQ$9:$YX$41,START!$C$3,4)))*INDEX('DEFAULT DATA'!$VD$9:$VK$41,START!$C$3,4)/1000000)</f>
        <v>0</v>
      </c>
      <c r="AM64" s="500">
        <f>IF((AM$60-2021)&lt;START!$C$2,0,((AM$55*INDEX('DEFAULT DATA'!$AGA$9:$AGH$41,START!$C$3,4))+(AM$56*INDEX('DEFAULT DATA'!$XK$9:$XR$41,START!$C$3,4))+(AM$57*INDEX('DEFAULT DATA'!$YQ$9:$YX$41,START!$C$3,4)))*INDEX('DEFAULT DATA'!$VD$9:$VK$41,START!$C$3,4)/1000000)</f>
        <v>0</v>
      </c>
      <c r="AN64" s="500">
        <f>IF((AN$60-2021)&lt;START!$C$2,0,((AN$55*INDEX('DEFAULT DATA'!$AGA$9:$AGH$41,START!$C$3,4))+(AN$56*INDEX('DEFAULT DATA'!$XK$9:$XR$41,START!$C$3,4))+(AN$57*INDEX('DEFAULT DATA'!$YQ$9:$YX$41,START!$C$3,4)))*INDEX('DEFAULT DATA'!$VD$9:$VK$41,START!$C$3,4)/1000000)</f>
        <v>0</v>
      </c>
      <c r="AO64" s="500">
        <f>IF((AO$60-2021)&lt;START!$C$2,0,((AO$55*INDEX('DEFAULT DATA'!$AGA$9:$AGH$41,START!$C$3,4))+(AO$56*INDEX('DEFAULT DATA'!$XK$9:$XR$41,START!$C$3,4))+(AO$57*INDEX('DEFAULT DATA'!$YQ$9:$YX$41,START!$C$3,4)))*INDEX('DEFAULT DATA'!$VD$9:$VK$41,START!$C$3,4)/1000000)</f>
        <v>0</v>
      </c>
      <c r="AP64" s="500">
        <f>IF((AP$60-2021)&lt;START!$C$2,0,((AP$55*INDEX('DEFAULT DATA'!$AGA$9:$AGH$41,START!$C$3,4))+(AP$56*INDEX('DEFAULT DATA'!$XK$9:$XR$41,START!$C$3,4))+(AP$57*INDEX('DEFAULT DATA'!$YQ$9:$YX$41,START!$C$3,4)))*INDEX('DEFAULT DATA'!$VD$9:$VK$41,START!$C$3,4)/1000000)</f>
        <v>0</v>
      </c>
      <c r="AQ64" s="500">
        <f>IF((AQ$60-2021)&lt;START!$C$2,0,((AQ$55*INDEX('DEFAULT DATA'!$AGA$9:$AGH$41,START!$C$3,4))+(AQ$56*INDEX('DEFAULT DATA'!$XK$9:$XR$41,START!$C$3,4))+(AQ$57*INDEX('DEFAULT DATA'!$YQ$9:$YX$41,START!$C$3,4)))*INDEX('DEFAULT DATA'!$VD$9:$VK$41,START!$C$3,4)/1000000)</f>
        <v>0</v>
      </c>
      <c r="AR64" s="500">
        <f>IF((AR$60-2021)&lt;START!$C$2,0,((AR$55*INDEX('DEFAULT DATA'!$AGA$9:$AGH$41,START!$C$3,4))+(AR$56*INDEX('DEFAULT DATA'!$XK$9:$XR$41,START!$C$3,4))+(AR$57*INDEX('DEFAULT DATA'!$YQ$9:$YX$41,START!$C$3,4)))*INDEX('DEFAULT DATA'!$VD$9:$VK$41,START!$C$3,4)/1000000)</f>
        <v>0</v>
      </c>
      <c r="AS64" s="500">
        <f>IF((AS$60-2021)&lt;START!$C$2,0,((AS$55*INDEX('DEFAULT DATA'!$AGA$9:$AGH$41,START!$C$3,4))+(AS$56*INDEX('DEFAULT DATA'!$XK$9:$XR$41,START!$C$3,4))+(AS$57*INDEX('DEFAULT DATA'!$YQ$9:$YX$41,START!$C$3,4)))*INDEX('DEFAULT DATA'!$VD$9:$VK$41,START!$C$3,4)/1000000)</f>
        <v>0</v>
      </c>
      <c r="AT64" s="500">
        <f>IF((AT$60-2021)&lt;START!$C$2,0,((AT$55*INDEX('DEFAULT DATA'!$AGA$9:$AGH$41,START!$C$3,4))+(AT$56*INDEX('DEFAULT DATA'!$XK$9:$XR$41,START!$C$3,4))+(AT$57*INDEX('DEFAULT DATA'!$YQ$9:$YX$41,START!$C$3,4)))*INDEX('DEFAULT DATA'!$VD$9:$VK$41,START!$C$3,4)/1000000)</f>
        <v>0</v>
      </c>
      <c r="AU64" s="500">
        <f>IF((AU$60-2021)&lt;START!$C$2,0,((AU$55*INDEX('DEFAULT DATA'!$AGA$9:$AGH$41,START!$C$3,4))+(AU$56*INDEX('DEFAULT DATA'!$XK$9:$XR$41,START!$C$3,4))+(AU$57*INDEX('DEFAULT DATA'!$YQ$9:$YX$41,START!$C$3,4)))*INDEX('DEFAULT DATA'!$VD$9:$VK$41,START!$C$3,4)/1000000)</f>
        <v>0</v>
      </c>
      <c r="AV64" s="500">
        <f>IF((AV$60-2021)&lt;START!$C$2,0,((AV$55*INDEX('DEFAULT DATA'!$AGA$9:$AGH$41,START!$C$3,4))+(AV$56*INDEX('DEFAULT DATA'!$XK$9:$XR$41,START!$C$3,4))+(AV$57*INDEX('DEFAULT DATA'!$YQ$9:$YX$41,START!$C$3,4)))*INDEX('DEFAULT DATA'!$VD$9:$VK$41,START!$C$3,4)/1000000)</f>
        <v>0</v>
      </c>
      <c r="AW64" s="500">
        <f>IF((AW$60-2021)&lt;START!$C$2,0,((AW$55*INDEX('DEFAULT DATA'!$AGA$9:$AGH$41,START!$C$3,4))+(AW$56*INDEX('DEFAULT DATA'!$XK$9:$XR$41,START!$C$3,4))+(AW$57*INDEX('DEFAULT DATA'!$YQ$9:$YX$41,START!$C$3,4)))*INDEX('DEFAULT DATA'!$VD$9:$VK$41,START!$C$3,4)/1000000)</f>
        <v>0</v>
      </c>
      <c r="AX64" s="500">
        <f>IF((AX$60-2021)&lt;START!$C$2,0,((AX$55*INDEX('DEFAULT DATA'!$AGA$9:$AGH$41,START!$C$3,4))+(AX$56*INDEX('DEFAULT DATA'!$XK$9:$XR$41,START!$C$3,4))+(AX$57*INDEX('DEFAULT DATA'!$YQ$9:$YX$41,START!$C$3,4)))*INDEX('DEFAULT DATA'!$VD$9:$VK$41,START!$C$3,4)/1000000)</f>
        <v>0</v>
      </c>
      <c r="AY64" s="500">
        <f>IF((AY$60-2021)&lt;START!$C$2,0,((AY$55*INDEX('DEFAULT DATA'!$AGA$9:$AGH$41,START!$C$3,4))+(AY$56*INDEX('DEFAULT DATA'!$XK$9:$XR$41,START!$C$3,4))+(AY$57*INDEX('DEFAULT DATA'!$YQ$9:$YX$41,START!$C$3,4)))*INDEX('DEFAULT DATA'!$VD$9:$VK$41,START!$C$3,4)/1000000)</f>
        <v>0</v>
      </c>
      <c r="AZ64" s="500">
        <f>IF((AZ$60-2021)&lt;START!$C$2,0,((AZ$55*INDEX('DEFAULT DATA'!$AGA$9:$AGH$41,START!$C$3,4))+(AZ$56*INDEX('DEFAULT DATA'!$XK$9:$XR$41,START!$C$3,4))+(AZ$57*INDEX('DEFAULT DATA'!$YQ$9:$YX$41,START!$C$3,4)))*INDEX('DEFAULT DATA'!$VD$9:$VK$41,START!$C$3,4)/1000000)</f>
        <v>0</v>
      </c>
      <c r="BA64" s="500">
        <f>IF((BA$60-2021)&lt;START!$C$2,0,((BA$55*INDEX('DEFAULT DATA'!$AGA$9:$AGH$41,START!$C$3,4))+(BA$56*INDEX('DEFAULT DATA'!$XK$9:$XR$41,START!$C$3,4))+(BA$57*INDEX('DEFAULT DATA'!$YQ$9:$YX$41,START!$C$3,4)))*INDEX('DEFAULT DATA'!$VD$9:$VK$41,START!$C$3,4)/1000000)</f>
        <v>0</v>
      </c>
      <c r="BB64" s="500">
        <f>IF((BB$60-2021)&lt;START!$C$2,0,((BB$55*INDEX('DEFAULT DATA'!$AGA$9:$AGH$41,START!$C$3,4))+(BB$56*INDEX('DEFAULT DATA'!$XK$9:$XR$41,START!$C$3,4))+(BB$57*INDEX('DEFAULT DATA'!$YQ$9:$YX$41,START!$C$3,4)))*INDEX('DEFAULT DATA'!$VD$9:$VK$41,START!$C$3,4)/1000000)</f>
        <v>0</v>
      </c>
      <c r="BC64" s="500">
        <f>IF((BC$60-2021)&lt;START!$C$2,0,((BC$55*INDEX('DEFAULT DATA'!$AGA$9:$AGH$41,START!$C$3,4))+(BC$56*INDEX('DEFAULT DATA'!$XK$9:$XR$41,START!$C$3,4))+(BC$57*INDEX('DEFAULT DATA'!$YQ$9:$YX$41,START!$C$3,4)))*INDEX('DEFAULT DATA'!$VD$9:$VK$41,START!$C$3,4)/1000000)</f>
        <v>0</v>
      </c>
      <c r="BD64" s="500">
        <f>IF((BD$60-2021)&lt;START!$C$2,0,((BD$55*INDEX('DEFAULT DATA'!$AGA$9:$AGH$41,START!$C$3,4))+(BD$56*INDEX('DEFAULT DATA'!$XK$9:$XR$41,START!$C$3,4))+(BD$57*INDEX('DEFAULT DATA'!$YQ$9:$YX$41,START!$C$3,4)))*INDEX('DEFAULT DATA'!$VD$9:$VK$41,START!$C$3,4)/1000000)</f>
        <v>0</v>
      </c>
      <c r="BE64" s="500">
        <f>IF((BE$60-2021)&lt;START!$C$2,0,((BE$55*INDEX('DEFAULT DATA'!$AGA$9:$AGH$41,START!$C$3,4))+(BE$56*INDEX('DEFAULT DATA'!$XK$9:$XR$41,START!$C$3,4))+(BE$57*INDEX('DEFAULT DATA'!$YQ$9:$YX$41,START!$C$3,4)))*INDEX('DEFAULT DATA'!$VD$9:$VK$41,START!$C$3,4)/1000000)</f>
        <v>0</v>
      </c>
      <c r="BF64" s="500">
        <f>IF((BF$60-2021)&lt;START!$C$2,0,((BF$55*INDEX('DEFAULT DATA'!$AGA$9:$AGH$41,START!$C$3,4))+(BF$56*INDEX('DEFAULT DATA'!$XK$9:$XR$41,START!$C$3,4))+(BF$57*INDEX('DEFAULT DATA'!$YQ$9:$YX$41,START!$C$3,4)))*INDEX('DEFAULT DATA'!$VD$9:$VK$41,START!$C$3,4)/1000000)</f>
        <v>0</v>
      </c>
      <c r="BG64" s="500">
        <f>IF((BG$60-2021)&lt;START!$C$2,0,((BG$55*INDEX('DEFAULT DATA'!$AGA$9:$AGH$41,START!$C$3,4))+(BG$56*INDEX('DEFAULT DATA'!$XK$9:$XR$41,START!$C$3,4))+(BG$57*INDEX('DEFAULT DATA'!$YQ$9:$YX$41,START!$C$3,4)))*INDEX('DEFAULT DATA'!$VD$9:$VK$41,START!$C$3,4)/1000000)</f>
        <v>0</v>
      </c>
      <c r="BH64" s="500">
        <f>IF((BH$60-2021)&lt;START!$C$2,0,((BH$55*INDEX('DEFAULT DATA'!$AGA$9:$AGH$41,START!$C$3,4))+(BH$56*INDEX('DEFAULT DATA'!$XK$9:$XR$41,START!$C$3,4))+(BH$57*INDEX('DEFAULT DATA'!$YQ$9:$YX$41,START!$C$3,4)))*INDEX('DEFAULT DATA'!$VD$9:$VK$41,START!$C$3,4)/1000000)</f>
        <v>0</v>
      </c>
      <c r="BI64" s="500">
        <f>IF((BI$60-2021)&lt;START!$C$2,0,((BI$55*INDEX('DEFAULT DATA'!$AGA$9:$AGH$41,START!$C$3,4))+(BI$56*INDEX('DEFAULT DATA'!$XK$9:$XR$41,START!$C$3,4))+(BI$57*INDEX('DEFAULT DATA'!$YQ$9:$YX$41,START!$C$3,4)))*INDEX('DEFAULT DATA'!$VD$9:$VK$41,START!$C$3,4)/1000000)</f>
        <v>0</v>
      </c>
      <c r="BJ64" s="500">
        <f>IF((BJ$60-2021)&lt;START!$C$2,0,((BJ$55*INDEX('DEFAULT DATA'!$AGA$9:$AGH$41,START!$C$3,4))+(BJ$56*INDEX('DEFAULT DATA'!$XK$9:$XR$41,START!$C$3,4))+(BJ$57*INDEX('DEFAULT DATA'!$YQ$9:$YX$41,START!$C$3,4)))*INDEX('DEFAULT DATA'!$VD$9:$VK$41,START!$C$3,4)/1000000)</f>
        <v>0</v>
      </c>
      <c r="BK64" s="500">
        <f>IF((BK$60-2021)&lt;START!$C$2,0,((BK$55*INDEX('DEFAULT DATA'!$AGA$9:$AGH$41,START!$C$3,4))+(BK$56*INDEX('DEFAULT DATA'!$XK$9:$XR$41,START!$C$3,4))+(BK$57*INDEX('DEFAULT DATA'!$YQ$9:$YX$41,START!$C$3,4)))*INDEX('DEFAULT DATA'!$VD$9:$VK$41,START!$C$3,4)/1000000)</f>
        <v>0</v>
      </c>
      <c r="BL64" s="500">
        <f>IF((BL$60-2021)&lt;START!$C$2,0,((BL$55*INDEX('DEFAULT DATA'!$AGA$9:$AGH$41,START!$C$3,4))+(BL$56*INDEX('DEFAULT DATA'!$XK$9:$XR$41,START!$C$3,4))+(BL$57*INDEX('DEFAULT DATA'!$YQ$9:$YX$41,START!$C$3,4)))*INDEX('DEFAULT DATA'!$VD$9:$VK$41,START!$C$3,4)/1000000)</f>
        <v>0</v>
      </c>
      <c r="BM64" s="500">
        <f>IF((BM$60-2021)&lt;START!$C$2,0,((BM$55*INDEX('DEFAULT DATA'!$AGA$9:$AGH$41,START!$C$3,4))+(BM$56*INDEX('DEFAULT DATA'!$XK$9:$XR$41,START!$C$3,4))+(BM$57*INDEX('DEFAULT DATA'!$YQ$9:$YX$41,START!$C$3,4)))*INDEX('DEFAULT DATA'!$VD$9:$VK$41,START!$C$3,4)/1000000)</f>
        <v>0</v>
      </c>
      <c r="BN64" s="500">
        <f>IF((BN$60-2021)&lt;START!$C$2,0,((BN$55*INDEX('DEFAULT DATA'!$AGA$9:$AGH$41,START!$C$3,4))+(BN$56*INDEX('DEFAULT DATA'!$XK$9:$XR$41,START!$C$3,4))+(BN$57*INDEX('DEFAULT DATA'!$YQ$9:$YX$41,START!$C$3,4)))*INDEX('DEFAULT DATA'!$VD$9:$VK$41,START!$C$3,4)/1000000)</f>
        <v>0</v>
      </c>
      <c r="BP64" s="524" t="str">
        <f t="shared" si="14"/>
        <v>Coal</v>
      </c>
      <c r="BQ64" s="530" t="s">
        <v>1731</v>
      </c>
      <c r="BR64" s="531"/>
      <c r="BS64" s="531"/>
      <c r="BT64" s="531"/>
      <c r="BU64" s="531"/>
      <c r="BV64" s="531"/>
      <c r="BW64" s="531"/>
      <c r="BX64" s="531"/>
      <c r="BY64" s="531"/>
      <c r="BZ64" s="531"/>
      <c r="CA64" s="531"/>
      <c r="CB64" s="531"/>
      <c r="CC64" s="531"/>
      <c r="CD64" s="531"/>
      <c r="CE64" s="532"/>
      <c r="CF64" s="529" t="s">
        <v>1634</v>
      </c>
      <c r="CG64" s="529" t="s">
        <v>1642</v>
      </c>
      <c r="CH64" s="529" t="s">
        <v>1650</v>
      </c>
      <c r="CI64" s="529" t="s">
        <v>1622</v>
      </c>
    </row>
    <row r="65" spans="1:87" ht="20.100000000000001" customHeight="1">
      <c r="A65" s="226"/>
      <c r="B65" s="197"/>
      <c r="C65" s="197"/>
      <c r="D65" s="197"/>
      <c r="E65" s="197"/>
      <c r="F65" s="197"/>
      <c r="G65" s="197"/>
      <c r="H65" s="34"/>
      <c r="I65" s="34"/>
      <c r="J65" s="34"/>
      <c r="K65" s="41"/>
      <c r="L65" s="29"/>
      <c r="M65" s="968"/>
      <c r="N65" s="971"/>
      <c r="O65" s="971"/>
      <c r="P65" s="971"/>
      <c r="Q65" s="971"/>
      <c r="R65" s="971"/>
      <c r="S65" s="971"/>
      <c r="T65" s="971"/>
      <c r="U65" s="971"/>
      <c r="V65" s="971"/>
      <c r="W65" s="971"/>
      <c r="X65" s="971"/>
      <c r="Y65" s="971"/>
      <c r="Z65" s="971"/>
      <c r="AA65" s="971"/>
      <c r="AB65" s="971"/>
      <c r="AC65" s="971"/>
      <c r="AD65" s="971"/>
      <c r="AE65" s="971"/>
      <c r="AF65" s="1492"/>
      <c r="AG65" s="1513" t="s">
        <v>1223</v>
      </c>
      <c r="AH65" s="1514"/>
      <c r="AI65" s="1514"/>
      <c r="AJ65" s="1515"/>
      <c r="AK65" s="220">
        <v>0</v>
      </c>
      <c r="AL65" s="500">
        <f>IF((AL$60-2021)&lt;START!$C$2,0,((AL$55*INDEX('DEFAULT DATA'!$AGA$9:$AGH$41,START!$C$3,5))+(AL$56*INDEX('DEFAULT DATA'!$XK$9:$XR$41,START!$C$3,5))+(AL$57*INDEX('DEFAULT DATA'!$YQ$9:$YX$41,START!$C$3,5)))*INDEX('DEFAULT DATA'!$VD$9:$VK$41,START!$C$3,5)/1000000)</f>
        <v>0</v>
      </c>
      <c r="AM65" s="500">
        <f>IF((AM$60-2021)&lt;START!$C$2,0,((AM$55*INDEX('DEFAULT DATA'!$AGA$9:$AGH$41,START!$C$3,5))+(AM$56*INDEX('DEFAULT DATA'!$XK$9:$XR$41,START!$C$3,5))+(AM$57*INDEX('DEFAULT DATA'!$YQ$9:$YX$41,START!$C$3,5)))*INDEX('DEFAULT DATA'!$VD$9:$VK$41,START!$C$3,5)/1000000)</f>
        <v>0</v>
      </c>
      <c r="AN65" s="500">
        <f>IF((AN$60-2021)&lt;START!$C$2,0,((AN$55*INDEX('DEFAULT DATA'!$AGA$9:$AGH$41,START!$C$3,5))+(AN$56*INDEX('DEFAULT DATA'!$XK$9:$XR$41,START!$C$3,5))+(AN$57*INDEX('DEFAULT DATA'!$YQ$9:$YX$41,START!$C$3,5)))*INDEX('DEFAULT DATA'!$VD$9:$VK$41,START!$C$3,5)/1000000)</f>
        <v>0</v>
      </c>
      <c r="AO65" s="500">
        <f>IF((AO$60-2021)&lt;START!$C$2,0,((AO$55*INDEX('DEFAULT DATA'!$AGA$9:$AGH$41,START!$C$3,5))+(AO$56*INDEX('DEFAULT DATA'!$XK$9:$XR$41,START!$C$3,5))+(AO$57*INDEX('DEFAULT DATA'!$YQ$9:$YX$41,START!$C$3,5)))*INDEX('DEFAULT DATA'!$VD$9:$VK$41,START!$C$3,5)/1000000)</f>
        <v>0</v>
      </c>
      <c r="AP65" s="500">
        <f>IF((AP$60-2021)&lt;START!$C$2,0,((AP$55*INDEX('DEFAULT DATA'!$AGA$9:$AGH$41,START!$C$3,5))+(AP$56*INDEX('DEFAULT DATA'!$XK$9:$XR$41,START!$C$3,5))+(AP$57*INDEX('DEFAULT DATA'!$YQ$9:$YX$41,START!$C$3,5)))*INDEX('DEFAULT DATA'!$VD$9:$VK$41,START!$C$3,5)/1000000)</f>
        <v>0</v>
      </c>
      <c r="AQ65" s="500">
        <f>IF((AQ$60-2021)&lt;START!$C$2,0,((AQ$55*INDEX('DEFAULT DATA'!$AGA$9:$AGH$41,START!$C$3,5))+(AQ$56*INDEX('DEFAULT DATA'!$XK$9:$XR$41,START!$C$3,5))+(AQ$57*INDEX('DEFAULT DATA'!$YQ$9:$YX$41,START!$C$3,5)))*INDEX('DEFAULT DATA'!$VD$9:$VK$41,START!$C$3,5)/1000000)</f>
        <v>0</v>
      </c>
      <c r="AR65" s="500">
        <f>IF((AR$60-2021)&lt;START!$C$2,0,((AR$55*INDEX('DEFAULT DATA'!$AGA$9:$AGH$41,START!$C$3,5))+(AR$56*INDEX('DEFAULT DATA'!$XK$9:$XR$41,START!$C$3,5))+(AR$57*INDEX('DEFAULT DATA'!$YQ$9:$YX$41,START!$C$3,5)))*INDEX('DEFAULT DATA'!$VD$9:$VK$41,START!$C$3,5)/1000000)</f>
        <v>0</v>
      </c>
      <c r="AS65" s="500">
        <f>IF((AS$60-2021)&lt;START!$C$2,0,((AS$55*INDEX('DEFAULT DATA'!$AGA$9:$AGH$41,START!$C$3,5))+(AS$56*INDEX('DEFAULT DATA'!$XK$9:$XR$41,START!$C$3,5))+(AS$57*INDEX('DEFAULT DATA'!$YQ$9:$YX$41,START!$C$3,5)))*INDEX('DEFAULT DATA'!$VD$9:$VK$41,START!$C$3,5)/1000000)</f>
        <v>0</v>
      </c>
      <c r="AT65" s="500">
        <f>IF((AT$60-2021)&lt;START!$C$2,0,((AT$55*INDEX('DEFAULT DATA'!$AGA$9:$AGH$41,START!$C$3,5))+(AT$56*INDEX('DEFAULT DATA'!$XK$9:$XR$41,START!$C$3,5))+(AT$57*INDEX('DEFAULT DATA'!$YQ$9:$YX$41,START!$C$3,5)))*INDEX('DEFAULT DATA'!$VD$9:$VK$41,START!$C$3,5)/1000000)</f>
        <v>0</v>
      </c>
      <c r="AU65" s="500">
        <f>IF((AU$60-2021)&lt;START!$C$2,0,((AU$55*INDEX('DEFAULT DATA'!$AGA$9:$AGH$41,START!$C$3,5))+(AU$56*INDEX('DEFAULT DATA'!$XK$9:$XR$41,START!$C$3,5))+(AU$57*INDEX('DEFAULT DATA'!$YQ$9:$YX$41,START!$C$3,5)))*INDEX('DEFAULT DATA'!$VD$9:$VK$41,START!$C$3,5)/1000000)</f>
        <v>0</v>
      </c>
      <c r="AV65" s="500">
        <f>IF((AV$60-2021)&lt;START!$C$2,0,((AV$55*INDEX('DEFAULT DATA'!$AGA$9:$AGH$41,START!$C$3,5))+(AV$56*INDEX('DEFAULT DATA'!$XK$9:$XR$41,START!$C$3,5))+(AV$57*INDEX('DEFAULT DATA'!$YQ$9:$YX$41,START!$C$3,5)))*INDEX('DEFAULT DATA'!$VD$9:$VK$41,START!$C$3,5)/1000000)</f>
        <v>0</v>
      </c>
      <c r="AW65" s="500">
        <f>IF((AW$60-2021)&lt;START!$C$2,0,((AW$55*INDEX('DEFAULT DATA'!$AGA$9:$AGH$41,START!$C$3,5))+(AW$56*INDEX('DEFAULT DATA'!$XK$9:$XR$41,START!$C$3,5))+(AW$57*INDEX('DEFAULT DATA'!$YQ$9:$YX$41,START!$C$3,5)))*INDEX('DEFAULT DATA'!$VD$9:$VK$41,START!$C$3,5)/1000000)</f>
        <v>0</v>
      </c>
      <c r="AX65" s="500">
        <f>IF((AX$60-2021)&lt;START!$C$2,0,((AX$55*INDEX('DEFAULT DATA'!$AGA$9:$AGH$41,START!$C$3,5))+(AX$56*INDEX('DEFAULT DATA'!$XK$9:$XR$41,START!$C$3,5))+(AX$57*INDEX('DEFAULT DATA'!$YQ$9:$YX$41,START!$C$3,5)))*INDEX('DEFAULT DATA'!$VD$9:$VK$41,START!$C$3,5)/1000000)</f>
        <v>0</v>
      </c>
      <c r="AY65" s="500">
        <f>IF((AY$60-2021)&lt;START!$C$2,0,((AY$55*INDEX('DEFAULT DATA'!$AGA$9:$AGH$41,START!$C$3,5))+(AY$56*INDEX('DEFAULT DATA'!$XK$9:$XR$41,START!$C$3,5))+(AY$57*INDEX('DEFAULT DATA'!$YQ$9:$YX$41,START!$C$3,5)))*INDEX('DEFAULT DATA'!$VD$9:$VK$41,START!$C$3,5)/1000000)</f>
        <v>0</v>
      </c>
      <c r="AZ65" s="500">
        <f>IF((AZ$60-2021)&lt;START!$C$2,0,((AZ$55*INDEX('DEFAULT DATA'!$AGA$9:$AGH$41,START!$C$3,5))+(AZ$56*INDEX('DEFAULT DATA'!$XK$9:$XR$41,START!$C$3,5))+(AZ$57*INDEX('DEFAULT DATA'!$YQ$9:$YX$41,START!$C$3,5)))*INDEX('DEFAULT DATA'!$VD$9:$VK$41,START!$C$3,5)/1000000)</f>
        <v>0</v>
      </c>
      <c r="BA65" s="500">
        <f>IF((BA$60-2021)&lt;START!$C$2,0,((BA$55*INDEX('DEFAULT DATA'!$AGA$9:$AGH$41,START!$C$3,5))+(BA$56*INDEX('DEFAULT DATA'!$XK$9:$XR$41,START!$C$3,5))+(BA$57*INDEX('DEFAULT DATA'!$YQ$9:$YX$41,START!$C$3,5)))*INDEX('DEFAULT DATA'!$VD$9:$VK$41,START!$C$3,5)/1000000)</f>
        <v>0</v>
      </c>
      <c r="BB65" s="500">
        <f>IF((BB$60-2021)&lt;START!$C$2,0,((BB$55*INDEX('DEFAULT DATA'!$AGA$9:$AGH$41,START!$C$3,5))+(BB$56*INDEX('DEFAULT DATA'!$XK$9:$XR$41,START!$C$3,5))+(BB$57*INDEX('DEFAULT DATA'!$YQ$9:$YX$41,START!$C$3,5)))*INDEX('DEFAULT DATA'!$VD$9:$VK$41,START!$C$3,5)/1000000)</f>
        <v>0</v>
      </c>
      <c r="BC65" s="500">
        <f>IF((BC$60-2021)&lt;START!$C$2,0,((BC$55*INDEX('DEFAULT DATA'!$AGA$9:$AGH$41,START!$C$3,5))+(BC$56*INDEX('DEFAULT DATA'!$XK$9:$XR$41,START!$C$3,5))+(BC$57*INDEX('DEFAULT DATA'!$YQ$9:$YX$41,START!$C$3,5)))*INDEX('DEFAULT DATA'!$VD$9:$VK$41,START!$C$3,5)/1000000)</f>
        <v>0</v>
      </c>
      <c r="BD65" s="500">
        <f>IF((BD$60-2021)&lt;START!$C$2,0,((BD$55*INDEX('DEFAULT DATA'!$AGA$9:$AGH$41,START!$C$3,5))+(BD$56*INDEX('DEFAULT DATA'!$XK$9:$XR$41,START!$C$3,5))+(BD$57*INDEX('DEFAULT DATA'!$YQ$9:$YX$41,START!$C$3,5)))*INDEX('DEFAULT DATA'!$VD$9:$VK$41,START!$C$3,5)/1000000)</f>
        <v>0</v>
      </c>
      <c r="BE65" s="500">
        <f>IF((BE$60-2021)&lt;START!$C$2,0,((BE$55*INDEX('DEFAULT DATA'!$AGA$9:$AGH$41,START!$C$3,5))+(BE$56*INDEX('DEFAULT DATA'!$XK$9:$XR$41,START!$C$3,5))+(BE$57*INDEX('DEFAULT DATA'!$YQ$9:$YX$41,START!$C$3,5)))*INDEX('DEFAULT DATA'!$VD$9:$VK$41,START!$C$3,5)/1000000)</f>
        <v>0</v>
      </c>
      <c r="BF65" s="500">
        <f>IF((BF$60-2021)&lt;START!$C$2,0,((BF$55*INDEX('DEFAULT DATA'!$AGA$9:$AGH$41,START!$C$3,5))+(BF$56*INDEX('DEFAULT DATA'!$XK$9:$XR$41,START!$C$3,5))+(BF$57*INDEX('DEFAULT DATA'!$YQ$9:$YX$41,START!$C$3,5)))*INDEX('DEFAULT DATA'!$VD$9:$VK$41,START!$C$3,5)/1000000)</f>
        <v>0</v>
      </c>
      <c r="BG65" s="500">
        <f>IF((BG$60-2021)&lt;START!$C$2,0,((BG$55*INDEX('DEFAULT DATA'!$AGA$9:$AGH$41,START!$C$3,5))+(BG$56*INDEX('DEFAULT DATA'!$XK$9:$XR$41,START!$C$3,5))+(BG$57*INDEX('DEFAULT DATA'!$YQ$9:$YX$41,START!$C$3,5)))*INDEX('DEFAULT DATA'!$VD$9:$VK$41,START!$C$3,5)/1000000)</f>
        <v>0</v>
      </c>
      <c r="BH65" s="500">
        <f>IF((BH$60-2021)&lt;START!$C$2,0,((BH$55*INDEX('DEFAULT DATA'!$AGA$9:$AGH$41,START!$C$3,5))+(BH$56*INDEX('DEFAULT DATA'!$XK$9:$XR$41,START!$C$3,5))+(BH$57*INDEX('DEFAULT DATA'!$YQ$9:$YX$41,START!$C$3,5)))*INDEX('DEFAULT DATA'!$VD$9:$VK$41,START!$C$3,5)/1000000)</f>
        <v>0</v>
      </c>
      <c r="BI65" s="500">
        <f>IF((BI$60-2021)&lt;START!$C$2,0,((BI$55*INDEX('DEFAULT DATA'!$AGA$9:$AGH$41,START!$C$3,5))+(BI$56*INDEX('DEFAULT DATA'!$XK$9:$XR$41,START!$C$3,5))+(BI$57*INDEX('DEFAULT DATA'!$YQ$9:$YX$41,START!$C$3,5)))*INDEX('DEFAULT DATA'!$VD$9:$VK$41,START!$C$3,5)/1000000)</f>
        <v>0</v>
      </c>
      <c r="BJ65" s="500">
        <f>IF((BJ$60-2021)&lt;START!$C$2,0,((BJ$55*INDEX('DEFAULT DATA'!$AGA$9:$AGH$41,START!$C$3,5))+(BJ$56*INDEX('DEFAULT DATA'!$XK$9:$XR$41,START!$C$3,5))+(BJ$57*INDEX('DEFAULT DATA'!$YQ$9:$YX$41,START!$C$3,5)))*INDEX('DEFAULT DATA'!$VD$9:$VK$41,START!$C$3,5)/1000000)</f>
        <v>0</v>
      </c>
      <c r="BK65" s="500">
        <f>IF((BK$60-2021)&lt;START!$C$2,0,((BK$55*INDEX('DEFAULT DATA'!$AGA$9:$AGH$41,START!$C$3,5))+(BK$56*INDEX('DEFAULT DATA'!$XK$9:$XR$41,START!$C$3,5))+(BK$57*INDEX('DEFAULT DATA'!$YQ$9:$YX$41,START!$C$3,5)))*INDEX('DEFAULT DATA'!$VD$9:$VK$41,START!$C$3,5)/1000000)</f>
        <v>0</v>
      </c>
      <c r="BL65" s="500">
        <f>IF((BL$60-2021)&lt;START!$C$2,0,((BL$55*INDEX('DEFAULT DATA'!$AGA$9:$AGH$41,START!$C$3,5))+(BL$56*INDEX('DEFAULT DATA'!$XK$9:$XR$41,START!$C$3,5))+(BL$57*INDEX('DEFAULT DATA'!$YQ$9:$YX$41,START!$C$3,5)))*INDEX('DEFAULT DATA'!$VD$9:$VK$41,START!$C$3,5)/1000000)</f>
        <v>0</v>
      </c>
      <c r="BM65" s="500">
        <f>IF((BM$60-2021)&lt;START!$C$2,0,((BM$55*INDEX('DEFAULT DATA'!$AGA$9:$AGH$41,START!$C$3,5))+(BM$56*INDEX('DEFAULT DATA'!$XK$9:$XR$41,START!$C$3,5))+(BM$57*INDEX('DEFAULT DATA'!$YQ$9:$YX$41,START!$C$3,5)))*INDEX('DEFAULT DATA'!$VD$9:$VK$41,START!$C$3,5)/1000000)</f>
        <v>0</v>
      </c>
      <c r="BN65" s="500">
        <f>IF((BN$60-2021)&lt;START!$C$2,0,((BN$55*INDEX('DEFAULT DATA'!$AGA$9:$AGH$41,START!$C$3,5))+(BN$56*INDEX('DEFAULT DATA'!$XK$9:$XR$41,START!$C$3,5))+(BN$57*INDEX('DEFAULT DATA'!$YQ$9:$YX$41,START!$C$3,5)))*INDEX('DEFAULT DATA'!$VD$9:$VK$41,START!$C$3,5)/1000000)</f>
        <v>0</v>
      </c>
      <c r="BP65" s="524" t="str">
        <f t="shared" si="14"/>
        <v>Peat</v>
      </c>
      <c r="BQ65" s="530" t="s">
        <v>1732</v>
      </c>
      <c r="BR65" s="531"/>
      <c r="BS65" s="531"/>
      <c r="BT65" s="531"/>
      <c r="BU65" s="531"/>
      <c r="BV65" s="531"/>
      <c r="BW65" s="531"/>
      <c r="BX65" s="531"/>
      <c r="BY65" s="531"/>
      <c r="BZ65" s="531"/>
      <c r="CA65" s="531"/>
      <c r="CB65" s="531"/>
      <c r="CC65" s="531"/>
      <c r="CD65" s="531"/>
      <c r="CE65" s="532"/>
      <c r="CF65" s="529" t="s">
        <v>1635</v>
      </c>
      <c r="CG65" s="529" t="s">
        <v>1643</v>
      </c>
      <c r="CH65" s="529" t="s">
        <v>1651</v>
      </c>
      <c r="CI65" s="529" t="s">
        <v>1623</v>
      </c>
    </row>
    <row r="66" spans="1:87" ht="20.100000000000001" customHeight="1">
      <c r="A66" s="226"/>
      <c r="B66" s="197"/>
      <c r="C66" s="197"/>
      <c r="D66" s="197"/>
      <c r="E66" s="197"/>
      <c r="F66" s="197"/>
      <c r="G66" s="197"/>
      <c r="H66" s="34"/>
      <c r="I66" s="34"/>
      <c r="J66" s="34"/>
      <c r="K66" s="41"/>
      <c r="L66" s="29"/>
      <c r="M66" s="968"/>
      <c r="N66" s="971"/>
      <c r="O66" s="971"/>
      <c r="P66" s="971"/>
      <c r="Q66" s="971"/>
      <c r="R66" s="971"/>
      <c r="S66" s="971"/>
      <c r="T66" s="971"/>
      <c r="U66" s="971"/>
      <c r="V66" s="971"/>
      <c r="W66" s="971"/>
      <c r="X66" s="971"/>
      <c r="Y66" s="971"/>
      <c r="Z66" s="971"/>
      <c r="AA66" s="971"/>
      <c r="AB66" s="971"/>
      <c r="AC66" s="971"/>
      <c r="AD66" s="971"/>
      <c r="AE66" s="971"/>
      <c r="AF66" s="1492"/>
      <c r="AG66" s="1513" t="s">
        <v>1224</v>
      </c>
      <c r="AH66" s="1514"/>
      <c r="AI66" s="1514"/>
      <c r="AJ66" s="1515"/>
      <c r="AK66" s="220">
        <v>0</v>
      </c>
      <c r="AL66" s="500">
        <f>IF((AL$60-2021)&lt;START!$C$2,0,((AL$55*INDEX('DEFAULT DATA'!$AGA$9:$AGH$41,START!$C$3,6))+(AL$56*INDEX('DEFAULT DATA'!$XK$9:$XR$41,START!$C$3,6))+(AL$57*INDEX('DEFAULT DATA'!$YQ$9:$YX$41,START!$C$3,6)))*INDEX('DEFAULT DATA'!$VD$9:$VK$41,START!$C$3,6)/1000000)</f>
        <v>0</v>
      </c>
      <c r="AM66" s="500">
        <f>IF((AM$60-2021)&lt;START!$C$2,0,((AM$55*INDEX('DEFAULT DATA'!$AGA$9:$AGH$41,START!$C$3,6))+(AM$56*INDEX('DEFAULT DATA'!$XK$9:$XR$41,START!$C$3,6))+(AM$57*INDEX('DEFAULT DATA'!$YQ$9:$YX$41,START!$C$3,6)))*INDEX('DEFAULT DATA'!$VD$9:$VK$41,START!$C$3,6)/1000000)</f>
        <v>0</v>
      </c>
      <c r="AN66" s="500">
        <f>IF((AN$60-2021)&lt;START!$C$2,0,((AN$55*INDEX('DEFAULT DATA'!$AGA$9:$AGH$41,START!$C$3,6))+(AN$56*INDEX('DEFAULT DATA'!$XK$9:$XR$41,START!$C$3,6))+(AN$57*INDEX('DEFAULT DATA'!$YQ$9:$YX$41,START!$C$3,6)))*INDEX('DEFAULT DATA'!$VD$9:$VK$41,START!$C$3,6)/1000000)</f>
        <v>0</v>
      </c>
      <c r="AO66" s="500">
        <f>IF((AO$60-2021)&lt;START!$C$2,0,((AO$55*INDEX('DEFAULT DATA'!$AGA$9:$AGH$41,START!$C$3,6))+(AO$56*INDEX('DEFAULT DATA'!$XK$9:$XR$41,START!$C$3,6))+(AO$57*INDEX('DEFAULT DATA'!$YQ$9:$YX$41,START!$C$3,6)))*INDEX('DEFAULT DATA'!$VD$9:$VK$41,START!$C$3,6)/1000000)</f>
        <v>0</v>
      </c>
      <c r="AP66" s="500">
        <f>IF((AP$60-2021)&lt;START!$C$2,0,((AP$55*INDEX('DEFAULT DATA'!$AGA$9:$AGH$41,START!$C$3,6))+(AP$56*INDEX('DEFAULT DATA'!$XK$9:$XR$41,START!$C$3,6))+(AP$57*INDEX('DEFAULT DATA'!$YQ$9:$YX$41,START!$C$3,6)))*INDEX('DEFAULT DATA'!$VD$9:$VK$41,START!$C$3,6)/1000000)</f>
        <v>0</v>
      </c>
      <c r="AQ66" s="500">
        <f>IF((AQ$60-2021)&lt;START!$C$2,0,((AQ$55*INDEX('DEFAULT DATA'!$AGA$9:$AGH$41,START!$C$3,6))+(AQ$56*INDEX('DEFAULT DATA'!$XK$9:$XR$41,START!$C$3,6))+(AQ$57*INDEX('DEFAULT DATA'!$YQ$9:$YX$41,START!$C$3,6)))*INDEX('DEFAULT DATA'!$VD$9:$VK$41,START!$C$3,6)/1000000)</f>
        <v>0</v>
      </c>
      <c r="AR66" s="500">
        <f>IF((AR$60-2021)&lt;START!$C$2,0,((AR$55*INDEX('DEFAULT DATA'!$AGA$9:$AGH$41,START!$C$3,6))+(AR$56*INDEX('DEFAULT DATA'!$XK$9:$XR$41,START!$C$3,6))+(AR$57*INDEX('DEFAULT DATA'!$YQ$9:$YX$41,START!$C$3,6)))*INDEX('DEFAULT DATA'!$VD$9:$VK$41,START!$C$3,6)/1000000)</f>
        <v>0</v>
      </c>
      <c r="AS66" s="500">
        <f>IF((AS$60-2021)&lt;START!$C$2,0,((AS$55*INDEX('DEFAULT DATA'!$AGA$9:$AGH$41,START!$C$3,6))+(AS$56*INDEX('DEFAULT DATA'!$XK$9:$XR$41,START!$C$3,6))+(AS$57*INDEX('DEFAULT DATA'!$YQ$9:$YX$41,START!$C$3,6)))*INDEX('DEFAULT DATA'!$VD$9:$VK$41,START!$C$3,6)/1000000)</f>
        <v>0</v>
      </c>
      <c r="AT66" s="500">
        <f>IF((AT$60-2021)&lt;START!$C$2,0,((AT$55*INDEX('DEFAULT DATA'!$AGA$9:$AGH$41,START!$C$3,6))+(AT$56*INDEX('DEFAULT DATA'!$XK$9:$XR$41,START!$C$3,6))+(AT$57*INDEX('DEFAULT DATA'!$YQ$9:$YX$41,START!$C$3,6)))*INDEX('DEFAULT DATA'!$VD$9:$VK$41,START!$C$3,6)/1000000)</f>
        <v>0</v>
      </c>
      <c r="AU66" s="500">
        <f>IF((AU$60-2021)&lt;START!$C$2,0,((AU$55*INDEX('DEFAULT DATA'!$AGA$9:$AGH$41,START!$C$3,6))+(AU$56*INDEX('DEFAULT DATA'!$XK$9:$XR$41,START!$C$3,6))+(AU$57*INDEX('DEFAULT DATA'!$YQ$9:$YX$41,START!$C$3,6)))*INDEX('DEFAULT DATA'!$VD$9:$VK$41,START!$C$3,6)/1000000)</f>
        <v>0</v>
      </c>
      <c r="AV66" s="500">
        <f>IF((AV$60-2021)&lt;START!$C$2,0,((AV$55*INDEX('DEFAULT DATA'!$AGA$9:$AGH$41,START!$C$3,6))+(AV$56*INDEX('DEFAULT DATA'!$XK$9:$XR$41,START!$C$3,6))+(AV$57*INDEX('DEFAULT DATA'!$YQ$9:$YX$41,START!$C$3,6)))*INDEX('DEFAULT DATA'!$VD$9:$VK$41,START!$C$3,6)/1000000)</f>
        <v>0</v>
      </c>
      <c r="AW66" s="500">
        <f>IF((AW$60-2021)&lt;START!$C$2,0,((AW$55*INDEX('DEFAULT DATA'!$AGA$9:$AGH$41,START!$C$3,6))+(AW$56*INDEX('DEFAULT DATA'!$XK$9:$XR$41,START!$C$3,6))+(AW$57*INDEX('DEFAULT DATA'!$YQ$9:$YX$41,START!$C$3,6)))*INDEX('DEFAULT DATA'!$VD$9:$VK$41,START!$C$3,6)/1000000)</f>
        <v>0</v>
      </c>
      <c r="AX66" s="500">
        <f>IF((AX$60-2021)&lt;START!$C$2,0,((AX$55*INDEX('DEFAULT DATA'!$AGA$9:$AGH$41,START!$C$3,6))+(AX$56*INDEX('DEFAULT DATA'!$XK$9:$XR$41,START!$C$3,6))+(AX$57*INDEX('DEFAULT DATA'!$YQ$9:$YX$41,START!$C$3,6)))*INDEX('DEFAULT DATA'!$VD$9:$VK$41,START!$C$3,6)/1000000)</f>
        <v>0</v>
      </c>
      <c r="AY66" s="500">
        <f>IF((AY$60-2021)&lt;START!$C$2,0,((AY$55*INDEX('DEFAULT DATA'!$AGA$9:$AGH$41,START!$C$3,6))+(AY$56*INDEX('DEFAULT DATA'!$XK$9:$XR$41,START!$C$3,6))+(AY$57*INDEX('DEFAULT DATA'!$YQ$9:$YX$41,START!$C$3,6)))*INDEX('DEFAULT DATA'!$VD$9:$VK$41,START!$C$3,6)/1000000)</f>
        <v>0</v>
      </c>
      <c r="AZ66" s="500">
        <f>IF((AZ$60-2021)&lt;START!$C$2,0,((AZ$55*INDEX('DEFAULT DATA'!$AGA$9:$AGH$41,START!$C$3,6))+(AZ$56*INDEX('DEFAULT DATA'!$XK$9:$XR$41,START!$C$3,6))+(AZ$57*INDEX('DEFAULT DATA'!$YQ$9:$YX$41,START!$C$3,6)))*INDEX('DEFAULT DATA'!$VD$9:$VK$41,START!$C$3,6)/1000000)</f>
        <v>0</v>
      </c>
      <c r="BA66" s="500">
        <f>IF((BA$60-2021)&lt;START!$C$2,0,((BA$55*INDEX('DEFAULT DATA'!$AGA$9:$AGH$41,START!$C$3,6))+(BA$56*INDEX('DEFAULT DATA'!$XK$9:$XR$41,START!$C$3,6))+(BA$57*INDEX('DEFAULT DATA'!$YQ$9:$YX$41,START!$C$3,6)))*INDEX('DEFAULT DATA'!$VD$9:$VK$41,START!$C$3,6)/1000000)</f>
        <v>0</v>
      </c>
      <c r="BB66" s="500">
        <f>IF((BB$60-2021)&lt;START!$C$2,0,((BB$55*INDEX('DEFAULT DATA'!$AGA$9:$AGH$41,START!$C$3,6))+(BB$56*INDEX('DEFAULT DATA'!$XK$9:$XR$41,START!$C$3,6))+(BB$57*INDEX('DEFAULT DATA'!$YQ$9:$YX$41,START!$C$3,6)))*INDEX('DEFAULT DATA'!$VD$9:$VK$41,START!$C$3,6)/1000000)</f>
        <v>0</v>
      </c>
      <c r="BC66" s="500">
        <f>IF((BC$60-2021)&lt;START!$C$2,0,((BC$55*INDEX('DEFAULT DATA'!$AGA$9:$AGH$41,START!$C$3,6))+(BC$56*INDEX('DEFAULT DATA'!$XK$9:$XR$41,START!$C$3,6))+(BC$57*INDEX('DEFAULT DATA'!$YQ$9:$YX$41,START!$C$3,6)))*INDEX('DEFAULT DATA'!$VD$9:$VK$41,START!$C$3,6)/1000000)</f>
        <v>0</v>
      </c>
      <c r="BD66" s="500">
        <f>IF((BD$60-2021)&lt;START!$C$2,0,((BD$55*INDEX('DEFAULT DATA'!$AGA$9:$AGH$41,START!$C$3,6))+(BD$56*INDEX('DEFAULT DATA'!$XK$9:$XR$41,START!$C$3,6))+(BD$57*INDEX('DEFAULT DATA'!$YQ$9:$YX$41,START!$C$3,6)))*INDEX('DEFAULT DATA'!$VD$9:$VK$41,START!$C$3,6)/1000000)</f>
        <v>0</v>
      </c>
      <c r="BE66" s="500">
        <f>IF((BE$60-2021)&lt;START!$C$2,0,((BE$55*INDEX('DEFAULT DATA'!$AGA$9:$AGH$41,START!$C$3,6))+(BE$56*INDEX('DEFAULT DATA'!$XK$9:$XR$41,START!$C$3,6))+(BE$57*INDEX('DEFAULT DATA'!$YQ$9:$YX$41,START!$C$3,6)))*INDEX('DEFAULT DATA'!$VD$9:$VK$41,START!$C$3,6)/1000000)</f>
        <v>0</v>
      </c>
      <c r="BF66" s="500">
        <f>IF((BF$60-2021)&lt;START!$C$2,0,((BF$55*INDEX('DEFAULT DATA'!$AGA$9:$AGH$41,START!$C$3,6))+(BF$56*INDEX('DEFAULT DATA'!$XK$9:$XR$41,START!$C$3,6))+(BF$57*INDEX('DEFAULT DATA'!$YQ$9:$YX$41,START!$C$3,6)))*INDEX('DEFAULT DATA'!$VD$9:$VK$41,START!$C$3,6)/1000000)</f>
        <v>0</v>
      </c>
      <c r="BG66" s="500">
        <f>IF((BG$60-2021)&lt;START!$C$2,0,((BG$55*INDEX('DEFAULT DATA'!$AGA$9:$AGH$41,START!$C$3,6))+(BG$56*INDEX('DEFAULT DATA'!$XK$9:$XR$41,START!$C$3,6))+(BG$57*INDEX('DEFAULT DATA'!$YQ$9:$YX$41,START!$C$3,6)))*INDEX('DEFAULT DATA'!$VD$9:$VK$41,START!$C$3,6)/1000000)</f>
        <v>0</v>
      </c>
      <c r="BH66" s="500">
        <f>IF((BH$60-2021)&lt;START!$C$2,0,((BH$55*INDEX('DEFAULT DATA'!$AGA$9:$AGH$41,START!$C$3,6))+(BH$56*INDEX('DEFAULT DATA'!$XK$9:$XR$41,START!$C$3,6))+(BH$57*INDEX('DEFAULT DATA'!$YQ$9:$YX$41,START!$C$3,6)))*INDEX('DEFAULT DATA'!$VD$9:$VK$41,START!$C$3,6)/1000000)</f>
        <v>0</v>
      </c>
      <c r="BI66" s="500">
        <f>IF((BI$60-2021)&lt;START!$C$2,0,((BI$55*INDEX('DEFAULT DATA'!$AGA$9:$AGH$41,START!$C$3,6))+(BI$56*INDEX('DEFAULT DATA'!$XK$9:$XR$41,START!$C$3,6))+(BI$57*INDEX('DEFAULT DATA'!$YQ$9:$YX$41,START!$C$3,6)))*INDEX('DEFAULT DATA'!$VD$9:$VK$41,START!$C$3,6)/1000000)</f>
        <v>0</v>
      </c>
      <c r="BJ66" s="500">
        <f>IF((BJ$60-2021)&lt;START!$C$2,0,((BJ$55*INDEX('DEFAULT DATA'!$AGA$9:$AGH$41,START!$C$3,6))+(BJ$56*INDEX('DEFAULT DATA'!$XK$9:$XR$41,START!$C$3,6))+(BJ$57*INDEX('DEFAULT DATA'!$YQ$9:$YX$41,START!$C$3,6)))*INDEX('DEFAULT DATA'!$VD$9:$VK$41,START!$C$3,6)/1000000)</f>
        <v>0</v>
      </c>
      <c r="BK66" s="500">
        <f>IF((BK$60-2021)&lt;START!$C$2,0,((BK$55*INDEX('DEFAULT DATA'!$AGA$9:$AGH$41,START!$C$3,6))+(BK$56*INDEX('DEFAULT DATA'!$XK$9:$XR$41,START!$C$3,6))+(BK$57*INDEX('DEFAULT DATA'!$YQ$9:$YX$41,START!$C$3,6)))*INDEX('DEFAULT DATA'!$VD$9:$VK$41,START!$C$3,6)/1000000)</f>
        <v>0</v>
      </c>
      <c r="BL66" s="500">
        <f>IF((BL$60-2021)&lt;START!$C$2,0,((BL$55*INDEX('DEFAULT DATA'!$AGA$9:$AGH$41,START!$C$3,6))+(BL$56*INDEX('DEFAULT DATA'!$XK$9:$XR$41,START!$C$3,6))+(BL$57*INDEX('DEFAULT DATA'!$YQ$9:$YX$41,START!$C$3,6)))*INDEX('DEFAULT DATA'!$VD$9:$VK$41,START!$C$3,6)/1000000)</f>
        <v>0</v>
      </c>
      <c r="BM66" s="500">
        <f>IF((BM$60-2021)&lt;START!$C$2,0,((BM$55*INDEX('DEFAULT DATA'!$AGA$9:$AGH$41,START!$C$3,6))+(BM$56*INDEX('DEFAULT DATA'!$XK$9:$XR$41,START!$C$3,6))+(BM$57*INDEX('DEFAULT DATA'!$YQ$9:$YX$41,START!$C$3,6)))*INDEX('DEFAULT DATA'!$VD$9:$VK$41,START!$C$3,6)/1000000)</f>
        <v>0</v>
      </c>
      <c r="BN66" s="500">
        <f>IF((BN$60-2021)&lt;START!$C$2,0,((BN$55*INDEX('DEFAULT DATA'!$AGA$9:$AGH$41,START!$C$3,6))+(BN$56*INDEX('DEFAULT DATA'!$XK$9:$XR$41,START!$C$3,6))+(BN$57*INDEX('DEFAULT DATA'!$YQ$9:$YX$41,START!$C$3,6)))*INDEX('DEFAULT DATA'!$VD$9:$VK$41,START!$C$3,6)/1000000)</f>
        <v>0</v>
      </c>
      <c r="BP66" s="524" t="str">
        <f t="shared" si="14"/>
        <v>Wood</v>
      </c>
      <c r="BQ66" s="530" t="s">
        <v>1733</v>
      </c>
      <c r="BR66" s="531"/>
      <c r="BS66" s="531"/>
      <c r="BT66" s="531"/>
      <c r="BU66" s="531"/>
      <c r="BV66" s="531"/>
      <c r="BW66" s="531"/>
      <c r="BX66" s="531"/>
      <c r="BY66" s="531"/>
      <c r="BZ66" s="531"/>
      <c r="CA66" s="531"/>
      <c r="CB66" s="531"/>
      <c r="CC66" s="531"/>
      <c r="CD66" s="531"/>
      <c r="CE66" s="532"/>
      <c r="CF66" s="529" t="s">
        <v>1636</v>
      </c>
      <c r="CG66" s="529" t="s">
        <v>1644</v>
      </c>
      <c r="CH66" s="529" t="s">
        <v>1652</v>
      </c>
      <c r="CI66" s="529" t="s">
        <v>1624</v>
      </c>
    </row>
    <row r="67" spans="1:87" ht="20.100000000000001" customHeight="1">
      <c r="A67" s="226"/>
      <c r="B67" s="197"/>
      <c r="C67" s="197"/>
      <c r="D67" s="197"/>
      <c r="E67" s="197"/>
      <c r="F67" s="197"/>
      <c r="G67" s="197"/>
      <c r="H67" s="34"/>
      <c r="I67" s="34"/>
      <c r="J67" s="34"/>
      <c r="K67" s="41"/>
      <c r="L67" s="29"/>
      <c r="M67" s="968"/>
      <c r="N67" s="971"/>
      <c r="O67" s="971"/>
      <c r="P67" s="971"/>
      <c r="Q67" s="971"/>
      <c r="R67" s="971"/>
      <c r="S67" s="971"/>
      <c r="T67" s="971"/>
      <c r="U67" s="971"/>
      <c r="V67" s="971"/>
      <c r="W67" s="971"/>
      <c r="X67" s="971"/>
      <c r="Y67" s="971"/>
      <c r="Z67" s="971"/>
      <c r="AA67" s="971"/>
      <c r="AB67" s="971"/>
      <c r="AC67" s="971"/>
      <c r="AD67" s="971"/>
      <c r="AE67" s="971"/>
      <c r="AF67" s="1492"/>
      <c r="AG67" s="1513" t="s">
        <v>1225</v>
      </c>
      <c r="AH67" s="1514"/>
      <c r="AI67" s="1514"/>
      <c r="AJ67" s="1515"/>
      <c r="AK67" s="220">
        <v>0</v>
      </c>
      <c r="AL67" s="500">
        <f>IF((AL$60-2021)&lt;START!$C$2,0,((AL$55*INDEX('DEFAULT DATA'!$AGA$9:$AGH$41,START!$C$3,7))+(AL$56*INDEX('DEFAULT DATA'!$XK$9:$XR$41,START!$C$3,7))+(AL$57*INDEX('DEFAULT DATA'!$YQ$9:$YX$41,START!$C$3,7)))*INDEX('DEFAULT DATA'!$VD$9:$VK$41,START!$C$3,7)/1000000)</f>
        <v>0</v>
      </c>
      <c r="AM67" s="500">
        <f>IF((AM$60-2021)&lt;START!$C$2,0,((AM$55*INDEX('DEFAULT DATA'!$AGA$9:$AGH$41,START!$C$3,7))+(AM$56*INDEX('DEFAULT DATA'!$XK$9:$XR$41,START!$C$3,7))+(AM$57*INDEX('DEFAULT DATA'!$YQ$9:$YX$41,START!$C$3,7)))*INDEX('DEFAULT DATA'!$VD$9:$VK$41,START!$C$3,7)/1000000)</f>
        <v>0</v>
      </c>
      <c r="AN67" s="500">
        <f>IF((AN$60-2021)&lt;START!$C$2,0,((AN$55*INDEX('DEFAULT DATA'!$AGA$9:$AGH$41,START!$C$3,7))+(AN$56*INDEX('DEFAULT DATA'!$XK$9:$XR$41,START!$C$3,7))+(AN$57*INDEX('DEFAULT DATA'!$YQ$9:$YX$41,START!$C$3,7)))*INDEX('DEFAULT DATA'!$VD$9:$VK$41,START!$C$3,7)/1000000)</f>
        <v>0</v>
      </c>
      <c r="AO67" s="500">
        <f>IF((AO$60-2021)&lt;START!$C$2,0,((AO$55*INDEX('DEFAULT DATA'!$AGA$9:$AGH$41,START!$C$3,7))+(AO$56*INDEX('DEFAULT DATA'!$XK$9:$XR$41,START!$C$3,7))+(AO$57*INDEX('DEFAULT DATA'!$YQ$9:$YX$41,START!$C$3,7)))*INDEX('DEFAULT DATA'!$VD$9:$VK$41,START!$C$3,7)/1000000)</f>
        <v>0</v>
      </c>
      <c r="AP67" s="500">
        <f>IF((AP$60-2021)&lt;START!$C$2,0,((AP$55*INDEX('DEFAULT DATA'!$AGA$9:$AGH$41,START!$C$3,7))+(AP$56*INDEX('DEFAULT DATA'!$XK$9:$XR$41,START!$C$3,7))+(AP$57*INDEX('DEFAULT DATA'!$YQ$9:$YX$41,START!$C$3,7)))*INDEX('DEFAULT DATA'!$VD$9:$VK$41,START!$C$3,7)/1000000)</f>
        <v>0</v>
      </c>
      <c r="AQ67" s="500">
        <f>IF((AQ$60-2021)&lt;START!$C$2,0,((AQ$55*INDEX('DEFAULT DATA'!$AGA$9:$AGH$41,START!$C$3,7))+(AQ$56*INDEX('DEFAULT DATA'!$XK$9:$XR$41,START!$C$3,7))+(AQ$57*INDEX('DEFAULT DATA'!$YQ$9:$YX$41,START!$C$3,7)))*INDEX('DEFAULT DATA'!$VD$9:$VK$41,START!$C$3,7)/1000000)</f>
        <v>0</v>
      </c>
      <c r="AR67" s="500">
        <f>IF((AR$60-2021)&lt;START!$C$2,0,((AR$55*INDEX('DEFAULT DATA'!$AGA$9:$AGH$41,START!$C$3,7))+(AR$56*INDEX('DEFAULT DATA'!$XK$9:$XR$41,START!$C$3,7))+(AR$57*INDEX('DEFAULT DATA'!$YQ$9:$YX$41,START!$C$3,7)))*INDEX('DEFAULT DATA'!$VD$9:$VK$41,START!$C$3,7)/1000000)</f>
        <v>0</v>
      </c>
      <c r="AS67" s="500">
        <f>IF((AS$60-2021)&lt;START!$C$2,0,((AS$55*INDEX('DEFAULT DATA'!$AGA$9:$AGH$41,START!$C$3,7))+(AS$56*INDEX('DEFAULT DATA'!$XK$9:$XR$41,START!$C$3,7))+(AS$57*INDEX('DEFAULT DATA'!$YQ$9:$YX$41,START!$C$3,7)))*INDEX('DEFAULT DATA'!$VD$9:$VK$41,START!$C$3,7)/1000000)</f>
        <v>0</v>
      </c>
      <c r="AT67" s="500">
        <f>IF((AT$60-2021)&lt;START!$C$2,0,((AT$55*INDEX('DEFAULT DATA'!$AGA$9:$AGH$41,START!$C$3,7))+(AT$56*INDEX('DEFAULT DATA'!$XK$9:$XR$41,START!$C$3,7))+(AT$57*INDEX('DEFAULT DATA'!$YQ$9:$YX$41,START!$C$3,7)))*INDEX('DEFAULT DATA'!$VD$9:$VK$41,START!$C$3,7)/1000000)</f>
        <v>0</v>
      </c>
      <c r="AU67" s="500">
        <f>IF((AU$60-2021)&lt;START!$C$2,0,((AU$55*INDEX('DEFAULT DATA'!$AGA$9:$AGH$41,START!$C$3,7))+(AU$56*INDEX('DEFAULT DATA'!$XK$9:$XR$41,START!$C$3,7))+(AU$57*INDEX('DEFAULT DATA'!$YQ$9:$YX$41,START!$C$3,7)))*INDEX('DEFAULT DATA'!$VD$9:$VK$41,START!$C$3,7)/1000000)</f>
        <v>0</v>
      </c>
      <c r="AV67" s="500">
        <f>IF((AV$60-2021)&lt;START!$C$2,0,((AV$55*INDEX('DEFAULT DATA'!$AGA$9:$AGH$41,START!$C$3,7))+(AV$56*INDEX('DEFAULT DATA'!$XK$9:$XR$41,START!$C$3,7))+(AV$57*INDEX('DEFAULT DATA'!$YQ$9:$YX$41,START!$C$3,7)))*INDEX('DEFAULT DATA'!$VD$9:$VK$41,START!$C$3,7)/1000000)</f>
        <v>0</v>
      </c>
      <c r="AW67" s="500">
        <f>IF((AW$60-2021)&lt;START!$C$2,0,((AW$55*INDEX('DEFAULT DATA'!$AGA$9:$AGH$41,START!$C$3,7))+(AW$56*INDEX('DEFAULT DATA'!$XK$9:$XR$41,START!$C$3,7))+(AW$57*INDEX('DEFAULT DATA'!$YQ$9:$YX$41,START!$C$3,7)))*INDEX('DEFAULT DATA'!$VD$9:$VK$41,START!$C$3,7)/1000000)</f>
        <v>0</v>
      </c>
      <c r="AX67" s="500">
        <f>IF((AX$60-2021)&lt;START!$C$2,0,((AX$55*INDEX('DEFAULT DATA'!$AGA$9:$AGH$41,START!$C$3,7))+(AX$56*INDEX('DEFAULT DATA'!$XK$9:$XR$41,START!$C$3,7))+(AX$57*INDEX('DEFAULT DATA'!$YQ$9:$YX$41,START!$C$3,7)))*INDEX('DEFAULT DATA'!$VD$9:$VK$41,START!$C$3,7)/1000000)</f>
        <v>0</v>
      </c>
      <c r="AY67" s="500">
        <f>IF((AY$60-2021)&lt;START!$C$2,0,((AY$55*INDEX('DEFAULT DATA'!$AGA$9:$AGH$41,START!$C$3,7))+(AY$56*INDEX('DEFAULT DATA'!$XK$9:$XR$41,START!$C$3,7))+(AY$57*INDEX('DEFAULT DATA'!$YQ$9:$YX$41,START!$C$3,7)))*INDEX('DEFAULT DATA'!$VD$9:$VK$41,START!$C$3,7)/1000000)</f>
        <v>0</v>
      </c>
      <c r="AZ67" s="500">
        <f>IF((AZ$60-2021)&lt;START!$C$2,0,((AZ$55*INDEX('DEFAULT DATA'!$AGA$9:$AGH$41,START!$C$3,7))+(AZ$56*INDEX('DEFAULT DATA'!$XK$9:$XR$41,START!$C$3,7))+(AZ$57*INDEX('DEFAULT DATA'!$YQ$9:$YX$41,START!$C$3,7)))*INDEX('DEFAULT DATA'!$VD$9:$VK$41,START!$C$3,7)/1000000)</f>
        <v>0</v>
      </c>
      <c r="BA67" s="500">
        <f>IF((BA$60-2021)&lt;START!$C$2,0,((BA$55*INDEX('DEFAULT DATA'!$AGA$9:$AGH$41,START!$C$3,7))+(BA$56*INDEX('DEFAULT DATA'!$XK$9:$XR$41,START!$C$3,7))+(BA$57*INDEX('DEFAULT DATA'!$YQ$9:$YX$41,START!$C$3,7)))*INDEX('DEFAULT DATA'!$VD$9:$VK$41,START!$C$3,7)/1000000)</f>
        <v>0</v>
      </c>
      <c r="BB67" s="500">
        <f>IF((BB$60-2021)&lt;START!$C$2,0,((BB$55*INDEX('DEFAULT DATA'!$AGA$9:$AGH$41,START!$C$3,7))+(BB$56*INDEX('DEFAULT DATA'!$XK$9:$XR$41,START!$C$3,7))+(BB$57*INDEX('DEFAULT DATA'!$YQ$9:$YX$41,START!$C$3,7)))*INDEX('DEFAULT DATA'!$VD$9:$VK$41,START!$C$3,7)/1000000)</f>
        <v>0</v>
      </c>
      <c r="BC67" s="500">
        <f>IF((BC$60-2021)&lt;START!$C$2,0,((BC$55*INDEX('DEFAULT DATA'!$AGA$9:$AGH$41,START!$C$3,7))+(BC$56*INDEX('DEFAULT DATA'!$XK$9:$XR$41,START!$C$3,7))+(BC$57*INDEX('DEFAULT DATA'!$YQ$9:$YX$41,START!$C$3,7)))*INDEX('DEFAULT DATA'!$VD$9:$VK$41,START!$C$3,7)/1000000)</f>
        <v>0</v>
      </c>
      <c r="BD67" s="500">
        <f>IF((BD$60-2021)&lt;START!$C$2,0,((BD$55*INDEX('DEFAULT DATA'!$AGA$9:$AGH$41,START!$C$3,7))+(BD$56*INDEX('DEFAULT DATA'!$XK$9:$XR$41,START!$C$3,7))+(BD$57*INDEX('DEFAULT DATA'!$YQ$9:$YX$41,START!$C$3,7)))*INDEX('DEFAULT DATA'!$VD$9:$VK$41,START!$C$3,7)/1000000)</f>
        <v>0</v>
      </c>
      <c r="BE67" s="500">
        <f>IF((BE$60-2021)&lt;START!$C$2,0,((BE$55*INDEX('DEFAULT DATA'!$AGA$9:$AGH$41,START!$C$3,7))+(BE$56*INDEX('DEFAULT DATA'!$XK$9:$XR$41,START!$C$3,7))+(BE$57*INDEX('DEFAULT DATA'!$YQ$9:$YX$41,START!$C$3,7)))*INDEX('DEFAULT DATA'!$VD$9:$VK$41,START!$C$3,7)/1000000)</f>
        <v>0</v>
      </c>
      <c r="BF67" s="500">
        <f>IF((BF$60-2021)&lt;START!$C$2,0,((BF$55*INDEX('DEFAULT DATA'!$AGA$9:$AGH$41,START!$C$3,7))+(BF$56*INDEX('DEFAULT DATA'!$XK$9:$XR$41,START!$C$3,7))+(BF$57*INDEX('DEFAULT DATA'!$YQ$9:$YX$41,START!$C$3,7)))*INDEX('DEFAULT DATA'!$VD$9:$VK$41,START!$C$3,7)/1000000)</f>
        <v>0</v>
      </c>
      <c r="BG67" s="500">
        <f>IF((BG$60-2021)&lt;START!$C$2,0,((BG$55*INDEX('DEFAULT DATA'!$AGA$9:$AGH$41,START!$C$3,7))+(BG$56*INDEX('DEFAULT DATA'!$XK$9:$XR$41,START!$C$3,7))+(BG$57*INDEX('DEFAULT DATA'!$YQ$9:$YX$41,START!$C$3,7)))*INDEX('DEFAULT DATA'!$VD$9:$VK$41,START!$C$3,7)/1000000)</f>
        <v>0</v>
      </c>
      <c r="BH67" s="500">
        <f>IF((BH$60-2021)&lt;START!$C$2,0,((BH$55*INDEX('DEFAULT DATA'!$AGA$9:$AGH$41,START!$C$3,7))+(BH$56*INDEX('DEFAULT DATA'!$XK$9:$XR$41,START!$C$3,7))+(BH$57*INDEX('DEFAULT DATA'!$YQ$9:$YX$41,START!$C$3,7)))*INDEX('DEFAULT DATA'!$VD$9:$VK$41,START!$C$3,7)/1000000)</f>
        <v>0</v>
      </c>
      <c r="BI67" s="500">
        <f>IF((BI$60-2021)&lt;START!$C$2,0,((BI$55*INDEX('DEFAULT DATA'!$AGA$9:$AGH$41,START!$C$3,7))+(BI$56*INDEX('DEFAULT DATA'!$XK$9:$XR$41,START!$C$3,7))+(BI$57*INDEX('DEFAULT DATA'!$YQ$9:$YX$41,START!$C$3,7)))*INDEX('DEFAULT DATA'!$VD$9:$VK$41,START!$C$3,7)/1000000)</f>
        <v>0</v>
      </c>
      <c r="BJ67" s="500">
        <f>IF((BJ$60-2021)&lt;START!$C$2,0,((BJ$55*INDEX('DEFAULT DATA'!$AGA$9:$AGH$41,START!$C$3,7))+(BJ$56*INDEX('DEFAULT DATA'!$XK$9:$XR$41,START!$C$3,7))+(BJ$57*INDEX('DEFAULT DATA'!$YQ$9:$YX$41,START!$C$3,7)))*INDEX('DEFAULT DATA'!$VD$9:$VK$41,START!$C$3,7)/1000000)</f>
        <v>0</v>
      </c>
      <c r="BK67" s="500">
        <f>IF((BK$60-2021)&lt;START!$C$2,0,((BK$55*INDEX('DEFAULT DATA'!$AGA$9:$AGH$41,START!$C$3,7))+(BK$56*INDEX('DEFAULT DATA'!$XK$9:$XR$41,START!$C$3,7))+(BK$57*INDEX('DEFAULT DATA'!$YQ$9:$YX$41,START!$C$3,7)))*INDEX('DEFAULT DATA'!$VD$9:$VK$41,START!$C$3,7)/1000000)</f>
        <v>0</v>
      </c>
      <c r="BL67" s="500">
        <f>IF((BL$60-2021)&lt;START!$C$2,0,((BL$55*INDEX('DEFAULT DATA'!$AGA$9:$AGH$41,START!$C$3,7))+(BL$56*INDEX('DEFAULT DATA'!$XK$9:$XR$41,START!$C$3,7))+(BL$57*INDEX('DEFAULT DATA'!$YQ$9:$YX$41,START!$C$3,7)))*INDEX('DEFAULT DATA'!$VD$9:$VK$41,START!$C$3,7)/1000000)</f>
        <v>0</v>
      </c>
      <c r="BM67" s="500">
        <f>IF((BM$60-2021)&lt;START!$C$2,0,((BM$55*INDEX('DEFAULT DATA'!$AGA$9:$AGH$41,START!$C$3,7))+(BM$56*INDEX('DEFAULT DATA'!$XK$9:$XR$41,START!$C$3,7))+(BM$57*INDEX('DEFAULT DATA'!$YQ$9:$YX$41,START!$C$3,7)))*INDEX('DEFAULT DATA'!$VD$9:$VK$41,START!$C$3,7)/1000000)</f>
        <v>0</v>
      </c>
      <c r="BN67" s="500">
        <f>IF((BN$60-2021)&lt;START!$C$2,0,((BN$55*INDEX('DEFAULT DATA'!$AGA$9:$AGH$41,START!$C$3,7))+(BN$56*INDEX('DEFAULT DATA'!$XK$9:$XR$41,START!$C$3,7))+(BN$57*INDEX('DEFAULT DATA'!$YQ$9:$YX$41,START!$C$3,7)))*INDEX('DEFAULT DATA'!$VD$9:$VK$41,START!$C$3,7)/1000000)</f>
        <v>0</v>
      </c>
      <c r="BP67" s="524" t="str">
        <f t="shared" si="14"/>
        <v>Renewable</v>
      </c>
      <c r="BQ67" s="530" t="s">
        <v>1734</v>
      </c>
      <c r="BR67" s="531"/>
      <c r="BS67" s="531"/>
      <c r="BT67" s="531"/>
      <c r="BU67" s="531"/>
      <c r="BV67" s="531"/>
      <c r="BW67" s="531"/>
      <c r="BX67" s="531"/>
      <c r="BY67" s="531"/>
      <c r="BZ67" s="531"/>
      <c r="CA67" s="531"/>
      <c r="CB67" s="531"/>
      <c r="CC67" s="531"/>
      <c r="CD67" s="531"/>
      <c r="CE67" s="532"/>
      <c r="CF67" s="529" t="s">
        <v>1637</v>
      </c>
      <c r="CG67" s="529" t="s">
        <v>1645</v>
      </c>
      <c r="CH67" s="529" t="s">
        <v>1653</v>
      </c>
      <c r="CI67" s="529" t="s">
        <v>1625</v>
      </c>
    </row>
    <row r="68" spans="1:87" ht="20.100000000000001" customHeight="1" thickBot="1">
      <c r="A68" s="226"/>
      <c r="B68" s="197"/>
      <c r="C68" s="197"/>
      <c r="D68" s="197"/>
      <c r="E68" s="197"/>
      <c r="F68" s="197"/>
      <c r="G68" s="197"/>
      <c r="H68" s="34"/>
      <c r="I68" s="34"/>
      <c r="J68" s="34"/>
      <c r="K68" s="41"/>
      <c r="L68" s="29"/>
      <c r="M68" s="968"/>
      <c r="N68" s="971"/>
      <c r="O68" s="971"/>
      <c r="P68" s="971"/>
      <c r="Q68" s="971"/>
      <c r="R68" s="971"/>
      <c r="S68" s="971"/>
      <c r="T68" s="971"/>
      <c r="U68" s="971"/>
      <c r="V68" s="971"/>
      <c r="W68" s="971"/>
      <c r="X68" s="971"/>
      <c r="Y68" s="971"/>
      <c r="Z68" s="971"/>
      <c r="AA68" s="971"/>
      <c r="AB68" s="971"/>
      <c r="AC68" s="971"/>
      <c r="AD68" s="971"/>
      <c r="AE68" s="971"/>
      <c r="AF68" s="1493"/>
      <c r="AG68" s="1477" t="s">
        <v>1226</v>
      </c>
      <c r="AH68" s="1527"/>
      <c r="AI68" s="1527"/>
      <c r="AJ68" s="1478"/>
      <c r="AK68" s="320">
        <v>0</v>
      </c>
      <c r="AL68" s="501">
        <f>IF((AL$60-2021)&lt;START!$C$2,0,((AL$55*INDEX('DEFAULT DATA'!$AGA$9:$AGH$41,START!$C$3,8))+(AL$56*INDEX('DEFAULT DATA'!$XK$9:$XR$41,START!$C$3,8))+(AL$57*INDEX('DEFAULT DATA'!$YQ$9:$YX$41,START!$C$3,8)))*AL6/1000000)</f>
        <v>0</v>
      </c>
      <c r="AM68" s="501">
        <f>IF((AM$60-2021)&lt;START!$C$2,0,((AM$55*INDEX('DEFAULT DATA'!$AGA$9:$AGH$41,START!$C$3,8))+(AM$56*INDEX('DEFAULT DATA'!$XK$9:$XR$41,START!$C$3,8))+(AM$57*INDEX('DEFAULT DATA'!$YQ$9:$YX$41,START!$C$3,8)))*AM6/1000000)</f>
        <v>11801.3175686095</v>
      </c>
      <c r="AN68" s="501">
        <f>IF((AN$60-2021)&lt;START!$C$2,0,((AN$55*INDEX('DEFAULT DATA'!$AGA$9:$AGH$41,START!$C$3,8))+(AN$56*INDEX('DEFAULT DATA'!$XK$9:$XR$41,START!$C$3,8))+(AN$57*INDEX('DEFAULT DATA'!$YQ$9:$YX$41,START!$C$3,8)))*AN6/1000000)</f>
        <v>11801.3175686095</v>
      </c>
      <c r="AO68" s="501">
        <f>IF((AO$60-2021)&lt;START!$C$2,0,((AO$55*INDEX('DEFAULT DATA'!$AGA$9:$AGH$41,START!$C$3,8))+(AO$56*INDEX('DEFAULT DATA'!$XK$9:$XR$41,START!$C$3,8))+(AO$57*INDEX('DEFAULT DATA'!$YQ$9:$YX$41,START!$C$3,8)))*AO6/1000000)</f>
        <v>11801.3175686095</v>
      </c>
      <c r="AP68" s="501">
        <f>IF((AP$60-2021)&lt;START!$C$2,0,((AP$55*INDEX('DEFAULT DATA'!$AGA$9:$AGH$41,START!$C$3,8))+(AP$56*INDEX('DEFAULT DATA'!$XK$9:$XR$41,START!$C$3,8))+(AP$57*INDEX('DEFAULT DATA'!$YQ$9:$YX$41,START!$C$3,8)))*AP6/1000000)</f>
        <v>11801.3175686095</v>
      </c>
      <c r="AQ68" s="501">
        <f>IF((AQ$60-2021)&lt;START!$C$2,0,((AQ$55*INDEX('DEFAULT DATA'!$AGA$9:$AGH$41,START!$C$3,8))+(AQ$56*INDEX('DEFAULT DATA'!$XK$9:$XR$41,START!$C$3,8))+(AQ$57*INDEX('DEFAULT DATA'!$YQ$9:$YX$41,START!$C$3,8)))*AQ6/1000000)</f>
        <v>11801.3175686095</v>
      </c>
      <c r="AR68" s="501">
        <f>IF((AR$60-2021)&lt;START!$C$2,0,((AR$55*INDEX('DEFAULT DATA'!$AGA$9:$AGH$41,START!$C$3,8))+(AR$56*INDEX('DEFAULT DATA'!$XK$9:$XR$41,START!$C$3,8))+(AR$57*INDEX('DEFAULT DATA'!$YQ$9:$YX$41,START!$C$3,8)))*AR6/1000000)</f>
        <v>11801.3175686095</v>
      </c>
      <c r="AS68" s="501">
        <f>IF((AS$60-2021)&lt;START!$C$2,0,((AS$55*INDEX('DEFAULT DATA'!$AGA$9:$AGH$41,START!$C$3,8))+(AS$56*INDEX('DEFAULT DATA'!$XK$9:$XR$41,START!$C$3,8))+(AS$57*INDEX('DEFAULT DATA'!$YQ$9:$YX$41,START!$C$3,8)))*AS6/1000000)</f>
        <v>11801.3175686095</v>
      </c>
      <c r="AT68" s="501">
        <f>IF((AT$60-2021)&lt;START!$C$2,0,((AT$55*INDEX('DEFAULT DATA'!$AGA$9:$AGH$41,START!$C$3,8))+(AT$56*INDEX('DEFAULT DATA'!$XK$9:$XR$41,START!$C$3,8))+(AT$57*INDEX('DEFAULT DATA'!$YQ$9:$YX$41,START!$C$3,8)))*AT6/1000000)</f>
        <v>11801.3175686095</v>
      </c>
      <c r="AU68" s="501">
        <f>IF((AU$60-2021)&lt;START!$C$2,0,((AU$55*INDEX('DEFAULT DATA'!$AGA$9:$AGH$41,START!$C$3,8))+(AU$56*INDEX('DEFAULT DATA'!$XK$9:$XR$41,START!$C$3,8))+(AU$57*INDEX('DEFAULT DATA'!$YQ$9:$YX$41,START!$C$3,8)))*AU6/1000000)</f>
        <v>11801.3175686095</v>
      </c>
      <c r="AV68" s="501">
        <f>IF((AV$60-2021)&lt;START!$C$2,0,((AV$55*INDEX('DEFAULT DATA'!$AGA$9:$AGH$41,START!$C$3,8))+(AV$56*INDEX('DEFAULT DATA'!$XK$9:$XR$41,START!$C$3,8))+(AV$57*INDEX('DEFAULT DATA'!$YQ$9:$YX$41,START!$C$3,8)))*AV6/1000000)</f>
        <v>11801.3175686095</v>
      </c>
      <c r="AW68" s="501">
        <f>IF((AW$60-2021)&lt;START!$C$2,0,((AW$55*INDEX('DEFAULT DATA'!$AGA$9:$AGH$41,START!$C$3,8))+(AW$56*INDEX('DEFAULT DATA'!$XK$9:$XR$41,START!$C$3,8))+(AW$57*INDEX('DEFAULT DATA'!$YQ$9:$YX$41,START!$C$3,8)))*AW6/1000000)</f>
        <v>11801.3175686095</v>
      </c>
      <c r="AX68" s="501">
        <f>IF((AX$60-2021)&lt;START!$C$2,0,((AX$55*INDEX('DEFAULT DATA'!$AGA$9:$AGH$41,START!$C$3,8))+(AX$56*INDEX('DEFAULT DATA'!$XK$9:$XR$41,START!$C$3,8))+(AX$57*INDEX('DEFAULT DATA'!$YQ$9:$YX$41,START!$C$3,8)))*AX6/1000000)</f>
        <v>11801.3175686095</v>
      </c>
      <c r="AY68" s="501">
        <f>IF((AY$60-2021)&lt;START!$C$2,0,((AY$55*INDEX('DEFAULT DATA'!$AGA$9:$AGH$41,START!$C$3,8))+(AY$56*INDEX('DEFAULT DATA'!$XK$9:$XR$41,START!$C$3,8))+(AY$57*INDEX('DEFAULT DATA'!$YQ$9:$YX$41,START!$C$3,8)))*AY6/1000000)</f>
        <v>11801.3175686095</v>
      </c>
      <c r="AZ68" s="501">
        <f>IF((AZ$60-2021)&lt;START!$C$2,0,((AZ$55*INDEX('DEFAULT DATA'!$AGA$9:$AGH$41,START!$C$3,8))+(AZ$56*INDEX('DEFAULT DATA'!$XK$9:$XR$41,START!$C$3,8))+(AZ$57*INDEX('DEFAULT DATA'!$YQ$9:$YX$41,START!$C$3,8)))*AZ6/1000000)</f>
        <v>11801.3175686095</v>
      </c>
      <c r="BA68" s="501">
        <f>IF((BA$60-2021)&lt;START!$C$2,0,((BA$55*INDEX('DEFAULT DATA'!$AGA$9:$AGH$41,START!$C$3,8))+(BA$56*INDEX('DEFAULT DATA'!$XK$9:$XR$41,START!$C$3,8))+(BA$57*INDEX('DEFAULT DATA'!$YQ$9:$YX$41,START!$C$3,8)))*BA6/1000000)</f>
        <v>11801.3175686095</v>
      </c>
      <c r="BB68" s="501">
        <f>IF((BB$60-2021)&lt;START!$C$2,0,((BB$55*INDEX('DEFAULT DATA'!$AGA$9:$AGH$41,START!$C$3,8))+(BB$56*INDEX('DEFAULT DATA'!$XK$9:$XR$41,START!$C$3,8))+(BB$57*INDEX('DEFAULT DATA'!$YQ$9:$YX$41,START!$C$3,8)))*BB6/1000000)</f>
        <v>11801.3175686095</v>
      </c>
      <c r="BC68" s="501">
        <f>IF((BC$60-2021)&lt;START!$C$2,0,((BC$55*INDEX('DEFAULT DATA'!$AGA$9:$AGH$41,START!$C$3,8))+(BC$56*INDEX('DEFAULT DATA'!$XK$9:$XR$41,START!$C$3,8))+(BC$57*INDEX('DEFAULT DATA'!$YQ$9:$YX$41,START!$C$3,8)))*BC6/1000000)</f>
        <v>11801.3175686095</v>
      </c>
      <c r="BD68" s="501">
        <f>IF((BD$60-2021)&lt;START!$C$2,0,((BD$55*INDEX('DEFAULT DATA'!$AGA$9:$AGH$41,START!$C$3,8))+(BD$56*INDEX('DEFAULT DATA'!$XK$9:$XR$41,START!$C$3,8))+(BD$57*INDEX('DEFAULT DATA'!$YQ$9:$YX$41,START!$C$3,8)))*BD6/1000000)</f>
        <v>11801.3175686095</v>
      </c>
      <c r="BE68" s="501">
        <f>IF((BE$60-2021)&lt;START!$C$2,0,((BE$55*INDEX('DEFAULT DATA'!$AGA$9:$AGH$41,START!$C$3,8))+(BE$56*INDEX('DEFAULT DATA'!$XK$9:$XR$41,START!$C$3,8))+(BE$57*INDEX('DEFAULT DATA'!$YQ$9:$YX$41,START!$C$3,8)))*BE6/1000000)</f>
        <v>11801.3175686095</v>
      </c>
      <c r="BF68" s="501">
        <f>IF((BF$60-2021)&lt;START!$C$2,0,((BF$55*INDEX('DEFAULT DATA'!$AGA$9:$AGH$41,START!$C$3,8))+(BF$56*INDEX('DEFAULT DATA'!$XK$9:$XR$41,START!$C$3,8))+(BF$57*INDEX('DEFAULT DATA'!$YQ$9:$YX$41,START!$C$3,8)))*BF6/1000000)</f>
        <v>11801.3175686095</v>
      </c>
      <c r="BG68" s="501">
        <f>IF((BG$60-2021)&lt;START!$C$2,0,((BG$55*INDEX('DEFAULT DATA'!$AGA$9:$AGH$41,START!$C$3,8))+(BG$56*INDEX('DEFAULT DATA'!$XK$9:$XR$41,START!$C$3,8))+(BG$57*INDEX('DEFAULT DATA'!$YQ$9:$YX$41,START!$C$3,8)))*BG6/1000000)</f>
        <v>11801.3175686095</v>
      </c>
      <c r="BH68" s="501">
        <f>IF((BH$60-2021)&lt;START!$C$2,0,((BH$55*INDEX('DEFAULT DATA'!$AGA$9:$AGH$41,START!$C$3,8))+(BH$56*INDEX('DEFAULT DATA'!$XK$9:$XR$41,START!$C$3,8))+(BH$57*INDEX('DEFAULT DATA'!$YQ$9:$YX$41,START!$C$3,8)))*BH6/1000000)</f>
        <v>11801.3175686095</v>
      </c>
      <c r="BI68" s="501">
        <f>IF((BI$60-2021)&lt;START!$C$2,0,((BI$55*INDEX('DEFAULT DATA'!$AGA$9:$AGH$41,START!$C$3,8))+(BI$56*INDEX('DEFAULT DATA'!$XK$9:$XR$41,START!$C$3,8))+(BI$57*INDEX('DEFAULT DATA'!$YQ$9:$YX$41,START!$C$3,8)))*BI6/1000000)</f>
        <v>11801.3175686095</v>
      </c>
      <c r="BJ68" s="501">
        <f>IF((BJ$60-2021)&lt;START!$C$2,0,((BJ$55*INDEX('DEFAULT DATA'!$AGA$9:$AGH$41,START!$C$3,8))+(BJ$56*INDEX('DEFAULT DATA'!$XK$9:$XR$41,START!$C$3,8))+(BJ$57*INDEX('DEFAULT DATA'!$YQ$9:$YX$41,START!$C$3,8)))*BJ6/1000000)</f>
        <v>11801.3175686095</v>
      </c>
      <c r="BK68" s="501">
        <f>IF((BK$60-2021)&lt;START!$C$2,0,((BK$55*INDEX('DEFAULT DATA'!$AGA$9:$AGH$41,START!$C$3,8))+(BK$56*INDEX('DEFAULT DATA'!$XK$9:$XR$41,START!$C$3,8))+(BK$57*INDEX('DEFAULT DATA'!$YQ$9:$YX$41,START!$C$3,8)))*BK6/1000000)</f>
        <v>11801.3175686095</v>
      </c>
      <c r="BL68" s="501">
        <f>IF((BL$60-2021)&lt;START!$C$2,0,((BL$55*INDEX('DEFAULT DATA'!$AGA$9:$AGH$41,START!$C$3,8))+(BL$56*INDEX('DEFAULT DATA'!$XK$9:$XR$41,START!$C$3,8))+(BL$57*INDEX('DEFAULT DATA'!$YQ$9:$YX$41,START!$C$3,8)))*BL6/1000000)</f>
        <v>11801.3175686095</v>
      </c>
      <c r="BM68" s="501">
        <f>IF((BM$60-2021)&lt;START!$C$2,0,((BM$55*INDEX('DEFAULT DATA'!$AGA$9:$AGH$41,START!$C$3,8))+(BM$56*INDEX('DEFAULT DATA'!$XK$9:$XR$41,START!$C$3,8))+(BM$57*INDEX('DEFAULT DATA'!$YQ$9:$YX$41,START!$C$3,8)))*BM6/1000000)</f>
        <v>11801.3175686095</v>
      </c>
      <c r="BN68" s="501">
        <f>IF((BN$60-2021)&lt;START!$C$2,0,((BN$55*INDEX('DEFAULT DATA'!$AGA$9:$AGH$41,START!$C$3,8))+(BN$56*INDEX('DEFAULT DATA'!$XK$9:$XR$41,START!$C$3,8))+(BN$57*INDEX('DEFAULT DATA'!$YQ$9:$YX$41,START!$C$3,8)))*BN6/1000000)</f>
        <v>11801.3175686095</v>
      </c>
      <c r="BO68" s="268"/>
      <c r="BP68" s="525" t="str">
        <f t="shared" si="14"/>
        <v>Heat</v>
      </c>
      <c r="BQ68" s="533" t="s">
        <v>1735</v>
      </c>
      <c r="BR68" s="534"/>
      <c r="BS68" s="534"/>
      <c r="BT68" s="534"/>
      <c r="BU68" s="534"/>
      <c r="BV68" s="534"/>
      <c r="BW68" s="534"/>
      <c r="BX68" s="534"/>
      <c r="BY68" s="534"/>
      <c r="BZ68" s="534"/>
      <c r="CA68" s="534"/>
      <c r="CB68" s="534"/>
      <c r="CC68" s="534"/>
      <c r="CD68" s="534"/>
      <c r="CE68" s="535"/>
      <c r="CF68" s="529" t="s">
        <v>1638</v>
      </c>
      <c r="CG68" s="529" t="s">
        <v>1646</v>
      </c>
      <c r="CH68" s="529" t="s">
        <v>1654</v>
      </c>
      <c r="CI68" s="529" t="s">
        <v>1626</v>
      </c>
    </row>
    <row r="69" spans="1:87" ht="20.100000000000001" customHeight="1" thickBot="1">
      <c r="A69" s="243"/>
      <c r="B69" s="244"/>
      <c r="C69" s="244"/>
      <c r="D69" s="244"/>
      <c r="E69" s="244"/>
      <c r="F69" s="244"/>
      <c r="G69" s="244"/>
      <c r="H69" s="60"/>
      <c r="I69" s="60"/>
      <c r="J69" s="60"/>
      <c r="K69" s="61"/>
      <c r="L69" s="29"/>
      <c r="M69" s="968"/>
      <c r="N69" s="971"/>
      <c r="O69" s="971"/>
      <c r="P69" s="971"/>
      <c r="Q69" s="971"/>
      <c r="R69" s="971"/>
      <c r="S69" s="971"/>
      <c r="T69" s="971"/>
      <c r="U69" s="971"/>
      <c r="V69" s="971"/>
      <c r="W69" s="971"/>
      <c r="X69" s="971"/>
      <c r="Y69" s="971"/>
      <c r="Z69" s="971"/>
      <c r="AA69" s="971"/>
      <c r="AB69" s="971"/>
      <c r="AC69" s="971"/>
      <c r="AD69" s="971"/>
      <c r="AE69" s="971"/>
      <c r="AF69" s="332"/>
      <c r="AG69" s="1429" t="s">
        <v>310</v>
      </c>
      <c r="AH69" s="1430"/>
      <c r="AI69" s="1430"/>
      <c r="AJ69" s="1516"/>
      <c r="AK69" s="316">
        <f>SUM(AK61:AK68)</f>
        <v>0</v>
      </c>
      <c r="AL69" s="327">
        <f t="shared" ref="AL69" si="15">SUM(AL61:AL68)</f>
        <v>0</v>
      </c>
      <c r="AM69" s="327">
        <f t="shared" ref="AM69:BN69" si="16">SUM(AM61:AM68)</f>
        <v>18504.839515652016</v>
      </c>
      <c r="AN69" s="327">
        <f t="shared" si="16"/>
        <v>18465.160874240635</v>
      </c>
      <c r="AO69" s="327">
        <f t="shared" si="16"/>
        <v>18425.879019243366</v>
      </c>
      <c r="AP69" s="327">
        <f t="shared" si="16"/>
        <v>18386.989982796073</v>
      </c>
      <c r="AQ69" s="327">
        <f t="shared" si="16"/>
        <v>18348.489836713248</v>
      </c>
      <c r="AR69" s="327">
        <f t="shared" si="16"/>
        <v>18310.374692091256</v>
      </c>
      <c r="AS69" s="327">
        <f t="shared" si="16"/>
        <v>18272.640698915482</v>
      </c>
      <c r="AT69" s="327">
        <f t="shared" si="16"/>
        <v>18235.284045671462</v>
      </c>
      <c r="AU69" s="327">
        <f t="shared" si="16"/>
        <v>18031.877068757793</v>
      </c>
      <c r="AV69" s="327">
        <f t="shared" si="16"/>
        <v>17839.657475574379</v>
      </c>
      <c r="AW69" s="327">
        <f t="shared" si="16"/>
        <v>17658.009960016047</v>
      </c>
      <c r="AX69" s="327">
        <f t="shared" si="16"/>
        <v>17486.353057813423</v>
      </c>
      <c r="AY69" s="327">
        <f t="shared" si="16"/>
        <v>17324.137285231947</v>
      </c>
      <c r="AZ69" s="327">
        <f t="shared" si="16"/>
        <v>17170.843380142451</v>
      </c>
      <c r="BA69" s="327">
        <f t="shared" si="16"/>
        <v>17025.980639832876</v>
      </c>
      <c r="BB69" s="327">
        <f t="shared" si="16"/>
        <v>16889.08535024033</v>
      </c>
      <c r="BC69" s="327">
        <f t="shared" si="16"/>
        <v>16759.719301575373</v>
      </c>
      <c r="BD69" s="327">
        <f t="shared" si="16"/>
        <v>16637.468385586988</v>
      </c>
      <c r="BE69" s="327">
        <f t="shared" si="16"/>
        <v>16521.941269977964</v>
      </c>
      <c r="BF69" s="327">
        <f t="shared" si="16"/>
        <v>16412.768145727438</v>
      </c>
      <c r="BG69" s="327">
        <f t="shared" si="16"/>
        <v>16309.599543310689</v>
      </c>
      <c r="BH69" s="327">
        <f t="shared" si="16"/>
        <v>16212.105214026862</v>
      </c>
      <c r="BI69" s="327">
        <f t="shared" si="16"/>
        <v>16119.973072853645</v>
      </c>
      <c r="BJ69" s="327">
        <f t="shared" si="16"/>
        <v>16032.908199444955</v>
      </c>
      <c r="BK69" s="327">
        <f t="shared" si="16"/>
        <v>15950.631894073744</v>
      </c>
      <c r="BL69" s="327">
        <f t="shared" si="16"/>
        <v>15872.88078549795</v>
      </c>
      <c r="BM69" s="327">
        <f t="shared" si="16"/>
        <v>15799.405987893824</v>
      </c>
      <c r="BN69" s="327">
        <f t="shared" si="16"/>
        <v>15729.972304157924</v>
      </c>
    </row>
    <row r="70" spans="1:87" ht="30" customHeight="1" thickBot="1">
      <c r="A70" s="1529" t="s">
        <v>1439</v>
      </c>
      <c r="B70" s="1530"/>
      <c r="C70" s="1530"/>
      <c r="D70" s="1530"/>
      <c r="E70" s="1530"/>
      <c r="F70" s="1530"/>
      <c r="G70" s="1530"/>
      <c r="H70" s="1530"/>
      <c r="I70" s="1530"/>
      <c r="J70" s="1530"/>
      <c r="K70" s="1531"/>
      <c r="L70" s="385"/>
      <c r="M70" s="385"/>
      <c r="N70" s="385"/>
      <c r="O70" s="385"/>
      <c r="P70" s="385"/>
      <c r="Q70" s="385"/>
      <c r="R70" s="385"/>
      <c r="S70" s="385"/>
      <c r="T70" s="385"/>
      <c r="U70" s="385"/>
      <c r="V70" s="385"/>
      <c r="W70" s="385"/>
      <c r="X70" s="385"/>
      <c r="Y70" s="385"/>
      <c r="Z70" s="385"/>
      <c r="AA70" s="385"/>
      <c r="AB70" s="385"/>
      <c r="AC70" s="385"/>
      <c r="AD70" s="385"/>
      <c r="AE70" s="385"/>
    </row>
    <row r="71" spans="1:87" ht="20.100000000000001" customHeight="1">
      <c r="A71" s="48"/>
      <c r="B71" s="49"/>
      <c r="C71" s="49"/>
      <c r="D71" s="49"/>
      <c r="E71" s="49"/>
      <c r="F71" s="49"/>
      <c r="G71" s="49"/>
      <c r="H71" s="49"/>
      <c r="I71" s="49"/>
      <c r="J71" s="49"/>
      <c r="K71" s="20"/>
      <c r="L71" s="29"/>
      <c r="M71" s="968"/>
      <c r="N71" s="971"/>
      <c r="O71" s="971"/>
      <c r="P71" s="971"/>
      <c r="Q71" s="971"/>
      <c r="R71" s="971"/>
      <c r="S71" s="971"/>
      <c r="T71" s="971"/>
      <c r="U71" s="971"/>
      <c r="V71" s="971"/>
      <c r="W71" s="971"/>
      <c r="X71" s="971"/>
      <c r="Y71" s="971"/>
      <c r="Z71" s="971"/>
      <c r="AA71" s="971"/>
      <c r="AB71" s="971"/>
      <c r="AC71" s="971"/>
      <c r="AD71" s="971"/>
      <c r="AE71" s="971"/>
      <c r="AF71" s="271" t="s">
        <v>1398</v>
      </c>
      <c r="BP71" s="17" t="s">
        <v>1656</v>
      </c>
      <c r="BQ71" s="17"/>
    </row>
    <row r="72" spans="1:87" ht="20.100000000000001" customHeight="1" thickBot="1">
      <c r="A72" s="225" t="s">
        <v>1242</v>
      </c>
      <c r="B72" s="30"/>
      <c r="C72" s="30"/>
      <c r="D72" s="30"/>
      <c r="E72" s="30"/>
      <c r="F72" s="30"/>
      <c r="G72" s="30"/>
      <c r="H72" s="30"/>
      <c r="I72" s="30"/>
      <c r="J72" s="30"/>
      <c r="K72" s="21"/>
      <c r="L72" s="29"/>
      <c r="M72" s="968"/>
      <c r="N72" s="971"/>
      <c r="O72" s="971"/>
      <c r="P72" s="971"/>
      <c r="Q72" s="971"/>
      <c r="R72" s="971"/>
      <c r="S72" s="971"/>
      <c r="T72" s="971"/>
      <c r="U72" s="971"/>
      <c r="V72" s="971"/>
      <c r="W72" s="971"/>
      <c r="X72" s="971"/>
      <c r="Y72" s="971"/>
      <c r="Z72" s="971"/>
      <c r="AA72" s="971"/>
      <c r="AB72" s="971"/>
      <c r="AC72" s="971"/>
      <c r="AD72" s="971"/>
      <c r="AE72" s="971"/>
      <c r="AF72" s="288" t="s">
        <v>1356</v>
      </c>
      <c r="AG72" s="502" t="s">
        <v>1355</v>
      </c>
      <c r="AH72" s="503"/>
      <c r="AI72" s="503"/>
      <c r="AJ72" s="504"/>
      <c r="AK72" s="489">
        <v>2021</v>
      </c>
      <c r="AL72" s="489">
        <f t="shared" ref="AL72:BN72" si="17">AK72+1</f>
        <v>2022</v>
      </c>
      <c r="AM72" s="489">
        <f t="shared" si="17"/>
        <v>2023</v>
      </c>
      <c r="AN72" s="489">
        <f t="shared" si="17"/>
        <v>2024</v>
      </c>
      <c r="AO72" s="489">
        <f t="shared" si="17"/>
        <v>2025</v>
      </c>
      <c r="AP72" s="489">
        <f t="shared" si="17"/>
        <v>2026</v>
      </c>
      <c r="AQ72" s="489">
        <f t="shared" si="17"/>
        <v>2027</v>
      </c>
      <c r="AR72" s="489">
        <f t="shared" si="17"/>
        <v>2028</v>
      </c>
      <c r="AS72" s="489">
        <f t="shared" si="17"/>
        <v>2029</v>
      </c>
      <c r="AT72" s="489">
        <f t="shared" si="17"/>
        <v>2030</v>
      </c>
      <c r="AU72" s="489">
        <f t="shared" si="17"/>
        <v>2031</v>
      </c>
      <c r="AV72" s="489">
        <f t="shared" si="17"/>
        <v>2032</v>
      </c>
      <c r="AW72" s="489">
        <f t="shared" si="17"/>
        <v>2033</v>
      </c>
      <c r="AX72" s="489">
        <f t="shared" si="17"/>
        <v>2034</v>
      </c>
      <c r="AY72" s="489">
        <f t="shared" si="17"/>
        <v>2035</v>
      </c>
      <c r="AZ72" s="489">
        <f t="shared" si="17"/>
        <v>2036</v>
      </c>
      <c r="BA72" s="489">
        <f t="shared" si="17"/>
        <v>2037</v>
      </c>
      <c r="BB72" s="489">
        <f t="shared" si="17"/>
        <v>2038</v>
      </c>
      <c r="BC72" s="489">
        <f t="shared" si="17"/>
        <v>2039</v>
      </c>
      <c r="BD72" s="489">
        <f t="shared" si="17"/>
        <v>2040</v>
      </c>
      <c r="BE72" s="489">
        <f t="shared" si="17"/>
        <v>2041</v>
      </c>
      <c r="BF72" s="489">
        <f t="shared" si="17"/>
        <v>2042</v>
      </c>
      <c r="BG72" s="489">
        <f t="shared" si="17"/>
        <v>2043</v>
      </c>
      <c r="BH72" s="489">
        <f t="shared" si="17"/>
        <v>2044</v>
      </c>
      <c r="BI72" s="489">
        <f t="shared" si="17"/>
        <v>2045</v>
      </c>
      <c r="BJ72" s="489">
        <f t="shared" si="17"/>
        <v>2046</v>
      </c>
      <c r="BK72" s="489">
        <f t="shared" si="17"/>
        <v>2047</v>
      </c>
      <c r="BL72" s="489">
        <f t="shared" si="17"/>
        <v>2048</v>
      </c>
      <c r="BM72" s="489">
        <f t="shared" si="17"/>
        <v>2049</v>
      </c>
      <c r="BN72" s="489">
        <f t="shared" si="17"/>
        <v>2050</v>
      </c>
      <c r="BP72" s="522"/>
      <c r="BQ72" s="523" t="s">
        <v>1591</v>
      </c>
    </row>
    <row r="73" spans="1:87" ht="20.100000000000001" customHeight="1">
      <c r="A73" s="55"/>
      <c r="B73" s="273"/>
      <c r="C73" s="273"/>
      <c r="D73" s="1420" t="s">
        <v>1451</v>
      </c>
      <c r="E73" s="1420"/>
      <c r="F73" s="1519" t="s">
        <v>1448</v>
      </c>
      <c r="G73" s="29"/>
      <c r="H73" s="29"/>
      <c r="I73" s="29"/>
      <c r="J73" s="29"/>
      <c r="K73" s="22"/>
      <c r="L73" s="29"/>
      <c r="M73" s="968"/>
      <c r="N73" s="971"/>
      <c r="O73" s="971"/>
      <c r="P73" s="971"/>
      <c r="Q73" s="971"/>
      <c r="R73" s="971"/>
      <c r="S73" s="971"/>
      <c r="T73" s="971"/>
      <c r="U73" s="971"/>
      <c r="V73" s="971"/>
      <c r="W73" s="971"/>
      <c r="X73" s="971"/>
      <c r="Y73" s="971"/>
      <c r="Z73" s="971"/>
      <c r="AA73" s="971"/>
      <c r="AB73" s="971"/>
      <c r="AC73" s="971"/>
      <c r="AD73" s="971"/>
      <c r="AE73" s="971"/>
      <c r="AF73" s="1491" t="s">
        <v>1218</v>
      </c>
      <c r="AG73" s="505" t="s">
        <v>1368</v>
      </c>
      <c r="AH73" s="506"/>
      <c r="AI73" s="506"/>
      <c r="AJ73" s="507"/>
      <c r="AK73" s="490">
        <v>0</v>
      </c>
      <c r="AL73" s="330">
        <f>IF((AL$72-2021)=START!$C$2,BUILDINGS!$B9,ROUND(BUILDINGS!AK73-(INDEX('DEFAULT DATA'!$VL$9:$VN$41,START!$C$3,1)/100*(AK73+AK74+AK75)),0))</f>
        <v>0</v>
      </c>
      <c r="AM73" s="330">
        <f>IF((AM$72-2021)=START!$C$2,BUILDINGS!$B9,ROUND(BUILDINGS!AL73-(INDEX('DEFAULT DATA'!$VL$9:$VN$41,START!$C$3,1)/100*(AL73+AL74+AL75)),0))</f>
        <v>25000</v>
      </c>
      <c r="AN73" s="330">
        <f>IF((AN$72-2021)=START!$C$2,BUILDINGS!$B9,ROUND(BUILDINGS!AM73-(INDEX('DEFAULT DATA'!$VL$9:$VN$41,START!$C$3,1)/100*(AM73+AM74+AM75)),0))</f>
        <v>25000</v>
      </c>
      <c r="AO73" s="330">
        <f>IF((AO$72-2021)=START!$C$2,BUILDINGS!$B9,ROUND(BUILDINGS!AN73-(INDEX('DEFAULT DATA'!$VL$9:$VN$41,START!$C$3,1)/100*(AN73+AN74+AN75)),0))</f>
        <v>25000</v>
      </c>
      <c r="AP73" s="330">
        <f>IF((AP$72-2021)=START!$C$2,BUILDINGS!$B9,ROUND(BUILDINGS!AO73-(INDEX('DEFAULT DATA'!$VL$9:$VN$41,START!$C$3,1)/100*(AO73+AO74+AO75)),0))</f>
        <v>25000</v>
      </c>
      <c r="AQ73" s="330">
        <f>IF((AQ$72-2021)=START!$C$2,BUILDINGS!$B9,ROUND(BUILDINGS!AP73-(INDEX('DEFAULT DATA'!$VL$9:$VN$41,START!$C$3,1)/100*(AP73+AP74+AP75)),0))</f>
        <v>25000</v>
      </c>
      <c r="AR73" s="330">
        <f>IF((AR$72-2021)=START!$C$2,BUILDINGS!$B9,ROUND(BUILDINGS!AQ73-(INDEX('DEFAULT DATA'!$VL$9:$VN$41,START!$C$3,1)/100*(AQ73+AQ74+AQ75)),0))</f>
        <v>25000</v>
      </c>
      <c r="AS73" s="330">
        <f>IF((AS$72-2021)=START!$C$2,BUILDINGS!$B9,ROUND(BUILDINGS!AR73-(INDEX('DEFAULT DATA'!$VL$9:$VN$41,START!$C$3,1)/100*(AR73+AR74+AR75)),0))</f>
        <v>25000</v>
      </c>
      <c r="AT73" s="330">
        <f>IF((AT$72-2021)=START!$C$2,BUILDINGS!$B9,ROUND(BUILDINGS!AS73-(INDEX('DEFAULT DATA'!$VL$9:$VN$41,START!$C$3,1)/100*(AS73+AS74+AS75)),0))</f>
        <v>25000</v>
      </c>
      <c r="AU73" s="330">
        <f>IF((AU$72-2021)=START!$C$2,BUILDINGS!$B9,ROUND(BUILDINGS!AT73-(INDEX('DEFAULT DATA'!$VL$9:$VN$41,START!$C$3,2)/100*(AT73+AT74+AT75)),0))</f>
        <v>25000</v>
      </c>
      <c r="AV73" s="330">
        <f>IF((AV$72-2021)=START!$C$2,BUILDINGS!$B9,ROUND(BUILDINGS!AU73-(INDEX('DEFAULT DATA'!$VL$9:$VN$41,START!$C$3,2)/100*(AU73+AU74+AU75)),0))</f>
        <v>25000</v>
      </c>
      <c r="AW73" s="330">
        <f>IF((AW$72-2021)=START!$C$2,BUILDINGS!$B9,ROUND(BUILDINGS!AV73-(INDEX('DEFAULT DATA'!$VL$9:$VN$41,START!$C$3,2)/100*(AV73+AV74+AV75)),0))</f>
        <v>25000</v>
      </c>
      <c r="AX73" s="330">
        <f>IF((AX$72-2021)=START!$C$2,BUILDINGS!$B9,ROUND(BUILDINGS!AW73-(INDEX('DEFAULT DATA'!$VL$9:$VN$41,START!$C$3,2)/100*(AW73+AW74+AW75)),0))</f>
        <v>25000</v>
      </c>
      <c r="AY73" s="330">
        <f>IF((AY$72-2021)=START!$C$2,BUILDINGS!$B9,ROUND(BUILDINGS!AX73-(INDEX('DEFAULT DATA'!$VL$9:$VN$41,START!$C$3,2)/100*(AX73+AX74+AX75)),0))</f>
        <v>25000</v>
      </c>
      <c r="AZ73" s="330">
        <f>IF((AZ$72-2021)=START!$C$2,BUILDINGS!$B9,ROUND(BUILDINGS!AY73-(INDEX('DEFAULT DATA'!$VL$9:$VN$41,START!$C$3,2)/100*(AY73+AY74+AY75)),0))</f>
        <v>25000</v>
      </c>
      <c r="BA73" s="330">
        <f>IF((BA$72-2021)=START!$C$2,BUILDINGS!$B9,ROUND(BUILDINGS!AZ73-(INDEX('DEFAULT DATA'!$VL$9:$VN$41,START!$C$3,2)/100*(AZ73+AZ74+AZ75)),0))</f>
        <v>25000</v>
      </c>
      <c r="BB73" s="330">
        <f>IF((BB$72-2021)=START!$C$2,BUILDINGS!$B9,ROUND(BUILDINGS!BA73-(INDEX('DEFAULT DATA'!$VL$9:$VN$41,START!$C$3,2)/100*(BA73+BA74+BA75)),0))</f>
        <v>25000</v>
      </c>
      <c r="BC73" s="330">
        <f>IF((BC$72-2021)=START!$C$2,BUILDINGS!$B9,ROUND(BUILDINGS!BB73-(INDEX('DEFAULT DATA'!$VL$9:$VN$41,START!$C$3,2)/100*(BB73+BB74+BB75)),0))</f>
        <v>25000</v>
      </c>
      <c r="BD73" s="330">
        <f>IF((BD$72-2021)=START!$C$2,BUILDINGS!$B9,ROUND(BUILDINGS!BC73-(INDEX('DEFAULT DATA'!$VL$9:$VN$41,START!$C$3,2)/100*(BC73+BC74+BC75)),0))</f>
        <v>25000</v>
      </c>
      <c r="BE73" s="330">
        <f>IF((BE$72-2021)=START!$C$2,BUILDINGS!$B9,ROUND(BUILDINGS!BD73-(INDEX('DEFAULT DATA'!$VL$9:$VN$41,START!$C$3,3)/100*(BD73+BD74+BD75)),0))</f>
        <v>25000</v>
      </c>
      <c r="BF73" s="330">
        <f>IF((BF$72-2021)=START!$C$2,BUILDINGS!$B9,ROUND(BUILDINGS!BE73-(INDEX('DEFAULT DATA'!$VL$9:$VN$41,START!$C$3,3)/100*(BE73+BE74+BE75)),0))</f>
        <v>25000</v>
      </c>
      <c r="BG73" s="330">
        <f>IF((BG$72-2021)=START!$C$2,BUILDINGS!$B9,ROUND(BUILDINGS!BF73-(INDEX('DEFAULT DATA'!$VL$9:$VN$41,START!$C$3,3)/100*(BF73+BF74+BF75)),0))</f>
        <v>25000</v>
      </c>
      <c r="BH73" s="330">
        <f>IF((BH$72-2021)=START!$C$2,BUILDINGS!$B9,ROUND(BUILDINGS!BG73-(INDEX('DEFAULT DATA'!$VL$9:$VN$41,START!$C$3,3)/100*(BG73+BG74+BG75)),0))</f>
        <v>25000</v>
      </c>
      <c r="BI73" s="330">
        <f>IF((BI$72-2021)=START!$C$2,BUILDINGS!$B9,ROUND(BUILDINGS!BH73-(INDEX('DEFAULT DATA'!$VL$9:$VN$41,START!$C$3,3)/100*(BH73+BH74+BH75)),0))</f>
        <v>25000</v>
      </c>
      <c r="BJ73" s="330">
        <f>IF((BJ$72-2021)=START!$C$2,BUILDINGS!$B9,ROUND(BUILDINGS!BI73-(INDEX('DEFAULT DATA'!$VL$9:$VN$41,START!$C$3,3)/100*(BI73+BI74+BI75)),0))</f>
        <v>25000</v>
      </c>
      <c r="BK73" s="330">
        <f>IF((BK$72-2021)=START!$C$2,BUILDINGS!$B9,ROUND(BUILDINGS!BJ73-(INDEX('DEFAULT DATA'!$VL$9:$VN$41,START!$C$3,3)/100*(BJ73+BJ74+BJ75)),0))</f>
        <v>25000</v>
      </c>
      <c r="BL73" s="330">
        <f>IF((BL$72-2021)=START!$C$2,BUILDINGS!$B9,ROUND(BUILDINGS!BK73-(INDEX('DEFAULT DATA'!$VL$9:$VN$41,START!$C$3,3)/100*(BK73+BK74+BK75)),0))</f>
        <v>25000</v>
      </c>
      <c r="BM73" s="330">
        <f>IF((BM$72-2021)=START!$C$2,BUILDINGS!$B9,ROUND(BUILDINGS!BL73-(INDEX('DEFAULT DATA'!$VL$9:$VN$41,START!$C$3,3)/100*(BL73+BL74+BL75)),0))</f>
        <v>25000</v>
      </c>
      <c r="BN73" s="331">
        <f>IF((BN$72-2021)=START!$C$2,BUILDINGS!$B9,ROUND(BUILDINGS!BM73-(INDEX('DEFAULT DATA'!$VL$9:$VN$41,START!$C$3,3)/100*(BM73+BM74+BM75)),0))</f>
        <v>25000</v>
      </c>
      <c r="BP73" s="524" t="s">
        <v>1714</v>
      </c>
      <c r="BQ73" s="521"/>
    </row>
    <row r="74" spans="1:87" ht="20.100000000000001" customHeight="1">
      <c r="A74" s="55" t="s">
        <v>1337</v>
      </c>
      <c r="B74" s="381" t="s">
        <v>1241</v>
      </c>
      <c r="C74" s="381"/>
      <c r="D74" s="1420"/>
      <c r="E74" s="1420"/>
      <c r="F74" s="1519"/>
      <c r="G74" s="29"/>
      <c r="H74" s="29"/>
      <c r="I74" s="29"/>
      <c r="J74" s="29"/>
      <c r="K74" s="22"/>
      <c r="L74" s="29"/>
      <c r="M74" s="968"/>
      <c r="N74" s="971"/>
      <c r="O74" s="971"/>
      <c r="P74" s="971"/>
      <c r="Q74" s="971"/>
      <c r="R74" s="971"/>
      <c r="S74" s="971"/>
      <c r="T74" s="971"/>
      <c r="U74" s="971"/>
      <c r="V74" s="971"/>
      <c r="W74" s="971"/>
      <c r="X74" s="971"/>
      <c r="Y74" s="971"/>
      <c r="Z74" s="971"/>
      <c r="AA74" s="971"/>
      <c r="AB74" s="971"/>
      <c r="AC74" s="971"/>
      <c r="AD74" s="971"/>
      <c r="AE74" s="971"/>
      <c r="AF74" s="1492"/>
      <c r="AG74" s="508" t="s">
        <v>1369</v>
      </c>
      <c r="AH74" s="486"/>
      <c r="AI74" s="486"/>
      <c r="AJ74" s="487"/>
      <c r="AK74" s="491">
        <v>0</v>
      </c>
      <c r="AL74" s="262">
        <f>IF((AL$72-2021)=START!$C$2,0,BUILDINGS!AK74+ROUND((INDEX('DEFAULT DATA'!$WD$9:$WF$41,START!$C$3,1)/100*(AK73+AK74+AK75)),0))</f>
        <v>0</v>
      </c>
      <c r="AM74" s="262">
        <f>IF((AM$72-2021)=START!$C$2,0,BUILDINGS!AL74+ROUND((INDEX('DEFAULT DATA'!$WD$9:$WF$41,START!$C$3,1)/100*(AL73+AL74+AL75)),0))</f>
        <v>0</v>
      </c>
      <c r="AN74" s="262">
        <f>IF((AN$72-2021)=START!$C$2,0,BUILDINGS!AM74+ROUND((INDEX('DEFAULT DATA'!$WD$9:$WF$41,START!$C$3,1)/100*(AM73+AM74+AM75)),0))</f>
        <v>0</v>
      </c>
      <c r="AO74" s="262">
        <f>IF((AO$72-2021)=START!$C$2,0,BUILDINGS!AN74+ROUND((INDEX('DEFAULT DATA'!$WD$9:$WF$41,START!$C$3,1)/100*(AN73+AN74+AN75)),0))</f>
        <v>0</v>
      </c>
      <c r="AP74" s="262">
        <f>IF((AP$72-2021)=START!$C$2,0,BUILDINGS!AO74+ROUND((INDEX('DEFAULT DATA'!$WD$9:$WF$41,START!$C$3,1)/100*(AO73+AO74+AO75)),0))</f>
        <v>0</v>
      </c>
      <c r="AQ74" s="262">
        <f>IF((AQ$72-2021)=START!$C$2,0,BUILDINGS!AP74+ROUND((INDEX('DEFAULT DATA'!$WD$9:$WF$41,START!$C$3,1)/100*(AP73+AP74+AP75)),0))</f>
        <v>0</v>
      </c>
      <c r="AR74" s="262">
        <f>IF((AR$72-2021)=START!$C$2,0,BUILDINGS!AQ74+ROUND((INDEX('DEFAULT DATA'!$WD$9:$WF$41,START!$C$3,1)/100*(AQ73+AQ74+AQ75)),0))</f>
        <v>0</v>
      </c>
      <c r="AS74" s="262">
        <f>IF((AS$72-2021)=START!$C$2,0,BUILDINGS!AR74+ROUND((INDEX('DEFAULT DATA'!$WD$9:$WF$41,START!$C$3,1)/100*(AR73+AR74+AR75)),0))</f>
        <v>0</v>
      </c>
      <c r="AT74" s="262">
        <f>IF((AT$72-2021)=START!$C$2,0,BUILDINGS!AS74+ROUND((INDEX('DEFAULT DATA'!$WD$9:$WF$41,START!$C$3,1)/100*(AS73+AS74+AS75)),0))</f>
        <v>0</v>
      </c>
      <c r="AU74" s="262">
        <f>IF((AU$72-2021)=START!$C$2,0,BUILDINGS!AT74+ROUND((INDEX('DEFAULT DATA'!$WD$9:$WF$41,START!$C$3,2)/100*(AT73+AT74+AT75)),0))</f>
        <v>0</v>
      </c>
      <c r="AV74" s="262">
        <f>IF((AV$72-2021)=START!$C$2,0,BUILDINGS!AU74+ROUND((INDEX('DEFAULT DATA'!$WD$9:$WF$41,START!$C$3,2)/100*(AU73+AU74+AU75)),0))</f>
        <v>0</v>
      </c>
      <c r="AW74" s="262">
        <f>IF((AW$72-2021)=START!$C$2,0,BUILDINGS!AV74+ROUND((INDEX('DEFAULT DATA'!$WD$9:$WF$41,START!$C$3,2)/100*(AV73+AV74+AV75)),0))</f>
        <v>0</v>
      </c>
      <c r="AX74" s="262">
        <f>IF((AX$72-2021)=START!$C$2,0,BUILDINGS!AW74+ROUND((INDEX('DEFAULT DATA'!$WD$9:$WF$41,START!$C$3,2)/100*(AW73+AW74+AW75)),0))</f>
        <v>0</v>
      </c>
      <c r="AY74" s="262">
        <f>IF((AY$72-2021)=START!$C$2,0,BUILDINGS!AX74+ROUND((INDEX('DEFAULT DATA'!$WD$9:$WF$41,START!$C$3,2)/100*(AX73+AX74+AX75)),0))</f>
        <v>0</v>
      </c>
      <c r="AZ74" s="262">
        <f>IF((AZ$72-2021)=START!$C$2,0,BUILDINGS!AY74+ROUND((INDEX('DEFAULT DATA'!$WD$9:$WF$41,START!$C$3,2)/100*(AY73+AY74+AY75)),0))</f>
        <v>0</v>
      </c>
      <c r="BA74" s="262">
        <f>IF((BA$72-2021)=START!$C$2,0,BUILDINGS!AZ74+ROUND((INDEX('DEFAULT DATA'!$WD$9:$WF$41,START!$C$3,2)/100*(AZ73+AZ74+AZ75)),0))</f>
        <v>0</v>
      </c>
      <c r="BB74" s="262">
        <f>IF((BB$72-2021)=START!$C$2,0,BUILDINGS!BA74+ROUND((INDEX('DEFAULT DATA'!$WD$9:$WF$41,START!$C$3,2)/100*(BA73+BA74+BA75)),0))</f>
        <v>0</v>
      </c>
      <c r="BC74" s="262">
        <f>IF((BC$72-2021)=START!$C$2,0,BUILDINGS!BB74+ROUND((INDEX('DEFAULT DATA'!$WD$9:$WF$41,START!$C$3,2)/100*(BB73+BB74+BB75)),0))</f>
        <v>0</v>
      </c>
      <c r="BD74" s="262">
        <f>IF((BD$72-2021)=START!$C$2,0,BUILDINGS!BC74+ROUND((INDEX('DEFAULT DATA'!$WD$9:$WF$41,START!$C$3,2)/100*(BC73+BC74+BC75)),0))</f>
        <v>0</v>
      </c>
      <c r="BE74" s="262">
        <f>IF((BE$72-2021)=START!$C$2,0,BUILDINGS!BD74+ROUND((INDEX('DEFAULT DATA'!$WD$9:$WF$41,START!$C$3,3)/100*(BD73+BD74+BD75)),0))</f>
        <v>0</v>
      </c>
      <c r="BF74" s="262">
        <f>IF((BF$72-2021)=START!$C$2,0,BUILDINGS!BE74+ROUND((INDEX('DEFAULT DATA'!$WD$9:$WF$41,START!$C$3,3)/100*(BE73+BE74+BE75)),0))</f>
        <v>0</v>
      </c>
      <c r="BG74" s="262">
        <f>IF((BG$72-2021)=START!$C$2,0,BUILDINGS!BF74+ROUND((INDEX('DEFAULT DATA'!$WD$9:$WF$41,START!$C$3,3)/100*(BF73+BF74+BF75)),0))</f>
        <v>0</v>
      </c>
      <c r="BH74" s="262">
        <f>IF((BH$72-2021)=START!$C$2,0,BUILDINGS!BG74+ROUND((INDEX('DEFAULT DATA'!$WD$9:$WF$41,START!$C$3,3)/100*(BG73+BG74+BG75)),0))</f>
        <v>0</v>
      </c>
      <c r="BI74" s="262">
        <f>IF((BI$72-2021)=START!$C$2,0,BUILDINGS!BH74+ROUND((INDEX('DEFAULT DATA'!$WD$9:$WF$41,START!$C$3,3)/100*(BH73+BH74+BH75)),0))</f>
        <v>0</v>
      </c>
      <c r="BJ74" s="262">
        <f>IF((BJ$72-2021)=START!$C$2,0,BUILDINGS!BI74+ROUND((INDEX('DEFAULT DATA'!$WD$9:$WF$41,START!$C$3,3)/100*(BI73+BI74+BI75)),0))</f>
        <v>0</v>
      </c>
      <c r="BK74" s="262">
        <f>IF((BK$72-2021)=START!$C$2,0,BUILDINGS!BJ74+ROUND((INDEX('DEFAULT DATA'!$WD$9:$WF$41,START!$C$3,3)/100*(BJ73+BJ74+BJ75)),0))</f>
        <v>0</v>
      </c>
      <c r="BL74" s="262">
        <f>IF((BL$72-2021)=START!$C$2,0,BUILDINGS!BK74+ROUND((INDEX('DEFAULT DATA'!$WD$9:$WF$41,START!$C$3,3)/100*(BK73+BK74+BK75)),0))</f>
        <v>0</v>
      </c>
      <c r="BM74" s="262">
        <f>IF((BM$72-2021)=START!$C$2,0,BUILDINGS!BL74+ROUND((INDEX('DEFAULT DATA'!$WD$9:$WF$41,START!$C$3,3)/100*(BL73+BL74+BL75)),0))</f>
        <v>0</v>
      </c>
      <c r="BN74" s="492">
        <f>IF((BN$72-2021)=START!$C$2,0,BUILDINGS!BM74+ROUND((INDEX('DEFAULT DATA'!$WD$9:$WF$41,START!$C$3,3)/100*(BM73+BM74+BM75)),0))</f>
        <v>0</v>
      </c>
      <c r="BP74" s="524" t="s">
        <v>1715</v>
      </c>
      <c r="BQ74" s="521"/>
    </row>
    <row r="75" spans="1:87" ht="20.100000000000001" customHeight="1" thickBot="1">
      <c r="A75" s="55" t="str">
        <f>A28</f>
        <v>Apartment</v>
      </c>
      <c r="B75" s="282">
        <v>0</v>
      </c>
      <c r="C75" s="381"/>
      <c r="D75" s="29">
        <v>9</v>
      </c>
      <c r="E75" s="246">
        <v>9</v>
      </c>
      <c r="F75" s="220">
        <v>0</v>
      </c>
      <c r="G75" s="29"/>
      <c r="H75" s="29"/>
      <c r="I75" s="29"/>
      <c r="J75" s="29"/>
      <c r="K75" s="22"/>
      <c r="L75" s="29"/>
      <c r="M75" s="968"/>
      <c r="N75" s="971"/>
      <c r="O75" s="971"/>
      <c r="P75" s="971"/>
      <c r="Q75" s="971"/>
      <c r="R75" s="971"/>
      <c r="S75" s="971"/>
      <c r="T75" s="971"/>
      <c r="U75" s="971"/>
      <c r="V75" s="971"/>
      <c r="W75" s="971"/>
      <c r="X75" s="971"/>
      <c r="Y75" s="971"/>
      <c r="Z75" s="971"/>
      <c r="AA75" s="971"/>
      <c r="AB75" s="971"/>
      <c r="AC75" s="971"/>
      <c r="AD75" s="971"/>
      <c r="AE75" s="971"/>
      <c r="AF75" s="1493"/>
      <c r="AG75" s="498" t="s">
        <v>1370</v>
      </c>
      <c r="AH75" s="499"/>
      <c r="AI75" s="499"/>
      <c r="AJ75" s="340"/>
      <c r="AK75" s="493">
        <v>0</v>
      </c>
      <c r="AL75" s="335">
        <f>IF((AL$72-2021)=START!$C$2,0,BUILDINGS!AK75+ROUND((INDEX('DEFAULT DATA'!$WG$9:$WI$41,START!$C$3,1)/100*(AK73+AK74+AK75)),0))</f>
        <v>0</v>
      </c>
      <c r="AM75" s="335">
        <f>IF((AM$72-2021)=START!$C$2,0,BUILDINGS!AL75+ROUND((INDEX('DEFAULT DATA'!$WG$9:$WI$41,START!$C$3,1)/100*(AL73+AL74+AL75)),0))</f>
        <v>0</v>
      </c>
      <c r="AN75" s="335">
        <f>IF((AN$72-2021)=START!$C$2,0,BUILDINGS!AM75+ROUND((INDEX('DEFAULT DATA'!$WG$9:$WI$41,START!$C$3,1)/100*(AM73+AM74+AM75)),0))</f>
        <v>0</v>
      </c>
      <c r="AO75" s="335">
        <f>IF((AO$72-2021)=START!$C$2,0,BUILDINGS!AN75+ROUND((INDEX('DEFAULT DATA'!$WG$9:$WI$41,START!$C$3,1)/100*(AN73+AN74+AN75)),0))</f>
        <v>0</v>
      </c>
      <c r="AP75" s="335">
        <f>IF((AP$72-2021)=START!$C$2,0,BUILDINGS!AO75+ROUND((INDEX('DEFAULT DATA'!$WG$9:$WI$41,START!$C$3,1)/100*(AO73+AO74+AO75)),0))</f>
        <v>0</v>
      </c>
      <c r="AQ75" s="335">
        <f>IF((AQ$72-2021)=START!$C$2,0,BUILDINGS!AP75+ROUND((INDEX('DEFAULT DATA'!$WG$9:$WI$41,START!$C$3,1)/100*(AP73+AP74+AP75)),0))</f>
        <v>0</v>
      </c>
      <c r="AR75" s="335">
        <f>IF((AR$72-2021)=START!$C$2,0,BUILDINGS!AQ75+ROUND((INDEX('DEFAULT DATA'!$WG$9:$WI$41,START!$C$3,1)/100*(AQ73+AQ74+AQ75)),0))</f>
        <v>0</v>
      </c>
      <c r="AS75" s="335">
        <f>IF((AS$72-2021)=START!$C$2,0,BUILDINGS!AR75+ROUND((INDEX('DEFAULT DATA'!$WG$9:$WI$41,START!$C$3,1)/100*(AR73+AR74+AR75)),0))</f>
        <v>0</v>
      </c>
      <c r="AT75" s="335">
        <f>IF((AT$72-2021)=START!$C$2,0,BUILDINGS!AS75+ROUND((INDEX('DEFAULT DATA'!$WG$9:$WI$41,START!$C$3,1)/100*(AS73+AS74+AS75)),0))</f>
        <v>0</v>
      </c>
      <c r="AU75" s="335">
        <f>IF((AU$72-2021)=START!$C$2,0,BUILDINGS!AT75+ROUND((INDEX('DEFAULT DATA'!$WG$9:$WI$41,START!$C$3,2)/100*(AT73+AT74+AT75)),0))</f>
        <v>0</v>
      </c>
      <c r="AV75" s="335">
        <f>IF((AV$72-2021)=START!$C$2,0,BUILDINGS!AU75+ROUND((INDEX('DEFAULT DATA'!$WG$9:$WI$41,START!$C$3,2)/100*(AU73+AU74+AU75)),0))</f>
        <v>0</v>
      </c>
      <c r="AW75" s="335">
        <f>IF((AW$72-2021)=START!$C$2,0,BUILDINGS!AV75+ROUND((INDEX('DEFAULT DATA'!$WG$9:$WI$41,START!$C$3,2)/100*(AV73+AV74+AV75)),0))</f>
        <v>0</v>
      </c>
      <c r="AX75" s="335">
        <f>IF((AX$72-2021)=START!$C$2,0,BUILDINGS!AW75+ROUND((INDEX('DEFAULT DATA'!$WG$9:$WI$41,START!$C$3,2)/100*(AW73+AW74+AW75)),0))</f>
        <v>0</v>
      </c>
      <c r="AY75" s="335">
        <f>IF((AY$72-2021)=START!$C$2,0,BUILDINGS!AX75+ROUND((INDEX('DEFAULT DATA'!$WG$9:$WI$41,START!$C$3,2)/100*(AX73+AX74+AX75)),0))</f>
        <v>0</v>
      </c>
      <c r="AZ75" s="335">
        <f>IF((AZ$72-2021)=START!$C$2,0,BUILDINGS!AY75+ROUND((INDEX('DEFAULT DATA'!$WG$9:$WI$41,START!$C$3,2)/100*(AY73+AY74+AY75)),0))</f>
        <v>0</v>
      </c>
      <c r="BA75" s="335">
        <f>IF((BA$72-2021)=START!$C$2,0,BUILDINGS!AZ75+ROUND((INDEX('DEFAULT DATA'!$WG$9:$WI$41,START!$C$3,2)/100*(AZ73+AZ74+AZ75)),0))</f>
        <v>0</v>
      </c>
      <c r="BB75" s="335">
        <f>IF((BB$72-2021)=START!$C$2,0,BUILDINGS!BA75+ROUND((INDEX('DEFAULT DATA'!$WG$9:$WI$41,START!$C$3,2)/100*(BA73+BA74+BA75)),0))</f>
        <v>0</v>
      </c>
      <c r="BC75" s="335">
        <f>IF((BC$72-2021)=START!$C$2,0,BUILDINGS!BB75+ROUND((INDEX('DEFAULT DATA'!$WG$9:$WI$41,START!$C$3,2)/100*(BB73+BB74+BB75)),0))</f>
        <v>0</v>
      </c>
      <c r="BD75" s="335">
        <f>IF((BD$72-2021)=START!$C$2,0,BUILDINGS!BC75+ROUND((INDEX('DEFAULT DATA'!$WG$9:$WI$41,START!$C$3,2)/100*(BC73+BC74+BC75)),0))</f>
        <v>0</v>
      </c>
      <c r="BE75" s="335">
        <f>IF((BE$72-2021)=START!$C$2,0,BUILDINGS!BD75+ROUND((INDEX('DEFAULT DATA'!$WG$9:$WI$41,START!$C$3,3)/100*(BD73+BD74+BD75)),0))</f>
        <v>0</v>
      </c>
      <c r="BF75" s="335">
        <f>IF((BF$72-2021)=START!$C$2,0,BUILDINGS!BE75+ROUND((INDEX('DEFAULT DATA'!$WG$9:$WI$41,START!$C$3,3)/100*(BE73+BE74+BE75)),0))</f>
        <v>0</v>
      </c>
      <c r="BG75" s="335">
        <f>IF((BG$72-2021)=START!$C$2,0,BUILDINGS!BF75+ROUND((INDEX('DEFAULT DATA'!$WG$9:$WI$41,START!$C$3,3)/100*(BF73+BF74+BF75)),0))</f>
        <v>0</v>
      </c>
      <c r="BH75" s="335">
        <f>IF((BH$72-2021)=START!$C$2,0,BUILDINGS!BG75+ROUND((INDEX('DEFAULT DATA'!$WG$9:$WI$41,START!$C$3,3)/100*(BG73+BG74+BG75)),0))</f>
        <v>0</v>
      </c>
      <c r="BI75" s="335">
        <f>IF((BI$72-2021)=START!$C$2,0,BUILDINGS!BH75+ROUND((INDEX('DEFAULT DATA'!$WG$9:$WI$41,START!$C$3,3)/100*(BH73+BH74+BH75)),0))</f>
        <v>0</v>
      </c>
      <c r="BJ75" s="335">
        <f>IF((BJ$72-2021)=START!$C$2,0,BUILDINGS!BI75+ROUND((INDEX('DEFAULT DATA'!$WG$9:$WI$41,START!$C$3,3)/100*(BI73+BI74+BI75)),0))</f>
        <v>0</v>
      </c>
      <c r="BK75" s="335">
        <f>IF((BK$72-2021)=START!$C$2,0,BUILDINGS!BJ75+ROUND((INDEX('DEFAULT DATA'!$WG$9:$WI$41,START!$C$3,3)/100*(BJ73+BJ74+BJ75)),0))</f>
        <v>0</v>
      </c>
      <c r="BL75" s="335">
        <f>IF((BL$72-2021)=START!$C$2,0,BUILDINGS!BK75+ROUND((INDEX('DEFAULT DATA'!$WG$9:$WI$41,START!$C$3,3)/100*(BK73+BK74+BK75)),0))</f>
        <v>0</v>
      </c>
      <c r="BM75" s="335">
        <f>IF((BM$72-2021)=START!$C$2,0,BUILDINGS!BL75+ROUND((INDEX('DEFAULT DATA'!$WG$9:$WI$41,START!$C$3,3)/100*(BL73+BL74+BL75)),0))</f>
        <v>0</v>
      </c>
      <c r="BN75" s="494">
        <f>IF((BN$72-2021)=START!$C$2,0,BUILDINGS!BM75+ROUND((INDEX('DEFAULT DATA'!$WG$9:$WI$41,START!$C$3,3)/100*(BM73+BM74+BM75)),0))</f>
        <v>0</v>
      </c>
      <c r="BP75" s="525" t="s">
        <v>1716</v>
      </c>
      <c r="BQ75" s="521"/>
    </row>
    <row r="76" spans="1:87" ht="20.100000000000001" customHeight="1">
      <c r="A76" s="55" t="str">
        <f>A29</f>
        <v>Terraced</v>
      </c>
      <c r="B76" s="282">
        <v>0</v>
      </c>
      <c r="C76" s="381"/>
      <c r="D76" s="29">
        <v>9</v>
      </c>
      <c r="E76" s="246">
        <v>9</v>
      </c>
      <c r="F76" s="220">
        <v>0</v>
      </c>
      <c r="G76" s="29"/>
      <c r="H76" s="29"/>
      <c r="I76" s="29"/>
      <c r="J76" s="29"/>
      <c r="K76" s="22"/>
      <c r="L76" s="29"/>
      <c r="M76" s="968"/>
      <c r="N76" s="971"/>
      <c r="O76" s="971"/>
      <c r="P76" s="971"/>
      <c r="Q76" s="971"/>
      <c r="R76" s="971"/>
      <c r="S76" s="971"/>
      <c r="T76" s="971"/>
      <c r="U76" s="971"/>
      <c r="V76" s="971"/>
      <c r="W76" s="971"/>
      <c r="X76" s="971"/>
      <c r="Y76" s="971"/>
      <c r="Z76" s="971"/>
      <c r="AA76" s="971"/>
      <c r="AB76" s="971"/>
      <c r="AC76" s="971"/>
      <c r="AD76" s="971"/>
      <c r="AE76" s="971"/>
      <c r="AF76" s="332"/>
      <c r="AG76" s="509" t="s">
        <v>1371</v>
      </c>
      <c r="AH76" s="510"/>
      <c r="AI76" s="510"/>
      <c r="AJ76" s="511"/>
      <c r="AK76" s="495">
        <f t="shared" ref="AK76:BN76" si="18">SUM(AK73:AK75)</f>
        <v>0</v>
      </c>
      <c r="AL76" s="495">
        <f t="shared" si="18"/>
        <v>0</v>
      </c>
      <c r="AM76" s="495">
        <f t="shared" si="18"/>
        <v>25000</v>
      </c>
      <c r="AN76" s="495">
        <f t="shared" si="18"/>
        <v>25000</v>
      </c>
      <c r="AO76" s="495">
        <f t="shared" si="18"/>
        <v>25000</v>
      </c>
      <c r="AP76" s="495">
        <f t="shared" si="18"/>
        <v>25000</v>
      </c>
      <c r="AQ76" s="495">
        <f t="shared" si="18"/>
        <v>25000</v>
      </c>
      <c r="AR76" s="495">
        <f t="shared" si="18"/>
        <v>25000</v>
      </c>
      <c r="AS76" s="495">
        <f t="shared" si="18"/>
        <v>25000</v>
      </c>
      <c r="AT76" s="495">
        <f t="shared" si="18"/>
        <v>25000</v>
      </c>
      <c r="AU76" s="495">
        <f t="shared" si="18"/>
        <v>25000</v>
      </c>
      <c r="AV76" s="495">
        <f t="shared" si="18"/>
        <v>25000</v>
      </c>
      <c r="AW76" s="495">
        <f t="shared" si="18"/>
        <v>25000</v>
      </c>
      <c r="AX76" s="495">
        <f t="shared" si="18"/>
        <v>25000</v>
      </c>
      <c r="AY76" s="495">
        <f t="shared" si="18"/>
        <v>25000</v>
      </c>
      <c r="AZ76" s="495">
        <f t="shared" si="18"/>
        <v>25000</v>
      </c>
      <c r="BA76" s="495">
        <f t="shared" si="18"/>
        <v>25000</v>
      </c>
      <c r="BB76" s="495">
        <f t="shared" si="18"/>
        <v>25000</v>
      </c>
      <c r="BC76" s="495">
        <f t="shared" si="18"/>
        <v>25000</v>
      </c>
      <c r="BD76" s="495">
        <f t="shared" si="18"/>
        <v>25000</v>
      </c>
      <c r="BE76" s="495">
        <f t="shared" si="18"/>
        <v>25000</v>
      </c>
      <c r="BF76" s="495">
        <f t="shared" si="18"/>
        <v>25000</v>
      </c>
      <c r="BG76" s="495">
        <f t="shared" si="18"/>
        <v>25000</v>
      </c>
      <c r="BH76" s="495">
        <f t="shared" si="18"/>
        <v>25000</v>
      </c>
      <c r="BI76" s="495">
        <f t="shared" si="18"/>
        <v>25000</v>
      </c>
      <c r="BJ76" s="495">
        <f t="shared" si="18"/>
        <v>25000</v>
      </c>
      <c r="BK76" s="495">
        <f t="shared" si="18"/>
        <v>25000</v>
      </c>
      <c r="BL76" s="495">
        <f t="shared" si="18"/>
        <v>25000</v>
      </c>
      <c r="BM76" s="495">
        <f t="shared" si="18"/>
        <v>25000</v>
      </c>
      <c r="BN76" s="495">
        <f t="shared" si="18"/>
        <v>25000</v>
      </c>
      <c r="CF76" s="392" t="s">
        <v>1593</v>
      </c>
      <c r="CG76" s="392" t="s">
        <v>1464</v>
      </c>
      <c r="CH76" s="392" t="s">
        <v>1465</v>
      </c>
    </row>
    <row r="77" spans="1:87" ht="20.100000000000001" customHeight="1">
      <c r="A77" s="55" t="str">
        <f>A30</f>
        <v>Semi-detached</v>
      </c>
      <c r="B77" s="282">
        <v>0</v>
      </c>
      <c r="C77" s="381"/>
      <c r="D77" s="29">
        <v>9</v>
      </c>
      <c r="E77" s="246">
        <v>9</v>
      </c>
      <c r="F77" s="220">
        <v>0</v>
      </c>
      <c r="G77" s="29"/>
      <c r="H77" s="29"/>
      <c r="I77" s="29"/>
      <c r="J77" s="29"/>
      <c r="K77" s="22"/>
      <c r="L77" s="29"/>
      <c r="M77" s="968"/>
      <c r="N77" s="971"/>
      <c r="O77" s="971"/>
      <c r="P77" s="971"/>
      <c r="Q77" s="971"/>
      <c r="R77" s="971"/>
      <c r="S77" s="971"/>
      <c r="T77" s="971"/>
      <c r="U77" s="971"/>
      <c r="V77" s="971"/>
      <c r="W77" s="971"/>
      <c r="X77" s="971"/>
      <c r="Y77" s="971"/>
      <c r="Z77" s="971"/>
      <c r="AA77" s="971"/>
      <c r="AB77" s="971"/>
      <c r="AC77" s="971"/>
      <c r="AD77" s="971"/>
      <c r="AE77" s="971"/>
      <c r="CF77" s="392" t="s">
        <v>1658</v>
      </c>
      <c r="CG77" s="392" t="s">
        <v>1658</v>
      </c>
      <c r="CH77" s="392" t="s">
        <v>1658</v>
      </c>
    </row>
    <row r="78" spans="1:87" ht="20.100000000000001" customHeight="1" thickBot="1">
      <c r="A78" s="55" t="str">
        <f>A31</f>
        <v>Detached</v>
      </c>
      <c r="B78" s="282">
        <v>0</v>
      </c>
      <c r="C78" s="381"/>
      <c r="D78" s="29">
        <v>14</v>
      </c>
      <c r="E78" s="246">
        <v>19</v>
      </c>
      <c r="F78" s="220">
        <v>0</v>
      </c>
      <c r="G78" s="29"/>
      <c r="H78" s="29"/>
      <c r="I78" s="29"/>
      <c r="J78" s="29"/>
      <c r="K78" s="22"/>
      <c r="L78" s="29"/>
      <c r="M78" s="968"/>
      <c r="N78" s="971"/>
      <c r="O78" s="971"/>
      <c r="P78" s="971"/>
      <c r="Q78" s="971"/>
      <c r="R78" s="971"/>
      <c r="S78" s="971"/>
      <c r="T78" s="971"/>
      <c r="U78" s="971"/>
      <c r="V78" s="971"/>
      <c r="W78" s="971"/>
      <c r="X78" s="971"/>
      <c r="Y78" s="971"/>
      <c r="Z78" s="971"/>
      <c r="AA78" s="971"/>
      <c r="AB78" s="971"/>
      <c r="AC78" s="971"/>
      <c r="AD78" s="971"/>
      <c r="AE78" s="971"/>
      <c r="AF78" s="512" t="s">
        <v>1380</v>
      </c>
      <c r="AG78" s="1510" t="s">
        <v>1363</v>
      </c>
      <c r="AH78" s="1511"/>
      <c r="AI78" s="1511"/>
      <c r="AJ78" s="1512"/>
      <c r="AK78" s="489">
        <v>2021</v>
      </c>
      <c r="AL78" s="489">
        <f>AK78+1</f>
        <v>2022</v>
      </c>
      <c r="AM78" s="489">
        <f t="shared" ref="AM78:BN78" si="19">AL78+1</f>
        <v>2023</v>
      </c>
      <c r="AN78" s="489">
        <f t="shared" si="19"/>
        <v>2024</v>
      </c>
      <c r="AO78" s="489">
        <f t="shared" si="19"/>
        <v>2025</v>
      </c>
      <c r="AP78" s="489">
        <f t="shared" si="19"/>
        <v>2026</v>
      </c>
      <c r="AQ78" s="489">
        <f t="shared" si="19"/>
        <v>2027</v>
      </c>
      <c r="AR78" s="489">
        <f t="shared" si="19"/>
        <v>2028</v>
      </c>
      <c r="AS78" s="489">
        <f t="shared" si="19"/>
        <v>2029</v>
      </c>
      <c r="AT78" s="489">
        <f t="shared" si="19"/>
        <v>2030</v>
      </c>
      <c r="AU78" s="489">
        <f t="shared" si="19"/>
        <v>2031</v>
      </c>
      <c r="AV78" s="489">
        <f t="shared" si="19"/>
        <v>2032</v>
      </c>
      <c r="AW78" s="489">
        <f t="shared" si="19"/>
        <v>2033</v>
      </c>
      <c r="AX78" s="489">
        <f t="shared" si="19"/>
        <v>2034</v>
      </c>
      <c r="AY78" s="489">
        <f t="shared" si="19"/>
        <v>2035</v>
      </c>
      <c r="AZ78" s="489">
        <f t="shared" si="19"/>
        <v>2036</v>
      </c>
      <c r="BA78" s="489">
        <f t="shared" si="19"/>
        <v>2037</v>
      </c>
      <c r="BB78" s="489">
        <f t="shared" si="19"/>
        <v>2038</v>
      </c>
      <c r="BC78" s="489">
        <f t="shared" si="19"/>
        <v>2039</v>
      </c>
      <c r="BD78" s="489">
        <f t="shared" si="19"/>
        <v>2040</v>
      </c>
      <c r="BE78" s="489">
        <f t="shared" si="19"/>
        <v>2041</v>
      </c>
      <c r="BF78" s="489">
        <f t="shared" si="19"/>
        <v>2042</v>
      </c>
      <c r="BG78" s="489">
        <f t="shared" si="19"/>
        <v>2043</v>
      </c>
      <c r="BH78" s="489">
        <f t="shared" si="19"/>
        <v>2044</v>
      </c>
      <c r="BI78" s="489">
        <f t="shared" si="19"/>
        <v>2045</v>
      </c>
      <c r="BJ78" s="489">
        <f t="shared" si="19"/>
        <v>2046</v>
      </c>
      <c r="BK78" s="489">
        <f t="shared" si="19"/>
        <v>2047</v>
      </c>
      <c r="BL78" s="489">
        <f t="shared" si="19"/>
        <v>2048</v>
      </c>
      <c r="BM78" s="489">
        <f t="shared" si="19"/>
        <v>2049</v>
      </c>
      <c r="BN78" s="489">
        <f t="shared" si="19"/>
        <v>2050</v>
      </c>
      <c r="BP78" s="17" t="s">
        <v>1657</v>
      </c>
      <c r="BQ78" s="17"/>
      <c r="CF78" s="392" t="s">
        <v>1592</v>
      </c>
      <c r="CG78" s="392" t="s">
        <v>1592</v>
      </c>
      <c r="CH78" s="392" t="s">
        <v>1592</v>
      </c>
      <c r="CI78" s="392" t="s">
        <v>1598</v>
      </c>
    </row>
    <row r="79" spans="1:87" ht="20.100000000000001" customHeight="1">
      <c r="A79" s="55"/>
      <c r="B79" s="222"/>
      <c r="C79" s="222"/>
      <c r="D79" s="222"/>
      <c r="E79" s="222"/>
      <c r="F79" s="29"/>
      <c r="G79" s="29"/>
      <c r="H79" s="29"/>
      <c r="I79" s="29"/>
      <c r="J79" s="29"/>
      <c r="K79" s="22"/>
      <c r="L79" s="29"/>
      <c r="M79" s="968"/>
      <c r="N79" s="971"/>
      <c r="O79" s="971"/>
      <c r="P79" s="971"/>
      <c r="Q79" s="971"/>
      <c r="R79" s="971"/>
      <c r="S79" s="971"/>
      <c r="T79" s="971"/>
      <c r="U79" s="971"/>
      <c r="V79" s="971"/>
      <c r="W79" s="971"/>
      <c r="X79" s="971"/>
      <c r="Y79" s="971"/>
      <c r="Z79" s="971"/>
      <c r="AA79" s="971"/>
      <c r="AB79" s="971"/>
      <c r="AC79" s="971"/>
      <c r="AD79" s="971"/>
      <c r="AE79" s="971"/>
      <c r="AF79" s="1491" t="s">
        <v>1218</v>
      </c>
      <c r="AG79" s="1429" t="s">
        <v>933</v>
      </c>
      <c r="AH79" s="1430"/>
      <c r="AI79" s="1430"/>
      <c r="AJ79" s="1516"/>
      <c r="AK79" s="317">
        <v>0</v>
      </c>
      <c r="AL79" s="322">
        <f>IF((AL$78-2021)&lt;START!$C$2,0,((AL$73*INDEX('DEFAULT DATA'!$AGI$9:$AGP$41,START!$C$3,1))+(AL$74*INDEX('DEFAULT DATA'!$XS$9:$XZ$41,START!$C$3,1))+(AL$75*INDEX('DEFAULT DATA'!$YY$9:$ZF$41,START!$C$3,1)))*AL5/1000000)</f>
        <v>0</v>
      </c>
      <c r="AM79" s="322">
        <f>IF((AM$78-2021)&lt;START!$C$2,0,((AM$73*INDEX('DEFAULT DATA'!$AGI$9:$AGP$41,START!$C$3,1))+(AM$74*INDEX('DEFAULT DATA'!$XS$9:$XZ$41,START!$C$3,1))+(AM$75*INDEX('DEFAULT DATA'!$YY$9:$ZF$41,START!$C$3,1)))*AM5/1000000)</f>
        <v>16702.065463761457</v>
      </c>
      <c r="AN79" s="322">
        <f>IF((AN$78-2021)&lt;START!$C$2,0,((AN$73*INDEX('DEFAULT DATA'!$AGI$9:$AGP$41,START!$C$3,1))+(AN$74*INDEX('DEFAULT DATA'!$XS$9:$XZ$41,START!$C$3,1))+(AN$75*INDEX('DEFAULT DATA'!$YY$9:$ZF$41,START!$C$3,1)))*AN5/1000000)</f>
        <v>16535.044809123843</v>
      </c>
      <c r="AO79" s="322">
        <f>IF((AO$78-2021)&lt;START!$C$2,0,((AO$73*INDEX('DEFAULT DATA'!$AGI$9:$AGP$41,START!$C$3,1))+(AO$74*INDEX('DEFAULT DATA'!$XS$9:$XZ$41,START!$C$3,1))+(AO$75*INDEX('DEFAULT DATA'!$YY$9:$ZF$41,START!$C$3,1)))*AO5/1000000)</f>
        <v>16369.694361032603</v>
      </c>
      <c r="AP79" s="322">
        <f>IF((AP$78-2021)&lt;START!$C$2,0,((AP$73*INDEX('DEFAULT DATA'!$AGI$9:$AGP$41,START!$C$3,1))+(AP$74*INDEX('DEFAULT DATA'!$XS$9:$XZ$41,START!$C$3,1))+(AP$75*INDEX('DEFAULT DATA'!$YY$9:$ZF$41,START!$C$3,1)))*AP5/1000000)</f>
        <v>16205.997417422277</v>
      </c>
      <c r="AQ79" s="322">
        <f>IF((AQ$78-2021)&lt;START!$C$2,0,((AQ$73*INDEX('DEFAULT DATA'!$AGI$9:$AGP$41,START!$C$3,1))+(AQ$74*INDEX('DEFAULT DATA'!$XS$9:$XZ$41,START!$C$3,1))+(AQ$75*INDEX('DEFAULT DATA'!$YY$9:$ZF$41,START!$C$3,1)))*AQ5/1000000)</f>
        <v>16043.937443248054</v>
      </c>
      <c r="AR79" s="322">
        <f>IF((AR$78-2021)&lt;START!$C$2,0,((AR$73*INDEX('DEFAULT DATA'!$AGI$9:$AGP$41,START!$C$3,1))+(AR$74*INDEX('DEFAULT DATA'!$XS$9:$XZ$41,START!$C$3,1))+(AR$75*INDEX('DEFAULT DATA'!$YY$9:$ZF$41,START!$C$3,1)))*AR5/1000000)</f>
        <v>15883.498068815574</v>
      </c>
      <c r="AS79" s="322">
        <f>IF((AS$78-2021)&lt;START!$C$2,0,((AS$73*INDEX('DEFAULT DATA'!$AGI$9:$AGP$41,START!$C$3,1))+(AS$74*INDEX('DEFAULT DATA'!$XS$9:$XZ$41,START!$C$3,1))+(AS$75*INDEX('DEFAULT DATA'!$YY$9:$ZF$41,START!$C$3,1)))*AS5/1000000)</f>
        <v>15724.66308812742</v>
      </c>
      <c r="AT79" s="322">
        <f>IF((AT$78-2021)&lt;START!$C$2,0,((AT$73*INDEX('DEFAULT DATA'!$AGI$9:$AGP$41,START!$C$3,1))+(AT$74*INDEX('DEFAULT DATA'!$XS$9:$XZ$41,START!$C$3,1))+(AT$75*INDEX('DEFAULT DATA'!$YY$9:$ZF$41,START!$C$3,1)))*AT5/1000000)</f>
        <v>15567.416457246145</v>
      </c>
      <c r="AU79" s="322">
        <f>IF((AU$78-2021)&lt;START!$C$2,0,((AU$73*INDEX('DEFAULT DATA'!$AGI$9:$AGP$41,START!$C$3,1))+(AU$74*INDEX('DEFAULT DATA'!$XS$9:$XZ$41,START!$C$3,1))+(AU$75*INDEX('DEFAULT DATA'!$YY$9:$ZF$41,START!$C$3,1)))*AU5/1000000)</f>
        <v>14711.208552097607</v>
      </c>
      <c r="AV79" s="322">
        <f>IF((AV$78-2021)&lt;START!$C$2,0,((AV$73*INDEX('DEFAULT DATA'!$AGI$9:$AGP$41,START!$C$3,1))+(AV$74*INDEX('DEFAULT DATA'!$XS$9:$XZ$41,START!$C$3,1))+(AV$75*INDEX('DEFAULT DATA'!$YY$9:$ZF$41,START!$C$3,1)))*AV5/1000000)</f>
        <v>13902.092081732239</v>
      </c>
      <c r="AW79" s="322">
        <f>IF((AW$78-2021)&lt;START!$C$2,0,((AW$73*INDEX('DEFAULT DATA'!$AGI$9:$AGP$41,START!$C$3,1))+(AW$74*INDEX('DEFAULT DATA'!$XS$9:$XZ$41,START!$C$3,1))+(AW$75*INDEX('DEFAULT DATA'!$YY$9:$ZF$41,START!$C$3,1)))*AW5/1000000)</f>
        <v>13137.477017236964</v>
      </c>
      <c r="AX79" s="322">
        <f>IF((AX$78-2021)&lt;START!$C$2,0,((AX$73*INDEX('DEFAULT DATA'!$AGI$9:$AGP$41,START!$C$3,1))+(AX$74*INDEX('DEFAULT DATA'!$XS$9:$XZ$41,START!$C$3,1))+(AX$75*INDEX('DEFAULT DATA'!$YY$9:$ZF$41,START!$C$3,1)))*AX5/1000000)</f>
        <v>12414.915781288932</v>
      </c>
      <c r="AY79" s="322">
        <f>IF((AY$78-2021)&lt;START!$C$2,0,((AY$73*INDEX('DEFAULT DATA'!$AGI$9:$AGP$41,START!$C$3,1))+(AY$74*INDEX('DEFAULT DATA'!$XS$9:$XZ$41,START!$C$3,1))+(AY$75*INDEX('DEFAULT DATA'!$YY$9:$ZF$41,START!$C$3,1)))*AY5/1000000)</f>
        <v>11732.09541331804</v>
      </c>
      <c r="AZ79" s="322">
        <f>IF((AZ$78-2021)&lt;START!$C$2,0,((AZ$73*INDEX('DEFAULT DATA'!$AGI$9:$AGP$41,START!$C$3,1))+(AZ$74*INDEX('DEFAULT DATA'!$XS$9:$XZ$41,START!$C$3,1))+(AZ$75*INDEX('DEFAULT DATA'!$YY$9:$ZF$41,START!$C$3,1)))*AZ5/1000000)</f>
        <v>11086.830165585547</v>
      </c>
      <c r="BA79" s="322">
        <f>IF((BA$78-2021)&lt;START!$C$2,0,((BA$73*INDEX('DEFAULT DATA'!$AGI$9:$AGP$41,START!$C$3,1))+(BA$74*INDEX('DEFAULT DATA'!$XS$9:$XZ$41,START!$C$3,1))+(BA$75*INDEX('DEFAULT DATA'!$YY$9:$ZF$41,START!$C$3,1)))*BA5/1000000)</f>
        <v>10477.05450647834</v>
      </c>
      <c r="BB79" s="322">
        <f>IF((BB$78-2021)&lt;START!$C$2,0,((BB$73*INDEX('DEFAULT DATA'!$AGI$9:$AGP$41,START!$C$3,1))+(BB$74*INDEX('DEFAULT DATA'!$XS$9:$XZ$41,START!$C$3,1))+(BB$75*INDEX('DEFAULT DATA'!$YY$9:$ZF$41,START!$C$3,1)))*BB5/1000000)</f>
        <v>9900.8165086220324</v>
      </c>
      <c r="BC79" s="322">
        <f>IF((BC$78-2021)&lt;START!$C$2,0,((BC$73*INDEX('DEFAULT DATA'!$AGI$9:$AGP$41,START!$C$3,1))+(BC$74*INDEX('DEFAULT DATA'!$XS$9:$XZ$41,START!$C$3,1))+(BC$75*INDEX('DEFAULT DATA'!$YY$9:$ZF$41,START!$C$3,1)))*BC5/1000000)</f>
        <v>9356.2716006478204</v>
      </c>
      <c r="BD79" s="322">
        <f>IF((BD$78-2021)&lt;START!$C$2,0,((BD$73*INDEX('DEFAULT DATA'!$AGI$9:$AGP$41,START!$C$3,1))+(BD$74*INDEX('DEFAULT DATA'!$XS$9:$XZ$41,START!$C$3,1))+(BD$75*INDEX('DEFAULT DATA'!$YY$9:$ZF$41,START!$C$3,1)))*BD5/1000000)</f>
        <v>8841.676662612188</v>
      </c>
      <c r="BE79" s="322">
        <f>IF((BE$78-2021)&lt;START!$C$2,0,((BE$73*INDEX('DEFAULT DATA'!$AGI$9:$AGP$41,START!$C$3,1))+(BE$74*INDEX('DEFAULT DATA'!$XS$9:$XZ$41,START!$C$3,1))+(BE$75*INDEX('DEFAULT DATA'!$YY$9:$ZF$41,START!$C$3,1)))*BE5/1000000)</f>
        <v>8355.3844461685167</v>
      </c>
      <c r="BF79" s="322">
        <f>IF((BF$78-2021)&lt;START!$C$2,0,((BF$73*INDEX('DEFAULT DATA'!$AGI$9:$AGP$41,START!$C$3,1))+(BF$74*INDEX('DEFAULT DATA'!$XS$9:$XZ$41,START!$C$3,1))+(BF$75*INDEX('DEFAULT DATA'!$YY$9:$ZF$41,START!$C$3,1)))*BF5/1000000)</f>
        <v>7895.8383016292473</v>
      </c>
      <c r="BG79" s="322">
        <f>IF((BG$78-2021)&lt;START!$C$2,0,((BG$73*INDEX('DEFAULT DATA'!$AGI$9:$AGP$41,START!$C$3,1))+(BG$74*INDEX('DEFAULT DATA'!$XS$9:$XZ$41,START!$C$3,1))+(BG$75*INDEX('DEFAULT DATA'!$YY$9:$ZF$41,START!$C$3,1)))*BG5/1000000)</f>
        <v>7461.5671950396381</v>
      </c>
      <c r="BH79" s="322">
        <f>IF((BH$78-2021)&lt;START!$C$2,0,((BH$73*INDEX('DEFAULT DATA'!$AGI$9:$AGP$41,START!$C$3,1))+(BH$74*INDEX('DEFAULT DATA'!$XS$9:$XZ$41,START!$C$3,1))+(BH$75*INDEX('DEFAULT DATA'!$YY$9:$ZF$41,START!$C$3,1)))*BH5/1000000)</f>
        <v>7051.1809993124589</v>
      </c>
      <c r="BI79" s="322">
        <f>IF((BI$78-2021)&lt;START!$C$2,0,((BI$73*INDEX('DEFAULT DATA'!$AGI$9:$AGP$41,START!$C$3,1))+(BI$74*INDEX('DEFAULT DATA'!$XS$9:$XZ$41,START!$C$3,1))+(BI$75*INDEX('DEFAULT DATA'!$YY$9:$ZF$41,START!$C$3,1)))*BI5/1000000)</f>
        <v>6663.3660443502731</v>
      </c>
      <c r="BJ79" s="322">
        <f>IF((BJ$78-2021)&lt;START!$C$2,0,((BJ$73*INDEX('DEFAULT DATA'!$AGI$9:$AGP$41,START!$C$3,1))+(BJ$74*INDEX('DEFAULT DATA'!$XS$9:$XZ$41,START!$C$3,1))+(BJ$75*INDEX('DEFAULT DATA'!$YY$9:$ZF$41,START!$C$3,1)))*BJ5/1000000)</f>
        <v>6296.8809119110083</v>
      </c>
      <c r="BK79" s="322">
        <f>IF((BK$78-2021)&lt;START!$C$2,0,((BK$73*INDEX('DEFAULT DATA'!$AGI$9:$AGP$41,START!$C$3,1))+(BK$74*INDEX('DEFAULT DATA'!$XS$9:$XZ$41,START!$C$3,1))+(BK$75*INDEX('DEFAULT DATA'!$YY$9:$ZF$41,START!$C$3,1)))*BK5/1000000)</f>
        <v>5950.5524617559022</v>
      </c>
      <c r="BL79" s="322">
        <f>IF((BL$78-2021)&lt;START!$C$2,0,((BL$73*INDEX('DEFAULT DATA'!$AGI$9:$AGP$41,START!$C$3,1))+(BL$74*INDEX('DEFAULT DATA'!$XS$9:$XZ$41,START!$C$3,1))+(BL$75*INDEX('DEFAULT DATA'!$YY$9:$ZF$41,START!$C$3,1)))*BL5/1000000)</f>
        <v>5623.2720763593261</v>
      </c>
      <c r="BM79" s="322">
        <f>IF((BM$78-2021)&lt;START!$C$2,0,((BM$73*INDEX('DEFAULT DATA'!$AGI$9:$AGP$41,START!$C$3,1))+(BM$74*INDEX('DEFAULT DATA'!$XS$9:$XZ$41,START!$C$3,1))+(BM$75*INDEX('DEFAULT DATA'!$YY$9:$ZF$41,START!$C$3,1)))*BM5/1000000)</f>
        <v>5313.9921121595635</v>
      </c>
      <c r="BN79" s="323">
        <f>IF((BN$78-2021)&lt;START!$C$2,0,((BN$73*INDEX('DEFAULT DATA'!$AGI$9:$AGP$41,START!$C$3,1))+(BN$74*INDEX('DEFAULT DATA'!$XS$9:$XZ$41,START!$C$3,1))+(BN$75*INDEX('DEFAULT DATA'!$YY$9:$ZF$41,START!$C$3,1)))*BN5/1000000)</f>
        <v>5021.7225459907877</v>
      </c>
      <c r="BP79" s="522" t="str">
        <f>AG79</f>
        <v>Electricity</v>
      </c>
      <c r="BQ79" s="526" t="s">
        <v>1736</v>
      </c>
      <c r="BR79" s="527"/>
      <c r="BS79" s="527"/>
      <c r="BT79" s="527"/>
      <c r="BU79" s="527"/>
      <c r="BV79" s="527"/>
      <c r="BW79" s="527"/>
      <c r="BX79" s="527"/>
      <c r="BY79" s="527"/>
      <c r="BZ79" s="527"/>
      <c r="CA79" s="527"/>
      <c r="CB79" s="527"/>
      <c r="CC79" s="527"/>
      <c r="CD79" s="527"/>
      <c r="CE79" s="528"/>
      <c r="CF79" s="529" t="s">
        <v>1659</v>
      </c>
      <c r="CG79" s="529" t="s">
        <v>1667</v>
      </c>
      <c r="CH79" s="529" t="s">
        <v>1675</v>
      </c>
      <c r="CI79" s="529" t="s">
        <v>1599</v>
      </c>
    </row>
    <row r="80" spans="1:87" ht="20.100000000000001" customHeight="1">
      <c r="A80" s="225" t="s">
        <v>1243</v>
      </c>
      <c r="B80" s="30"/>
      <c r="C80" s="30"/>
      <c r="D80" s="30"/>
      <c r="E80" s="30"/>
      <c r="F80" s="30"/>
      <c r="G80" s="30"/>
      <c r="H80" s="30"/>
      <c r="I80" s="30"/>
      <c r="J80" s="30"/>
      <c r="K80" s="21"/>
      <c r="L80" s="29"/>
      <c r="M80" s="968"/>
      <c r="N80" s="971"/>
      <c r="O80" s="971"/>
      <c r="P80" s="971"/>
      <c r="Q80" s="971"/>
      <c r="R80" s="971"/>
      <c r="S80" s="971"/>
      <c r="T80" s="971"/>
      <c r="U80" s="971"/>
      <c r="V80" s="971"/>
      <c r="W80" s="971"/>
      <c r="X80" s="971"/>
      <c r="Y80" s="971"/>
      <c r="Z80" s="971"/>
      <c r="AA80" s="971"/>
      <c r="AB80" s="971"/>
      <c r="AC80" s="971"/>
      <c r="AD80" s="971"/>
      <c r="AE80" s="971"/>
      <c r="AF80" s="1492"/>
      <c r="AG80" s="1513" t="s">
        <v>1220</v>
      </c>
      <c r="AH80" s="1514"/>
      <c r="AI80" s="1514"/>
      <c r="AJ80" s="1515"/>
      <c r="AK80" s="220">
        <v>0</v>
      </c>
      <c r="AL80" s="272">
        <f>IF((AL$78-2021)&lt;START!$C$2,0,((AL$73*INDEX('DEFAULT DATA'!$AGI$9:$AGP$41,START!$C$3,2))+(AL$74*INDEX('DEFAULT DATA'!$XS$9:$XZ$41,START!$C$3,2))+(AL$75*INDEX('DEFAULT DATA'!$YY$9:$ZF$41,START!$C$3,2)))*INDEX('DEFAULT DATA'!$VD$9:$VK$41,START!$C$3,2)/1000000)</f>
        <v>0</v>
      </c>
      <c r="AM80" s="272">
        <f>IF((AM$78-2021)&lt;START!$C$2,0,((AM$73*INDEX('DEFAULT DATA'!$AGI$9:$AGP$41,START!$C$3,2))+(AM$74*INDEX('DEFAULT DATA'!$XS$9:$XZ$41,START!$C$3,2))+(AM$75*INDEX('DEFAULT DATA'!$YY$9:$ZF$41,START!$C$3,2)))*INDEX('DEFAULT DATA'!$VD$9:$VK$41,START!$C$3,2)/1000000)</f>
        <v>955.66560458246352</v>
      </c>
      <c r="AN80" s="272">
        <f>IF((AN$78-2021)&lt;START!$C$2,0,((AN$73*INDEX('DEFAULT DATA'!$AGI$9:$AGP$41,START!$C$3,2))+(AN$74*INDEX('DEFAULT DATA'!$XS$9:$XZ$41,START!$C$3,2))+(AN$75*INDEX('DEFAULT DATA'!$YY$9:$ZF$41,START!$C$3,2)))*INDEX('DEFAULT DATA'!$VD$9:$VK$41,START!$C$3,2)/1000000)</f>
        <v>955.66560458246352</v>
      </c>
      <c r="AO80" s="272">
        <f>IF((AO$78-2021)&lt;START!$C$2,0,((AO$73*INDEX('DEFAULT DATA'!$AGI$9:$AGP$41,START!$C$3,2))+(AO$74*INDEX('DEFAULT DATA'!$XS$9:$XZ$41,START!$C$3,2))+(AO$75*INDEX('DEFAULT DATA'!$YY$9:$ZF$41,START!$C$3,2)))*INDEX('DEFAULT DATA'!$VD$9:$VK$41,START!$C$3,2)/1000000)</f>
        <v>955.66560458246352</v>
      </c>
      <c r="AP80" s="272">
        <f>IF((AP$78-2021)&lt;START!$C$2,0,((AP$73*INDEX('DEFAULT DATA'!$AGI$9:$AGP$41,START!$C$3,2))+(AP$74*INDEX('DEFAULT DATA'!$XS$9:$XZ$41,START!$C$3,2))+(AP$75*INDEX('DEFAULT DATA'!$YY$9:$ZF$41,START!$C$3,2)))*INDEX('DEFAULT DATA'!$VD$9:$VK$41,START!$C$3,2)/1000000)</f>
        <v>955.66560458246352</v>
      </c>
      <c r="AQ80" s="272">
        <f>IF((AQ$78-2021)&lt;START!$C$2,0,((AQ$73*INDEX('DEFAULT DATA'!$AGI$9:$AGP$41,START!$C$3,2))+(AQ$74*INDEX('DEFAULT DATA'!$XS$9:$XZ$41,START!$C$3,2))+(AQ$75*INDEX('DEFAULT DATA'!$YY$9:$ZF$41,START!$C$3,2)))*INDEX('DEFAULT DATA'!$VD$9:$VK$41,START!$C$3,2)/1000000)</f>
        <v>955.66560458246352</v>
      </c>
      <c r="AR80" s="272">
        <f>IF((AR$78-2021)&lt;START!$C$2,0,((AR$73*INDEX('DEFAULT DATA'!$AGI$9:$AGP$41,START!$C$3,2))+(AR$74*INDEX('DEFAULT DATA'!$XS$9:$XZ$41,START!$C$3,2))+(AR$75*INDEX('DEFAULT DATA'!$YY$9:$ZF$41,START!$C$3,2)))*INDEX('DEFAULT DATA'!$VD$9:$VK$41,START!$C$3,2)/1000000)</f>
        <v>955.66560458246352</v>
      </c>
      <c r="AS80" s="272">
        <f>IF((AS$78-2021)&lt;START!$C$2,0,((AS$73*INDEX('DEFAULT DATA'!$AGI$9:$AGP$41,START!$C$3,2))+(AS$74*INDEX('DEFAULT DATA'!$XS$9:$XZ$41,START!$C$3,2))+(AS$75*INDEX('DEFAULT DATA'!$YY$9:$ZF$41,START!$C$3,2)))*INDEX('DEFAULT DATA'!$VD$9:$VK$41,START!$C$3,2)/1000000)</f>
        <v>955.66560458246352</v>
      </c>
      <c r="AT80" s="272">
        <f>IF((AT$78-2021)&lt;START!$C$2,0,((AT$73*INDEX('DEFAULT DATA'!$AGI$9:$AGP$41,START!$C$3,2))+(AT$74*INDEX('DEFAULT DATA'!$XS$9:$XZ$41,START!$C$3,2))+(AT$75*INDEX('DEFAULT DATA'!$YY$9:$ZF$41,START!$C$3,2)))*INDEX('DEFAULT DATA'!$VD$9:$VK$41,START!$C$3,2)/1000000)</f>
        <v>955.66560458246352</v>
      </c>
      <c r="AU80" s="272">
        <f>IF((AU$78-2021)&lt;START!$C$2,0,((AU$73*INDEX('DEFAULT DATA'!$AGI$9:$AGP$41,START!$C$3,2))+(AU$74*INDEX('DEFAULT DATA'!$XS$9:$XZ$41,START!$C$3,2))+(AU$75*INDEX('DEFAULT DATA'!$YY$9:$ZF$41,START!$C$3,2)))*INDEX('DEFAULT DATA'!$VD$9:$VK$41,START!$C$3,2)/1000000)</f>
        <v>955.66560458246352</v>
      </c>
      <c r="AV80" s="272">
        <f>IF((AV$78-2021)&lt;START!$C$2,0,((AV$73*INDEX('DEFAULT DATA'!$AGI$9:$AGP$41,START!$C$3,2))+(AV$74*INDEX('DEFAULT DATA'!$XS$9:$XZ$41,START!$C$3,2))+(AV$75*INDEX('DEFAULT DATA'!$YY$9:$ZF$41,START!$C$3,2)))*INDEX('DEFAULT DATA'!$VD$9:$VK$41,START!$C$3,2)/1000000)</f>
        <v>955.66560458246352</v>
      </c>
      <c r="AW80" s="272">
        <f>IF((AW$78-2021)&lt;START!$C$2,0,((AW$73*INDEX('DEFAULT DATA'!$AGI$9:$AGP$41,START!$C$3,2))+(AW$74*INDEX('DEFAULT DATA'!$XS$9:$XZ$41,START!$C$3,2))+(AW$75*INDEX('DEFAULT DATA'!$YY$9:$ZF$41,START!$C$3,2)))*INDEX('DEFAULT DATA'!$VD$9:$VK$41,START!$C$3,2)/1000000)</f>
        <v>955.66560458246352</v>
      </c>
      <c r="AX80" s="272">
        <f>IF((AX$78-2021)&lt;START!$C$2,0,((AX$73*INDEX('DEFAULT DATA'!$AGI$9:$AGP$41,START!$C$3,2))+(AX$74*INDEX('DEFAULT DATA'!$XS$9:$XZ$41,START!$C$3,2))+(AX$75*INDEX('DEFAULT DATA'!$YY$9:$ZF$41,START!$C$3,2)))*INDEX('DEFAULT DATA'!$VD$9:$VK$41,START!$C$3,2)/1000000)</f>
        <v>955.66560458246352</v>
      </c>
      <c r="AY80" s="272">
        <f>IF((AY$78-2021)&lt;START!$C$2,0,((AY$73*INDEX('DEFAULT DATA'!$AGI$9:$AGP$41,START!$C$3,2))+(AY$74*INDEX('DEFAULT DATA'!$XS$9:$XZ$41,START!$C$3,2))+(AY$75*INDEX('DEFAULT DATA'!$YY$9:$ZF$41,START!$C$3,2)))*INDEX('DEFAULT DATA'!$VD$9:$VK$41,START!$C$3,2)/1000000)</f>
        <v>955.66560458246352</v>
      </c>
      <c r="AZ80" s="272">
        <f>IF((AZ$78-2021)&lt;START!$C$2,0,((AZ$73*INDEX('DEFAULT DATA'!$AGI$9:$AGP$41,START!$C$3,2))+(AZ$74*INDEX('DEFAULT DATA'!$XS$9:$XZ$41,START!$C$3,2))+(AZ$75*INDEX('DEFAULT DATA'!$YY$9:$ZF$41,START!$C$3,2)))*INDEX('DEFAULT DATA'!$VD$9:$VK$41,START!$C$3,2)/1000000)</f>
        <v>955.66560458246352</v>
      </c>
      <c r="BA80" s="272">
        <f>IF((BA$78-2021)&lt;START!$C$2,0,((BA$73*INDEX('DEFAULT DATA'!$AGI$9:$AGP$41,START!$C$3,2))+(BA$74*INDEX('DEFAULT DATA'!$XS$9:$XZ$41,START!$C$3,2))+(BA$75*INDEX('DEFAULT DATA'!$YY$9:$ZF$41,START!$C$3,2)))*INDEX('DEFAULT DATA'!$VD$9:$VK$41,START!$C$3,2)/1000000)</f>
        <v>955.66560458246352</v>
      </c>
      <c r="BB80" s="272">
        <f>IF((BB$78-2021)&lt;START!$C$2,0,((BB$73*INDEX('DEFAULT DATA'!$AGI$9:$AGP$41,START!$C$3,2))+(BB$74*INDEX('DEFAULT DATA'!$XS$9:$XZ$41,START!$C$3,2))+(BB$75*INDEX('DEFAULT DATA'!$YY$9:$ZF$41,START!$C$3,2)))*INDEX('DEFAULT DATA'!$VD$9:$VK$41,START!$C$3,2)/1000000)</f>
        <v>955.66560458246352</v>
      </c>
      <c r="BC80" s="272">
        <f>IF((BC$78-2021)&lt;START!$C$2,0,((BC$73*INDEX('DEFAULT DATA'!$AGI$9:$AGP$41,START!$C$3,2))+(BC$74*INDEX('DEFAULT DATA'!$XS$9:$XZ$41,START!$C$3,2))+(BC$75*INDEX('DEFAULT DATA'!$YY$9:$ZF$41,START!$C$3,2)))*INDEX('DEFAULT DATA'!$VD$9:$VK$41,START!$C$3,2)/1000000)</f>
        <v>955.66560458246352</v>
      </c>
      <c r="BD80" s="272">
        <f>IF((BD$78-2021)&lt;START!$C$2,0,((BD$73*INDEX('DEFAULT DATA'!$AGI$9:$AGP$41,START!$C$3,2))+(BD$74*INDEX('DEFAULT DATA'!$XS$9:$XZ$41,START!$C$3,2))+(BD$75*INDEX('DEFAULT DATA'!$YY$9:$ZF$41,START!$C$3,2)))*INDEX('DEFAULT DATA'!$VD$9:$VK$41,START!$C$3,2)/1000000)</f>
        <v>955.66560458246352</v>
      </c>
      <c r="BE80" s="272">
        <f>IF((BE$78-2021)&lt;START!$C$2,0,((BE$73*INDEX('DEFAULT DATA'!$AGI$9:$AGP$41,START!$C$3,2))+(BE$74*INDEX('DEFAULT DATA'!$XS$9:$XZ$41,START!$C$3,2))+(BE$75*INDEX('DEFAULT DATA'!$YY$9:$ZF$41,START!$C$3,2)))*INDEX('DEFAULT DATA'!$VD$9:$VK$41,START!$C$3,2)/1000000)</f>
        <v>955.66560458246352</v>
      </c>
      <c r="BF80" s="272">
        <f>IF((BF$78-2021)&lt;START!$C$2,0,((BF$73*INDEX('DEFAULT DATA'!$AGI$9:$AGP$41,START!$C$3,2))+(BF$74*INDEX('DEFAULT DATA'!$XS$9:$XZ$41,START!$C$3,2))+(BF$75*INDEX('DEFAULT DATA'!$YY$9:$ZF$41,START!$C$3,2)))*INDEX('DEFAULT DATA'!$VD$9:$VK$41,START!$C$3,2)/1000000)</f>
        <v>955.66560458246352</v>
      </c>
      <c r="BG80" s="272">
        <f>IF((BG$78-2021)&lt;START!$C$2,0,((BG$73*INDEX('DEFAULT DATA'!$AGI$9:$AGP$41,START!$C$3,2))+(BG$74*INDEX('DEFAULT DATA'!$XS$9:$XZ$41,START!$C$3,2))+(BG$75*INDEX('DEFAULT DATA'!$YY$9:$ZF$41,START!$C$3,2)))*INDEX('DEFAULT DATA'!$VD$9:$VK$41,START!$C$3,2)/1000000)</f>
        <v>955.66560458246352</v>
      </c>
      <c r="BH80" s="272">
        <f>IF((BH$78-2021)&lt;START!$C$2,0,((BH$73*INDEX('DEFAULT DATA'!$AGI$9:$AGP$41,START!$C$3,2))+(BH$74*INDEX('DEFAULT DATA'!$XS$9:$XZ$41,START!$C$3,2))+(BH$75*INDEX('DEFAULT DATA'!$YY$9:$ZF$41,START!$C$3,2)))*INDEX('DEFAULT DATA'!$VD$9:$VK$41,START!$C$3,2)/1000000)</f>
        <v>955.66560458246352</v>
      </c>
      <c r="BI80" s="272">
        <f>IF((BI$78-2021)&lt;START!$C$2,0,((BI$73*INDEX('DEFAULT DATA'!$AGI$9:$AGP$41,START!$C$3,2))+(BI$74*INDEX('DEFAULT DATA'!$XS$9:$XZ$41,START!$C$3,2))+(BI$75*INDEX('DEFAULT DATA'!$YY$9:$ZF$41,START!$C$3,2)))*INDEX('DEFAULT DATA'!$VD$9:$VK$41,START!$C$3,2)/1000000)</f>
        <v>955.66560458246352</v>
      </c>
      <c r="BJ80" s="272">
        <f>IF((BJ$78-2021)&lt;START!$C$2,0,((BJ$73*INDEX('DEFAULT DATA'!$AGI$9:$AGP$41,START!$C$3,2))+(BJ$74*INDEX('DEFAULT DATA'!$XS$9:$XZ$41,START!$C$3,2))+(BJ$75*INDEX('DEFAULT DATA'!$YY$9:$ZF$41,START!$C$3,2)))*INDEX('DEFAULT DATA'!$VD$9:$VK$41,START!$C$3,2)/1000000)</f>
        <v>955.66560458246352</v>
      </c>
      <c r="BK80" s="272">
        <f>IF((BK$78-2021)&lt;START!$C$2,0,((BK$73*INDEX('DEFAULT DATA'!$AGI$9:$AGP$41,START!$C$3,2))+(BK$74*INDEX('DEFAULT DATA'!$XS$9:$XZ$41,START!$C$3,2))+(BK$75*INDEX('DEFAULT DATA'!$YY$9:$ZF$41,START!$C$3,2)))*INDEX('DEFAULT DATA'!$VD$9:$VK$41,START!$C$3,2)/1000000)</f>
        <v>955.66560458246352</v>
      </c>
      <c r="BL80" s="272">
        <f>IF((BL$78-2021)&lt;START!$C$2,0,((BL$73*INDEX('DEFAULT DATA'!$AGI$9:$AGP$41,START!$C$3,2))+(BL$74*INDEX('DEFAULT DATA'!$XS$9:$XZ$41,START!$C$3,2))+(BL$75*INDEX('DEFAULT DATA'!$YY$9:$ZF$41,START!$C$3,2)))*INDEX('DEFAULT DATA'!$VD$9:$VK$41,START!$C$3,2)/1000000)</f>
        <v>955.66560458246352</v>
      </c>
      <c r="BM80" s="272">
        <f>IF((BM$78-2021)&lt;START!$C$2,0,((BM$73*INDEX('DEFAULT DATA'!$AGI$9:$AGP$41,START!$C$3,2))+(BM$74*INDEX('DEFAULT DATA'!$XS$9:$XZ$41,START!$C$3,2))+(BM$75*INDEX('DEFAULT DATA'!$YY$9:$ZF$41,START!$C$3,2)))*INDEX('DEFAULT DATA'!$VD$9:$VK$41,START!$C$3,2)/1000000)</f>
        <v>955.66560458246352</v>
      </c>
      <c r="BN80" s="324">
        <f>IF((BN$78-2021)&lt;START!$C$2,0,((BN$73*INDEX('DEFAULT DATA'!$AGI$9:$AGP$41,START!$C$3,2))+(BN$74*INDEX('DEFAULT DATA'!$XS$9:$XZ$41,START!$C$3,2))+(BN$75*INDEX('DEFAULT DATA'!$YY$9:$ZF$41,START!$C$3,2)))*INDEX('DEFAULT DATA'!$VD$9:$VK$41,START!$C$3,2)/1000000)</f>
        <v>955.66560458246352</v>
      </c>
      <c r="BP80" s="524" t="str">
        <f t="shared" ref="BP80:BP86" si="20">AG80</f>
        <v>Gas</v>
      </c>
      <c r="BQ80" s="530" t="s">
        <v>1737</v>
      </c>
      <c r="BR80" s="531"/>
      <c r="BS80" s="531"/>
      <c r="BT80" s="531"/>
      <c r="BU80" s="531"/>
      <c r="BV80" s="531"/>
      <c r="BW80" s="531"/>
      <c r="BX80" s="531"/>
      <c r="BY80" s="531"/>
      <c r="BZ80" s="531"/>
      <c r="CA80" s="531"/>
      <c r="CB80" s="531"/>
      <c r="CC80" s="531"/>
      <c r="CD80" s="531"/>
      <c r="CE80" s="532"/>
      <c r="CF80" s="529" t="s">
        <v>1660</v>
      </c>
      <c r="CG80" s="529" t="s">
        <v>1668</v>
      </c>
      <c r="CH80" s="529" t="s">
        <v>1676</v>
      </c>
      <c r="CI80" s="529" t="s">
        <v>1248</v>
      </c>
    </row>
    <row r="81" spans="1:87" ht="20.100000000000001" customHeight="1">
      <c r="A81" s="55"/>
      <c r="B81" s="29"/>
      <c r="C81" s="29"/>
      <c r="D81" s="1517" t="s">
        <v>1353</v>
      </c>
      <c r="E81" s="1517"/>
      <c r="F81" s="1518" t="s">
        <v>1448</v>
      </c>
      <c r="G81" s="29"/>
      <c r="H81" s="29"/>
      <c r="I81" s="29"/>
      <c r="J81" s="29"/>
      <c r="K81" s="22"/>
      <c r="L81" s="29"/>
      <c r="M81" s="968"/>
      <c r="N81" s="971"/>
      <c r="O81" s="971"/>
      <c r="P81" s="971"/>
      <c r="Q81" s="971"/>
      <c r="R81" s="971"/>
      <c r="S81" s="971"/>
      <c r="T81" s="971"/>
      <c r="U81" s="971"/>
      <c r="V81" s="971"/>
      <c r="W81" s="971"/>
      <c r="X81" s="971"/>
      <c r="Y81" s="971"/>
      <c r="Z81" s="971"/>
      <c r="AA81" s="971"/>
      <c r="AB81" s="971"/>
      <c r="AC81" s="971"/>
      <c r="AD81" s="971"/>
      <c r="AE81" s="971"/>
      <c r="AF81" s="1492"/>
      <c r="AG81" s="1513" t="s">
        <v>1221</v>
      </c>
      <c r="AH81" s="1514"/>
      <c r="AI81" s="1514"/>
      <c r="AJ81" s="1515"/>
      <c r="AK81" s="220">
        <v>0</v>
      </c>
      <c r="AL81" s="272">
        <f>IF((AL$78-2021)&lt;START!$C$2,0,((AL$73*INDEX('DEFAULT DATA'!$AGI$9:$AGP$41,START!$C$3,3))+(AL$74*INDEX('DEFAULT DATA'!$XS$9:$XZ$41,START!$C$3,3))+(AL$75*INDEX('DEFAULT DATA'!$YY$9:$ZF$41,START!$C$3,3)))*INDEX('DEFAULT DATA'!$VD$9:$VK$41,START!$C$3,3)/1000000)</f>
        <v>0</v>
      </c>
      <c r="AM81" s="272">
        <f>IF((AM$78-2021)&lt;START!$C$2,0,((AM$73*INDEX('DEFAULT DATA'!$AGI$9:$AGP$41,START!$C$3,3))+(AM$74*INDEX('DEFAULT DATA'!$XS$9:$XZ$41,START!$C$3,3))+(AM$75*INDEX('DEFAULT DATA'!$YY$9:$ZF$41,START!$C$3,3)))*INDEX('DEFAULT DATA'!$VD$9:$VK$41,START!$C$3,3)/1000000)</f>
        <v>10559.631828851774</v>
      </c>
      <c r="AN81" s="272">
        <f>IF((AN$78-2021)&lt;START!$C$2,0,((AN$73*INDEX('DEFAULT DATA'!$AGI$9:$AGP$41,START!$C$3,3))+(AN$74*INDEX('DEFAULT DATA'!$XS$9:$XZ$41,START!$C$3,3))+(AN$75*INDEX('DEFAULT DATA'!$YY$9:$ZF$41,START!$C$3,3)))*INDEX('DEFAULT DATA'!$VD$9:$VK$41,START!$C$3,3)/1000000)</f>
        <v>10559.631828851774</v>
      </c>
      <c r="AO81" s="272">
        <f>IF((AO$78-2021)&lt;START!$C$2,0,((AO$73*INDEX('DEFAULT DATA'!$AGI$9:$AGP$41,START!$C$3,3))+(AO$74*INDEX('DEFAULT DATA'!$XS$9:$XZ$41,START!$C$3,3))+(AO$75*INDEX('DEFAULT DATA'!$YY$9:$ZF$41,START!$C$3,3)))*INDEX('DEFAULT DATA'!$VD$9:$VK$41,START!$C$3,3)/1000000)</f>
        <v>10559.631828851774</v>
      </c>
      <c r="AP81" s="272">
        <f>IF((AP$78-2021)&lt;START!$C$2,0,((AP$73*INDEX('DEFAULT DATA'!$AGI$9:$AGP$41,START!$C$3,3))+(AP$74*INDEX('DEFAULT DATA'!$XS$9:$XZ$41,START!$C$3,3))+(AP$75*INDEX('DEFAULT DATA'!$YY$9:$ZF$41,START!$C$3,3)))*INDEX('DEFAULT DATA'!$VD$9:$VK$41,START!$C$3,3)/1000000)</f>
        <v>10559.631828851774</v>
      </c>
      <c r="AQ81" s="272">
        <f>IF((AQ$78-2021)&lt;START!$C$2,0,((AQ$73*INDEX('DEFAULT DATA'!$AGI$9:$AGP$41,START!$C$3,3))+(AQ$74*INDEX('DEFAULT DATA'!$XS$9:$XZ$41,START!$C$3,3))+(AQ$75*INDEX('DEFAULT DATA'!$YY$9:$ZF$41,START!$C$3,3)))*INDEX('DEFAULT DATA'!$VD$9:$VK$41,START!$C$3,3)/1000000)</f>
        <v>10559.631828851774</v>
      </c>
      <c r="AR81" s="272">
        <f>IF((AR$78-2021)&lt;START!$C$2,0,((AR$73*INDEX('DEFAULT DATA'!$AGI$9:$AGP$41,START!$C$3,3))+(AR$74*INDEX('DEFAULT DATA'!$XS$9:$XZ$41,START!$C$3,3))+(AR$75*INDEX('DEFAULT DATA'!$YY$9:$ZF$41,START!$C$3,3)))*INDEX('DEFAULT DATA'!$VD$9:$VK$41,START!$C$3,3)/1000000)</f>
        <v>10559.631828851774</v>
      </c>
      <c r="AS81" s="272">
        <f>IF((AS$78-2021)&lt;START!$C$2,0,((AS$73*INDEX('DEFAULT DATA'!$AGI$9:$AGP$41,START!$C$3,3))+(AS$74*INDEX('DEFAULT DATA'!$XS$9:$XZ$41,START!$C$3,3))+(AS$75*INDEX('DEFAULT DATA'!$YY$9:$ZF$41,START!$C$3,3)))*INDEX('DEFAULT DATA'!$VD$9:$VK$41,START!$C$3,3)/1000000)</f>
        <v>10559.631828851774</v>
      </c>
      <c r="AT81" s="272">
        <f>IF((AT$78-2021)&lt;START!$C$2,0,((AT$73*INDEX('DEFAULT DATA'!$AGI$9:$AGP$41,START!$C$3,3))+(AT$74*INDEX('DEFAULT DATA'!$XS$9:$XZ$41,START!$C$3,3))+(AT$75*INDEX('DEFAULT DATA'!$YY$9:$ZF$41,START!$C$3,3)))*INDEX('DEFAULT DATA'!$VD$9:$VK$41,START!$C$3,3)/1000000)</f>
        <v>10559.631828851774</v>
      </c>
      <c r="AU81" s="272">
        <f>IF((AU$78-2021)&lt;START!$C$2,0,((AU$73*INDEX('DEFAULT DATA'!$AGI$9:$AGP$41,START!$C$3,3))+(AU$74*INDEX('DEFAULT DATA'!$XS$9:$XZ$41,START!$C$3,3))+(AU$75*INDEX('DEFAULT DATA'!$YY$9:$ZF$41,START!$C$3,3)))*INDEX('DEFAULT DATA'!$VD$9:$VK$41,START!$C$3,3)/1000000)</f>
        <v>10559.631828851774</v>
      </c>
      <c r="AV81" s="272">
        <f>IF((AV$78-2021)&lt;START!$C$2,0,((AV$73*INDEX('DEFAULT DATA'!$AGI$9:$AGP$41,START!$C$3,3))+(AV$74*INDEX('DEFAULT DATA'!$XS$9:$XZ$41,START!$C$3,3))+(AV$75*INDEX('DEFAULT DATA'!$YY$9:$ZF$41,START!$C$3,3)))*INDEX('DEFAULT DATA'!$VD$9:$VK$41,START!$C$3,3)/1000000)</f>
        <v>10559.631828851774</v>
      </c>
      <c r="AW81" s="272">
        <f>IF((AW$78-2021)&lt;START!$C$2,0,((AW$73*INDEX('DEFAULT DATA'!$AGI$9:$AGP$41,START!$C$3,3))+(AW$74*INDEX('DEFAULT DATA'!$XS$9:$XZ$41,START!$C$3,3))+(AW$75*INDEX('DEFAULT DATA'!$YY$9:$ZF$41,START!$C$3,3)))*INDEX('DEFAULT DATA'!$VD$9:$VK$41,START!$C$3,3)/1000000)</f>
        <v>10559.631828851774</v>
      </c>
      <c r="AX81" s="272">
        <f>IF((AX$78-2021)&lt;START!$C$2,0,((AX$73*INDEX('DEFAULT DATA'!$AGI$9:$AGP$41,START!$C$3,3))+(AX$74*INDEX('DEFAULT DATA'!$XS$9:$XZ$41,START!$C$3,3))+(AX$75*INDEX('DEFAULT DATA'!$YY$9:$ZF$41,START!$C$3,3)))*INDEX('DEFAULT DATA'!$VD$9:$VK$41,START!$C$3,3)/1000000)</f>
        <v>10559.631828851774</v>
      </c>
      <c r="AY81" s="272">
        <f>IF((AY$78-2021)&lt;START!$C$2,0,((AY$73*INDEX('DEFAULT DATA'!$AGI$9:$AGP$41,START!$C$3,3))+(AY$74*INDEX('DEFAULT DATA'!$XS$9:$XZ$41,START!$C$3,3))+(AY$75*INDEX('DEFAULT DATA'!$YY$9:$ZF$41,START!$C$3,3)))*INDEX('DEFAULT DATA'!$VD$9:$VK$41,START!$C$3,3)/1000000)</f>
        <v>10559.631828851774</v>
      </c>
      <c r="AZ81" s="272">
        <f>IF((AZ$78-2021)&lt;START!$C$2,0,((AZ$73*INDEX('DEFAULT DATA'!$AGI$9:$AGP$41,START!$C$3,3))+(AZ$74*INDEX('DEFAULT DATA'!$XS$9:$XZ$41,START!$C$3,3))+(AZ$75*INDEX('DEFAULT DATA'!$YY$9:$ZF$41,START!$C$3,3)))*INDEX('DEFAULT DATA'!$VD$9:$VK$41,START!$C$3,3)/1000000)</f>
        <v>10559.631828851774</v>
      </c>
      <c r="BA81" s="272">
        <f>IF((BA$78-2021)&lt;START!$C$2,0,((BA$73*INDEX('DEFAULT DATA'!$AGI$9:$AGP$41,START!$C$3,3))+(BA$74*INDEX('DEFAULT DATA'!$XS$9:$XZ$41,START!$C$3,3))+(BA$75*INDEX('DEFAULT DATA'!$YY$9:$ZF$41,START!$C$3,3)))*INDEX('DEFAULT DATA'!$VD$9:$VK$41,START!$C$3,3)/1000000)</f>
        <v>10559.631828851774</v>
      </c>
      <c r="BB81" s="272">
        <f>IF((BB$78-2021)&lt;START!$C$2,0,((BB$73*INDEX('DEFAULT DATA'!$AGI$9:$AGP$41,START!$C$3,3))+(BB$74*INDEX('DEFAULT DATA'!$XS$9:$XZ$41,START!$C$3,3))+(BB$75*INDEX('DEFAULT DATA'!$YY$9:$ZF$41,START!$C$3,3)))*INDEX('DEFAULT DATA'!$VD$9:$VK$41,START!$C$3,3)/1000000)</f>
        <v>10559.631828851774</v>
      </c>
      <c r="BC81" s="272">
        <f>IF((BC$78-2021)&lt;START!$C$2,0,((BC$73*INDEX('DEFAULT DATA'!$AGI$9:$AGP$41,START!$C$3,3))+(BC$74*INDEX('DEFAULT DATA'!$XS$9:$XZ$41,START!$C$3,3))+(BC$75*INDEX('DEFAULT DATA'!$YY$9:$ZF$41,START!$C$3,3)))*INDEX('DEFAULT DATA'!$VD$9:$VK$41,START!$C$3,3)/1000000)</f>
        <v>10559.631828851774</v>
      </c>
      <c r="BD81" s="272">
        <f>IF((BD$78-2021)&lt;START!$C$2,0,((BD$73*INDEX('DEFAULT DATA'!$AGI$9:$AGP$41,START!$C$3,3))+(BD$74*INDEX('DEFAULT DATA'!$XS$9:$XZ$41,START!$C$3,3))+(BD$75*INDEX('DEFAULT DATA'!$YY$9:$ZF$41,START!$C$3,3)))*INDEX('DEFAULT DATA'!$VD$9:$VK$41,START!$C$3,3)/1000000)</f>
        <v>10559.631828851774</v>
      </c>
      <c r="BE81" s="272">
        <f>IF((BE$78-2021)&lt;START!$C$2,0,((BE$73*INDEX('DEFAULT DATA'!$AGI$9:$AGP$41,START!$C$3,3))+(BE$74*INDEX('DEFAULT DATA'!$XS$9:$XZ$41,START!$C$3,3))+(BE$75*INDEX('DEFAULT DATA'!$YY$9:$ZF$41,START!$C$3,3)))*INDEX('DEFAULT DATA'!$VD$9:$VK$41,START!$C$3,3)/1000000)</f>
        <v>10559.631828851774</v>
      </c>
      <c r="BF81" s="272">
        <f>IF((BF$78-2021)&lt;START!$C$2,0,((BF$73*INDEX('DEFAULT DATA'!$AGI$9:$AGP$41,START!$C$3,3))+(BF$74*INDEX('DEFAULT DATA'!$XS$9:$XZ$41,START!$C$3,3))+(BF$75*INDEX('DEFAULT DATA'!$YY$9:$ZF$41,START!$C$3,3)))*INDEX('DEFAULT DATA'!$VD$9:$VK$41,START!$C$3,3)/1000000)</f>
        <v>10559.631828851774</v>
      </c>
      <c r="BG81" s="272">
        <f>IF((BG$78-2021)&lt;START!$C$2,0,((BG$73*INDEX('DEFAULT DATA'!$AGI$9:$AGP$41,START!$C$3,3))+(BG$74*INDEX('DEFAULT DATA'!$XS$9:$XZ$41,START!$C$3,3))+(BG$75*INDEX('DEFAULT DATA'!$YY$9:$ZF$41,START!$C$3,3)))*INDEX('DEFAULT DATA'!$VD$9:$VK$41,START!$C$3,3)/1000000)</f>
        <v>10559.631828851774</v>
      </c>
      <c r="BH81" s="272">
        <f>IF((BH$78-2021)&lt;START!$C$2,0,((BH$73*INDEX('DEFAULT DATA'!$AGI$9:$AGP$41,START!$C$3,3))+(BH$74*INDEX('DEFAULT DATA'!$XS$9:$XZ$41,START!$C$3,3))+(BH$75*INDEX('DEFAULT DATA'!$YY$9:$ZF$41,START!$C$3,3)))*INDEX('DEFAULT DATA'!$VD$9:$VK$41,START!$C$3,3)/1000000)</f>
        <v>10559.631828851774</v>
      </c>
      <c r="BI81" s="272">
        <f>IF((BI$78-2021)&lt;START!$C$2,0,((BI$73*INDEX('DEFAULT DATA'!$AGI$9:$AGP$41,START!$C$3,3))+(BI$74*INDEX('DEFAULT DATA'!$XS$9:$XZ$41,START!$C$3,3))+(BI$75*INDEX('DEFAULT DATA'!$YY$9:$ZF$41,START!$C$3,3)))*INDEX('DEFAULT DATA'!$VD$9:$VK$41,START!$C$3,3)/1000000)</f>
        <v>10559.631828851774</v>
      </c>
      <c r="BJ81" s="272">
        <f>IF((BJ$78-2021)&lt;START!$C$2,0,((BJ$73*INDEX('DEFAULT DATA'!$AGI$9:$AGP$41,START!$C$3,3))+(BJ$74*INDEX('DEFAULT DATA'!$XS$9:$XZ$41,START!$C$3,3))+(BJ$75*INDEX('DEFAULT DATA'!$YY$9:$ZF$41,START!$C$3,3)))*INDEX('DEFAULT DATA'!$VD$9:$VK$41,START!$C$3,3)/1000000)</f>
        <v>10559.631828851774</v>
      </c>
      <c r="BK81" s="272">
        <f>IF((BK$78-2021)&lt;START!$C$2,0,((BK$73*INDEX('DEFAULT DATA'!$AGI$9:$AGP$41,START!$C$3,3))+(BK$74*INDEX('DEFAULT DATA'!$XS$9:$XZ$41,START!$C$3,3))+(BK$75*INDEX('DEFAULT DATA'!$YY$9:$ZF$41,START!$C$3,3)))*INDEX('DEFAULT DATA'!$VD$9:$VK$41,START!$C$3,3)/1000000)</f>
        <v>10559.631828851774</v>
      </c>
      <c r="BL81" s="272">
        <f>IF((BL$78-2021)&lt;START!$C$2,0,((BL$73*INDEX('DEFAULT DATA'!$AGI$9:$AGP$41,START!$C$3,3))+(BL$74*INDEX('DEFAULT DATA'!$XS$9:$XZ$41,START!$C$3,3))+(BL$75*INDEX('DEFAULT DATA'!$YY$9:$ZF$41,START!$C$3,3)))*INDEX('DEFAULT DATA'!$VD$9:$VK$41,START!$C$3,3)/1000000)</f>
        <v>10559.631828851774</v>
      </c>
      <c r="BM81" s="272">
        <f>IF((BM$78-2021)&lt;START!$C$2,0,((BM$73*INDEX('DEFAULT DATA'!$AGI$9:$AGP$41,START!$C$3,3))+(BM$74*INDEX('DEFAULT DATA'!$XS$9:$XZ$41,START!$C$3,3))+(BM$75*INDEX('DEFAULT DATA'!$YY$9:$ZF$41,START!$C$3,3)))*INDEX('DEFAULT DATA'!$VD$9:$VK$41,START!$C$3,3)/1000000)</f>
        <v>10559.631828851774</v>
      </c>
      <c r="BN81" s="324">
        <f>IF((BN$78-2021)&lt;START!$C$2,0,((BN$73*INDEX('DEFAULT DATA'!$AGI$9:$AGP$41,START!$C$3,3))+(BN$74*INDEX('DEFAULT DATA'!$XS$9:$XZ$41,START!$C$3,3))+(BN$75*INDEX('DEFAULT DATA'!$YY$9:$ZF$41,START!$C$3,3)))*INDEX('DEFAULT DATA'!$VD$9:$VK$41,START!$C$3,3)/1000000)</f>
        <v>10559.631828851774</v>
      </c>
      <c r="BP81" s="524" t="str">
        <f t="shared" si="20"/>
        <v>Oil</v>
      </c>
      <c r="BQ81" s="530" t="s">
        <v>1738</v>
      </c>
      <c r="BR81" s="531"/>
      <c r="BS81" s="531"/>
      <c r="BT81" s="531"/>
      <c r="BU81" s="531"/>
      <c r="BV81" s="531"/>
      <c r="BW81" s="531"/>
      <c r="BX81" s="531"/>
      <c r="BY81" s="531"/>
      <c r="BZ81" s="531"/>
      <c r="CA81" s="531"/>
      <c r="CB81" s="531"/>
      <c r="CC81" s="531"/>
      <c r="CD81" s="531"/>
      <c r="CE81" s="532"/>
      <c r="CF81" s="529" t="s">
        <v>1661</v>
      </c>
      <c r="CG81" s="529" t="s">
        <v>1669</v>
      </c>
      <c r="CH81" s="529" t="s">
        <v>1677</v>
      </c>
      <c r="CI81" s="529" t="s">
        <v>1621</v>
      </c>
    </row>
    <row r="82" spans="1:87" ht="20.100000000000001" customHeight="1">
      <c r="A82" s="55" t="s">
        <v>1341</v>
      </c>
      <c r="B82" s="381" t="s">
        <v>1240</v>
      </c>
      <c r="C82" s="381"/>
      <c r="D82" s="1420"/>
      <c r="E82" s="1420"/>
      <c r="F82" s="1519"/>
      <c r="G82" s="29"/>
      <c r="H82" s="29"/>
      <c r="I82" s="29"/>
      <c r="J82" s="29"/>
      <c r="K82" s="22"/>
      <c r="L82" s="29"/>
      <c r="M82" s="968"/>
      <c r="N82" s="971"/>
      <c r="O82" s="971"/>
      <c r="P82" s="971"/>
      <c r="Q82" s="971"/>
      <c r="R82" s="971"/>
      <c r="S82" s="971"/>
      <c r="T82" s="971"/>
      <c r="U82" s="971"/>
      <c r="V82" s="971"/>
      <c r="W82" s="971"/>
      <c r="X82" s="971"/>
      <c r="Y82" s="971"/>
      <c r="Z82" s="971"/>
      <c r="AA82" s="971"/>
      <c r="AB82" s="971"/>
      <c r="AC82" s="971"/>
      <c r="AD82" s="971"/>
      <c r="AE82" s="971"/>
      <c r="AF82" s="1492"/>
      <c r="AG82" s="1513" t="s">
        <v>1222</v>
      </c>
      <c r="AH82" s="1514"/>
      <c r="AI82" s="1514"/>
      <c r="AJ82" s="1515"/>
      <c r="AK82" s="220">
        <v>0</v>
      </c>
      <c r="AL82" s="272">
        <f>IF((AL$78-2021)&lt;START!$C$2,0,((AL$73*INDEX('DEFAULT DATA'!$AGI$9:$AGP$41,START!$C$3,4))+(AL$74*INDEX('DEFAULT DATA'!$XS$9:$XZ$41,START!$C$3,4))+(AL$75*INDEX('DEFAULT DATA'!$YY$9:$ZF$41,START!$C$3,4)))*INDEX('DEFAULT DATA'!$VD$9:$VK$41,START!$C$3,4)/1000000)</f>
        <v>0</v>
      </c>
      <c r="AM82" s="272">
        <f>IF((AM$78-2021)&lt;START!$C$2,0,((AM$73*INDEX('DEFAULT DATA'!$AGI$9:$AGP$41,START!$C$3,4))+(AM$74*INDEX('DEFAULT DATA'!$XS$9:$XZ$41,START!$C$3,4))+(AM$75*INDEX('DEFAULT DATA'!$YY$9:$ZF$41,START!$C$3,4)))*INDEX('DEFAULT DATA'!$VD$9:$VK$41,START!$C$3,4)/1000000)</f>
        <v>0</v>
      </c>
      <c r="AN82" s="272">
        <f>IF((AN$78-2021)&lt;START!$C$2,0,((AN$73*INDEX('DEFAULT DATA'!$AGI$9:$AGP$41,START!$C$3,4))+(AN$74*INDEX('DEFAULT DATA'!$XS$9:$XZ$41,START!$C$3,4))+(AN$75*INDEX('DEFAULT DATA'!$YY$9:$ZF$41,START!$C$3,4)))*INDEX('DEFAULT DATA'!$VD$9:$VK$41,START!$C$3,4)/1000000)</f>
        <v>0</v>
      </c>
      <c r="AO82" s="272">
        <f>IF((AO$78-2021)&lt;START!$C$2,0,((AO$73*INDEX('DEFAULT DATA'!$AGI$9:$AGP$41,START!$C$3,4))+(AO$74*INDEX('DEFAULT DATA'!$XS$9:$XZ$41,START!$C$3,4))+(AO$75*INDEX('DEFAULT DATA'!$YY$9:$ZF$41,START!$C$3,4)))*INDEX('DEFAULT DATA'!$VD$9:$VK$41,START!$C$3,4)/1000000)</f>
        <v>0</v>
      </c>
      <c r="AP82" s="272">
        <f>IF((AP$78-2021)&lt;START!$C$2,0,((AP$73*INDEX('DEFAULT DATA'!$AGI$9:$AGP$41,START!$C$3,4))+(AP$74*INDEX('DEFAULT DATA'!$XS$9:$XZ$41,START!$C$3,4))+(AP$75*INDEX('DEFAULT DATA'!$YY$9:$ZF$41,START!$C$3,4)))*INDEX('DEFAULT DATA'!$VD$9:$VK$41,START!$C$3,4)/1000000)</f>
        <v>0</v>
      </c>
      <c r="AQ82" s="272">
        <f>IF((AQ$78-2021)&lt;START!$C$2,0,((AQ$73*INDEX('DEFAULT DATA'!$AGI$9:$AGP$41,START!$C$3,4))+(AQ$74*INDEX('DEFAULT DATA'!$XS$9:$XZ$41,START!$C$3,4))+(AQ$75*INDEX('DEFAULT DATA'!$YY$9:$ZF$41,START!$C$3,4)))*INDEX('DEFAULT DATA'!$VD$9:$VK$41,START!$C$3,4)/1000000)</f>
        <v>0</v>
      </c>
      <c r="AR82" s="272">
        <f>IF((AR$78-2021)&lt;START!$C$2,0,((AR$73*INDEX('DEFAULT DATA'!$AGI$9:$AGP$41,START!$C$3,4))+(AR$74*INDEX('DEFAULT DATA'!$XS$9:$XZ$41,START!$C$3,4))+(AR$75*INDEX('DEFAULT DATA'!$YY$9:$ZF$41,START!$C$3,4)))*INDEX('DEFAULT DATA'!$VD$9:$VK$41,START!$C$3,4)/1000000)</f>
        <v>0</v>
      </c>
      <c r="AS82" s="272">
        <f>IF((AS$78-2021)&lt;START!$C$2,0,((AS$73*INDEX('DEFAULT DATA'!$AGI$9:$AGP$41,START!$C$3,4))+(AS$74*INDEX('DEFAULT DATA'!$XS$9:$XZ$41,START!$C$3,4))+(AS$75*INDEX('DEFAULT DATA'!$YY$9:$ZF$41,START!$C$3,4)))*INDEX('DEFAULT DATA'!$VD$9:$VK$41,START!$C$3,4)/1000000)</f>
        <v>0</v>
      </c>
      <c r="AT82" s="272">
        <f>IF((AT$78-2021)&lt;START!$C$2,0,((AT$73*INDEX('DEFAULT DATA'!$AGI$9:$AGP$41,START!$C$3,4))+(AT$74*INDEX('DEFAULT DATA'!$XS$9:$XZ$41,START!$C$3,4))+(AT$75*INDEX('DEFAULT DATA'!$YY$9:$ZF$41,START!$C$3,4)))*INDEX('DEFAULT DATA'!$VD$9:$VK$41,START!$C$3,4)/1000000)</f>
        <v>0</v>
      </c>
      <c r="AU82" s="272">
        <f>IF((AU$78-2021)&lt;START!$C$2,0,((AU$73*INDEX('DEFAULT DATA'!$AGI$9:$AGP$41,START!$C$3,4))+(AU$74*INDEX('DEFAULT DATA'!$XS$9:$XZ$41,START!$C$3,4))+(AU$75*INDEX('DEFAULT DATA'!$YY$9:$ZF$41,START!$C$3,4)))*INDEX('DEFAULT DATA'!$VD$9:$VK$41,START!$C$3,4)/1000000)</f>
        <v>0</v>
      </c>
      <c r="AV82" s="272">
        <f>IF((AV$78-2021)&lt;START!$C$2,0,((AV$73*INDEX('DEFAULT DATA'!$AGI$9:$AGP$41,START!$C$3,4))+(AV$74*INDEX('DEFAULT DATA'!$XS$9:$XZ$41,START!$C$3,4))+(AV$75*INDEX('DEFAULT DATA'!$YY$9:$ZF$41,START!$C$3,4)))*INDEX('DEFAULT DATA'!$VD$9:$VK$41,START!$C$3,4)/1000000)</f>
        <v>0</v>
      </c>
      <c r="AW82" s="272">
        <f>IF((AW$78-2021)&lt;START!$C$2,0,((AW$73*INDEX('DEFAULT DATA'!$AGI$9:$AGP$41,START!$C$3,4))+(AW$74*INDEX('DEFAULT DATA'!$XS$9:$XZ$41,START!$C$3,4))+(AW$75*INDEX('DEFAULT DATA'!$YY$9:$ZF$41,START!$C$3,4)))*INDEX('DEFAULT DATA'!$VD$9:$VK$41,START!$C$3,4)/1000000)</f>
        <v>0</v>
      </c>
      <c r="AX82" s="272">
        <f>IF((AX$78-2021)&lt;START!$C$2,0,((AX$73*INDEX('DEFAULT DATA'!$AGI$9:$AGP$41,START!$C$3,4))+(AX$74*INDEX('DEFAULT DATA'!$XS$9:$XZ$41,START!$C$3,4))+(AX$75*INDEX('DEFAULT DATA'!$YY$9:$ZF$41,START!$C$3,4)))*INDEX('DEFAULT DATA'!$VD$9:$VK$41,START!$C$3,4)/1000000)</f>
        <v>0</v>
      </c>
      <c r="AY82" s="272">
        <f>IF((AY$78-2021)&lt;START!$C$2,0,((AY$73*INDEX('DEFAULT DATA'!$AGI$9:$AGP$41,START!$C$3,4))+(AY$74*INDEX('DEFAULT DATA'!$XS$9:$XZ$41,START!$C$3,4))+(AY$75*INDEX('DEFAULT DATA'!$YY$9:$ZF$41,START!$C$3,4)))*INDEX('DEFAULT DATA'!$VD$9:$VK$41,START!$C$3,4)/1000000)</f>
        <v>0</v>
      </c>
      <c r="AZ82" s="272">
        <f>IF((AZ$78-2021)&lt;START!$C$2,0,((AZ$73*INDEX('DEFAULT DATA'!$AGI$9:$AGP$41,START!$C$3,4))+(AZ$74*INDEX('DEFAULT DATA'!$XS$9:$XZ$41,START!$C$3,4))+(AZ$75*INDEX('DEFAULT DATA'!$YY$9:$ZF$41,START!$C$3,4)))*INDEX('DEFAULT DATA'!$VD$9:$VK$41,START!$C$3,4)/1000000)</f>
        <v>0</v>
      </c>
      <c r="BA82" s="272">
        <f>IF((BA$78-2021)&lt;START!$C$2,0,((BA$73*INDEX('DEFAULT DATA'!$AGI$9:$AGP$41,START!$C$3,4))+(BA$74*INDEX('DEFAULT DATA'!$XS$9:$XZ$41,START!$C$3,4))+(BA$75*INDEX('DEFAULT DATA'!$YY$9:$ZF$41,START!$C$3,4)))*INDEX('DEFAULT DATA'!$VD$9:$VK$41,START!$C$3,4)/1000000)</f>
        <v>0</v>
      </c>
      <c r="BB82" s="272">
        <f>IF((BB$78-2021)&lt;START!$C$2,0,((BB$73*INDEX('DEFAULT DATA'!$AGI$9:$AGP$41,START!$C$3,4))+(BB$74*INDEX('DEFAULT DATA'!$XS$9:$XZ$41,START!$C$3,4))+(BB$75*INDEX('DEFAULT DATA'!$YY$9:$ZF$41,START!$C$3,4)))*INDEX('DEFAULT DATA'!$VD$9:$VK$41,START!$C$3,4)/1000000)</f>
        <v>0</v>
      </c>
      <c r="BC82" s="272">
        <f>IF((BC$78-2021)&lt;START!$C$2,0,((BC$73*INDEX('DEFAULT DATA'!$AGI$9:$AGP$41,START!$C$3,4))+(BC$74*INDEX('DEFAULT DATA'!$XS$9:$XZ$41,START!$C$3,4))+(BC$75*INDEX('DEFAULT DATA'!$YY$9:$ZF$41,START!$C$3,4)))*INDEX('DEFAULT DATA'!$VD$9:$VK$41,START!$C$3,4)/1000000)</f>
        <v>0</v>
      </c>
      <c r="BD82" s="272">
        <f>IF((BD$78-2021)&lt;START!$C$2,0,((BD$73*INDEX('DEFAULT DATA'!$AGI$9:$AGP$41,START!$C$3,4))+(BD$74*INDEX('DEFAULT DATA'!$XS$9:$XZ$41,START!$C$3,4))+(BD$75*INDEX('DEFAULT DATA'!$YY$9:$ZF$41,START!$C$3,4)))*INDEX('DEFAULT DATA'!$VD$9:$VK$41,START!$C$3,4)/1000000)</f>
        <v>0</v>
      </c>
      <c r="BE82" s="272">
        <f>IF((BE$78-2021)&lt;START!$C$2,0,((BE$73*INDEX('DEFAULT DATA'!$AGI$9:$AGP$41,START!$C$3,4))+(BE$74*INDEX('DEFAULT DATA'!$XS$9:$XZ$41,START!$C$3,4))+(BE$75*INDEX('DEFAULT DATA'!$YY$9:$ZF$41,START!$C$3,4)))*INDEX('DEFAULT DATA'!$VD$9:$VK$41,START!$C$3,4)/1000000)</f>
        <v>0</v>
      </c>
      <c r="BF82" s="272">
        <f>IF((BF$78-2021)&lt;START!$C$2,0,((BF$73*INDEX('DEFAULT DATA'!$AGI$9:$AGP$41,START!$C$3,4))+(BF$74*INDEX('DEFAULT DATA'!$XS$9:$XZ$41,START!$C$3,4))+(BF$75*INDEX('DEFAULT DATA'!$YY$9:$ZF$41,START!$C$3,4)))*INDEX('DEFAULT DATA'!$VD$9:$VK$41,START!$C$3,4)/1000000)</f>
        <v>0</v>
      </c>
      <c r="BG82" s="272">
        <f>IF((BG$78-2021)&lt;START!$C$2,0,((BG$73*INDEX('DEFAULT DATA'!$AGI$9:$AGP$41,START!$C$3,4))+(BG$74*INDEX('DEFAULT DATA'!$XS$9:$XZ$41,START!$C$3,4))+(BG$75*INDEX('DEFAULT DATA'!$YY$9:$ZF$41,START!$C$3,4)))*INDEX('DEFAULT DATA'!$VD$9:$VK$41,START!$C$3,4)/1000000)</f>
        <v>0</v>
      </c>
      <c r="BH82" s="272">
        <f>IF((BH$78-2021)&lt;START!$C$2,0,((BH$73*INDEX('DEFAULT DATA'!$AGI$9:$AGP$41,START!$C$3,4))+(BH$74*INDEX('DEFAULT DATA'!$XS$9:$XZ$41,START!$C$3,4))+(BH$75*INDEX('DEFAULT DATA'!$YY$9:$ZF$41,START!$C$3,4)))*INDEX('DEFAULT DATA'!$VD$9:$VK$41,START!$C$3,4)/1000000)</f>
        <v>0</v>
      </c>
      <c r="BI82" s="272">
        <f>IF((BI$78-2021)&lt;START!$C$2,0,((BI$73*INDEX('DEFAULT DATA'!$AGI$9:$AGP$41,START!$C$3,4))+(BI$74*INDEX('DEFAULT DATA'!$XS$9:$XZ$41,START!$C$3,4))+(BI$75*INDEX('DEFAULT DATA'!$YY$9:$ZF$41,START!$C$3,4)))*INDEX('DEFAULT DATA'!$VD$9:$VK$41,START!$C$3,4)/1000000)</f>
        <v>0</v>
      </c>
      <c r="BJ82" s="272">
        <f>IF((BJ$78-2021)&lt;START!$C$2,0,((BJ$73*INDEX('DEFAULT DATA'!$AGI$9:$AGP$41,START!$C$3,4))+(BJ$74*INDEX('DEFAULT DATA'!$XS$9:$XZ$41,START!$C$3,4))+(BJ$75*INDEX('DEFAULT DATA'!$YY$9:$ZF$41,START!$C$3,4)))*INDEX('DEFAULT DATA'!$VD$9:$VK$41,START!$C$3,4)/1000000)</f>
        <v>0</v>
      </c>
      <c r="BK82" s="272">
        <f>IF((BK$78-2021)&lt;START!$C$2,0,((BK$73*INDEX('DEFAULT DATA'!$AGI$9:$AGP$41,START!$C$3,4))+(BK$74*INDEX('DEFAULT DATA'!$XS$9:$XZ$41,START!$C$3,4))+(BK$75*INDEX('DEFAULT DATA'!$YY$9:$ZF$41,START!$C$3,4)))*INDEX('DEFAULT DATA'!$VD$9:$VK$41,START!$C$3,4)/1000000)</f>
        <v>0</v>
      </c>
      <c r="BL82" s="272">
        <f>IF((BL$78-2021)&lt;START!$C$2,0,((BL$73*INDEX('DEFAULT DATA'!$AGI$9:$AGP$41,START!$C$3,4))+(BL$74*INDEX('DEFAULT DATA'!$XS$9:$XZ$41,START!$C$3,4))+(BL$75*INDEX('DEFAULT DATA'!$YY$9:$ZF$41,START!$C$3,4)))*INDEX('DEFAULT DATA'!$VD$9:$VK$41,START!$C$3,4)/1000000)</f>
        <v>0</v>
      </c>
      <c r="BM82" s="272">
        <f>IF((BM$78-2021)&lt;START!$C$2,0,((BM$73*INDEX('DEFAULT DATA'!$AGI$9:$AGP$41,START!$C$3,4))+(BM$74*INDEX('DEFAULT DATA'!$XS$9:$XZ$41,START!$C$3,4))+(BM$75*INDEX('DEFAULT DATA'!$YY$9:$ZF$41,START!$C$3,4)))*INDEX('DEFAULT DATA'!$VD$9:$VK$41,START!$C$3,4)/1000000)</f>
        <v>0</v>
      </c>
      <c r="BN82" s="324">
        <f>IF((BN$78-2021)&lt;START!$C$2,0,((BN$73*INDEX('DEFAULT DATA'!$AGI$9:$AGP$41,START!$C$3,4))+(BN$74*INDEX('DEFAULT DATA'!$XS$9:$XZ$41,START!$C$3,4))+(BN$75*INDEX('DEFAULT DATA'!$YY$9:$ZF$41,START!$C$3,4)))*INDEX('DEFAULT DATA'!$VD$9:$VK$41,START!$C$3,4)/1000000)</f>
        <v>0</v>
      </c>
      <c r="BP82" s="524" t="str">
        <f t="shared" si="20"/>
        <v>Coal</v>
      </c>
      <c r="BQ82" s="530" t="s">
        <v>1739</v>
      </c>
      <c r="BR82" s="531"/>
      <c r="BS82" s="531"/>
      <c r="BT82" s="531"/>
      <c r="BU82" s="531"/>
      <c r="BV82" s="531"/>
      <c r="BW82" s="531"/>
      <c r="BX82" s="531"/>
      <c r="BY82" s="531"/>
      <c r="BZ82" s="531"/>
      <c r="CA82" s="531"/>
      <c r="CB82" s="531"/>
      <c r="CC82" s="531"/>
      <c r="CD82" s="531"/>
      <c r="CE82" s="532"/>
      <c r="CF82" s="529" t="s">
        <v>1662</v>
      </c>
      <c r="CG82" s="529" t="s">
        <v>1670</v>
      </c>
      <c r="CH82" s="529" t="s">
        <v>1678</v>
      </c>
      <c r="CI82" s="529" t="s">
        <v>1622</v>
      </c>
    </row>
    <row r="83" spans="1:87" ht="20.100000000000001" customHeight="1">
      <c r="A83" s="55" t="str">
        <f t="shared" ref="A83:A88" si="21">A37</f>
        <v>Retail</v>
      </c>
      <c r="B83" s="282">
        <v>0</v>
      </c>
      <c r="C83" s="381"/>
      <c r="D83" s="29">
        <v>9</v>
      </c>
      <c r="E83" s="246">
        <v>9</v>
      </c>
      <c r="F83" s="220">
        <v>0</v>
      </c>
      <c r="G83" s="29"/>
      <c r="H83" s="29"/>
      <c r="I83" s="29"/>
      <c r="J83" s="29"/>
      <c r="K83" s="22"/>
      <c r="L83" s="29"/>
      <c r="M83" s="968"/>
      <c r="N83" s="971"/>
      <c r="O83" s="971"/>
      <c r="P83" s="971"/>
      <c r="Q83" s="971"/>
      <c r="R83" s="971"/>
      <c r="S83" s="971"/>
      <c r="T83" s="971"/>
      <c r="U83" s="971"/>
      <c r="V83" s="971"/>
      <c r="W83" s="971"/>
      <c r="X83" s="971"/>
      <c r="Y83" s="971"/>
      <c r="Z83" s="971"/>
      <c r="AA83" s="971"/>
      <c r="AB83" s="971"/>
      <c r="AC83" s="971"/>
      <c r="AD83" s="971"/>
      <c r="AE83" s="971"/>
      <c r="AF83" s="1492"/>
      <c r="AG83" s="1513" t="s">
        <v>1223</v>
      </c>
      <c r="AH83" s="1514"/>
      <c r="AI83" s="1514"/>
      <c r="AJ83" s="1515"/>
      <c r="AK83" s="220">
        <v>0</v>
      </c>
      <c r="AL83" s="272">
        <f>IF((AL$78-2021)&lt;START!$C$2,0,((AL$73*INDEX('DEFAULT DATA'!$AGI$9:$AGP$41,START!$C$3,5))+(AL$74*INDEX('DEFAULT DATA'!$XS$9:$XZ$41,START!$C$3,5))+(AL$75*INDEX('DEFAULT DATA'!$YY$9:$ZF$41,START!$C$3,5)))*INDEX('DEFAULT DATA'!$VD$9:$VK$41,START!$C$3,5)/1000000)</f>
        <v>0</v>
      </c>
      <c r="AM83" s="272">
        <f>IF((AM$78-2021)&lt;START!$C$2,0,((AM$73*INDEX('DEFAULT DATA'!$AGI$9:$AGP$41,START!$C$3,5))+(AM$74*INDEX('DEFAULT DATA'!$XS$9:$XZ$41,START!$C$3,5))+(AM$75*INDEX('DEFAULT DATA'!$YY$9:$ZF$41,START!$C$3,5)))*INDEX('DEFAULT DATA'!$VD$9:$VK$41,START!$C$3,5)/1000000)</f>
        <v>0</v>
      </c>
      <c r="AN83" s="272">
        <f>IF((AN$78-2021)&lt;START!$C$2,0,((AN$73*INDEX('DEFAULT DATA'!$AGI$9:$AGP$41,START!$C$3,5))+(AN$74*INDEX('DEFAULT DATA'!$XS$9:$XZ$41,START!$C$3,5))+(AN$75*INDEX('DEFAULT DATA'!$YY$9:$ZF$41,START!$C$3,5)))*INDEX('DEFAULT DATA'!$VD$9:$VK$41,START!$C$3,5)/1000000)</f>
        <v>0</v>
      </c>
      <c r="AO83" s="272">
        <f>IF((AO$78-2021)&lt;START!$C$2,0,((AO$73*INDEX('DEFAULT DATA'!$AGI$9:$AGP$41,START!$C$3,5))+(AO$74*INDEX('DEFAULT DATA'!$XS$9:$XZ$41,START!$C$3,5))+(AO$75*INDEX('DEFAULT DATA'!$YY$9:$ZF$41,START!$C$3,5)))*INDEX('DEFAULT DATA'!$VD$9:$VK$41,START!$C$3,5)/1000000)</f>
        <v>0</v>
      </c>
      <c r="AP83" s="272">
        <f>IF((AP$78-2021)&lt;START!$C$2,0,((AP$73*INDEX('DEFAULT DATA'!$AGI$9:$AGP$41,START!$C$3,5))+(AP$74*INDEX('DEFAULT DATA'!$XS$9:$XZ$41,START!$C$3,5))+(AP$75*INDEX('DEFAULT DATA'!$YY$9:$ZF$41,START!$C$3,5)))*INDEX('DEFAULT DATA'!$VD$9:$VK$41,START!$C$3,5)/1000000)</f>
        <v>0</v>
      </c>
      <c r="AQ83" s="272">
        <f>IF((AQ$78-2021)&lt;START!$C$2,0,((AQ$73*INDEX('DEFAULT DATA'!$AGI$9:$AGP$41,START!$C$3,5))+(AQ$74*INDEX('DEFAULT DATA'!$XS$9:$XZ$41,START!$C$3,5))+(AQ$75*INDEX('DEFAULT DATA'!$YY$9:$ZF$41,START!$C$3,5)))*INDEX('DEFAULT DATA'!$VD$9:$VK$41,START!$C$3,5)/1000000)</f>
        <v>0</v>
      </c>
      <c r="AR83" s="272">
        <f>IF((AR$78-2021)&lt;START!$C$2,0,((AR$73*INDEX('DEFAULT DATA'!$AGI$9:$AGP$41,START!$C$3,5))+(AR$74*INDEX('DEFAULT DATA'!$XS$9:$XZ$41,START!$C$3,5))+(AR$75*INDEX('DEFAULT DATA'!$YY$9:$ZF$41,START!$C$3,5)))*INDEX('DEFAULT DATA'!$VD$9:$VK$41,START!$C$3,5)/1000000)</f>
        <v>0</v>
      </c>
      <c r="AS83" s="272">
        <f>IF((AS$78-2021)&lt;START!$C$2,0,((AS$73*INDEX('DEFAULT DATA'!$AGI$9:$AGP$41,START!$C$3,5))+(AS$74*INDEX('DEFAULT DATA'!$XS$9:$XZ$41,START!$C$3,5))+(AS$75*INDEX('DEFAULT DATA'!$YY$9:$ZF$41,START!$C$3,5)))*INDEX('DEFAULT DATA'!$VD$9:$VK$41,START!$C$3,5)/1000000)</f>
        <v>0</v>
      </c>
      <c r="AT83" s="272">
        <f>IF((AT$78-2021)&lt;START!$C$2,0,((AT$73*INDEX('DEFAULT DATA'!$AGI$9:$AGP$41,START!$C$3,5))+(AT$74*INDEX('DEFAULT DATA'!$XS$9:$XZ$41,START!$C$3,5))+(AT$75*INDEX('DEFAULT DATA'!$YY$9:$ZF$41,START!$C$3,5)))*INDEX('DEFAULT DATA'!$VD$9:$VK$41,START!$C$3,5)/1000000)</f>
        <v>0</v>
      </c>
      <c r="AU83" s="272">
        <f>IF((AU$78-2021)&lt;START!$C$2,0,((AU$73*INDEX('DEFAULT DATA'!$AGI$9:$AGP$41,START!$C$3,5))+(AU$74*INDEX('DEFAULT DATA'!$XS$9:$XZ$41,START!$C$3,5))+(AU$75*INDEX('DEFAULT DATA'!$YY$9:$ZF$41,START!$C$3,5)))*INDEX('DEFAULT DATA'!$VD$9:$VK$41,START!$C$3,5)/1000000)</f>
        <v>0</v>
      </c>
      <c r="AV83" s="272">
        <f>IF((AV$78-2021)&lt;START!$C$2,0,((AV$73*INDEX('DEFAULT DATA'!$AGI$9:$AGP$41,START!$C$3,5))+(AV$74*INDEX('DEFAULT DATA'!$XS$9:$XZ$41,START!$C$3,5))+(AV$75*INDEX('DEFAULT DATA'!$YY$9:$ZF$41,START!$C$3,5)))*INDEX('DEFAULT DATA'!$VD$9:$VK$41,START!$C$3,5)/1000000)</f>
        <v>0</v>
      </c>
      <c r="AW83" s="272">
        <f>IF((AW$78-2021)&lt;START!$C$2,0,((AW$73*INDEX('DEFAULT DATA'!$AGI$9:$AGP$41,START!$C$3,5))+(AW$74*INDEX('DEFAULT DATA'!$XS$9:$XZ$41,START!$C$3,5))+(AW$75*INDEX('DEFAULT DATA'!$YY$9:$ZF$41,START!$C$3,5)))*INDEX('DEFAULT DATA'!$VD$9:$VK$41,START!$C$3,5)/1000000)</f>
        <v>0</v>
      </c>
      <c r="AX83" s="272">
        <f>IF((AX$78-2021)&lt;START!$C$2,0,((AX$73*INDEX('DEFAULT DATA'!$AGI$9:$AGP$41,START!$C$3,5))+(AX$74*INDEX('DEFAULT DATA'!$XS$9:$XZ$41,START!$C$3,5))+(AX$75*INDEX('DEFAULT DATA'!$YY$9:$ZF$41,START!$C$3,5)))*INDEX('DEFAULT DATA'!$VD$9:$VK$41,START!$C$3,5)/1000000)</f>
        <v>0</v>
      </c>
      <c r="AY83" s="272">
        <f>IF((AY$78-2021)&lt;START!$C$2,0,((AY$73*INDEX('DEFAULT DATA'!$AGI$9:$AGP$41,START!$C$3,5))+(AY$74*INDEX('DEFAULT DATA'!$XS$9:$XZ$41,START!$C$3,5))+(AY$75*INDEX('DEFAULT DATA'!$YY$9:$ZF$41,START!$C$3,5)))*INDEX('DEFAULT DATA'!$VD$9:$VK$41,START!$C$3,5)/1000000)</f>
        <v>0</v>
      </c>
      <c r="AZ83" s="272">
        <f>IF((AZ$78-2021)&lt;START!$C$2,0,((AZ$73*INDEX('DEFAULT DATA'!$AGI$9:$AGP$41,START!$C$3,5))+(AZ$74*INDEX('DEFAULT DATA'!$XS$9:$XZ$41,START!$C$3,5))+(AZ$75*INDEX('DEFAULT DATA'!$YY$9:$ZF$41,START!$C$3,5)))*INDEX('DEFAULT DATA'!$VD$9:$VK$41,START!$C$3,5)/1000000)</f>
        <v>0</v>
      </c>
      <c r="BA83" s="272">
        <f>IF((BA$78-2021)&lt;START!$C$2,0,((BA$73*INDEX('DEFAULT DATA'!$AGI$9:$AGP$41,START!$C$3,5))+(BA$74*INDEX('DEFAULT DATA'!$XS$9:$XZ$41,START!$C$3,5))+(BA$75*INDEX('DEFAULT DATA'!$YY$9:$ZF$41,START!$C$3,5)))*INDEX('DEFAULT DATA'!$VD$9:$VK$41,START!$C$3,5)/1000000)</f>
        <v>0</v>
      </c>
      <c r="BB83" s="272">
        <f>IF((BB$78-2021)&lt;START!$C$2,0,((BB$73*INDEX('DEFAULT DATA'!$AGI$9:$AGP$41,START!$C$3,5))+(BB$74*INDEX('DEFAULT DATA'!$XS$9:$XZ$41,START!$C$3,5))+(BB$75*INDEX('DEFAULT DATA'!$YY$9:$ZF$41,START!$C$3,5)))*INDEX('DEFAULT DATA'!$VD$9:$VK$41,START!$C$3,5)/1000000)</f>
        <v>0</v>
      </c>
      <c r="BC83" s="272">
        <f>IF((BC$78-2021)&lt;START!$C$2,0,((BC$73*INDEX('DEFAULT DATA'!$AGI$9:$AGP$41,START!$C$3,5))+(BC$74*INDEX('DEFAULT DATA'!$XS$9:$XZ$41,START!$C$3,5))+(BC$75*INDEX('DEFAULT DATA'!$YY$9:$ZF$41,START!$C$3,5)))*INDEX('DEFAULT DATA'!$VD$9:$VK$41,START!$C$3,5)/1000000)</f>
        <v>0</v>
      </c>
      <c r="BD83" s="272">
        <f>IF((BD$78-2021)&lt;START!$C$2,0,((BD$73*INDEX('DEFAULT DATA'!$AGI$9:$AGP$41,START!$C$3,5))+(BD$74*INDEX('DEFAULT DATA'!$XS$9:$XZ$41,START!$C$3,5))+(BD$75*INDEX('DEFAULT DATA'!$YY$9:$ZF$41,START!$C$3,5)))*INDEX('DEFAULT DATA'!$VD$9:$VK$41,START!$C$3,5)/1000000)</f>
        <v>0</v>
      </c>
      <c r="BE83" s="272">
        <f>IF((BE$78-2021)&lt;START!$C$2,0,((BE$73*INDEX('DEFAULT DATA'!$AGI$9:$AGP$41,START!$C$3,5))+(BE$74*INDEX('DEFAULT DATA'!$XS$9:$XZ$41,START!$C$3,5))+(BE$75*INDEX('DEFAULT DATA'!$YY$9:$ZF$41,START!$C$3,5)))*INDEX('DEFAULT DATA'!$VD$9:$VK$41,START!$C$3,5)/1000000)</f>
        <v>0</v>
      </c>
      <c r="BF83" s="272">
        <f>IF((BF$78-2021)&lt;START!$C$2,0,((BF$73*INDEX('DEFAULT DATA'!$AGI$9:$AGP$41,START!$C$3,5))+(BF$74*INDEX('DEFAULT DATA'!$XS$9:$XZ$41,START!$C$3,5))+(BF$75*INDEX('DEFAULT DATA'!$YY$9:$ZF$41,START!$C$3,5)))*INDEX('DEFAULT DATA'!$VD$9:$VK$41,START!$C$3,5)/1000000)</f>
        <v>0</v>
      </c>
      <c r="BG83" s="272">
        <f>IF((BG$78-2021)&lt;START!$C$2,0,((BG$73*INDEX('DEFAULT DATA'!$AGI$9:$AGP$41,START!$C$3,5))+(BG$74*INDEX('DEFAULT DATA'!$XS$9:$XZ$41,START!$C$3,5))+(BG$75*INDEX('DEFAULT DATA'!$YY$9:$ZF$41,START!$C$3,5)))*INDEX('DEFAULT DATA'!$VD$9:$VK$41,START!$C$3,5)/1000000)</f>
        <v>0</v>
      </c>
      <c r="BH83" s="272">
        <f>IF((BH$78-2021)&lt;START!$C$2,0,((BH$73*INDEX('DEFAULT DATA'!$AGI$9:$AGP$41,START!$C$3,5))+(BH$74*INDEX('DEFAULT DATA'!$XS$9:$XZ$41,START!$C$3,5))+(BH$75*INDEX('DEFAULT DATA'!$YY$9:$ZF$41,START!$C$3,5)))*INDEX('DEFAULT DATA'!$VD$9:$VK$41,START!$C$3,5)/1000000)</f>
        <v>0</v>
      </c>
      <c r="BI83" s="272">
        <f>IF((BI$78-2021)&lt;START!$C$2,0,((BI$73*INDEX('DEFAULT DATA'!$AGI$9:$AGP$41,START!$C$3,5))+(BI$74*INDEX('DEFAULT DATA'!$XS$9:$XZ$41,START!$C$3,5))+(BI$75*INDEX('DEFAULT DATA'!$YY$9:$ZF$41,START!$C$3,5)))*INDEX('DEFAULT DATA'!$VD$9:$VK$41,START!$C$3,5)/1000000)</f>
        <v>0</v>
      </c>
      <c r="BJ83" s="272">
        <f>IF((BJ$78-2021)&lt;START!$C$2,0,((BJ$73*INDEX('DEFAULT DATA'!$AGI$9:$AGP$41,START!$C$3,5))+(BJ$74*INDEX('DEFAULT DATA'!$XS$9:$XZ$41,START!$C$3,5))+(BJ$75*INDEX('DEFAULT DATA'!$YY$9:$ZF$41,START!$C$3,5)))*INDEX('DEFAULT DATA'!$VD$9:$VK$41,START!$C$3,5)/1000000)</f>
        <v>0</v>
      </c>
      <c r="BK83" s="272">
        <f>IF((BK$78-2021)&lt;START!$C$2,0,((BK$73*INDEX('DEFAULT DATA'!$AGI$9:$AGP$41,START!$C$3,5))+(BK$74*INDEX('DEFAULT DATA'!$XS$9:$XZ$41,START!$C$3,5))+(BK$75*INDEX('DEFAULT DATA'!$YY$9:$ZF$41,START!$C$3,5)))*INDEX('DEFAULT DATA'!$VD$9:$VK$41,START!$C$3,5)/1000000)</f>
        <v>0</v>
      </c>
      <c r="BL83" s="272">
        <f>IF((BL$78-2021)&lt;START!$C$2,0,((BL$73*INDEX('DEFAULT DATA'!$AGI$9:$AGP$41,START!$C$3,5))+(BL$74*INDEX('DEFAULT DATA'!$XS$9:$XZ$41,START!$C$3,5))+(BL$75*INDEX('DEFAULT DATA'!$YY$9:$ZF$41,START!$C$3,5)))*INDEX('DEFAULT DATA'!$VD$9:$VK$41,START!$C$3,5)/1000000)</f>
        <v>0</v>
      </c>
      <c r="BM83" s="272">
        <f>IF((BM$78-2021)&lt;START!$C$2,0,((BM$73*INDEX('DEFAULT DATA'!$AGI$9:$AGP$41,START!$C$3,5))+(BM$74*INDEX('DEFAULT DATA'!$XS$9:$XZ$41,START!$C$3,5))+(BM$75*INDEX('DEFAULT DATA'!$YY$9:$ZF$41,START!$C$3,5)))*INDEX('DEFAULT DATA'!$VD$9:$VK$41,START!$C$3,5)/1000000)</f>
        <v>0</v>
      </c>
      <c r="BN83" s="324">
        <f>IF((BN$78-2021)&lt;START!$C$2,0,((BN$73*INDEX('DEFAULT DATA'!$AGI$9:$AGP$41,START!$C$3,5))+(BN$74*INDEX('DEFAULT DATA'!$XS$9:$XZ$41,START!$C$3,5))+(BN$75*INDEX('DEFAULT DATA'!$YY$9:$ZF$41,START!$C$3,5)))*INDEX('DEFAULT DATA'!$VD$9:$VK$41,START!$C$3,5)/1000000)</f>
        <v>0</v>
      </c>
      <c r="BP83" s="524" t="str">
        <f t="shared" si="20"/>
        <v>Peat</v>
      </c>
      <c r="BQ83" s="530" t="s">
        <v>1740</v>
      </c>
      <c r="BR83" s="531"/>
      <c r="BS83" s="531"/>
      <c r="BT83" s="531"/>
      <c r="BU83" s="531"/>
      <c r="BV83" s="531"/>
      <c r="BW83" s="531"/>
      <c r="BX83" s="531"/>
      <c r="BY83" s="531"/>
      <c r="BZ83" s="531"/>
      <c r="CA83" s="531"/>
      <c r="CB83" s="531"/>
      <c r="CC83" s="531"/>
      <c r="CD83" s="531"/>
      <c r="CE83" s="532"/>
      <c r="CF83" s="529" t="s">
        <v>1663</v>
      </c>
      <c r="CG83" s="529" t="s">
        <v>1671</v>
      </c>
      <c r="CH83" s="529" t="s">
        <v>1679</v>
      </c>
      <c r="CI83" s="529" t="s">
        <v>1623</v>
      </c>
    </row>
    <row r="84" spans="1:87" ht="20.100000000000001" customHeight="1">
      <c r="A84" s="55" t="str">
        <f t="shared" si="21"/>
        <v>Health</v>
      </c>
      <c r="B84" s="282">
        <v>0</v>
      </c>
      <c r="C84" s="381"/>
      <c r="D84" s="29">
        <v>9</v>
      </c>
      <c r="E84" s="246">
        <v>9</v>
      </c>
      <c r="F84" s="220">
        <v>0</v>
      </c>
      <c r="G84" s="29"/>
      <c r="H84" s="29"/>
      <c r="I84" s="29"/>
      <c r="J84" s="29"/>
      <c r="K84" s="22"/>
      <c r="L84" s="29"/>
      <c r="M84" s="968"/>
      <c r="N84" s="971"/>
      <c r="O84" s="971"/>
      <c r="P84" s="971"/>
      <c r="Q84" s="971"/>
      <c r="R84" s="971"/>
      <c r="S84" s="971"/>
      <c r="T84" s="971"/>
      <c r="U84" s="971"/>
      <c r="V84" s="971"/>
      <c r="W84" s="971"/>
      <c r="X84" s="971"/>
      <c r="Y84" s="971"/>
      <c r="Z84" s="971"/>
      <c r="AA84" s="971"/>
      <c r="AB84" s="971"/>
      <c r="AC84" s="971"/>
      <c r="AD84" s="971"/>
      <c r="AE84" s="971"/>
      <c r="AF84" s="1492"/>
      <c r="AG84" s="1513" t="s">
        <v>1224</v>
      </c>
      <c r="AH84" s="1514"/>
      <c r="AI84" s="1514"/>
      <c r="AJ84" s="1515"/>
      <c r="AK84" s="220">
        <v>0</v>
      </c>
      <c r="AL84" s="272">
        <f>IF((AL$78-2021)&lt;START!$C$2,0,((AL$73*INDEX('DEFAULT DATA'!$AGI$9:$AGP$41,START!$C$3,6))+(AL$74*INDEX('DEFAULT DATA'!$XS$9:$XZ$41,START!$C$3,6))+(AL$75*INDEX('DEFAULT DATA'!$YY$9:$ZF$41,START!$C$3,6)))*INDEX('DEFAULT DATA'!$VD$9:$VK$41,START!$C$3,6)/1000000)</f>
        <v>0</v>
      </c>
      <c r="AM84" s="272">
        <f>IF((AM$78-2021)&lt;START!$C$2,0,((AM$73*INDEX('DEFAULT DATA'!$AGI$9:$AGP$41,START!$C$3,6))+(AM$74*INDEX('DEFAULT DATA'!$XS$9:$XZ$41,START!$C$3,6))+(AM$75*INDEX('DEFAULT DATA'!$YY$9:$ZF$41,START!$C$3,6)))*INDEX('DEFAULT DATA'!$VD$9:$VK$41,START!$C$3,6)/1000000)</f>
        <v>0</v>
      </c>
      <c r="AN84" s="272">
        <f>IF((AN$78-2021)&lt;START!$C$2,0,((AN$73*INDEX('DEFAULT DATA'!$AGI$9:$AGP$41,START!$C$3,6))+(AN$74*INDEX('DEFAULT DATA'!$XS$9:$XZ$41,START!$C$3,6))+(AN$75*INDEX('DEFAULT DATA'!$YY$9:$ZF$41,START!$C$3,6)))*INDEX('DEFAULT DATA'!$VD$9:$VK$41,START!$C$3,6)/1000000)</f>
        <v>0</v>
      </c>
      <c r="AO84" s="272">
        <f>IF((AO$78-2021)&lt;START!$C$2,0,((AO$73*INDEX('DEFAULT DATA'!$AGI$9:$AGP$41,START!$C$3,6))+(AO$74*INDEX('DEFAULT DATA'!$XS$9:$XZ$41,START!$C$3,6))+(AO$75*INDEX('DEFAULT DATA'!$YY$9:$ZF$41,START!$C$3,6)))*INDEX('DEFAULT DATA'!$VD$9:$VK$41,START!$C$3,6)/1000000)</f>
        <v>0</v>
      </c>
      <c r="AP84" s="272">
        <f>IF((AP$78-2021)&lt;START!$C$2,0,((AP$73*INDEX('DEFAULT DATA'!$AGI$9:$AGP$41,START!$C$3,6))+(AP$74*INDEX('DEFAULT DATA'!$XS$9:$XZ$41,START!$C$3,6))+(AP$75*INDEX('DEFAULT DATA'!$YY$9:$ZF$41,START!$C$3,6)))*INDEX('DEFAULT DATA'!$VD$9:$VK$41,START!$C$3,6)/1000000)</f>
        <v>0</v>
      </c>
      <c r="AQ84" s="272">
        <f>IF((AQ$78-2021)&lt;START!$C$2,0,((AQ$73*INDEX('DEFAULT DATA'!$AGI$9:$AGP$41,START!$C$3,6))+(AQ$74*INDEX('DEFAULT DATA'!$XS$9:$XZ$41,START!$C$3,6))+(AQ$75*INDEX('DEFAULT DATA'!$YY$9:$ZF$41,START!$C$3,6)))*INDEX('DEFAULT DATA'!$VD$9:$VK$41,START!$C$3,6)/1000000)</f>
        <v>0</v>
      </c>
      <c r="AR84" s="272">
        <f>IF((AR$78-2021)&lt;START!$C$2,0,((AR$73*INDEX('DEFAULT DATA'!$AGI$9:$AGP$41,START!$C$3,6))+(AR$74*INDEX('DEFAULT DATA'!$XS$9:$XZ$41,START!$C$3,6))+(AR$75*INDEX('DEFAULT DATA'!$YY$9:$ZF$41,START!$C$3,6)))*INDEX('DEFAULT DATA'!$VD$9:$VK$41,START!$C$3,6)/1000000)</f>
        <v>0</v>
      </c>
      <c r="AS84" s="272">
        <f>IF((AS$78-2021)&lt;START!$C$2,0,((AS$73*INDEX('DEFAULT DATA'!$AGI$9:$AGP$41,START!$C$3,6))+(AS$74*INDEX('DEFAULT DATA'!$XS$9:$XZ$41,START!$C$3,6))+(AS$75*INDEX('DEFAULT DATA'!$YY$9:$ZF$41,START!$C$3,6)))*INDEX('DEFAULT DATA'!$VD$9:$VK$41,START!$C$3,6)/1000000)</f>
        <v>0</v>
      </c>
      <c r="AT84" s="272">
        <f>IF((AT$78-2021)&lt;START!$C$2,0,((AT$73*INDEX('DEFAULT DATA'!$AGI$9:$AGP$41,START!$C$3,6))+(AT$74*INDEX('DEFAULT DATA'!$XS$9:$XZ$41,START!$C$3,6))+(AT$75*INDEX('DEFAULT DATA'!$YY$9:$ZF$41,START!$C$3,6)))*INDEX('DEFAULT DATA'!$VD$9:$VK$41,START!$C$3,6)/1000000)</f>
        <v>0</v>
      </c>
      <c r="AU84" s="272">
        <f>IF((AU$78-2021)&lt;START!$C$2,0,((AU$73*INDEX('DEFAULT DATA'!$AGI$9:$AGP$41,START!$C$3,6))+(AU$74*INDEX('DEFAULT DATA'!$XS$9:$XZ$41,START!$C$3,6))+(AU$75*INDEX('DEFAULT DATA'!$YY$9:$ZF$41,START!$C$3,6)))*INDEX('DEFAULT DATA'!$VD$9:$VK$41,START!$C$3,6)/1000000)</f>
        <v>0</v>
      </c>
      <c r="AV84" s="272">
        <f>IF((AV$78-2021)&lt;START!$C$2,0,((AV$73*INDEX('DEFAULT DATA'!$AGI$9:$AGP$41,START!$C$3,6))+(AV$74*INDEX('DEFAULT DATA'!$XS$9:$XZ$41,START!$C$3,6))+(AV$75*INDEX('DEFAULT DATA'!$YY$9:$ZF$41,START!$C$3,6)))*INDEX('DEFAULT DATA'!$VD$9:$VK$41,START!$C$3,6)/1000000)</f>
        <v>0</v>
      </c>
      <c r="AW84" s="272">
        <f>IF((AW$78-2021)&lt;START!$C$2,0,((AW$73*INDEX('DEFAULT DATA'!$AGI$9:$AGP$41,START!$C$3,6))+(AW$74*INDEX('DEFAULT DATA'!$XS$9:$XZ$41,START!$C$3,6))+(AW$75*INDEX('DEFAULT DATA'!$YY$9:$ZF$41,START!$C$3,6)))*INDEX('DEFAULT DATA'!$VD$9:$VK$41,START!$C$3,6)/1000000)</f>
        <v>0</v>
      </c>
      <c r="AX84" s="272">
        <f>IF((AX$78-2021)&lt;START!$C$2,0,((AX$73*INDEX('DEFAULT DATA'!$AGI$9:$AGP$41,START!$C$3,6))+(AX$74*INDEX('DEFAULT DATA'!$XS$9:$XZ$41,START!$C$3,6))+(AX$75*INDEX('DEFAULT DATA'!$YY$9:$ZF$41,START!$C$3,6)))*INDEX('DEFAULT DATA'!$VD$9:$VK$41,START!$C$3,6)/1000000)</f>
        <v>0</v>
      </c>
      <c r="AY84" s="272">
        <f>IF((AY$78-2021)&lt;START!$C$2,0,((AY$73*INDEX('DEFAULT DATA'!$AGI$9:$AGP$41,START!$C$3,6))+(AY$74*INDEX('DEFAULT DATA'!$XS$9:$XZ$41,START!$C$3,6))+(AY$75*INDEX('DEFAULT DATA'!$YY$9:$ZF$41,START!$C$3,6)))*INDEX('DEFAULT DATA'!$VD$9:$VK$41,START!$C$3,6)/1000000)</f>
        <v>0</v>
      </c>
      <c r="AZ84" s="272">
        <f>IF((AZ$78-2021)&lt;START!$C$2,0,((AZ$73*INDEX('DEFAULT DATA'!$AGI$9:$AGP$41,START!$C$3,6))+(AZ$74*INDEX('DEFAULT DATA'!$XS$9:$XZ$41,START!$C$3,6))+(AZ$75*INDEX('DEFAULT DATA'!$YY$9:$ZF$41,START!$C$3,6)))*INDEX('DEFAULT DATA'!$VD$9:$VK$41,START!$C$3,6)/1000000)</f>
        <v>0</v>
      </c>
      <c r="BA84" s="272">
        <f>IF((BA$78-2021)&lt;START!$C$2,0,((BA$73*INDEX('DEFAULT DATA'!$AGI$9:$AGP$41,START!$C$3,6))+(BA$74*INDEX('DEFAULT DATA'!$XS$9:$XZ$41,START!$C$3,6))+(BA$75*INDEX('DEFAULT DATA'!$YY$9:$ZF$41,START!$C$3,6)))*INDEX('DEFAULT DATA'!$VD$9:$VK$41,START!$C$3,6)/1000000)</f>
        <v>0</v>
      </c>
      <c r="BB84" s="272">
        <f>IF((BB$78-2021)&lt;START!$C$2,0,((BB$73*INDEX('DEFAULT DATA'!$AGI$9:$AGP$41,START!$C$3,6))+(BB$74*INDEX('DEFAULT DATA'!$XS$9:$XZ$41,START!$C$3,6))+(BB$75*INDEX('DEFAULT DATA'!$YY$9:$ZF$41,START!$C$3,6)))*INDEX('DEFAULT DATA'!$VD$9:$VK$41,START!$C$3,6)/1000000)</f>
        <v>0</v>
      </c>
      <c r="BC84" s="272">
        <f>IF((BC$78-2021)&lt;START!$C$2,0,((BC$73*INDEX('DEFAULT DATA'!$AGI$9:$AGP$41,START!$C$3,6))+(BC$74*INDEX('DEFAULT DATA'!$XS$9:$XZ$41,START!$C$3,6))+(BC$75*INDEX('DEFAULT DATA'!$YY$9:$ZF$41,START!$C$3,6)))*INDEX('DEFAULT DATA'!$VD$9:$VK$41,START!$C$3,6)/1000000)</f>
        <v>0</v>
      </c>
      <c r="BD84" s="272">
        <f>IF((BD$78-2021)&lt;START!$C$2,0,((BD$73*INDEX('DEFAULT DATA'!$AGI$9:$AGP$41,START!$C$3,6))+(BD$74*INDEX('DEFAULT DATA'!$XS$9:$XZ$41,START!$C$3,6))+(BD$75*INDEX('DEFAULT DATA'!$YY$9:$ZF$41,START!$C$3,6)))*INDEX('DEFAULT DATA'!$VD$9:$VK$41,START!$C$3,6)/1000000)</f>
        <v>0</v>
      </c>
      <c r="BE84" s="272">
        <f>IF((BE$78-2021)&lt;START!$C$2,0,((BE$73*INDEX('DEFAULT DATA'!$AGI$9:$AGP$41,START!$C$3,6))+(BE$74*INDEX('DEFAULT DATA'!$XS$9:$XZ$41,START!$C$3,6))+(BE$75*INDEX('DEFAULT DATA'!$YY$9:$ZF$41,START!$C$3,6)))*INDEX('DEFAULT DATA'!$VD$9:$VK$41,START!$C$3,6)/1000000)</f>
        <v>0</v>
      </c>
      <c r="BF84" s="272">
        <f>IF((BF$78-2021)&lt;START!$C$2,0,((BF$73*INDEX('DEFAULT DATA'!$AGI$9:$AGP$41,START!$C$3,6))+(BF$74*INDEX('DEFAULT DATA'!$XS$9:$XZ$41,START!$C$3,6))+(BF$75*INDEX('DEFAULT DATA'!$YY$9:$ZF$41,START!$C$3,6)))*INDEX('DEFAULT DATA'!$VD$9:$VK$41,START!$C$3,6)/1000000)</f>
        <v>0</v>
      </c>
      <c r="BG84" s="272">
        <f>IF((BG$78-2021)&lt;START!$C$2,0,((BG$73*INDEX('DEFAULT DATA'!$AGI$9:$AGP$41,START!$C$3,6))+(BG$74*INDEX('DEFAULT DATA'!$XS$9:$XZ$41,START!$C$3,6))+(BG$75*INDEX('DEFAULT DATA'!$YY$9:$ZF$41,START!$C$3,6)))*INDEX('DEFAULT DATA'!$VD$9:$VK$41,START!$C$3,6)/1000000)</f>
        <v>0</v>
      </c>
      <c r="BH84" s="272">
        <f>IF((BH$78-2021)&lt;START!$C$2,0,((BH$73*INDEX('DEFAULT DATA'!$AGI$9:$AGP$41,START!$C$3,6))+(BH$74*INDEX('DEFAULT DATA'!$XS$9:$XZ$41,START!$C$3,6))+(BH$75*INDEX('DEFAULT DATA'!$YY$9:$ZF$41,START!$C$3,6)))*INDEX('DEFAULT DATA'!$VD$9:$VK$41,START!$C$3,6)/1000000)</f>
        <v>0</v>
      </c>
      <c r="BI84" s="272">
        <f>IF((BI$78-2021)&lt;START!$C$2,0,((BI$73*INDEX('DEFAULT DATA'!$AGI$9:$AGP$41,START!$C$3,6))+(BI$74*INDEX('DEFAULT DATA'!$XS$9:$XZ$41,START!$C$3,6))+(BI$75*INDEX('DEFAULT DATA'!$YY$9:$ZF$41,START!$C$3,6)))*INDEX('DEFAULT DATA'!$VD$9:$VK$41,START!$C$3,6)/1000000)</f>
        <v>0</v>
      </c>
      <c r="BJ84" s="272">
        <f>IF((BJ$78-2021)&lt;START!$C$2,0,((BJ$73*INDEX('DEFAULT DATA'!$AGI$9:$AGP$41,START!$C$3,6))+(BJ$74*INDEX('DEFAULT DATA'!$XS$9:$XZ$41,START!$C$3,6))+(BJ$75*INDEX('DEFAULT DATA'!$YY$9:$ZF$41,START!$C$3,6)))*INDEX('DEFAULT DATA'!$VD$9:$VK$41,START!$C$3,6)/1000000)</f>
        <v>0</v>
      </c>
      <c r="BK84" s="272">
        <f>IF((BK$78-2021)&lt;START!$C$2,0,((BK$73*INDEX('DEFAULT DATA'!$AGI$9:$AGP$41,START!$C$3,6))+(BK$74*INDEX('DEFAULT DATA'!$XS$9:$XZ$41,START!$C$3,6))+(BK$75*INDEX('DEFAULT DATA'!$YY$9:$ZF$41,START!$C$3,6)))*INDEX('DEFAULT DATA'!$VD$9:$VK$41,START!$C$3,6)/1000000)</f>
        <v>0</v>
      </c>
      <c r="BL84" s="272">
        <f>IF((BL$78-2021)&lt;START!$C$2,0,((BL$73*INDEX('DEFAULT DATA'!$AGI$9:$AGP$41,START!$C$3,6))+(BL$74*INDEX('DEFAULT DATA'!$XS$9:$XZ$41,START!$C$3,6))+(BL$75*INDEX('DEFAULT DATA'!$YY$9:$ZF$41,START!$C$3,6)))*INDEX('DEFAULT DATA'!$VD$9:$VK$41,START!$C$3,6)/1000000)</f>
        <v>0</v>
      </c>
      <c r="BM84" s="272">
        <f>IF((BM$78-2021)&lt;START!$C$2,0,((BM$73*INDEX('DEFAULT DATA'!$AGI$9:$AGP$41,START!$C$3,6))+(BM$74*INDEX('DEFAULT DATA'!$XS$9:$XZ$41,START!$C$3,6))+(BM$75*INDEX('DEFAULT DATA'!$YY$9:$ZF$41,START!$C$3,6)))*INDEX('DEFAULT DATA'!$VD$9:$VK$41,START!$C$3,6)/1000000)</f>
        <v>0</v>
      </c>
      <c r="BN84" s="324">
        <f>IF((BN$78-2021)&lt;START!$C$2,0,((BN$73*INDEX('DEFAULT DATA'!$AGI$9:$AGP$41,START!$C$3,6))+(BN$74*INDEX('DEFAULT DATA'!$XS$9:$XZ$41,START!$C$3,6))+(BN$75*INDEX('DEFAULT DATA'!$YY$9:$ZF$41,START!$C$3,6)))*INDEX('DEFAULT DATA'!$VD$9:$VK$41,START!$C$3,6)/1000000)</f>
        <v>0</v>
      </c>
      <c r="BP84" s="524" t="str">
        <f t="shared" si="20"/>
        <v>Wood</v>
      </c>
      <c r="BQ84" s="530" t="s">
        <v>1741</v>
      </c>
      <c r="BR84" s="531"/>
      <c r="BS84" s="531"/>
      <c r="BT84" s="531"/>
      <c r="BU84" s="531"/>
      <c r="BV84" s="531"/>
      <c r="BW84" s="531"/>
      <c r="BX84" s="531"/>
      <c r="BY84" s="531"/>
      <c r="BZ84" s="531"/>
      <c r="CA84" s="531"/>
      <c r="CB84" s="531"/>
      <c r="CC84" s="531"/>
      <c r="CD84" s="531"/>
      <c r="CE84" s="532"/>
      <c r="CF84" s="529" t="s">
        <v>1664</v>
      </c>
      <c r="CG84" s="529" t="s">
        <v>1672</v>
      </c>
      <c r="CH84" s="529" t="s">
        <v>1680</v>
      </c>
      <c r="CI84" s="529" t="s">
        <v>1624</v>
      </c>
    </row>
    <row r="85" spans="1:87" ht="20.100000000000001" customHeight="1">
      <c r="A85" s="55" t="str">
        <f t="shared" si="21"/>
        <v>Hospitality</v>
      </c>
      <c r="B85" s="282">
        <v>0</v>
      </c>
      <c r="C85" s="381"/>
      <c r="D85" s="29">
        <v>9</v>
      </c>
      <c r="E85" s="246">
        <v>9</v>
      </c>
      <c r="F85" s="220">
        <v>0</v>
      </c>
      <c r="G85" s="29"/>
      <c r="H85" s="29"/>
      <c r="I85" s="29"/>
      <c r="J85" s="29"/>
      <c r="K85" s="22"/>
      <c r="L85" s="29"/>
      <c r="M85" s="968"/>
      <c r="N85" s="971"/>
      <c r="O85" s="971"/>
      <c r="P85" s="971"/>
      <c r="Q85" s="971"/>
      <c r="R85" s="971"/>
      <c r="S85" s="971"/>
      <c r="T85" s="971"/>
      <c r="U85" s="971"/>
      <c r="V85" s="971"/>
      <c r="W85" s="971"/>
      <c r="X85" s="971"/>
      <c r="Y85" s="971"/>
      <c r="Z85" s="971"/>
      <c r="AA85" s="971"/>
      <c r="AB85" s="971"/>
      <c r="AC85" s="971"/>
      <c r="AD85" s="971"/>
      <c r="AE85" s="971"/>
      <c r="AF85" s="1492"/>
      <c r="AG85" s="1513" t="s">
        <v>1225</v>
      </c>
      <c r="AH85" s="1514"/>
      <c r="AI85" s="1514"/>
      <c r="AJ85" s="1515"/>
      <c r="AK85" s="220">
        <v>0</v>
      </c>
      <c r="AL85" s="272">
        <f>IF((AL$78-2021)&lt;START!$C$2,0,((AL$73*INDEX('DEFAULT DATA'!$AGI$9:$AGP$41,START!$C$3,7))+(AL$74*INDEX('DEFAULT DATA'!$XS$9:$XZ$41,START!$C$3,7))+(AL$75*INDEX('DEFAULT DATA'!$YY$9:$ZF$41,START!$C$3,7)))*INDEX('DEFAULT DATA'!$VD$9:$VK$41,START!$C$3,7)/1000000)</f>
        <v>0</v>
      </c>
      <c r="AM85" s="272">
        <f>IF((AM$78-2021)&lt;START!$C$2,0,((AM$73*INDEX('DEFAULT DATA'!$AGI$9:$AGP$41,START!$C$3,7))+(AM$74*INDEX('DEFAULT DATA'!$XS$9:$XZ$41,START!$C$3,7))+(AM$75*INDEX('DEFAULT DATA'!$YY$9:$ZF$41,START!$C$3,7)))*INDEX('DEFAULT DATA'!$VD$9:$VK$41,START!$C$3,7)/1000000)</f>
        <v>0</v>
      </c>
      <c r="AN85" s="272">
        <f>IF((AN$78-2021)&lt;START!$C$2,0,((AN$73*INDEX('DEFAULT DATA'!$AGI$9:$AGP$41,START!$C$3,7))+(AN$74*INDEX('DEFAULT DATA'!$XS$9:$XZ$41,START!$C$3,7))+(AN$75*INDEX('DEFAULT DATA'!$YY$9:$ZF$41,START!$C$3,7)))*INDEX('DEFAULT DATA'!$VD$9:$VK$41,START!$C$3,7)/1000000)</f>
        <v>0</v>
      </c>
      <c r="AO85" s="272">
        <f>IF((AO$78-2021)&lt;START!$C$2,0,((AO$73*INDEX('DEFAULT DATA'!$AGI$9:$AGP$41,START!$C$3,7))+(AO$74*INDEX('DEFAULT DATA'!$XS$9:$XZ$41,START!$C$3,7))+(AO$75*INDEX('DEFAULT DATA'!$YY$9:$ZF$41,START!$C$3,7)))*INDEX('DEFAULT DATA'!$VD$9:$VK$41,START!$C$3,7)/1000000)</f>
        <v>0</v>
      </c>
      <c r="AP85" s="272">
        <f>IF((AP$78-2021)&lt;START!$C$2,0,((AP$73*INDEX('DEFAULT DATA'!$AGI$9:$AGP$41,START!$C$3,7))+(AP$74*INDEX('DEFAULT DATA'!$XS$9:$XZ$41,START!$C$3,7))+(AP$75*INDEX('DEFAULT DATA'!$YY$9:$ZF$41,START!$C$3,7)))*INDEX('DEFAULT DATA'!$VD$9:$VK$41,START!$C$3,7)/1000000)</f>
        <v>0</v>
      </c>
      <c r="AQ85" s="272">
        <f>IF((AQ$78-2021)&lt;START!$C$2,0,((AQ$73*INDEX('DEFAULT DATA'!$AGI$9:$AGP$41,START!$C$3,7))+(AQ$74*INDEX('DEFAULT DATA'!$XS$9:$XZ$41,START!$C$3,7))+(AQ$75*INDEX('DEFAULT DATA'!$YY$9:$ZF$41,START!$C$3,7)))*INDEX('DEFAULT DATA'!$VD$9:$VK$41,START!$C$3,7)/1000000)</f>
        <v>0</v>
      </c>
      <c r="AR85" s="272">
        <f>IF((AR$78-2021)&lt;START!$C$2,0,((AR$73*INDEX('DEFAULT DATA'!$AGI$9:$AGP$41,START!$C$3,7))+(AR$74*INDEX('DEFAULT DATA'!$XS$9:$XZ$41,START!$C$3,7))+(AR$75*INDEX('DEFAULT DATA'!$YY$9:$ZF$41,START!$C$3,7)))*INDEX('DEFAULT DATA'!$VD$9:$VK$41,START!$C$3,7)/1000000)</f>
        <v>0</v>
      </c>
      <c r="AS85" s="272">
        <f>IF((AS$78-2021)&lt;START!$C$2,0,((AS$73*INDEX('DEFAULT DATA'!$AGI$9:$AGP$41,START!$C$3,7))+(AS$74*INDEX('DEFAULT DATA'!$XS$9:$XZ$41,START!$C$3,7))+(AS$75*INDEX('DEFAULT DATA'!$YY$9:$ZF$41,START!$C$3,7)))*INDEX('DEFAULT DATA'!$VD$9:$VK$41,START!$C$3,7)/1000000)</f>
        <v>0</v>
      </c>
      <c r="AT85" s="272">
        <f>IF((AT$78-2021)&lt;START!$C$2,0,((AT$73*INDEX('DEFAULT DATA'!$AGI$9:$AGP$41,START!$C$3,7))+(AT$74*INDEX('DEFAULT DATA'!$XS$9:$XZ$41,START!$C$3,7))+(AT$75*INDEX('DEFAULT DATA'!$YY$9:$ZF$41,START!$C$3,7)))*INDEX('DEFAULT DATA'!$VD$9:$VK$41,START!$C$3,7)/1000000)</f>
        <v>0</v>
      </c>
      <c r="AU85" s="272">
        <f>IF((AU$78-2021)&lt;START!$C$2,0,((AU$73*INDEX('DEFAULT DATA'!$AGI$9:$AGP$41,START!$C$3,7))+(AU$74*INDEX('DEFAULT DATA'!$XS$9:$XZ$41,START!$C$3,7))+(AU$75*INDEX('DEFAULT DATA'!$YY$9:$ZF$41,START!$C$3,7)))*INDEX('DEFAULT DATA'!$VD$9:$VK$41,START!$C$3,7)/1000000)</f>
        <v>0</v>
      </c>
      <c r="AV85" s="272">
        <f>IF((AV$78-2021)&lt;START!$C$2,0,((AV$73*INDEX('DEFAULT DATA'!$AGI$9:$AGP$41,START!$C$3,7))+(AV$74*INDEX('DEFAULT DATA'!$XS$9:$XZ$41,START!$C$3,7))+(AV$75*INDEX('DEFAULT DATA'!$YY$9:$ZF$41,START!$C$3,7)))*INDEX('DEFAULT DATA'!$VD$9:$VK$41,START!$C$3,7)/1000000)</f>
        <v>0</v>
      </c>
      <c r="AW85" s="272">
        <f>IF((AW$78-2021)&lt;START!$C$2,0,((AW$73*INDEX('DEFAULT DATA'!$AGI$9:$AGP$41,START!$C$3,7))+(AW$74*INDEX('DEFAULT DATA'!$XS$9:$XZ$41,START!$C$3,7))+(AW$75*INDEX('DEFAULT DATA'!$YY$9:$ZF$41,START!$C$3,7)))*INDEX('DEFAULT DATA'!$VD$9:$VK$41,START!$C$3,7)/1000000)</f>
        <v>0</v>
      </c>
      <c r="AX85" s="272">
        <f>IF((AX$78-2021)&lt;START!$C$2,0,((AX$73*INDEX('DEFAULT DATA'!$AGI$9:$AGP$41,START!$C$3,7))+(AX$74*INDEX('DEFAULT DATA'!$XS$9:$XZ$41,START!$C$3,7))+(AX$75*INDEX('DEFAULT DATA'!$YY$9:$ZF$41,START!$C$3,7)))*INDEX('DEFAULT DATA'!$VD$9:$VK$41,START!$C$3,7)/1000000)</f>
        <v>0</v>
      </c>
      <c r="AY85" s="272">
        <f>IF((AY$78-2021)&lt;START!$C$2,0,((AY$73*INDEX('DEFAULT DATA'!$AGI$9:$AGP$41,START!$C$3,7))+(AY$74*INDEX('DEFAULT DATA'!$XS$9:$XZ$41,START!$C$3,7))+(AY$75*INDEX('DEFAULT DATA'!$YY$9:$ZF$41,START!$C$3,7)))*INDEX('DEFAULT DATA'!$VD$9:$VK$41,START!$C$3,7)/1000000)</f>
        <v>0</v>
      </c>
      <c r="AZ85" s="272">
        <f>IF((AZ$78-2021)&lt;START!$C$2,0,((AZ$73*INDEX('DEFAULT DATA'!$AGI$9:$AGP$41,START!$C$3,7))+(AZ$74*INDEX('DEFAULT DATA'!$XS$9:$XZ$41,START!$C$3,7))+(AZ$75*INDEX('DEFAULT DATA'!$YY$9:$ZF$41,START!$C$3,7)))*INDEX('DEFAULT DATA'!$VD$9:$VK$41,START!$C$3,7)/1000000)</f>
        <v>0</v>
      </c>
      <c r="BA85" s="272">
        <f>IF((BA$78-2021)&lt;START!$C$2,0,((BA$73*INDEX('DEFAULT DATA'!$AGI$9:$AGP$41,START!$C$3,7))+(BA$74*INDEX('DEFAULT DATA'!$XS$9:$XZ$41,START!$C$3,7))+(BA$75*INDEX('DEFAULT DATA'!$YY$9:$ZF$41,START!$C$3,7)))*INDEX('DEFAULT DATA'!$VD$9:$VK$41,START!$C$3,7)/1000000)</f>
        <v>0</v>
      </c>
      <c r="BB85" s="272">
        <f>IF((BB$78-2021)&lt;START!$C$2,0,((BB$73*INDEX('DEFAULT DATA'!$AGI$9:$AGP$41,START!$C$3,7))+(BB$74*INDEX('DEFAULT DATA'!$XS$9:$XZ$41,START!$C$3,7))+(BB$75*INDEX('DEFAULT DATA'!$YY$9:$ZF$41,START!$C$3,7)))*INDEX('DEFAULT DATA'!$VD$9:$VK$41,START!$C$3,7)/1000000)</f>
        <v>0</v>
      </c>
      <c r="BC85" s="272">
        <f>IF((BC$78-2021)&lt;START!$C$2,0,((BC$73*INDEX('DEFAULT DATA'!$AGI$9:$AGP$41,START!$C$3,7))+(BC$74*INDEX('DEFAULT DATA'!$XS$9:$XZ$41,START!$C$3,7))+(BC$75*INDEX('DEFAULT DATA'!$YY$9:$ZF$41,START!$C$3,7)))*INDEX('DEFAULT DATA'!$VD$9:$VK$41,START!$C$3,7)/1000000)</f>
        <v>0</v>
      </c>
      <c r="BD85" s="272">
        <f>IF((BD$78-2021)&lt;START!$C$2,0,((BD$73*INDEX('DEFAULT DATA'!$AGI$9:$AGP$41,START!$C$3,7))+(BD$74*INDEX('DEFAULT DATA'!$XS$9:$XZ$41,START!$C$3,7))+(BD$75*INDEX('DEFAULT DATA'!$YY$9:$ZF$41,START!$C$3,7)))*INDEX('DEFAULT DATA'!$VD$9:$VK$41,START!$C$3,7)/1000000)</f>
        <v>0</v>
      </c>
      <c r="BE85" s="272">
        <f>IF((BE$78-2021)&lt;START!$C$2,0,((BE$73*INDEX('DEFAULT DATA'!$AGI$9:$AGP$41,START!$C$3,7))+(BE$74*INDEX('DEFAULT DATA'!$XS$9:$XZ$41,START!$C$3,7))+(BE$75*INDEX('DEFAULT DATA'!$YY$9:$ZF$41,START!$C$3,7)))*INDEX('DEFAULT DATA'!$VD$9:$VK$41,START!$C$3,7)/1000000)</f>
        <v>0</v>
      </c>
      <c r="BF85" s="272">
        <f>IF((BF$78-2021)&lt;START!$C$2,0,((BF$73*INDEX('DEFAULT DATA'!$AGI$9:$AGP$41,START!$C$3,7))+(BF$74*INDEX('DEFAULT DATA'!$XS$9:$XZ$41,START!$C$3,7))+(BF$75*INDEX('DEFAULT DATA'!$YY$9:$ZF$41,START!$C$3,7)))*INDEX('DEFAULT DATA'!$VD$9:$VK$41,START!$C$3,7)/1000000)</f>
        <v>0</v>
      </c>
      <c r="BG85" s="272">
        <f>IF((BG$78-2021)&lt;START!$C$2,0,((BG$73*INDEX('DEFAULT DATA'!$AGI$9:$AGP$41,START!$C$3,7))+(BG$74*INDEX('DEFAULT DATA'!$XS$9:$XZ$41,START!$C$3,7))+(BG$75*INDEX('DEFAULT DATA'!$YY$9:$ZF$41,START!$C$3,7)))*INDEX('DEFAULT DATA'!$VD$9:$VK$41,START!$C$3,7)/1000000)</f>
        <v>0</v>
      </c>
      <c r="BH85" s="272">
        <f>IF((BH$78-2021)&lt;START!$C$2,0,((BH$73*INDEX('DEFAULT DATA'!$AGI$9:$AGP$41,START!$C$3,7))+(BH$74*INDEX('DEFAULT DATA'!$XS$9:$XZ$41,START!$C$3,7))+(BH$75*INDEX('DEFAULT DATA'!$YY$9:$ZF$41,START!$C$3,7)))*INDEX('DEFAULT DATA'!$VD$9:$VK$41,START!$C$3,7)/1000000)</f>
        <v>0</v>
      </c>
      <c r="BI85" s="272">
        <f>IF((BI$78-2021)&lt;START!$C$2,0,((BI$73*INDEX('DEFAULT DATA'!$AGI$9:$AGP$41,START!$C$3,7))+(BI$74*INDEX('DEFAULT DATA'!$XS$9:$XZ$41,START!$C$3,7))+(BI$75*INDEX('DEFAULT DATA'!$YY$9:$ZF$41,START!$C$3,7)))*INDEX('DEFAULT DATA'!$VD$9:$VK$41,START!$C$3,7)/1000000)</f>
        <v>0</v>
      </c>
      <c r="BJ85" s="272">
        <f>IF((BJ$78-2021)&lt;START!$C$2,0,((BJ$73*INDEX('DEFAULT DATA'!$AGI$9:$AGP$41,START!$C$3,7))+(BJ$74*INDEX('DEFAULT DATA'!$XS$9:$XZ$41,START!$C$3,7))+(BJ$75*INDEX('DEFAULT DATA'!$YY$9:$ZF$41,START!$C$3,7)))*INDEX('DEFAULT DATA'!$VD$9:$VK$41,START!$C$3,7)/1000000)</f>
        <v>0</v>
      </c>
      <c r="BK85" s="272">
        <f>IF((BK$78-2021)&lt;START!$C$2,0,((BK$73*INDEX('DEFAULT DATA'!$AGI$9:$AGP$41,START!$C$3,7))+(BK$74*INDEX('DEFAULT DATA'!$XS$9:$XZ$41,START!$C$3,7))+(BK$75*INDEX('DEFAULT DATA'!$YY$9:$ZF$41,START!$C$3,7)))*INDEX('DEFAULT DATA'!$VD$9:$VK$41,START!$C$3,7)/1000000)</f>
        <v>0</v>
      </c>
      <c r="BL85" s="272">
        <f>IF((BL$78-2021)&lt;START!$C$2,0,((BL$73*INDEX('DEFAULT DATA'!$AGI$9:$AGP$41,START!$C$3,7))+(BL$74*INDEX('DEFAULT DATA'!$XS$9:$XZ$41,START!$C$3,7))+(BL$75*INDEX('DEFAULT DATA'!$YY$9:$ZF$41,START!$C$3,7)))*INDEX('DEFAULT DATA'!$VD$9:$VK$41,START!$C$3,7)/1000000)</f>
        <v>0</v>
      </c>
      <c r="BM85" s="272">
        <f>IF((BM$78-2021)&lt;START!$C$2,0,((BM$73*INDEX('DEFAULT DATA'!$AGI$9:$AGP$41,START!$C$3,7))+(BM$74*INDEX('DEFAULT DATA'!$XS$9:$XZ$41,START!$C$3,7))+(BM$75*INDEX('DEFAULT DATA'!$YY$9:$ZF$41,START!$C$3,7)))*INDEX('DEFAULT DATA'!$VD$9:$VK$41,START!$C$3,7)/1000000)</f>
        <v>0</v>
      </c>
      <c r="BN85" s="324">
        <f>IF((BN$78-2021)&lt;START!$C$2,0,((BN$73*INDEX('DEFAULT DATA'!$AGI$9:$AGP$41,START!$C$3,7))+(BN$74*INDEX('DEFAULT DATA'!$XS$9:$XZ$41,START!$C$3,7))+(BN$75*INDEX('DEFAULT DATA'!$YY$9:$ZF$41,START!$C$3,7)))*INDEX('DEFAULT DATA'!$VD$9:$VK$41,START!$C$3,7)/1000000)</f>
        <v>0</v>
      </c>
      <c r="BO85" s="268"/>
      <c r="BP85" s="524" t="str">
        <f t="shared" si="20"/>
        <v>Renewable</v>
      </c>
      <c r="BQ85" s="530" t="s">
        <v>1742</v>
      </c>
      <c r="BR85" s="531"/>
      <c r="BS85" s="531"/>
      <c r="BT85" s="531"/>
      <c r="BU85" s="531"/>
      <c r="BV85" s="531"/>
      <c r="BW85" s="531"/>
      <c r="BX85" s="531"/>
      <c r="BY85" s="531"/>
      <c r="BZ85" s="531"/>
      <c r="CA85" s="531"/>
      <c r="CB85" s="531"/>
      <c r="CC85" s="531"/>
      <c r="CD85" s="531"/>
      <c r="CE85" s="532"/>
      <c r="CF85" s="529" t="s">
        <v>1665</v>
      </c>
      <c r="CG85" s="529" t="s">
        <v>1673</v>
      </c>
      <c r="CH85" s="529" t="s">
        <v>1681</v>
      </c>
      <c r="CI85" s="529" t="s">
        <v>1625</v>
      </c>
    </row>
    <row r="86" spans="1:87" ht="20.100000000000001" customHeight="1" thickBot="1">
      <c r="A86" s="55" t="str">
        <f t="shared" si="21"/>
        <v>Offices</v>
      </c>
      <c r="B86" s="282">
        <v>0</v>
      </c>
      <c r="C86" s="381"/>
      <c r="D86" s="29">
        <v>9</v>
      </c>
      <c r="E86" s="246">
        <v>9</v>
      </c>
      <c r="F86" s="220">
        <v>0</v>
      </c>
      <c r="G86" s="29"/>
      <c r="H86" s="29"/>
      <c r="I86" s="29"/>
      <c r="J86" s="29"/>
      <c r="K86" s="22"/>
      <c r="L86" s="29"/>
      <c r="M86" s="968"/>
      <c r="N86" s="971"/>
      <c r="O86" s="971"/>
      <c r="P86" s="971"/>
      <c r="Q86" s="971"/>
      <c r="R86" s="971"/>
      <c r="S86" s="971"/>
      <c r="T86" s="971"/>
      <c r="U86" s="971"/>
      <c r="V86" s="971"/>
      <c r="W86" s="971"/>
      <c r="X86" s="971"/>
      <c r="Y86" s="971"/>
      <c r="Z86" s="971"/>
      <c r="AA86" s="971"/>
      <c r="AB86" s="971"/>
      <c r="AC86" s="971"/>
      <c r="AD86" s="971"/>
      <c r="AE86" s="971"/>
      <c r="AF86" s="1493"/>
      <c r="AG86" s="1477" t="s">
        <v>1226</v>
      </c>
      <c r="AH86" s="1527"/>
      <c r="AI86" s="1527"/>
      <c r="AJ86" s="1478"/>
      <c r="AK86" s="320">
        <v>0</v>
      </c>
      <c r="AL86" s="325">
        <f>IF((AL$78-2021)&lt;START!$C$2,0,((AL$73*INDEX('DEFAULT DATA'!$AGI$9:$AGP$41,START!$C$3,8))+(AL$74*INDEX('DEFAULT DATA'!$XS$9:$XZ$41,START!$C$3,8))+(AL$75*INDEX('DEFAULT DATA'!$YY$9:$ZF$41,START!$C$3,8)))*AL6/1000000)</f>
        <v>0</v>
      </c>
      <c r="AM86" s="325">
        <f>IF((AM$78-2021)&lt;START!$C$2,0,((AM$73*INDEX('DEFAULT DATA'!$AGI$9:$AGP$41,START!$C$3,8))+(AM$74*INDEX('DEFAULT DATA'!$XS$9:$XZ$41,START!$C$3,8))+(AM$75*INDEX('DEFAULT DATA'!$YY$9:$ZF$41,START!$C$3,8)))*AM6/1000000)</f>
        <v>49675.687366910235</v>
      </c>
      <c r="AN86" s="325">
        <f>IF((AN$78-2021)&lt;START!$C$2,0,((AN$73*INDEX('DEFAULT DATA'!$AGI$9:$AGP$41,START!$C$3,8))+(AN$74*INDEX('DEFAULT DATA'!$XS$9:$XZ$41,START!$C$3,8))+(AN$75*INDEX('DEFAULT DATA'!$YY$9:$ZF$41,START!$C$3,8)))*AN6/1000000)</f>
        <v>49675.687366910235</v>
      </c>
      <c r="AO86" s="325">
        <f>IF((AO$78-2021)&lt;START!$C$2,0,((AO$73*INDEX('DEFAULT DATA'!$AGI$9:$AGP$41,START!$C$3,8))+(AO$74*INDEX('DEFAULT DATA'!$XS$9:$XZ$41,START!$C$3,8))+(AO$75*INDEX('DEFAULT DATA'!$YY$9:$ZF$41,START!$C$3,8)))*AO6/1000000)</f>
        <v>49675.687366910235</v>
      </c>
      <c r="AP86" s="325">
        <f>IF((AP$78-2021)&lt;START!$C$2,0,((AP$73*INDEX('DEFAULT DATA'!$AGI$9:$AGP$41,START!$C$3,8))+(AP$74*INDEX('DEFAULT DATA'!$XS$9:$XZ$41,START!$C$3,8))+(AP$75*INDEX('DEFAULT DATA'!$YY$9:$ZF$41,START!$C$3,8)))*AP6/1000000)</f>
        <v>49675.687366910235</v>
      </c>
      <c r="AQ86" s="325">
        <f>IF((AQ$78-2021)&lt;START!$C$2,0,((AQ$73*INDEX('DEFAULT DATA'!$AGI$9:$AGP$41,START!$C$3,8))+(AQ$74*INDEX('DEFAULT DATA'!$XS$9:$XZ$41,START!$C$3,8))+(AQ$75*INDEX('DEFAULT DATA'!$YY$9:$ZF$41,START!$C$3,8)))*AQ6/1000000)</f>
        <v>49675.687366910235</v>
      </c>
      <c r="AR86" s="325">
        <f>IF((AR$78-2021)&lt;START!$C$2,0,((AR$73*INDEX('DEFAULT DATA'!$AGI$9:$AGP$41,START!$C$3,8))+(AR$74*INDEX('DEFAULT DATA'!$XS$9:$XZ$41,START!$C$3,8))+(AR$75*INDEX('DEFAULT DATA'!$YY$9:$ZF$41,START!$C$3,8)))*AR6/1000000)</f>
        <v>49675.687366910235</v>
      </c>
      <c r="AS86" s="325">
        <f>IF((AS$78-2021)&lt;START!$C$2,0,((AS$73*INDEX('DEFAULT DATA'!$AGI$9:$AGP$41,START!$C$3,8))+(AS$74*INDEX('DEFAULT DATA'!$XS$9:$XZ$41,START!$C$3,8))+(AS$75*INDEX('DEFAULT DATA'!$YY$9:$ZF$41,START!$C$3,8)))*AS6/1000000)</f>
        <v>49675.687366910235</v>
      </c>
      <c r="AT86" s="325">
        <f>IF((AT$78-2021)&lt;START!$C$2,0,((AT$73*INDEX('DEFAULT DATA'!$AGI$9:$AGP$41,START!$C$3,8))+(AT$74*INDEX('DEFAULT DATA'!$XS$9:$XZ$41,START!$C$3,8))+(AT$75*INDEX('DEFAULT DATA'!$YY$9:$ZF$41,START!$C$3,8)))*AT6/1000000)</f>
        <v>49675.687366910235</v>
      </c>
      <c r="AU86" s="325">
        <f>IF((AU$78-2021)&lt;START!$C$2,0,((AU$73*INDEX('DEFAULT DATA'!$AGI$9:$AGP$41,START!$C$3,8))+(AU$74*INDEX('DEFAULT DATA'!$XS$9:$XZ$41,START!$C$3,8))+(AU$75*INDEX('DEFAULT DATA'!$YY$9:$ZF$41,START!$C$3,8)))*AU6/1000000)</f>
        <v>49675.687366910235</v>
      </c>
      <c r="AV86" s="325">
        <f>IF((AV$78-2021)&lt;START!$C$2,0,((AV$73*INDEX('DEFAULT DATA'!$AGI$9:$AGP$41,START!$C$3,8))+(AV$74*INDEX('DEFAULT DATA'!$XS$9:$XZ$41,START!$C$3,8))+(AV$75*INDEX('DEFAULT DATA'!$YY$9:$ZF$41,START!$C$3,8)))*AV6/1000000)</f>
        <v>49675.687366910235</v>
      </c>
      <c r="AW86" s="325">
        <f>IF((AW$78-2021)&lt;START!$C$2,0,((AW$73*INDEX('DEFAULT DATA'!$AGI$9:$AGP$41,START!$C$3,8))+(AW$74*INDEX('DEFAULT DATA'!$XS$9:$XZ$41,START!$C$3,8))+(AW$75*INDEX('DEFAULT DATA'!$YY$9:$ZF$41,START!$C$3,8)))*AW6/1000000)</f>
        <v>49675.687366910235</v>
      </c>
      <c r="AX86" s="325">
        <f>IF((AX$78-2021)&lt;START!$C$2,0,((AX$73*INDEX('DEFAULT DATA'!$AGI$9:$AGP$41,START!$C$3,8))+(AX$74*INDEX('DEFAULT DATA'!$XS$9:$XZ$41,START!$C$3,8))+(AX$75*INDEX('DEFAULT DATA'!$YY$9:$ZF$41,START!$C$3,8)))*AX6/1000000)</f>
        <v>49675.687366910235</v>
      </c>
      <c r="AY86" s="325">
        <f>IF((AY$78-2021)&lt;START!$C$2,0,((AY$73*INDEX('DEFAULT DATA'!$AGI$9:$AGP$41,START!$C$3,8))+(AY$74*INDEX('DEFAULT DATA'!$XS$9:$XZ$41,START!$C$3,8))+(AY$75*INDEX('DEFAULT DATA'!$YY$9:$ZF$41,START!$C$3,8)))*AY6/1000000)</f>
        <v>49675.687366910235</v>
      </c>
      <c r="AZ86" s="325">
        <f>IF((AZ$78-2021)&lt;START!$C$2,0,((AZ$73*INDEX('DEFAULT DATA'!$AGI$9:$AGP$41,START!$C$3,8))+(AZ$74*INDEX('DEFAULT DATA'!$XS$9:$XZ$41,START!$C$3,8))+(AZ$75*INDEX('DEFAULT DATA'!$YY$9:$ZF$41,START!$C$3,8)))*AZ6/1000000)</f>
        <v>49675.687366910235</v>
      </c>
      <c r="BA86" s="325">
        <f>IF((BA$78-2021)&lt;START!$C$2,0,((BA$73*INDEX('DEFAULT DATA'!$AGI$9:$AGP$41,START!$C$3,8))+(BA$74*INDEX('DEFAULT DATA'!$XS$9:$XZ$41,START!$C$3,8))+(BA$75*INDEX('DEFAULT DATA'!$YY$9:$ZF$41,START!$C$3,8)))*BA6/1000000)</f>
        <v>49675.687366910235</v>
      </c>
      <c r="BB86" s="325">
        <f>IF((BB$78-2021)&lt;START!$C$2,0,((BB$73*INDEX('DEFAULT DATA'!$AGI$9:$AGP$41,START!$C$3,8))+(BB$74*INDEX('DEFAULT DATA'!$XS$9:$XZ$41,START!$C$3,8))+(BB$75*INDEX('DEFAULT DATA'!$YY$9:$ZF$41,START!$C$3,8)))*BB6/1000000)</f>
        <v>49675.687366910235</v>
      </c>
      <c r="BC86" s="325">
        <f>IF((BC$78-2021)&lt;START!$C$2,0,((BC$73*INDEX('DEFAULT DATA'!$AGI$9:$AGP$41,START!$C$3,8))+(BC$74*INDEX('DEFAULT DATA'!$XS$9:$XZ$41,START!$C$3,8))+(BC$75*INDEX('DEFAULT DATA'!$YY$9:$ZF$41,START!$C$3,8)))*BC6/1000000)</f>
        <v>49675.687366910235</v>
      </c>
      <c r="BD86" s="325">
        <f>IF((BD$78-2021)&lt;START!$C$2,0,((BD$73*INDEX('DEFAULT DATA'!$AGI$9:$AGP$41,START!$C$3,8))+(BD$74*INDEX('DEFAULT DATA'!$XS$9:$XZ$41,START!$C$3,8))+(BD$75*INDEX('DEFAULT DATA'!$YY$9:$ZF$41,START!$C$3,8)))*BD6/1000000)</f>
        <v>49675.687366910235</v>
      </c>
      <c r="BE86" s="325">
        <f>IF((BE$78-2021)&lt;START!$C$2,0,((BE$73*INDEX('DEFAULT DATA'!$AGI$9:$AGP$41,START!$C$3,8))+(BE$74*INDEX('DEFAULT DATA'!$XS$9:$XZ$41,START!$C$3,8))+(BE$75*INDEX('DEFAULT DATA'!$YY$9:$ZF$41,START!$C$3,8)))*BE6/1000000)</f>
        <v>49675.687366910235</v>
      </c>
      <c r="BF86" s="325">
        <f>IF((BF$78-2021)&lt;START!$C$2,0,((BF$73*INDEX('DEFAULT DATA'!$AGI$9:$AGP$41,START!$C$3,8))+(BF$74*INDEX('DEFAULT DATA'!$XS$9:$XZ$41,START!$C$3,8))+(BF$75*INDEX('DEFAULT DATA'!$YY$9:$ZF$41,START!$C$3,8)))*BF6/1000000)</f>
        <v>49675.687366910235</v>
      </c>
      <c r="BG86" s="325">
        <f>IF((BG$78-2021)&lt;START!$C$2,0,((BG$73*INDEX('DEFAULT DATA'!$AGI$9:$AGP$41,START!$C$3,8))+(BG$74*INDEX('DEFAULT DATA'!$XS$9:$XZ$41,START!$C$3,8))+(BG$75*INDEX('DEFAULT DATA'!$YY$9:$ZF$41,START!$C$3,8)))*BG6/1000000)</f>
        <v>49675.687366910235</v>
      </c>
      <c r="BH86" s="325">
        <f>IF((BH$78-2021)&lt;START!$C$2,0,((BH$73*INDEX('DEFAULT DATA'!$AGI$9:$AGP$41,START!$C$3,8))+(BH$74*INDEX('DEFAULT DATA'!$XS$9:$XZ$41,START!$C$3,8))+(BH$75*INDEX('DEFAULT DATA'!$YY$9:$ZF$41,START!$C$3,8)))*BH6/1000000)</f>
        <v>49675.687366910235</v>
      </c>
      <c r="BI86" s="325">
        <f>IF((BI$78-2021)&lt;START!$C$2,0,((BI$73*INDEX('DEFAULT DATA'!$AGI$9:$AGP$41,START!$C$3,8))+(BI$74*INDEX('DEFAULT DATA'!$XS$9:$XZ$41,START!$C$3,8))+(BI$75*INDEX('DEFAULT DATA'!$YY$9:$ZF$41,START!$C$3,8)))*BI6/1000000)</f>
        <v>49675.687366910235</v>
      </c>
      <c r="BJ86" s="325">
        <f>IF((BJ$78-2021)&lt;START!$C$2,0,((BJ$73*INDEX('DEFAULT DATA'!$AGI$9:$AGP$41,START!$C$3,8))+(BJ$74*INDEX('DEFAULT DATA'!$XS$9:$XZ$41,START!$C$3,8))+(BJ$75*INDEX('DEFAULT DATA'!$YY$9:$ZF$41,START!$C$3,8)))*BJ6/1000000)</f>
        <v>49675.687366910235</v>
      </c>
      <c r="BK86" s="325">
        <f>IF((BK$78-2021)&lt;START!$C$2,0,((BK$73*INDEX('DEFAULT DATA'!$AGI$9:$AGP$41,START!$C$3,8))+(BK$74*INDEX('DEFAULT DATA'!$XS$9:$XZ$41,START!$C$3,8))+(BK$75*INDEX('DEFAULT DATA'!$YY$9:$ZF$41,START!$C$3,8)))*BK6/1000000)</f>
        <v>49675.687366910235</v>
      </c>
      <c r="BL86" s="325">
        <f>IF((BL$78-2021)&lt;START!$C$2,0,((BL$73*INDEX('DEFAULT DATA'!$AGI$9:$AGP$41,START!$C$3,8))+(BL$74*INDEX('DEFAULT DATA'!$XS$9:$XZ$41,START!$C$3,8))+(BL$75*INDEX('DEFAULT DATA'!$YY$9:$ZF$41,START!$C$3,8)))*BL6/1000000)</f>
        <v>49675.687366910235</v>
      </c>
      <c r="BM86" s="325">
        <f>IF((BM$78-2021)&lt;START!$C$2,0,((BM$73*INDEX('DEFAULT DATA'!$AGI$9:$AGP$41,START!$C$3,8))+(BM$74*INDEX('DEFAULT DATA'!$XS$9:$XZ$41,START!$C$3,8))+(BM$75*INDEX('DEFAULT DATA'!$YY$9:$ZF$41,START!$C$3,8)))*BM6/1000000)</f>
        <v>49675.687366910235</v>
      </c>
      <c r="BN86" s="326">
        <f>IF((BN$78-2021)&lt;START!$C$2,0,((BN$73*INDEX('DEFAULT DATA'!$AGI$9:$AGP$41,START!$C$3,8))+(BN$74*INDEX('DEFAULT DATA'!$XS$9:$XZ$41,START!$C$3,8))+(BN$75*INDEX('DEFAULT DATA'!$YY$9:$ZF$41,START!$C$3,8)))*BN6/1000000)</f>
        <v>49675.687366910235</v>
      </c>
      <c r="BP86" s="525" t="str">
        <f t="shared" si="20"/>
        <v>Heat</v>
      </c>
      <c r="BQ86" s="533" t="s">
        <v>1743</v>
      </c>
      <c r="BR86" s="534"/>
      <c r="BS86" s="534"/>
      <c r="BT86" s="534"/>
      <c r="BU86" s="534"/>
      <c r="BV86" s="534"/>
      <c r="BW86" s="534"/>
      <c r="BX86" s="534"/>
      <c r="BY86" s="534"/>
      <c r="BZ86" s="534"/>
      <c r="CA86" s="534"/>
      <c r="CB86" s="534"/>
      <c r="CC86" s="534"/>
      <c r="CD86" s="534"/>
      <c r="CE86" s="535"/>
      <c r="CF86" s="529" t="s">
        <v>1666</v>
      </c>
      <c r="CG86" s="529" t="s">
        <v>1674</v>
      </c>
      <c r="CH86" s="529" t="s">
        <v>1682</v>
      </c>
      <c r="CI86" s="529" t="s">
        <v>1626</v>
      </c>
    </row>
    <row r="87" spans="1:87" ht="20.100000000000001" customHeight="1">
      <c r="A87" s="55" t="str">
        <f t="shared" si="21"/>
        <v>Industrial</v>
      </c>
      <c r="B87" s="282">
        <v>0</v>
      </c>
      <c r="C87" s="381"/>
      <c r="D87" s="29">
        <v>9</v>
      </c>
      <c r="E87" s="246">
        <v>9</v>
      </c>
      <c r="F87" s="220">
        <v>0</v>
      </c>
      <c r="G87" s="29"/>
      <c r="H87" s="29"/>
      <c r="I87" s="29"/>
      <c r="J87" s="29"/>
      <c r="K87" s="22"/>
      <c r="L87" s="29"/>
      <c r="M87" s="968"/>
      <c r="N87" s="971"/>
      <c r="O87" s="971"/>
      <c r="P87" s="971"/>
      <c r="Q87" s="971"/>
      <c r="R87" s="971"/>
      <c r="S87" s="971"/>
      <c r="T87" s="971"/>
      <c r="U87" s="971"/>
      <c r="V87" s="971"/>
      <c r="W87" s="971"/>
      <c r="X87" s="971"/>
      <c r="Y87" s="971"/>
      <c r="Z87" s="971"/>
      <c r="AA87" s="971"/>
      <c r="AB87" s="971"/>
      <c r="AC87" s="971"/>
      <c r="AD87" s="971"/>
      <c r="AE87" s="971"/>
      <c r="AF87" s="496"/>
      <c r="AG87" s="1429" t="s">
        <v>310</v>
      </c>
      <c r="AH87" s="1430"/>
      <c r="AI87" s="1430"/>
      <c r="AJ87" s="1516"/>
      <c r="AK87" s="316">
        <f>SUM(AK79:AK86)</f>
        <v>0</v>
      </c>
      <c r="AL87" s="327">
        <f t="shared" ref="AL87" si="22">SUM(AL79:AL86)</f>
        <v>0</v>
      </c>
      <c r="AM87" s="327">
        <f t="shared" ref="AM87:BN87" si="23">SUM(AM79:AM86)</f>
        <v>77893.050264105928</v>
      </c>
      <c r="AN87" s="327">
        <f t="shared" si="23"/>
        <v>77726.029609468314</v>
      </c>
      <c r="AO87" s="327">
        <f t="shared" si="23"/>
        <v>77560.679161377077</v>
      </c>
      <c r="AP87" s="327">
        <f t="shared" si="23"/>
        <v>77396.982217766752</v>
      </c>
      <c r="AQ87" s="327">
        <f t="shared" si="23"/>
        <v>77234.922243592533</v>
      </c>
      <c r="AR87" s="327">
        <f t="shared" si="23"/>
        <v>77074.482869160041</v>
      </c>
      <c r="AS87" s="327">
        <f t="shared" si="23"/>
        <v>76915.647888471896</v>
      </c>
      <c r="AT87" s="327">
        <f t="shared" si="23"/>
        <v>76758.401257590624</v>
      </c>
      <c r="AU87" s="327">
        <f t="shared" si="23"/>
        <v>75902.193352442089</v>
      </c>
      <c r="AV87" s="327">
        <f t="shared" si="23"/>
        <v>75093.076882076712</v>
      </c>
      <c r="AW87" s="327">
        <f t="shared" si="23"/>
        <v>74328.461817581439</v>
      </c>
      <c r="AX87" s="327">
        <f t="shared" si="23"/>
        <v>73605.90058163341</v>
      </c>
      <c r="AY87" s="327">
        <f t="shared" si="23"/>
        <v>72923.080213662513</v>
      </c>
      <c r="AZ87" s="327">
        <f t="shared" si="23"/>
        <v>72277.814965930011</v>
      </c>
      <c r="BA87" s="327">
        <f t="shared" si="23"/>
        <v>71668.039306822815</v>
      </c>
      <c r="BB87" s="327">
        <f t="shared" si="23"/>
        <v>71091.801308966504</v>
      </c>
      <c r="BC87" s="327">
        <f t="shared" si="23"/>
        <v>70547.256400992293</v>
      </c>
      <c r="BD87" s="327">
        <f t="shared" si="23"/>
        <v>70032.661462956661</v>
      </c>
      <c r="BE87" s="327">
        <f t="shared" si="23"/>
        <v>69546.369246512986</v>
      </c>
      <c r="BF87" s="327">
        <f t="shared" si="23"/>
        <v>69086.823101973714</v>
      </c>
      <c r="BG87" s="327">
        <f t="shared" si="23"/>
        <v>68652.551995384114</v>
      </c>
      <c r="BH87" s="327">
        <f t="shared" si="23"/>
        <v>68242.165799656941</v>
      </c>
      <c r="BI87" s="327">
        <f t="shared" si="23"/>
        <v>67854.350844694738</v>
      </c>
      <c r="BJ87" s="327">
        <f t="shared" si="23"/>
        <v>67487.865712255472</v>
      </c>
      <c r="BK87" s="327">
        <f t="shared" si="23"/>
        <v>67141.537262100377</v>
      </c>
      <c r="BL87" s="327">
        <f t="shared" si="23"/>
        <v>66814.256876703803</v>
      </c>
      <c r="BM87" s="327">
        <f t="shared" si="23"/>
        <v>66504.976912504033</v>
      </c>
      <c r="BN87" s="327">
        <f t="shared" si="23"/>
        <v>66212.707346335257</v>
      </c>
    </row>
    <row r="88" spans="1:87" ht="20.100000000000001" customHeight="1">
      <c r="A88" s="55" t="str">
        <f t="shared" si="21"/>
        <v>Warehouses</v>
      </c>
      <c r="B88" s="282">
        <v>0</v>
      </c>
      <c r="C88" s="381"/>
      <c r="D88" s="29">
        <v>9</v>
      </c>
      <c r="E88" s="246">
        <v>9</v>
      </c>
      <c r="F88" s="220">
        <v>0</v>
      </c>
      <c r="G88" s="29"/>
      <c r="H88" s="29"/>
      <c r="I88" s="29"/>
      <c r="J88" s="29"/>
      <c r="K88" s="22"/>
      <c r="L88" s="29"/>
      <c r="M88" s="968"/>
      <c r="N88" s="971"/>
      <c r="O88" s="971"/>
      <c r="P88" s="971"/>
      <c r="Q88" s="971"/>
      <c r="R88" s="971"/>
      <c r="S88" s="971"/>
      <c r="T88" s="971"/>
      <c r="U88" s="971"/>
      <c r="V88" s="971"/>
      <c r="W88" s="971"/>
      <c r="X88" s="971"/>
      <c r="Y88" s="971"/>
      <c r="Z88" s="971"/>
      <c r="AA88" s="971"/>
      <c r="AB88" s="971"/>
      <c r="AC88" s="971"/>
      <c r="AD88" s="971"/>
      <c r="AE88" s="971"/>
    </row>
    <row r="89" spans="1:87" ht="20.100000000000001" customHeight="1">
      <c r="A89" s="55"/>
      <c r="B89" s="222"/>
      <c r="C89" s="222"/>
      <c r="D89" s="222"/>
      <c r="E89" s="222"/>
      <c r="F89" s="222"/>
      <c r="G89" s="222"/>
      <c r="H89" s="29"/>
      <c r="I89" s="29"/>
      <c r="J89" s="29"/>
      <c r="K89" s="22"/>
      <c r="L89" s="29"/>
      <c r="M89" s="968"/>
      <c r="N89" s="971"/>
      <c r="O89" s="971"/>
      <c r="P89" s="971"/>
      <c r="Q89" s="971"/>
      <c r="R89" s="971"/>
      <c r="S89" s="971"/>
      <c r="T89" s="971"/>
      <c r="U89" s="971"/>
      <c r="V89" s="971"/>
      <c r="W89" s="971"/>
      <c r="X89" s="971"/>
      <c r="Y89" s="971"/>
      <c r="Z89" s="971"/>
      <c r="AA89" s="971"/>
      <c r="AB89" s="971"/>
      <c r="AC89" s="971"/>
      <c r="AD89" s="971"/>
      <c r="AE89" s="971"/>
    </row>
    <row r="90" spans="1:87" ht="20.100000000000001" customHeight="1">
      <c r="A90" s="28"/>
      <c r="B90" s="78"/>
      <c r="C90" s="78"/>
      <c r="D90" s="29"/>
      <c r="E90" s="29"/>
      <c r="F90" s="29"/>
      <c r="G90" s="29"/>
      <c r="H90" s="29"/>
      <c r="I90" s="29"/>
      <c r="J90" s="29"/>
      <c r="K90" s="22"/>
      <c r="L90" s="29"/>
      <c r="M90" s="968"/>
      <c r="N90" s="971"/>
      <c r="O90" s="971"/>
      <c r="P90" s="971"/>
      <c r="Q90" s="971"/>
      <c r="R90" s="971"/>
      <c r="S90" s="971"/>
      <c r="T90" s="971"/>
      <c r="U90" s="971"/>
      <c r="V90" s="971"/>
      <c r="W90" s="971"/>
      <c r="X90" s="971"/>
      <c r="Y90" s="971"/>
      <c r="Z90" s="971"/>
      <c r="AA90" s="971"/>
      <c r="AB90" s="971"/>
      <c r="AC90" s="971"/>
      <c r="AD90" s="971"/>
      <c r="AE90" s="971"/>
    </row>
    <row r="91" spans="1:87" ht="30" customHeight="1">
      <c r="A91" s="225" t="s">
        <v>1438</v>
      </c>
      <c r="B91" s="78"/>
      <c r="C91" s="78"/>
      <c r="D91" s="29"/>
      <c r="E91" s="277"/>
      <c r="F91" s="29"/>
      <c r="G91" s="277"/>
      <c r="H91" s="51"/>
      <c r="I91" s="30"/>
      <c r="J91" s="277"/>
      <c r="K91" s="278"/>
      <c r="L91" s="25"/>
      <c r="M91" s="25"/>
      <c r="N91" s="25"/>
      <c r="O91" s="25"/>
      <c r="P91" s="25"/>
      <c r="Q91" s="25"/>
      <c r="R91" s="25"/>
      <c r="S91" s="25"/>
      <c r="T91" s="25"/>
      <c r="U91" s="25"/>
      <c r="V91" s="25"/>
      <c r="W91" s="25"/>
      <c r="X91" s="25"/>
      <c r="Y91" s="25"/>
      <c r="Z91" s="25"/>
      <c r="AA91" s="25"/>
      <c r="AB91" s="25"/>
      <c r="AC91" s="25"/>
      <c r="AD91" s="25"/>
      <c r="AE91" s="25"/>
      <c r="AF91" s="271" t="s">
        <v>1399</v>
      </c>
      <c r="BP91" s="17" t="s">
        <v>1683</v>
      </c>
      <c r="BQ91" s="17"/>
    </row>
    <row r="92" spans="1:87" ht="20.100000000000001" customHeight="1" thickBot="1">
      <c r="A92" s="55" t="s">
        <v>1444</v>
      </c>
      <c r="B92" s="1517" t="s">
        <v>1440</v>
      </c>
      <c r="C92" s="1517" t="s">
        <v>1450</v>
      </c>
      <c r="D92" s="1517" t="s">
        <v>1451</v>
      </c>
      <c r="E92" s="1517"/>
      <c r="F92" s="1518" t="s">
        <v>1448</v>
      </c>
      <c r="G92" s="273"/>
      <c r="H92" s="636" t="s">
        <v>1435</v>
      </c>
      <c r="I92" s="29"/>
      <c r="J92" s="29"/>
      <c r="K92" s="22"/>
      <c r="L92" s="29"/>
      <c r="M92" s="968"/>
      <c r="N92" s="971"/>
      <c r="O92" s="971"/>
      <c r="P92" s="971"/>
      <c r="Q92" s="971"/>
      <c r="R92" s="971"/>
      <c r="S92" s="971"/>
      <c r="T92" s="971"/>
      <c r="U92" s="971"/>
      <c r="V92" s="971"/>
      <c r="W92" s="971"/>
      <c r="X92" s="971"/>
      <c r="Y92" s="971"/>
      <c r="Z92" s="971"/>
      <c r="AA92" s="971"/>
      <c r="AB92" s="971"/>
      <c r="AC92" s="971"/>
      <c r="AD92" s="971"/>
      <c r="AE92" s="971"/>
      <c r="AF92" s="488" t="s">
        <v>1356</v>
      </c>
      <c r="AG92" s="502" t="s">
        <v>1355</v>
      </c>
      <c r="AH92" s="503"/>
      <c r="AI92" s="503"/>
      <c r="AJ92" s="504"/>
      <c r="AK92" s="489">
        <v>2021</v>
      </c>
      <c r="AL92" s="489">
        <f t="shared" ref="AL92:BN92" si="24">AK92+1</f>
        <v>2022</v>
      </c>
      <c r="AM92" s="489">
        <f t="shared" si="24"/>
        <v>2023</v>
      </c>
      <c r="AN92" s="489">
        <f t="shared" si="24"/>
        <v>2024</v>
      </c>
      <c r="AO92" s="489">
        <f t="shared" si="24"/>
        <v>2025</v>
      </c>
      <c r="AP92" s="489">
        <f t="shared" si="24"/>
        <v>2026</v>
      </c>
      <c r="AQ92" s="489">
        <f t="shared" si="24"/>
        <v>2027</v>
      </c>
      <c r="AR92" s="489">
        <f t="shared" si="24"/>
        <v>2028</v>
      </c>
      <c r="AS92" s="489">
        <f t="shared" si="24"/>
        <v>2029</v>
      </c>
      <c r="AT92" s="489">
        <f t="shared" si="24"/>
        <v>2030</v>
      </c>
      <c r="AU92" s="489">
        <f t="shared" si="24"/>
        <v>2031</v>
      </c>
      <c r="AV92" s="489">
        <f t="shared" si="24"/>
        <v>2032</v>
      </c>
      <c r="AW92" s="489">
        <f t="shared" si="24"/>
        <v>2033</v>
      </c>
      <c r="AX92" s="489">
        <f t="shared" si="24"/>
        <v>2034</v>
      </c>
      <c r="AY92" s="489">
        <f t="shared" si="24"/>
        <v>2035</v>
      </c>
      <c r="AZ92" s="489">
        <f t="shared" si="24"/>
        <v>2036</v>
      </c>
      <c r="BA92" s="489">
        <f t="shared" si="24"/>
        <v>2037</v>
      </c>
      <c r="BB92" s="489">
        <f t="shared" si="24"/>
        <v>2038</v>
      </c>
      <c r="BC92" s="489">
        <f t="shared" si="24"/>
        <v>2039</v>
      </c>
      <c r="BD92" s="489">
        <f t="shared" si="24"/>
        <v>2040</v>
      </c>
      <c r="BE92" s="489">
        <f t="shared" si="24"/>
        <v>2041</v>
      </c>
      <c r="BF92" s="489">
        <f t="shared" si="24"/>
        <v>2042</v>
      </c>
      <c r="BG92" s="489">
        <f t="shared" si="24"/>
        <v>2043</v>
      </c>
      <c r="BH92" s="489">
        <f t="shared" si="24"/>
        <v>2044</v>
      </c>
      <c r="BI92" s="489">
        <f t="shared" si="24"/>
        <v>2045</v>
      </c>
      <c r="BJ92" s="489">
        <f t="shared" si="24"/>
        <v>2046</v>
      </c>
      <c r="BK92" s="489">
        <f t="shared" si="24"/>
        <v>2047</v>
      </c>
      <c r="BL92" s="489">
        <f t="shared" si="24"/>
        <v>2048</v>
      </c>
      <c r="BM92" s="489">
        <f t="shared" si="24"/>
        <v>2049</v>
      </c>
      <c r="BN92" s="489">
        <f t="shared" si="24"/>
        <v>2050</v>
      </c>
      <c r="BP92" s="522"/>
      <c r="BQ92" s="523" t="s">
        <v>1591</v>
      </c>
    </row>
    <row r="93" spans="1:87" ht="20.100000000000001" customHeight="1">
      <c r="A93" s="55" t="s">
        <v>1441</v>
      </c>
      <c r="B93" s="1425"/>
      <c r="C93" s="1425"/>
      <c r="D93" s="1420"/>
      <c r="E93" s="1420"/>
      <c r="F93" s="1519"/>
      <c r="G93" s="273"/>
      <c r="H93" s="636" t="s">
        <v>1445</v>
      </c>
      <c r="I93" s="29"/>
      <c r="J93" s="29"/>
      <c r="K93" s="22"/>
      <c r="L93" s="29"/>
      <c r="M93" s="968"/>
      <c r="N93" s="971"/>
      <c r="O93" s="971"/>
      <c r="P93" s="971"/>
      <c r="Q93" s="971"/>
      <c r="R93" s="971"/>
      <c r="S93" s="971"/>
      <c r="T93" s="971"/>
      <c r="U93" s="971"/>
      <c r="V93" s="971"/>
      <c r="W93" s="971"/>
      <c r="X93" s="971"/>
      <c r="Y93" s="971"/>
      <c r="Z93" s="971"/>
      <c r="AA93" s="971"/>
      <c r="AB93" s="971"/>
      <c r="AC93" s="971"/>
      <c r="AD93" s="971"/>
      <c r="AE93" s="971"/>
      <c r="AF93" s="1491" t="s">
        <v>1217</v>
      </c>
      <c r="AG93" s="505" t="s">
        <v>1372</v>
      </c>
      <c r="AH93" s="506"/>
      <c r="AI93" s="506"/>
      <c r="AJ93" s="507"/>
      <c r="AK93" s="490">
        <v>0</v>
      </c>
      <c r="AL93" s="330">
        <f>IF((AL$92-2021)=START!$C$2,BUILDINGS!$B10,ROUND(BUILDINGS!AK93-(INDEX('DEFAULT DATA'!$VL$9:$VN$41,START!$C$3,1)/100*(AK93+AK94+AK95)),0))</f>
        <v>0</v>
      </c>
      <c r="AM93" s="330">
        <f>IF((AM$92-2021)=START!$C$2,BUILDINGS!$B10,ROUND(BUILDINGS!AL93-(INDEX('DEFAULT DATA'!$VL$9:$VN$41,START!$C$3,1)/100*(AL93+AL94+AL95)),0))</f>
        <v>34566</v>
      </c>
      <c r="AN93" s="330">
        <f>IF((AN$92-2021)=START!$C$2,BUILDINGS!$B10,ROUND(BUILDINGS!AM93-(INDEX('DEFAULT DATA'!$VL$9:$VN$41,START!$C$3,1)/100*(AM93+AM94+AM95)),0))</f>
        <v>34566</v>
      </c>
      <c r="AO93" s="330">
        <f>IF((AO$92-2021)=START!$C$2,BUILDINGS!$B10,ROUND(BUILDINGS!AN93-(INDEX('DEFAULT DATA'!$VL$9:$VN$41,START!$C$3,1)/100*(AN93+AN94+AN95)),0))</f>
        <v>34566</v>
      </c>
      <c r="AP93" s="330">
        <f>IF((AP$92-2021)=START!$C$2,BUILDINGS!$B10,ROUND(BUILDINGS!AO93-(INDEX('DEFAULT DATA'!$VL$9:$VN$41,START!$C$3,1)/100*(AO93+AO94+AO95)),0))</f>
        <v>34566</v>
      </c>
      <c r="AQ93" s="330">
        <f>IF((AQ$92-2021)=START!$C$2,BUILDINGS!$B10,ROUND(BUILDINGS!AP93-(INDEX('DEFAULT DATA'!$VL$9:$VN$41,START!$C$3,1)/100*(AP93+AP94+AP95)),0))</f>
        <v>34566</v>
      </c>
      <c r="AR93" s="330">
        <f>IF((AR$92-2021)=START!$C$2,BUILDINGS!$B10,ROUND(BUILDINGS!AQ93-(INDEX('DEFAULT DATA'!$VL$9:$VN$41,START!$C$3,1)/100*(AQ93+AQ94+AQ95)),0))</f>
        <v>34566</v>
      </c>
      <c r="AS93" s="330">
        <f>IF((AS$92-2021)=START!$C$2,BUILDINGS!$B10,ROUND(BUILDINGS!AR93-(INDEX('DEFAULT DATA'!$VL$9:$VN$41,START!$C$3,1)/100*(AR93+AR94+AR95)),0))</f>
        <v>34566</v>
      </c>
      <c r="AT93" s="330">
        <f>IF((AT$92-2021)=START!$C$2,BUILDINGS!$B10,ROUND(BUILDINGS!AS93-(INDEX('DEFAULT DATA'!$VL$9:$VN$41,START!$C$3,1)/100*(AS93+AS94+AS95)),0))</f>
        <v>34566</v>
      </c>
      <c r="AU93" s="330">
        <f>IF((AU$92-2021)=START!$C$2,BUILDINGS!$B10,ROUND(BUILDINGS!AT93-(INDEX('DEFAULT DATA'!$VL$9:$VN$41,START!$C$3,2)/100*(AT93+AT94+AT95)),0))</f>
        <v>34566</v>
      </c>
      <c r="AV93" s="330">
        <f>IF((AV$92-2021)=START!$C$2,BUILDINGS!$B10,ROUND(BUILDINGS!AU93-(INDEX('DEFAULT DATA'!$VL$9:$VN$41,START!$C$3,2)/100*(AU93+AU94+AU95)),0))</f>
        <v>34566</v>
      </c>
      <c r="AW93" s="330">
        <f>IF((AW$92-2021)=START!$C$2,BUILDINGS!$B10,ROUND(BUILDINGS!AV93-(INDEX('DEFAULT DATA'!$VL$9:$VN$41,START!$C$3,2)/100*(AV93+AV94+AV95)),0))</f>
        <v>34566</v>
      </c>
      <c r="AX93" s="330">
        <f>IF((AX$92-2021)=START!$C$2,BUILDINGS!$B10,ROUND(BUILDINGS!AW93-(INDEX('DEFAULT DATA'!$VL$9:$VN$41,START!$C$3,2)/100*(AW93+AW94+AW95)),0))</f>
        <v>34566</v>
      </c>
      <c r="AY93" s="330">
        <f>IF((AY$92-2021)=START!$C$2,BUILDINGS!$B10,ROUND(BUILDINGS!AX93-(INDEX('DEFAULT DATA'!$VL$9:$VN$41,START!$C$3,2)/100*(AX93+AX94+AX95)),0))</f>
        <v>34566</v>
      </c>
      <c r="AZ93" s="330">
        <f>IF((AZ$92-2021)=START!$C$2,BUILDINGS!$B10,ROUND(BUILDINGS!AY93-(INDEX('DEFAULT DATA'!$VL$9:$VN$41,START!$C$3,2)/100*(AY93+AY94+AY95)),0))</f>
        <v>34566</v>
      </c>
      <c r="BA93" s="330">
        <f>IF((BA$92-2021)=START!$C$2,BUILDINGS!$B10,ROUND(BUILDINGS!AZ93-(INDEX('DEFAULT DATA'!$VL$9:$VN$41,START!$C$3,2)/100*(AZ93+AZ94+AZ95)),0))</f>
        <v>34566</v>
      </c>
      <c r="BB93" s="330">
        <f>IF((BB$92-2021)=START!$C$2,BUILDINGS!$B10,ROUND(BUILDINGS!BA93-(INDEX('DEFAULT DATA'!$VL$9:$VN$41,START!$C$3,2)/100*(BA93+BA94+BA95)),0))</f>
        <v>34566</v>
      </c>
      <c r="BC93" s="330">
        <f>IF((BC$92-2021)=START!$C$2,BUILDINGS!$B10,ROUND(BUILDINGS!BB93-(INDEX('DEFAULT DATA'!$VL$9:$VN$41,START!$C$3,2)/100*(BB93+BB94+BB95)),0))</f>
        <v>34566</v>
      </c>
      <c r="BD93" s="330">
        <f>IF((BD$92-2021)=START!$C$2,BUILDINGS!$B10,ROUND(BUILDINGS!BC93-(INDEX('DEFAULT DATA'!$VL$9:$VN$41,START!$C$3,2)/100*(BC93+BC94+BC95)),0))</f>
        <v>34566</v>
      </c>
      <c r="BE93" s="330">
        <f>IF((BE$92-2021)=START!$C$2,BUILDINGS!$B10,ROUND(BUILDINGS!BD93-(INDEX('DEFAULT DATA'!$VL$9:$VN$41,START!$C$3,3)/100*(BD93+BD94+BD95)),0))</f>
        <v>34566</v>
      </c>
      <c r="BF93" s="330">
        <f>IF((BF$92-2021)=START!$C$2,BUILDINGS!$B10,ROUND(BUILDINGS!BE93-(INDEX('DEFAULT DATA'!$VL$9:$VN$41,START!$C$3,3)/100*(BE93+BE94+BE95)),0))</f>
        <v>34566</v>
      </c>
      <c r="BG93" s="330">
        <f>IF((BG$92-2021)=START!$C$2,BUILDINGS!$B10,ROUND(BUILDINGS!BF93-(INDEX('DEFAULT DATA'!$VL$9:$VN$41,START!$C$3,3)/100*(BF93+BF94+BF95)),0))</f>
        <v>34566</v>
      </c>
      <c r="BH93" s="330">
        <f>IF((BH$92-2021)=START!$C$2,BUILDINGS!$B10,ROUND(BUILDINGS!BG93-(INDEX('DEFAULT DATA'!$VL$9:$VN$41,START!$C$3,3)/100*(BG93+BG94+BG95)),0))</f>
        <v>34566</v>
      </c>
      <c r="BI93" s="330">
        <f>IF((BI$92-2021)=START!$C$2,BUILDINGS!$B10,ROUND(BUILDINGS!BH93-(INDEX('DEFAULT DATA'!$VL$9:$VN$41,START!$C$3,3)/100*(BH93+BH94+BH95)),0))</f>
        <v>34566</v>
      </c>
      <c r="BJ93" s="330">
        <f>IF((BJ$92-2021)=START!$C$2,BUILDINGS!$B10,ROUND(BUILDINGS!BI93-(INDEX('DEFAULT DATA'!$VL$9:$VN$41,START!$C$3,3)/100*(BI93+BI94+BI95)),0))</f>
        <v>34566</v>
      </c>
      <c r="BK93" s="330">
        <f>IF((BK$92-2021)=START!$C$2,BUILDINGS!$B10,ROUND(BUILDINGS!BJ93-(INDEX('DEFAULT DATA'!$VL$9:$VN$41,START!$C$3,3)/100*(BJ93+BJ94+BJ95)),0))</f>
        <v>34566</v>
      </c>
      <c r="BL93" s="330">
        <f>IF((BL$92-2021)=START!$C$2,BUILDINGS!$B10,ROUND(BUILDINGS!BK93-(INDEX('DEFAULT DATA'!$VL$9:$VN$41,START!$C$3,3)/100*(BK93+BK94+BK95)),0))</f>
        <v>34566</v>
      </c>
      <c r="BM93" s="330">
        <f>IF((BM$92-2021)=START!$C$2,BUILDINGS!$B10,ROUND(BUILDINGS!BL93-(INDEX('DEFAULT DATA'!$VL$9:$VN$41,START!$C$3,3)/100*(BL93+BL94+BL95)),0))</f>
        <v>34566</v>
      </c>
      <c r="BN93" s="331">
        <f>IF((BN$92-2021)=START!$C$2,BUILDINGS!$B10,ROUND(BUILDINGS!BM93-(INDEX('DEFAULT DATA'!$VL$9:$VN$41,START!$C$3,3)/100*(BM93+BM94+BM95)),0))</f>
        <v>34566</v>
      </c>
      <c r="BP93" s="524" t="s">
        <v>1717</v>
      </c>
      <c r="BQ93" s="521"/>
    </row>
    <row r="94" spans="1:87" ht="20.100000000000001" customHeight="1">
      <c r="A94" s="55" t="str">
        <f>A75</f>
        <v>Apartment</v>
      </c>
      <c r="B94" s="282">
        <v>0</v>
      </c>
      <c r="C94" s="220">
        <v>0</v>
      </c>
      <c r="D94" s="29">
        <v>9</v>
      </c>
      <c r="E94" s="246">
        <v>9</v>
      </c>
      <c r="F94" s="220">
        <v>0</v>
      </c>
      <c r="G94" s="29"/>
      <c r="H94" s="1360">
        <f>ROUND((100+C94)/100*B94,0)</f>
        <v>0</v>
      </c>
      <c r="I94" s="29"/>
      <c r="J94" s="29"/>
      <c r="K94" s="22"/>
      <c r="L94" s="29"/>
      <c r="M94" s="968"/>
      <c r="N94" s="971"/>
      <c r="O94" s="971"/>
      <c r="P94" s="971"/>
      <c r="Q94" s="971"/>
      <c r="R94" s="971"/>
      <c r="S94" s="971"/>
      <c r="T94" s="971"/>
      <c r="U94" s="971"/>
      <c r="V94" s="971"/>
      <c r="W94" s="971"/>
      <c r="X94" s="971"/>
      <c r="Y94" s="971"/>
      <c r="Z94" s="971"/>
      <c r="AA94" s="971"/>
      <c r="AB94" s="971"/>
      <c r="AC94" s="971"/>
      <c r="AD94" s="971"/>
      <c r="AE94" s="971"/>
      <c r="AF94" s="1492"/>
      <c r="AG94" s="508" t="s">
        <v>1373</v>
      </c>
      <c r="AH94" s="486"/>
      <c r="AI94" s="486"/>
      <c r="AJ94" s="487"/>
      <c r="AK94" s="491">
        <v>0</v>
      </c>
      <c r="AL94" s="262">
        <f>IF((AL$92-2021)=START!$C$2,0,BUILDINGS!AK94+ROUND((INDEX('DEFAULT DATA'!$WJ$9:$WL$41,START!$C$3,1)/100*(AK93+AK94+AK95)),0))</f>
        <v>0</v>
      </c>
      <c r="AM94" s="262">
        <f>IF((AM$92-2021)=START!$C$2,0,BUILDINGS!AL94+ROUND((INDEX('DEFAULT DATA'!$WJ$9:$WL$41,START!$C$3,1)/100*(AL93+AL94+AL95)),0))</f>
        <v>0</v>
      </c>
      <c r="AN94" s="262">
        <f>IF((AN$92-2021)=START!$C$2,0,BUILDINGS!AM94+ROUND((INDEX('DEFAULT DATA'!$WJ$9:$WL$41,START!$C$3,1)/100*(AM93+AM94+AM95)),0))</f>
        <v>0</v>
      </c>
      <c r="AO94" s="262">
        <f>IF((AO$92-2021)=START!$C$2,0,BUILDINGS!AN94+ROUND((INDEX('DEFAULT DATA'!$WJ$9:$WL$41,START!$C$3,1)/100*(AN93+AN94+AN95)),0))</f>
        <v>0</v>
      </c>
      <c r="AP94" s="262">
        <f>IF((AP$92-2021)=START!$C$2,0,BUILDINGS!AO94+ROUND((INDEX('DEFAULT DATA'!$WJ$9:$WL$41,START!$C$3,1)/100*(AO93+AO94+AO95)),0))</f>
        <v>0</v>
      </c>
      <c r="AQ94" s="262">
        <f>IF((AQ$92-2021)=START!$C$2,0,BUILDINGS!AP94+ROUND((INDEX('DEFAULT DATA'!$WJ$9:$WL$41,START!$C$3,1)/100*(AP93+AP94+AP95)),0))</f>
        <v>0</v>
      </c>
      <c r="AR94" s="262">
        <f>IF((AR$92-2021)=START!$C$2,0,BUILDINGS!AQ94+ROUND((INDEX('DEFAULT DATA'!$WJ$9:$WL$41,START!$C$3,1)/100*(AQ93+AQ94+AQ95)),0))</f>
        <v>0</v>
      </c>
      <c r="AS94" s="262">
        <f>IF((AS$92-2021)=START!$C$2,0,BUILDINGS!AR94+ROUND((INDEX('DEFAULT DATA'!$WJ$9:$WL$41,START!$C$3,1)/100*(AR93+AR94+AR95)),0))</f>
        <v>0</v>
      </c>
      <c r="AT94" s="262">
        <f>IF((AT$92-2021)=START!$C$2,0,BUILDINGS!AS94+ROUND((INDEX('DEFAULT DATA'!$WJ$9:$WL$41,START!$C$3,1)/100*(AS93+AS94+AS95)),0))</f>
        <v>0</v>
      </c>
      <c r="AU94" s="262">
        <f>IF((AU$92-2021)=START!$C$2,0,BUILDINGS!AT94+ROUND((INDEX('DEFAULT DATA'!$WJ$9:$WL$41,START!$C$3,2)/100*(AT93+AT94+AT95)),0))</f>
        <v>0</v>
      </c>
      <c r="AV94" s="262">
        <f>IF((AV$92-2021)=START!$C$2,0,BUILDINGS!AU94+ROUND((INDEX('DEFAULT DATA'!$WJ$9:$WL$41,START!$C$3,2)/100*(AU93+AU94+AU95)),0))</f>
        <v>0</v>
      </c>
      <c r="AW94" s="262">
        <f>IF((AW$92-2021)=START!$C$2,0,BUILDINGS!AV94+ROUND((INDEX('DEFAULT DATA'!$WJ$9:$WL$41,START!$C$3,2)/100*(AV93+AV94+AV95)),0))</f>
        <v>0</v>
      </c>
      <c r="AX94" s="262">
        <f>IF((AX$92-2021)=START!$C$2,0,BUILDINGS!AW94+ROUND((INDEX('DEFAULT DATA'!$WJ$9:$WL$41,START!$C$3,2)/100*(AW93+AW94+AW95)),0))</f>
        <v>0</v>
      </c>
      <c r="AY94" s="262">
        <f>IF((AY$92-2021)=START!$C$2,0,BUILDINGS!AX94+ROUND((INDEX('DEFAULT DATA'!$WJ$9:$WL$41,START!$C$3,2)/100*(AX93+AX94+AX95)),0))</f>
        <v>0</v>
      </c>
      <c r="AZ94" s="262">
        <f>IF((AZ$92-2021)=START!$C$2,0,BUILDINGS!AY94+ROUND((INDEX('DEFAULT DATA'!$WJ$9:$WL$41,START!$C$3,2)/100*(AY93+AY94+AY95)),0))</f>
        <v>0</v>
      </c>
      <c r="BA94" s="262">
        <f>IF((BA$92-2021)=START!$C$2,0,BUILDINGS!AZ94+ROUND((INDEX('DEFAULT DATA'!$WJ$9:$WL$41,START!$C$3,2)/100*(AZ93+AZ94+AZ95)),0))</f>
        <v>0</v>
      </c>
      <c r="BB94" s="262">
        <f>IF((BB$92-2021)=START!$C$2,0,BUILDINGS!BA94+ROUND((INDEX('DEFAULT DATA'!$WJ$9:$WL$41,START!$C$3,2)/100*(BA93+BA94+BA95)),0))</f>
        <v>0</v>
      </c>
      <c r="BC94" s="262">
        <f>IF((BC$92-2021)=START!$C$2,0,BUILDINGS!BB94+ROUND((INDEX('DEFAULT DATA'!$WJ$9:$WL$41,START!$C$3,2)/100*(BB93+BB94+BB95)),0))</f>
        <v>0</v>
      </c>
      <c r="BD94" s="262">
        <f>IF((BD$92-2021)=START!$C$2,0,BUILDINGS!BC94+ROUND((INDEX('DEFAULT DATA'!$WJ$9:$WL$41,START!$C$3,2)/100*(BC93+BC94+BC95)),0))</f>
        <v>0</v>
      </c>
      <c r="BE94" s="262">
        <f>IF((BE$92-2021)=START!$C$2,0,BUILDINGS!BD94+ROUND((INDEX('DEFAULT DATA'!$WJ$9:$WL$41,START!$C$3,3)/100*(BD93+BD94+BD95)),0))</f>
        <v>0</v>
      </c>
      <c r="BF94" s="262">
        <f>IF((BF$92-2021)=START!$C$2,0,BUILDINGS!BE94+ROUND((INDEX('DEFAULT DATA'!$WJ$9:$WL$41,START!$C$3,3)/100*(BE93+BE94+BE95)),0))</f>
        <v>0</v>
      </c>
      <c r="BG94" s="262">
        <f>IF((BG$92-2021)=START!$C$2,0,BUILDINGS!BF94+ROUND((INDEX('DEFAULT DATA'!$WJ$9:$WL$41,START!$C$3,3)/100*(BF93+BF94+BF95)),0))</f>
        <v>0</v>
      </c>
      <c r="BH94" s="262">
        <f>IF((BH$92-2021)=START!$C$2,0,BUILDINGS!BG94+ROUND((INDEX('DEFAULT DATA'!$WJ$9:$WL$41,START!$C$3,3)/100*(BG93+BG94+BG95)),0))</f>
        <v>0</v>
      </c>
      <c r="BI94" s="262">
        <f>IF((BI$92-2021)=START!$C$2,0,BUILDINGS!BH94+ROUND((INDEX('DEFAULT DATA'!$WJ$9:$WL$41,START!$C$3,3)/100*(BH93+BH94+BH95)),0))</f>
        <v>0</v>
      </c>
      <c r="BJ94" s="262">
        <f>IF((BJ$92-2021)=START!$C$2,0,BUILDINGS!BI94+ROUND((INDEX('DEFAULT DATA'!$WJ$9:$WL$41,START!$C$3,3)/100*(BI93+BI94+BI95)),0))</f>
        <v>0</v>
      </c>
      <c r="BK94" s="262">
        <f>IF((BK$92-2021)=START!$C$2,0,BUILDINGS!BJ94+ROUND((INDEX('DEFAULT DATA'!$WJ$9:$WL$41,START!$C$3,3)/100*(BJ93+BJ94+BJ95)),0))</f>
        <v>0</v>
      </c>
      <c r="BL94" s="262">
        <f>IF((BL$92-2021)=START!$C$2,0,BUILDINGS!BK94+ROUND((INDEX('DEFAULT DATA'!$WJ$9:$WL$41,START!$C$3,3)/100*(BK93+BK94+BK95)),0))</f>
        <v>0</v>
      </c>
      <c r="BM94" s="262">
        <f>IF((BM$92-2021)=START!$C$2,0,BUILDINGS!BL94+ROUND((INDEX('DEFAULT DATA'!$WJ$9:$WL$41,START!$C$3,3)/100*(BL93+BL94+BL95)),0))</f>
        <v>0</v>
      </c>
      <c r="BN94" s="492">
        <f>IF((BN$92-2021)=START!$C$2,0,BUILDINGS!BM94+ROUND((INDEX('DEFAULT DATA'!$WJ$9:$WL$41,START!$C$3,3)/100*(BM93+BM94+BM95)),0))</f>
        <v>0</v>
      </c>
      <c r="BP94" s="524" t="s">
        <v>1718</v>
      </c>
      <c r="BQ94" s="521"/>
    </row>
    <row r="95" spans="1:87" ht="20.100000000000001" customHeight="1" thickBot="1">
      <c r="A95" s="55" t="str">
        <f>A76</f>
        <v>Terraced</v>
      </c>
      <c r="B95" s="282">
        <v>0</v>
      </c>
      <c r="C95" s="220">
        <v>0</v>
      </c>
      <c r="D95" s="29">
        <v>9</v>
      </c>
      <c r="E95" s="246">
        <v>9</v>
      </c>
      <c r="F95" s="220">
        <v>0</v>
      </c>
      <c r="G95" s="29"/>
      <c r="H95" s="1360">
        <f>ROUND((100+C95)/100*B95,0)</f>
        <v>0</v>
      </c>
      <c r="I95" s="29"/>
      <c r="J95" s="29"/>
      <c r="K95" s="22"/>
      <c r="L95" s="29"/>
      <c r="M95" s="968"/>
      <c r="N95" s="971"/>
      <c r="O95" s="971"/>
      <c r="P95" s="971"/>
      <c r="Q95" s="971"/>
      <c r="R95" s="971"/>
      <c r="S95" s="971"/>
      <c r="T95" s="971"/>
      <c r="U95" s="971"/>
      <c r="V95" s="971"/>
      <c r="W95" s="971"/>
      <c r="X95" s="971"/>
      <c r="Y95" s="971"/>
      <c r="Z95" s="971"/>
      <c r="AA95" s="971"/>
      <c r="AB95" s="971"/>
      <c r="AC95" s="971"/>
      <c r="AD95" s="971"/>
      <c r="AE95" s="971"/>
      <c r="AF95" s="1493"/>
      <c r="AG95" s="498" t="s">
        <v>1374</v>
      </c>
      <c r="AH95" s="499"/>
      <c r="AI95" s="499"/>
      <c r="AJ95" s="340"/>
      <c r="AK95" s="493">
        <v>0</v>
      </c>
      <c r="AL95" s="335">
        <f>IF((AL$92-2021)=START!$C$2,0,BUILDINGS!AK95+ROUND((INDEX('DEFAULT DATA'!$WM$9:$WO$41,START!$C$3,1)/100*(AK93+AK94+AK95)),0))</f>
        <v>0</v>
      </c>
      <c r="AM95" s="335">
        <f>IF((AM$92-2021)=START!$C$2,0,BUILDINGS!AL95+ROUND((INDEX('DEFAULT DATA'!$WM$9:$WO$41,START!$C$3,1)/100*(AL93+AL94+AL95)),0))</f>
        <v>0</v>
      </c>
      <c r="AN95" s="335">
        <f>IF((AN$92-2021)=START!$C$2,0,BUILDINGS!AM95+ROUND((INDEX('DEFAULT DATA'!$WM$9:$WO$41,START!$C$3,1)/100*(AM93+AM94+AM95)),0))</f>
        <v>0</v>
      </c>
      <c r="AO95" s="335">
        <f>IF((AO$92-2021)=START!$C$2,0,BUILDINGS!AN95+ROUND((INDEX('DEFAULT DATA'!$WM$9:$WO$41,START!$C$3,1)/100*(AN93+AN94+AN95)),0))</f>
        <v>0</v>
      </c>
      <c r="AP95" s="335">
        <f>IF((AP$92-2021)=START!$C$2,0,BUILDINGS!AO95+ROUND((INDEX('DEFAULT DATA'!$WM$9:$WO$41,START!$C$3,1)/100*(AO93+AO94+AO95)),0))</f>
        <v>0</v>
      </c>
      <c r="AQ95" s="335">
        <f>IF((AQ$92-2021)=START!$C$2,0,BUILDINGS!AP95+ROUND((INDEX('DEFAULT DATA'!$WM$9:$WO$41,START!$C$3,1)/100*(AP93+AP94+AP95)),0))</f>
        <v>0</v>
      </c>
      <c r="AR95" s="335">
        <f>IF((AR$92-2021)=START!$C$2,0,BUILDINGS!AQ95+ROUND((INDEX('DEFAULT DATA'!$WM$9:$WO$41,START!$C$3,1)/100*(AQ93+AQ94+AQ95)),0))</f>
        <v>0</v>
      </c>
      <c r="AS95" s="335">
        <f>IF((AS$92-2021)=START!$C$2,0,BUILDINGS!AR95+ROUND((INDEX('DEFAULT DATA'!$WM$9:$WO$41,START!$C$3,1)/100*(AR93+AR94+AR95)),0))</f>
        <v>0</v>
      </c>
      <c r="AT95" s="335">
        <f>IF((AT$92-2021)=START!$C$2,0,BUILDINGS!AS95+ROUND((INDEX('DEFAULT DATA'!$WM$9:$WO$41,START!$C$3,1)/100*(AS93+AS94+AS95)),0))</f>
        <v>0</v>
      </c>
      <c r="AU95" s="335">
        <f>IF((AU$92-2021)=START!$C$2,0,BUILDINGS!AT95+ROUND((INDEX('DEFAULT DATA'!$WM$9:$WO$41,START!$C$3,2)/100*(AT93+AT94+AT95)),0))</f>
        <v>0</v>
      </c>
      <c r="AV95" s="335">
        <f>IF((AV$92-2021)=START!$C$2,0,BUILDINGS!AU95+ROUND((INDEX('DEFAULT DATA'!$WM$9:$WO$41,START!$C$3,2)/100*(AU93+AU94+AU95)),0))</f>
        <v>0</v>
      </c>
      <c r="AW95" s="335">
        <f>IF((AW$92-2021)=START!$C$2,0,BUILDINGS!AV95+ROUND((INDEX('DEFAULT DATA'!$WM$9:$WO$41,START!$C$3,2)/100*(AV93+AV94+AV95)),0))</f>
        <v>0</v>
      </c>
      <c r="AX95" s="335">
        <f>IF((AX$92-2021)=START!$C$2,0,BUILDINGS!AW95+ROUND((INDEX('DEFAULT DATA'!$WM$9:$WO$41,START!$C$3,2)/100*(AW93+AW94+AW95)),0))</f>
        <v>0</v>
      </c>
      <c r="AY95" s="335">
        <f>IF((AY$92-2021)=START!$C$2,0,BUILDINGS!AX95+ROUND((INDEX('DEFAULT DATA'!$WM$9:$WO$41,START!$C$3,2)/100*(AX93+AX94+AX95)),0))</f>
        <v>0</v>
      </c>
      <c r="AZ95" s="335">
        <f>IF((AZ$92-2021)=START!$C$2,0,BUILDINGS!AY95+ROUND((INDEX('DEFAULT DATA'!$WM$9:$WO$41,START!$C$3,2)/100*(AY93+AY94+AY95)),0))</f>
        <v>0</v>
      </c>
      <c r="BA95" s="335">
        <f>IF((BA$92-2021)=START!$C$2,0,BUILDINGS!AZ95+ROUND((INDEX('DEFAULT DATA'!$WM$9:$WO$41,START!$C$3,2)/100*(AZ93+AZ94+AZ95)),0))</f>
        <v>0</v>
      </c>
      <c r="BB95" s="335">
        <f>IF((BB$92-2021)=START!$C$2,0,BUILDINGS!BA95+ROUND((INDEX('DEFAULT DATA'!$WM$9:$WO$41,START!$C$3,2)/100*(BA93+BA94+BA95)),0))</f>
        <v>0</v>
      </c>
      <c r="BC95" s="335">
        <f>IF((BC$92-2021)=START!$C$2,0,BUILDINGS!BB95+ROUND((INDEX('DEFAULT DATA'!$WM$9:$WO$41,START!$C$3,2)/100*(BB93+BB94+BB95)),0))</f>
        <v>0</v>
      </c>
      <c r="BD95" s="335">
        <f>IF((BD$92-2021)=START!$C$2,0,BUILDINGS!BC95+ROUND((INDEX('DEFAULT DATA'!$WM$9:$WO$41,START!$C$3,2)/100*(BC93+BC94+BC95)),0))</f>
        <v>0</v>
      </c>
      <c r="BE95" s="335">
        <f>IF((BE$92-2021)=START!$C$2,0,BUILDINGS!BD95+ROUND((INDEX('DEFAULT DATA'!$WM$9:$WO$41,START!$C$3,3)/100*(BD93+BD94+BD95)),0))</f>
        <v>0</v>
      </c>
      <c r="BF95" s="335">
        <f>IF((BF$92-2021)=START!$C$2,0,BUILDINGS!BE95+ROUND((INDEX('DEFAULT DATA'!$WM$9:$WO$41,START!$C$3,3)/100*(BE93+BE94+BE95)),0))</f>
        <v>0</v>
      </c>
      <c r="BG95" s="335">
        <f>IF((BG$92-2021)=START!$C$2,0,BUILDINGS!BF95+ROUND((INDEX('DEFAULT DATA'!$WM$9:$WO$41,START!$C$3,3)/100*(BF93+BF94+BF95)),0))</f>
        <v>0</v>
      </c>
      <c r="BH95" s="335">
        <f>IF((BH$92-2021)=START!$C$2,0,BUILDINGS!BG95+ROUND((INDEX('DEFAULT DATA'!$WM$9:$WO$41,START!$C$3,3)/100*(BG93+BG94+BG95)),0))</f>
        <v>0</v>
      </c>
      <c r="BI95" s="335">
        <f>IF((BI$92-2021)=START!$C$2,0,BUILDINGS!BH95+ROUND((INDEX('DEFAULT DATA'!$WM$9:$WO$41,START!$C$3,3)/100*(BH93+BH94+BH95)),0))</f>
        <v>0</v>
      </c>
      <c r="BJ95" s="335">
        <f>IF((BJ$92-2021)=START!$C$2,0,BUILDINGS!BI95+ROUND((INDEX('DEFAULT DATA'!$WM$9:$WO$41,START!$C$3,3)/100*(BI93+BI94+BI95)),0))</f>
        <v>0</v>
      </c>
      <c r="BK95" s="335">
        <f>IF((BK$92-2021)=START!$C$2,0,BUILDINGS!BJ95+ROUND((INDEX('DEFAULT DATA'!$WM$9:$WO$41,START!$C$3,3)/100*(BJ93+BJ94+BJ95)),0))</f>
        <v>0</v>
      </c>
      <c r="BL95" s="335">
        <f>IF((BL$92-2021)=START!$C$2,0,BUILDINGS!BK95+ROUND((INDEX('DEFAULT DATA'!$WM$9:$WO$41,START!$C$3,3)/100*(BK93+BK94+BK95)),0))</f>
        <v>0</v>
      </c>
      <c r="BM95" s="335">
        <f>IF((BM$92-2021)=START!$C$2,0,BUILDINGS!BL95+ROUND((INDEX('DEFAULT DATA'!$WM$9:$WO$41,START!$C$3,3)/100*(BL93+BL94+BL95)),0))</f>
        <v>0</v>
      </c>
      <c r="BN95" s="494">
        <f>IF((BN$92-2021)=START!$C$2,0,BUILDINGS!BM95+ROUND((INDEX('DEFAULT DATA'!$WM$9:$WO$41,START!$C$3,3)/100*(BM93+BM94+BM95)),0))</f>
        <v>0</v>
      </c>
      <c r="BP95" s="525" t="s">
        <v>1719</v>
      </c>
      <c r="BQ95" s="521"/>
    </row>
    <row r="96" spans="1:87" ht="20.100000000000001" customHeight="1">
      <c r="A96" s="55" t="str">
        <f>A77</f>
        <v>Semi-detached</v>
      </c>
      <c r="B96" s="282">
        <v>0</v>
      </c>
      <c r="C96" s="220">
        <v>0</v>
      </c>
      <c r="D96" s="29">
        <v>9</v>
      </c>
      <c r="E96" s="246">
        <v>9</v>
      </c>
      <c r="F96" s="220">
        <v>0</v>
      </c>
      <c r="G96" s="29"/>
      <c r="H96" s="1360">
        <f>ROUND((100+C96)/100*B96,0)</f>
        <v>0</v>
      </c>
      <c r="I96" s="29"/>
      <c r="J96" s="29"/>
      <c r="K96" s="22"/>
      <c r="L96" s="29"/>
      <c r="M96" s="968"/>
      <c r="N96" s="971"/>
      <c r="O96" s="971"/>
      <c r="P96" s="971"/>
      <c r="Q96" s="971"/>
      <c r="R96" s="971"/>
      <c r="S96" s="971"/>
      <c r="T96" s="971"/>
      <c r="U96" s="971"/>
      <c r="V96" s="971"/>
      <c r="W96" s="971"/>
      <c r="X96" s="971"/>
      <c r="Y96" s="971"/>
      <c r="Z96" s="971"/>
      <c r="AA96" s="971"/>
      <c r="AB96" s="971"/>
      <c r="AC96" s="971"/>
      <c r="AD96" s="971"/>
      <c r="AE96" s="971"/>
      <c r="AF96" s="332"/>
      <c r="AG96" s="509" t="s">
        <v>1375</v>
      </c>
      <c r="AH96" s="510"/>
      <c r="AI96" s="510"/>
      <c r="AJ96" s="511"/>
      <c r="AK96" s="495">
        <f t="shared" ref="AK96:BN96" si="25">SUM(AK93:AK95)</f>
        <v>0</v>
      </c>
      <c r="AL96" s="495">
        <f t="shared" si="25"/>
        <v>0</v>
      </c>
      <c r="AM96" s="495">
        <f t="shared" si="25"/>
        <v>34566</v>
      </c>
      <c r="AN96" s="495">
        <f t="shared" si="25"/>
        <v>34566</v>
      </c>
      <c r="AO96" s="495">
        <f t="shared" si="25"/>
        <v>34566</v>
      </c>
      <c r="AP96" s="495">
        <f t="shared" si="25"/>
        <v>34566</v>
      </c>
      <c r="AQ96" s="495">
        <f t="shared" si="25"/>
        <v>34566</v>
      </c>
      <c r="AR96" s="495">
        <f t="shared" si="25"/>
        <v>34566</v>
      </c>
      <c r="AS96" s="495">
        <f t="shared" si="25"/>
        <v>34566</v>
      </c>
      <c r="AT96" s="495">
        <f t="shared" si="25"/>
        <v>34566</v>
      </c>
      <c r="AU96" s="495">
        <f t="shared" si="25"/>
        <v>34566</v>
      </c>
      <c r="AV96" s="495">
        <f t="shared" si="25"/>
        <v>34566</v>
      </c>
      <c r="AW96" s="495">
        <f t="shared" si="25"/>
        <v>34566</v>
      </c>
      <c r="AX96" s="495">
        <f t="shared" si="25"/>
        <v>34566</v>
      </c>
      <c r="AY96" s="495">
        <f t="shared" si="25"/>
        <v>34566</v>
      </c>
      <c r="AZ96" s="495">
        <f t="shared" si="25"/>
        <v>34566</v>
      </c>
      <c r="BA96" s="495">
        <f t="shared" si="25"/>
        <v>34566</v>
      </c>
      <c r="BB96" s="495">
        <f t="shared" si="25"/>
        <v>34566</v>
      </c>
      <c r="BC96" s="495">
        <f t="shared" si="25"/>
        <v>34566</v>
      </c>
      <c r="BD96" s="495">
        <f t="shared" si="25"/>
        <v>34566</v>
      </c>
      <c r="BE96" s="495">
        <f t="shared" si="25"/>
        <v>34566</v>
      </c>
      <c r="BF96" s="495">
        <f t="shared" si="25"/>
        <v>34566</v>
      </c>
      <c r="BG96" s="495">
        <f t="shared" si="25"/>
        <v>34566</v>
      </c>
      <c r="BH96" s="495">
        <f t="shared" si="25"/>
        <v>34566</v>
      </c>
      <c r="BI96" s="495">
        <f t="shared" si="25"/>
        <v>34566</v>
      </c>
      <c r="BJ96" s="495">
        <f t="shared" si="25"/>
        <v>34566</v>
      </c>
      <c r="BK96" s="495">
        <f t="shared" si="25"/>
        <v>34566</v>
      </c>
      <c r="BL96" s="495">
        <f t="shared" si="25"/>
        <v>34566</v>
      </c>
      <c r="BM96" s="495">
        <f t="shared" si="25"/>
        <v>34566</v>
      </c>
      <c r="BN96" s="495">
        <f t="shared" si="25"/>
        <v>34566</v>
      </c>
      <c r="CF96" s="392" t="s">
        <v>1593</v>
      </c>
      <c r="CG96" s="392" t="s">
        <v>1464</v>
      </c>
      <c r="CH96" s="392" t="s">
        <v>1465</v>
      </c>
    </row>
    <row r="97" spans="1:87" ht="20.100000000000001" customHeight="1">
      <c r="A97" s="55" t="str">
        <f>A78</f>
        <v>Detached</v>
      </c>
      <c r="B97" s="282">
        <v>0</v>
      </c>
      <c r="C97" s="220">
        <v>0</v>
      </c>
      <c r="D97" s="29">
        <v>9</v>
      </c>
      <c r="E97" s="246">
        <v>14</v>
      </c>
      <c r="F97" s="220">
        <v>0</v>
      </c>
      <c r="G97" s="29"/>
      <c r="H97" s="1360">
        <f>ROUND((100+C97)/100*B97,0)</f>
        <v>0</v>
      </c>
      <c r="I97" s="29"/>
      <c r="J97" s="29"/>
      <c r="K97" s="22"/>
      <c r="L97" s="29"/>
      <c r="M97" s="968"/>
      <c r="N97" s="971"/>
      <c r="O97" s="971"/>
      <c r="P97" s="971"/>
      <c r="Q97" s="971"/>
      <c r="R97" s="971"/>
      <c r="S97" s="971"/>
      <c r="T97" s="971"/>
      <c r="U97" s="971"/>
      <c r="V97" s="971"/>
      <c r="W97" s="971"/>
      <c r="X97" s="971"/>
      <c r="Y97" s="971"/>
      <c r="Z97" s="971"/>
      <c r="AA97" s="971"/>
      <c r="AB97" s="971"/>
      <c r="AC97" s="971"/>
      <c r="AD97" s="971"/>
      <c r="AE97" s="971"/>
      <c r="CF97" s="392" t="s">
        <v>1745</v>
      </c>
      <c r="CG97" s="392" t="s">
        <v>1745</v>
      </c>
      <c r="CH97" s="392" t="s">
        <v>1745</v>
      </c>
    </row>
    <row r="98" spans="1:87" ht="20.100000000000001" customHeight="1" thickBot="1">
      <c r="A98" s="28"/>
      <c r="B98" s="29"/>
      <c r="C98" s="29"/>
      <c r="D98" s="29"/>
      <c r="E98" s="29"/>
      <c r="F98" s="29"/>
      <c r="G98" s="29"/>
      <c r="H98" s="1361"/>
      <c r="I98" s="29"/>
      <c r="J98" s="29"/>
      <c r="K98" s="22"/>
      <c r="L98" s="29"/>
      <c r="M98" s="968"/>
      <c r="N98" s="971"/>
      <c r="O98" s="971"/>
      <c r="P98" s="971"/>
      <c r="Q98" s="971"/>
      <c r="R98" s="971"/>
      <c r="S98" s="971"/>
      <c r="T98" s="971"/>
      <c r="U98" s="971"/>
      <c r="V98" s="971"/>
      <c r="W98" s="971"/>
      <c r="X98" s="971"/>
      <c r="Y98" s="971"/>
      <c r="Z98" s="971"/>
      <c r="AA98" s="971"/>
      <c r="AB98" s="971"/>
      <c r="AC98" s="971"/>
      <c r="AD98" s="971"/>
      <c r="AE98" s="971"/>
      <c r="AF98" s="333" t="s">
        <v>1380</v>
      </c>
      <c r="AG98" s="1510" t="s">
        <v>1363</v>
      </c>
      <c r="AH98" s="1511"/>
      <c r="AI98" s="1511"/>
      <c r="AJ98" s="1512"/>
      <c r="AK98" s="489">
        <v>2021</v>
      </c>
      <c r="AL98" s="489">
        <f>AK98+1</f>
        <v>2022</v>
      </c>
      <c r="AM98" s="489">
        <f t="shared" ref="AM98:BN98" si="26">AL98+1</f>
        <v>2023</v>
      </c>
      <c r="AN98" s="489">
        <f t="shared" si="26"/>
        <v>2024</v>
      </c>
      <c r="AO98" s="489">
        <f t="shared" si="26"/>
        <v>2025</v>
      </c>
      <c r="AP98" s="489">
        <f t="shared" si="26"/>
        <v>2026</v>
      </c>
      <c r="AQ98" s="489">
        <f t="shared" si="26"/>
        <v>2027</v>
      </c>
      <c r="AR98" s="489">
        <f t="shared" si="26"/>
        <v>2028</v>
      </c>
      <c r="AS98" s="489">
        <f t="shared" si="26"/>
        <v>2029</v>
      </c>
      <c r="AT98" s="489">
        <f t="shared" si="26"/>
        <v>2030</v>
      </c>
      <c r="AU98" s="489">
        <f t="shared" si="26"/>
        <v>2031</v>
      </c>
      <c r="AV98" s="489">
        <f t="shared" si="26"/>
        <v>2032</v>
      </c>
      <c r="AW98" s="489">
        <f t="shared" si="26"/>
        <v>2033</v>
      </c>
      <c r="AX98" s="489">
        <f t="shared" si="26"/>
        <v>2034</v>
      </c>
      <c r="AY98" s="489">
        <f t="shared" si="26"/>
        <v>2035</v>
      </c>
      <c r="AZ98" s="489">
        <f t="shared" si="26"/>
        <v>2036</v>
      </c>
      <c r="BA98" s="489">
        <f t="shared" si="26"/>
        <v>2037</v>
      </c>
      <c r="BB98" s="489">
        <f t="shared" si="26"/>
        <v>2038</v>
      </c>
      <c r="BC98" s="489">
        <f t="shared" si="26"/>
        <v>2039</v>
      </c>
      <c r="BD98" s="489">
        <f t="shared" si="26"/>
        <v>2040</v>
      </c>
      <c r="BE98" s="489">
        <f t="shared" si="26"/>
        <v>2041</v>
      </c>
      <c r="BF98" s="489">
        <f t="shared" si="26"/>
        <v>2042</v>
      </c>
      <c r="BG98" s="489">
        <f t="shared" si="26"/>
        <v>2043</v>
      </c>
      <c r="BH98" s="489">
        <f t="shared" si="26"/>
        <v>2044</v>
      </c>
      <c r="BI98" s="489">
        <f t="shared" si="26"/>
        <v>2045</v>
      </c>
      <c r="BJ98" s="489">
        <f t="shared" si="26"/>
        <v>2046</v>
      </c>
      <c r="BK98" s="489">
        <f t="shared" si="26"/>
        <v>2047</v>
      </c>
      <c r="BL98" s="489">
        <f t="shared" si="26"/>
        <v>2048</v>
      </c>
      <c r="BM98" s="489">
        <f t="shared" si="26"/>
        <v>2049</v>
      </c>
      <c r="BN98" s="489">
        <f t="shared" si="26"/>
        <v>2050</v>
      </c>
      <c r="BP98" s="17" t="s">
        <v>1744</v>
      </c>
      <c r="BQ98" s="17"/>
      <c r="CF98" s="392" t="s">
        <v>1592</v>
      </c>
      <c r="CG98" s="392" t="s">
        <v>1592</v>
      </c>
      <c r="CH98" s="392" t="s">
        <v>1592</v>
      </c>
      <c r="CI98" s="392" t="s">
        <v>1598</v>
      </c>
    </row>
    <row r="99" spans="1:87" ht="20.100000000000001" customHeight="1">
      <c r="A99" s="28"/>
      <c r="B99" s="1420" t="s">
        <v>1511</v>
      </c>
      <c r="C99" s="1420" t="s">
        <v>1450</v>
      </c>
      <c r="D99" s="1420" t="s">
        <v>1353</v>
      </c>
      <c r="E99" s="1420"/>
      <c r="F99" s="1519" t="s">
        <v>1448</v>
      </c>
      <c r="G99" s="29"/>
      <c r="H99" s="1361"/>
      <c r="I99" s="29"/>
      <c r="J99" s="29"/>
      <c r="K99" s="22"/>
      <c r="L99" s="29"/>
      <c r="M99" s="968"/>
      <c r="N99" s="971"/>
      <c r="O99" s="971"/>
      <c r="P99" s="971"/>
      <c r="Q99" s="971"/>
      <c r="R99" s="971"/>
      <c r="S99" s="971"/>
      <c r="T99" s="971"/>
      <c r="U99" s="971"/>
      <c r="V99" s="971"/>
      <c r="W99" s="971"/>
      <c r="X99" s="971"/>
      <c r="Y99" s="971"/>
      <c r="Z99" s="971"/>
      <c r="AA99" s="971"/>
      <c r="AB99" s="971"/>
      <c r="AC99" s="971"/>
      <c r="AD99" s="971"/>
      <c r="AE99" s="971"/>
      <c r="AF99" s="1491" t="s">
        <v>1217</v>
      </c>
      <c r="AG99" s="1429" t="s">
        <v>933</v>
      </c>
      <c r="AH99" s="1430"/>
      <c r="AI99" s="1430"/>
      <c r="AJ99" s="1516"/>
      <c r="AK99" s="330">
        <v>0</v>
      </c>
      <c r="AL99" s="322">
        <f>IF((AL$98-2021)&lt;START!$C$2,0,((AL$93*INDEX('DEFAULT DATA'!$AGQ$9:$AGX$41,START!$C$3,1))+(AL$94*INDEX('DEFAULT DATA'!$YA$9:$YH$41,START!$C$3,1))+(AL$95*INDEX('DEFAULT DATA'!$ZG$9:$ZN$41,START!$C$3,1)))*AL5/1000000)</f>
        <v>0</v>
      </c>
      <c r="AM99" s="322">
        <f>IF((AM$98-2021)&lt;START!$C$2,0,((AM$93*INDEX('DEFAULT DATA'!$AGQ$9:$AGX$41,START!$C$3,1))+(AM$94*INDEX('DEFAULT DATA'!$YA$9:$YH$41,START!$C$3,1))+(AM$95*INDEX('DEFAULT DATA'!$ZG$9:$ZN$41,START!$C$3,1)))*AM5/1000000)</f>
        <v>35479.159099870543</v>
      </c>
      <c r="AN99" s="322">
        <f>IF((AN$98-2021)&lt;START!$C$2,0,((AN$93*INDEX('DEFAULT DATA'!$AGQ$9:$AGX$41,START!$C$3,1))+(AN$94*INDEX('DEFAULT DATA'!$YA$9:$YH$41,START!$C$3,1))+(AN$95*INDEX('DEFAULT DATA'!$ZG$9:$ZN$41,START!$C$3,1)))*AN5/1000000)</f>
        <v>35124.367508871837</v>
      </c>
      <c r="AO99" s="322">
        <f>IF((AO$98-2021)&lt;START!$C$2,0,((AO$93*INDEX('DEFAULT DATA'!$AGQ$9:$AGX$41,START!$C$3,1))+(AO$94*INDEX('DEFAULT DATA'!$YA$9:$YH$41,START!$C$3,1))+(AO$95*INDEX('DEFAULT DATA'!$ZG$9:$ZN$41,START!$C$3,1)))*AO5/1000000)</f>
        <v>34773.123833783116</v>
      </c>
      <c r="AP99" s="322">
        <f>IF((AP$98-2021)&lt;START!$C$2,0,((AP$93*INDEX('DEFAULT DATA'!$AGQ$9:$AGX$41,START!$C$3,1))+(AP$94*INDEX('DEFAULT DATA'!$YA$9:$YH$41,START!$C$3,1))+(AP$95*INDEX('DEFAULT DATA'!$ZG$9:$ZN$41,START!$C$3,1)))*AP5/1000000)</f>
        <v>34425.392595445279</v>
      </c>
      <c r="AQ99" s="322">
        <f>IF((AQ$98-2021)&lt;START!$C$2,0,((AQ$93*INDEX('DEFAULT DATA'!$AGQ$9:$AGX$41,START!$C$3,1))+(AQ$94*INDEX('DEFAULT DATA'!$YA$9:$YH$41,START!$C$3,1))+(AQ$95*INDEX('DEFAULT DATA'!$ZG$9:$ZN$41,START!$C$3,1)))*AQ5/1000000)</f>
        <v>34081.138669490836</v>
      </c>
      <c r="AR99" s="322">
        <f>IF((AR$98-2021)&lt;START!$C$2,0,((AR$93*INDEX('DEFAULT DATA'!$AGQ$9:$AGX$41,START!$C$3,1))+(AR$94*INDEX('DEFAULT DATA'!$YA$9:$YH$41,START!$C$3,1))+(AR$95*INDEX('DEFAULT DATA'!$ZG$9:$ZN$41,START!$C$3,1)))*AR5/1000000)</f>
        <v>33740.327282795923</v>
      </c>
      <c r="AS99" s="322">
        <f>IF((AS$98-2021)&lt;START!$C$2,0,((AS$93*INDEX('DEFAULT DATA'!$AGQ$9:$AGX$41,START!$C$3,1))+(AS$94*INDEX('DEFAULT DATA'!$YA$9:$YH$41,START!$C$3,1))+(AS$95*INDEX('DEFAULT DATA'!$ZG$9:$ZN$41,START!$C$3,1)))*AS5/1000000)</f>
        <v>33402.924009967966</v>
      </c>
      <c r="AT99" s="322">
        <f>IF((AT$98-2021)&lt;START!$C$2,0,((AT$93*INDEX('DEFAULT DATA'!$AGQ$9:$AGX$41,START!$C$3,1))+(AT$94*INDEX('DEFAULT DATA'!$YA$9:$YH$41,START!$C$3,1))+(AT$95*INDEX('DEFAULT DATA'!$ZG$9:$ZN$41,START!$C$3,1)))*AT5/1000000)</f>
        <v>33068.89476986829</v>
      </c>
      <c r="AU99" s="322">
        <f>IF((AU$98-2021)&lt;START!$C$2,0,((AU$93*INDEX('DEFAULT DATA'!$AGQ$9:$AGX$41,START!$C$3,1))+(AU$94*INDEX('DEFAULT DATA'!$YA$9:$YH$41,START!$C$3,1))+(AU$95*INDEX('DEFAULT DATA'!$ZG$9:$ZN$41,START!$C$3,1)))*AU5/1000000)</f>
        <v>31250.10555752553</v>
      </c>
      <c r="AV99" s="322">
        <f>IF((AV$98-2021)&lt;START!$C$2,0,((AV$93*INDEX('DEFAULT DATA'!$AGQ$9:$AGX$41,START!$C$3,1))+(AV$94*INDEX('DEFAULT DATA'!$YA$9:$YH$41,START!$C$3,1))+(AV$95*INDEX('DEFAULT DATA'!$ZG$9:$ZN$41,START!$C$3,1)))*AV5/1000000)</f>
        <v>29531.349751861628</v>
      </c>
      <c r="AW99" s="322">
        <f>IF((AW$98-2021)&lt;START!$C$2,0,((AW$93*INDEX('DEFAULT DATA'!$AGQ$9:$AGX$41,START!$C$3,1))+(AW$94*INDEX('DEFAULT DATA'!$YA$9:$YH$41,START!$C$3,1))+(AW$95*INDEX('DEFAULT DATA'!$ZG$9:$ZN$41,START!$C$3,1)))*AW5/1000000)</f>
        <v>27907.125515509237</v>
      </c>
      <c r="AX99" s="322">
        <f>IF((AX$98-2021)&lt;START!$C$2,0,((AX$93*INDEX('DEFAULT DATA'!$AGQ$9:$AGX$41,START!$C$3,1))+(AX$94*INDEX('DEFAULT DATA'!$YA$9:$YH$41,START!$C$3,1))+(AX$95*INDEX('DEFAULT DATA'!$ZG$9:$ZN$41,START!$C$3,1)))*AX5/1000000)</f>
        <v>26372.233612156226</v>
      </c>
      <c r="AY99" s="322">
        <f>IF((AY$98-2021)&lt;START!$C$2,0,((AY$93*INDEX('DEFAULT DATA'!$AGQ$9:$AGX$41,START!$C$3,1))+(AY$94*INDEX('DEFAULT DATA'!$YA$9:$YH$41,START!$C$3,1))+(AY$95*INDEX('DEFAULT DATA'!$ZG$9:$ZN$41,START!$C$3,1)))*AY5/1000000)</f>
        <v>24921.760763487633</v>
      </c>
      <c r="AZ99" s="322">
        <f>IF((AZ$98-2021)&lt;START!$C$2,0,((AZ$93*INDEX('DEFAULT DATA'!$AGQ$9:$AGX$41,START!$C$3,1))+(AZ$94*INDEX('DEFAULT DATA'!$YA$9:$YH$41,START!$C$3,1))+(AZ$95*INDEX('DEFAULT DATA'!$ZG$9:$ZN$41,START!$C$3,1)))*AZ5/1000000)</f>
        <v>23551.06392149581</v>
      </c>
      <c r="BA99" s="322">
        <f>IF((BA$98-2021)&lt;START!$C$2,0,((BA$93*INDEX('DEFAULT DATA'!$AGQ$9:$AGX$41,START!$C$3,1))+(BA$94*INDEX('DEFAULT DATA'!$YA$9:$YH$41,START!$C$3,1))+(BA$95*INDEX('DEFAULT DATA'!$ZG$9:$ZN$41,START!$C$3,1)))*BA5/1000000)</f>
        <v>22255.755405813543</v>
      </c>
      <c r="BB99" s="322">
        <f>IF((BB$98-2021)&lt;START!$C$2,0,((BB$93*INDEX('DEFAULT DATA'!$AGQ$9:$AGX$41,START!$C$3,1))+(BB$94*INDEX('DEFAULT DATA'!$YA$9:$YH$41,START!$C$3,1))+(BB$95*INDEX('DEFAULT DATA'!$ZG$9:$ZN$41,START!$C$3,1)))*BB5/1000000)</f>
        <v>21031.688858493795</v>
      </c>
      <c r="BC99" s="322">
        <f>IF((BC$98-2021)&lt;START!$C$2,0,((BC$93*INDEX('DEFAULT DATA'!$AGQ$9:$AGX$41,START!$C$3,1))+(BC$94*INDEX('DEFAULT DATA'!$YA$9:$YH$41,START!$C$3,1))+(BC$95*INDEX('DEFAULT DATA'!$ZG$9:$ZN$41,START!$C$3,1)))*BC5/1000000)</f>
        <v>19874.945971276633</v>
      </c>
      <c r="BD99" s="322">
        <f>IF((BD$98-2021)&lt;START!$C$2,0,((BD$93*INDEX('DEFAULT DATA'!$AGQ$9:$AGX$41,START!$C$3,1))+(BD$94*INDEX('DEFAULT DATA'!$YA$9:$YH$41,START!$C$3,1))+(BD$95*INDEX('DEFAULT DATA'!$ZG$9:$ZN$41,START!$C$3,1)))*BD5/1000000)</f>
        <v>18781.823942856416</v>
      </c>
      <c r="BE99" s="322">
        <f>IF((BE$98-2021)&lt;START!$C$2,0,((BE$93*INDEX('DEFAULT DATA'!$AGQ$9:$AGX$41,START!$C$3,1))+(BE$94*INDEX('DEFAULT DATA'!$YA$9:$YH$41,START!$C$3,1))+(BE$95*INDEX('DEFAULT DATA'!$ZG$9:$ZN$41,START!$C$3,1)))*BE5/1000000)</f>
        <v>17748.823625999314</v>
      </c>
      <c r="BF99" s="322">
        <f>IF((BF$98-2021)&lt;START!$C$2,0,((BF$93*INDEX('DEFAULT DATA'!$AGQ$9:$AGX$41,START!$C$3,1))+(BF$94*INDEX('DEFAULT DATA'!$YA$9:$YH$41,START!$C$3,1))+(BF$95*INDEX('DEFAULT DATA'!$ZG$9:$ZN$41,START!$C$3,1)))*BF5/1000000)</f>
        <v>16772.638326569348</v>
      </c>
      <c r="BG99" s="322">
        <f>IF((BG$98-2021)&lt;START!$C$2,0,((BG$93*INDEX('DEFAULT DATA'!$AGQ$9:$AGX$41,START!$C$3,1))+(BG$94*INDEX('DEFAULT DATA'!$YA$9:$YH$41,START!$C$3,1))+(BG$95*INDEX('DEFAULT DATA'!$ZG$9:$ZN$41,START!$C$3,1)))*BG5/1000000)</f>
        <v>15850.143218608035</v>
      </c>
      <c r="BH99" s="322">
        <f>IF((BH$98-2021)&lt;START!$C$2,0,((BH$93*INDEX('DEFAULT DATA'!$AGQ$9:$AGX$41,START!$C$3,1))+(BH$94*INDEX('DEFAULT DATA'!$YA$9:$YH$41,START!$C$3,1))+(BH$95*INDEX('DEFAULT DATA'!$ZG$9:$ZN$41,START!$C$3,1)))*BH5/1000000)</f>
        <v>14978.385341584593</v>
      </c>
      <c r="BI99" s="322">
        <f>IF((BI$98-2021)&lt;START!$C$2,0,((BI$93*INDEX('DEFAULT DATA'!$AGQ$9:$AGX$41,START!$C$3,1))+(BI$94*INDEX('DEFAULT DATA'!$YA$9:$YH$41,START!$C$3,1))+(BI$95*INDEX('DEFAULT DATA'!$ZG$9:$ZN$41,START!$C$3,1)))*BI5/1000000)</f>
        <v>14154.574147797439</v>
      </c>
      <c r="BJ99" s="322">
        <f>IF((BJ$98-2021)&lt;START!$C$2,0,((BJ$93*INDEX('DEFAULT DATA'!$AGQ$9:$AGX$41,START!$C$3,1))+(BJ$94*INDEX('DEFAULT DATA'!$YA$9:$YH$41,START!$C$3,1))+(BJ$95*INDEX('DEFAULT DATA'!$ZG$9:$ZN$41,START!$C$3,1)))*BJ5/1000000)</f>
        <v>13376.072569668579</v>
      </c>
      <c r="BK99" s="322">
        <f>IF((BK$98-2021)&lt;START!$C$2,0,((BK$93*INDEX('DEFAULT DATA'!$AGQ$9:$AGX$41,START!$C$3,1))+(BK$94*INDEX('DEFAULT DATA'!$YA$9:$YH$41,START!$C$3,1))+(BK$95*INDEX('DEFAULT DATA'!$ZG$9:$ZN$41,START!$C$3,1)))*BK5/1000000)</f>
        <v>12640.388578336808</v>
      </c>
      <c r="BL99" s="322">
        <f>IF((BL$98-2021)&lt;START!$C$2,0,((BL$93*INDEX('DEFAULT DATA'!$AGQ$9:$AGX$41,START!$C$3,1))+(BL$94*INDEX('DEFAULT DATA'!$YA$9:$YH$41,START!$C$3,1))+(BL$95*INDEX('DEFAULT DATA'!$ZG$9:$ZN$41,START!$C$3,1)))*BL5/1000000)</f>
        <v>11945.16720652828</v>
      </c>
      <c r="BM99" s="322">
        <f>IF((BM$98-2021)&lt;START!$C$2,0,((BM$93*INDEX('DEFAULT DATA'!$AGQ$9:$AGX$41,START!$C$3,1))+(BM$94*INDEX('DEFAULT DATA'!$YA$9:$YH$41,START!$C$3,1))+(BM$95*INDEX('DEFAULT DATA'!$ZG$9:$ZN$41,START!$C$3,1)))*BM5/1000000)</f>
        <v>11288.183010169223</v>
      </c>
      <c r="BN99" s="323">
        <f>IF((BN$98-2021)&lt;START!$C$2,0,((BN$93*INDEX('DEFAULT DATA'!$AGQ$9:$AGX$41,START!$C$3,1))+(BN$94*INDEX('DEFAULT DATA'!$YA$9:$YH$41,START!$C$3,1))+(BN$95*INDEX('DEFAULT DATA'!$ZG$9:$ZN$41,START!$C$3,1)))*BN5/1000000)</f>
        <v>10667.332944609916</v>
      </c>
      <c r="BP99" s="522" t="str">
        <f>AG99</f>
        <v>Electricity</v>
      </c>
      <c r="BQ99" s="526" t="s">
        <v>1746</v>
      </c>
      <c r="BR99" s="527"/>
      <c r="BS99" s="527"/>
      <c r="BT99" s="527"/>
      <c r="BU99" s="527"/>
      <c r="BV99" s="527"/>
      <c r="BW99" s="527"/>
      <c r="BX99" s="527"/>
      <c r="BY99" s="527"/>
      <c r="BZ99" s="527"/>
      <c r="CA99" s="527"/>
      <c r="CB99" s="527"/>
      <c r="CC99" s="527"/>
      <c r="CD99" s="527"/>
      <c r="CE99" s="528"/>
      <c r="CF99" s="529" t="s">
        <v>1684</v>
      </c>
      <c r="CG99" s="529" t="s">
        <v>1685</v>
      </c>
      <c r="CH99" s="529" t="s">
        <v>1686</v>
      </c>
      <c r="CI99" s="529" t="s">
        <v>1599</v>
      </c>
    </row>
    <row r="100" spans="1:87" ht="20.100000000000001" customHeight="1">
      <c r="A100" s="55" t="s">
        <v>1442</v>
      </c>
      <c r="B100" s="1425"/>
      <c r="C100" s="1420"/>
      <c r="D100" s="1420"/>
      <c r="E100" s="1420"/>
      <c r="F100" s="1422"/>
      <c r="G100" s="29"/>
      <c r="H100" s="636" t="s">
        <v>1446</v>
      </c>
      <c r="I100" s="29"/>
      <c r="J100" s="29"/>
      <c r="K100" s="22"/>
      <c r="L100" s="29"/>
      <c r="M100" s="968"/>
      <c r="N100" s="971"/>
      <c r="O100" s="971"/>
      <c r="P100" s="971"/>
      <c r="Q100" s="971"/>
      <c r="R100" s="971"/>
      <c r="S100" s="971"/>
      <c r="T100" s="971"/>
      <c r="U100" s="971"/>
      <c r="V100" s="971"/>
      <c r="W100" s="971"/>
      <c r="X100" s="971"/>
      <c r="Y100" s="971"/>
      <c r="Z100" s="971"/>
      <c r="AA100" s="971"/>
      <c r="AB100" s="971"/>
      <c r="AC100" s="971"/>
      <c r="AD100" s="971"/>
      <c r="AE100" s="971"/>
      <c r="AF100" s="1492"/>
      <c r="AG100" s="1513" t="s">
        <v>1220</v>
      </c>
      <c r="AH100" s="1514"/>
      <c r="AI100" s="1514"/>
      <c r="AJ100" s="1515"/>
      <c r="AK100" s="262">
        <v>0</v>
      </c>
      <c r="AL100" s="272">
        <f>IF((AL$98-2021)&lt;START!$C$2,0,((AL$93*INDEX('DEFAULT DATA'!$AGQ$9:$AGX$41,START!$C$3,2))+(AL$94*INDEX('DEFAULT DATA'!$YA$9:$YH$41,START!$C$3,2))+(AL$95*INDEX('DEFAULT DATA'!$ZG$9:$ZN$41,START!$C$3,2)))*INDEX('DEFAULT DATA'!$VD$9:$VK$41,START!$C$3,2)/1000000)</f>
        <v>0</v>
      </c>
      <c r="AM100" s="272">
        <f>IF((AM$98-2021)&lt;START!$C$2,0,((AM$93*INDEX('DEFAULT DATA'!$AGQ$9:$AGX$41,START!$C$3,2))+(AM$94*INDEX('DEFAULT DATA'!$YA$9:$YH$41,START!$C$3,2))+(AM$95*INDEX('DEFAULT DATA'!$ZG$9:$ZN$41,START!$C$3,2)))*INDEX('DEFAULT DATA'!$VD$9:$VK$41,START!$C$3,2)/1000000)</f>
        <v>2030.0610187896607</v>
      </c>
      <c r="AN100" s="272">
        <f>IF((AN$98-2021)&lt;START!$C$2,0,((AN$93*INDEX('DEFAULT DATA'!$AGQ$9:$AGX$41,START!$C$3,2))+(AN$94*INDEX('DEFAULT DATA'!$YA$9:$YH$41,START!$C$3,2))+(AN$95*INDEX('DEFAULT DATA'!$ZG$9:$ZN$41,START!$C$3,2)))*INDEX('DEFAULT DATA'!$VD$9:$VK$41,START!$C$3,2)/1000000)</f>
        <v>2030.0610187896607</v>
      </c>
      <c r="AO100" s="272">
        <f>IF((AO$98-2021)&lt;START!$C$2,0,((AO$93*INDEX('DEFAULT DATA'!$AGQ$9:$AGX$41,START!$C$3,2))+(AO$94*INDEX('DEFAULT DATA'!$YA$9:$YH$41,START!$C$3,2))+(AO$95*INDEX('DEFAULT DATA'!$ZG$9:$ZN$41,START!$C$3,2)))*INDEX('DEFAULT DATA'!$VD$9:$VK$41,START!$C$3,2)/1000000)</f>
        <v>2030.0610187896607</v>
      </c>
      <c r="AP100" s="272">
        <f>IF((AP$98-2021)&lt;START!$C$2,0,((AP$93*INDEX('DEFAULT DATA'!$AGQ$9:$AGX$41,START!$C$3,2))+(AP$94*INDEX('DEFAULT DATA'!$YA$9:$YH$41,START!$C$3,2))+(AP$95*INDEX('DEFAULT DATA'!$ZG$9:$ZN$41,START!$C$3,2)))*INDEX('DEFAULT DATA'!$VD$9:$VK$41,START!$C$3,2)/1000000)</f>
        <v>2030.0610187896607</v>
      </c>
      <c r="AQ100" s="272">
        <f>IF((AQ$98-2021)&lt;START!$C$2,0,((AQ$93*INDEX('DEFAULT DATA'!$AGQ$9:$AGX$41,START!$C$3,2))+(AQ$94*INDEX('DEFAULT DATA'!$YA$9:$YH$41,START!$C$3,2))+(AQ$95*INDEX('DEFAULT DATA'!$ZG$9:$ZN$41,START!$C$3,2)))*INDEX('DEFAULT DATA'!$VD$9:$VK$41,START!$C$3,2)/1000000)</f>
        <v>2030.0610187896607</v>
      </c>
      <c r="AR100" s="272">
        <f>IF((AR$98-2021)&lt;START!$C$2,0,((AR$93*INDEX('DEFAULT DATA'!$AGQ$9:$AGX$41,START!$C$3,2))+(AR$94*INDEX('DEFAULT DATA'!$YA$9:$YH$41,START!$C$3,2))+(AR$95*INDEX('DEFAULT DATA'!$ZG$9:$ZN$41,START!$C$3,2)))*INDEX('DEFAULT DATA'!$VD$9:$VK$41,START!$C$3,2)/1000000)</f>
        <v>2030.0610187896607</v>
      </c>
      <c r="AS100" s="272">
        <f>IF((AS$98-2021)&lt;START!$C$2,0,((AS$93*INDEX('DEFAULT DATA'!$AGQ$9:$AGX$41,START!$C$3,2))+(AS$94*INDEX('DEFAULT DATA'!$YA$9:$YH$41,START!$C$3,2))+(AS$95*INDEX('DEFAULT DATA'!$ZG$9:$ZN$41,START!$C$3,2)))*INDEX('DEFAULT DATA'!$VD$9:$VK$41,START!$C$3,2)/1000000)</f>
        <v>2030.0610187896607</v>
      </c>
      <c r="AT100" s="272">
        <f>IF((AT$98-2021)&lt;START!$C$2,0,((AT$93*INDEX('DEFAULT DATA'!$AGQ$9:$AGX$41,START!$C$3,2))+(AT$94*INDEX('DEFAULT DATA'!$YA$9:$YH$41,START!$C$3,2))+(AT$95*INDEX('DEFAULT DATA'!$ZG$9:$ZN$41,START!$C$3,2)))*INDEX('DEFAULT DATA'!$VD$9:$VK$41,START!$C$3,2)/1000000)</f>
        <v>2030.0610187896607</v>
      </c>
      <c r="AU100" s="272">
        <f>IF((AU$98-2021)&lt;START!$C$2,0,((AU$93*INDEX('DEFAULT DATA'!$AGQ$9:$AGX$41,START!$C$3,2))+(AU$94*INDEX('DEFAULT DATA'!$YA$9:$YH$41,START!$C$3,2))+(AU$95*INDEX('DEFAULT DATA'!$ZG$9:$ZN$41,START!$C$3,2)))*INDEX('DEFAULT DATA'!$VD$9:$VK$41,START!$C$3,2)/1000000)</f>
        <v>2030.0610187896607</v>
      </c>
      <c r="AV100" s="272">
        <f>IF((AV$98-2021)&lt;START!$C$2,0,((AV$93*INDEX('DEFAULT DATA'!$AGQ$9:$AGX$41,START!$C$3,2))+(AV$94*INDEX('DEFAULT DATA'!$YA$9:$YH$41,START!$C$3,2))+(AV$95*INDEX('DEFAULT DATA'!$ZG$9:$ZN$41,START!$C$3,2)))*INDEX('DEFAULT DATA'!$VD$9:$VK$41,START!$C$3,2)/1000000)</f>
        <v>2030.0610187896607</v>
      </c>
      <c r="AW100" s="272">
        <f>IF((AW$98-2021)&lt;START!$C$2,0,((AW$93*INDEX('DEFAULT DATA'!$AGQ$9:$AGX$41,START!$C$3,2))+(AW$94*INDEX('DEFAULT DATA'!$YA$9:$YH$41,START!$C$3,2))+(AW$95*INDEX('DEFAULT DATA'!$ZG$9:$ZN$41,START!$C$3,2)))*INDEX('DEFAULT DATA'!$VD$9:$VK$41,START!$C$3,2)/1000000)</f>
        <v>2030.0610187896607</v>
      </c>
      <c r="AX100" s="272">
        <f>IF((AX$98-2021)&lt;START!$C$2,0,((AX$93*INDEX('DEFAULT DATA'!$AGQ$9:$AGX$41,START!$C$3,2))+(AX$94*INDEX('DEFAULT DATA'!$YA$9:$YH$41,START!$C$3,2))+(AX$95*INDEX('DEFAULT DATA'!$ZG$9:$ZN$41,START!$C$3,2)))*INDEX('DEFAULT DATA'!$VD$9:$VK$41,START!$C$3,2)/1000000)</f>
        <v>2030.0610187896607</v>
      </c>
      <c r="AY100" s="272">
        <f>IF((AY$98-2021)&lt;START!$C$2,0,((AY$93*INDEX('DEFAULT DATA'!$AGQ$9:$AGX$41,START!$C$3,2))+(AY$94*INDEX('DEFAULT DATA'!$YA$9:$YH$41,START!$C$3,2))+(AY$95*INDEX('DEFAULT DATA'!$ZG$9:$ZN$41,START!$C$3,2)))*INDEX('DEFAULT DATA'!$VD$9:$VK$41,START!$C$3,2)/1000000)</f>
        <v>2030.0610187896607</v>
      </c>
      <c r="AZ100" s="272">
        <f>IF((AZ$98-2021)&lt;START!$C$2,0,((AZ$93*INDEX('DEFAULT DATA'!$AGQ$9:$AGX$41,START!$C$3,2))+(AZ$94*INDEX('DEFAULT DATA'!$YA$9:$YH$41,START!$C$3,2))+(AZ$95*INDEX('DEFAULT DATA'!$ZG$9:$ZN$41,START!$C$3,2)))*INDEX('DEFAULT DATA'!$VD$9:$VK$41,START!$C$3,2)/1000000)</f>
        <v>2030.0610187896607</v>
      </c>
      <c r="BA100" s="272">
        <f>IF((BA$98-2021)&lt;START!$C$2,0,((BA$93*INDEX('DEFAULT DATA'!$AGQ$9:$AGX$41,START!$C$3,2))+(BA$94*INDEX('DEFAULT DATA'!$YA$9:$YH$41,START!$C$3,2))+(BA$95*INDEX('DEFAULT DATA'!$ZG$9:$ZN$41,START!$C$3,2)))*INDEX('DEFAULT DATA'!$VD$9:$VK$41,START!$C$3,2)/1000000)</f>
        <v>2030.0610187896607</v>
      </c>
      <c r="BB100" s="272">
        <f>IF((BB$98-2021)&lt;START!$C$2,0,((BB$93*INDEX('DEFAULT DATA'!$AGQ$9:$AGX$41,START!$C$3,2))+(BB$94*INDEX('DEFAULT DATA'!$YA$9:$YH$41,START!$C$3,2))+(BB$95*INDEX('DEFAULT DATA'!$ZG$9:$ZN$41,START!$C$3,2)))*INDEX('DEFAULT DATA'!$VD$9:$VK$41,START!$C$3,2)/1000000)</f>
        <v>2030.0610187896607</v>
      </c>
      <c r="BC100" s="272">
        <f>IF((BC$98-2021)&lt;START!$C$2,0,((BC$93*INDEX('DEFAULT DATA'!$AGQ$9:$AGX$41,START!$C$3,2))+(BC$94*INDEX('DEFAULT DATA'!$YA$9:$YH$41,START!$C$3,2))+(BC$95*INDEX('DEFAULT DATA'!$ZG$9:$ZN$41,START!$C$3,2)))*INDEX('DEFAULT DATA'!$VD$9:$VK$41,START!$C$3,2)/1000000)</f>
        <v>2030.0610187896607</v>
      </c>
      <c r="BD100" s="272">
        <f>IF((BD$98-2021)&lt;START!$C$2,0,((BD$93*INDEX('DEFAULT DATA'!$AGQ$9:$AGX$41,START!$C$3,2))+(BD$94*INDEX('DEFAULT DATA'!$YA$9:$YH$41,START!$C$3,2))+(BD$95*INDEX('DEFAULT DATA'!$ZG$9:$ZN$41,START!$C$3,2)))*INDEX('DEFAULT DATA'!$VD$9:$VK$41,START!$C$3,2)/1000000)</f>
        <v>2030.0610187896607</v>
      </c>
      <c r="BE100" s="272">
        <f>IF((BE$98-2021)&lt;START!$C$2,0,((BE$93*INDEX('DEFAULT DATA'!$AGQ$9:$AGX$41,START!$C$3,2))+(BE$94*INDEX('DEFAULT DATA'!$YA$9:$YH$41,START!$C$3,2))+(BE$95*INDEX('DEFAULT DATA'!$ZG$9:$ZN$41,START!$C$3,2)))*INDEX('DEFAULT DATA'!$VD$9:$VK$41,START!$C$3,2)/1000000)</f>
        <v>2030.0610187896607</v>
      </c>
      <c r="BF100" s="272">
        <f>IF((BF$98-2021)&lt;START!$C$2,0,((BF$93*INDEX('DEFAULT DATA'!$AGQ$9:$AGX$41,START!$C$3,2))+(BF$94*INDEX('DEFAULT DATA'!$YA$9:$YH$41,START!$C$3,2))+(BF$95*INDEX('DEFAULT DATA'!$ZG$9:$ZN$41,START!$C$3,2)))*INDEX('DEFAULT DATA'!$VD$9:$VK$41,START!$C$3,2)/1000000)</f>
        <v>2030.0610187896607</v>
      </c>
      <c r="BG100" s="272">
        <f>IF((BG$98-2021)&lt;START!$C$2,0,((BG$93*INDEX('DEFAULT DATA'!$AGQ$9:$AGX$41,START!$C$3,2))+(BG$94*INDEX('DEFAULT DATA'!$YA$9:$YH$41,START!$C$3,2))+(BG$95*INDEX('DEFAULT DATA'!$ZG$9:$ZN$41,START!$C$3,2)))*INDEX('DEFAULT DATA'!$VD$9:$VK$41,START!$C$3,2)/1000000)</f>
        <v>2030.0610187896607</v>
      </c>
      <c r="BH100" s="272">
        <f>IF((BH$98-2021)&lt;START!$C$2,0,((BH$93*INDEX('DEFAULT DATA'!$AGQ$9:$AGX$41,START!$C$3,2))+(BH$94*INDEX('DEFAULT DATA'!$YA$9:$YH$41,START!$C$3,2))+(BH$95*INDEX('DEFAULT DATA'!$ZG$9:$ZN$41,START!$C$3,2)))*INDEX('DEFAULT DATA'!$VD$9:$VK$41,START!$C$3,2)/1000000)</f>
        <v>2030.0610187896607</v>
      </c>
      <c r="BI100" s="272">
        <f>IF((BI$98-2021)&lt;START!$C$2,0,((BI$93*INDEX('DEFAULT DATA'!$AGQ$9:$AGX$41,START!$C$3,2))+(BI$94*INDEX('DEFAULT DATA'!$YA$9:$YH$41,START!$C$3,2))+(BI$95*INDEX('DEFAULT DATA'!$ZG$9:$ZN$41,START!$C$3,2)))*INDEX('DEFAULT DATA'!$VD$9:$VK$41,START!$C$3,2)/1000000)</f>
        <v>2030.0610187896607</v>
      </c>
      <c r="BJ100" s="272">
        <f>IF((BJ$98-2021)&lt;START!$C$2,0,((BJ$93*INDEX('DEFAULT DATA'!$AGQ$9:$AGX$41,START!$C$3,2))+(BJ$94*INDEX('DEFAULT DATA'!$YA$9:$YH$41,START!$C$3,2))+(BJ$95*INDEX('DEFAULT DATA'!$ZG$9:$ZN$41,START!$C$3,2)))*INDEX('DEFAULT DATA'!$VD$9:$VK$41,START!$C$3,2)/1000000)</f>
        <v>2030.0610187896607</v>
      </c>
      <c r="BK100" s="272">
        <f>IF((BK$98-2021)&lt;START!$C$2,0,((BK$93*INDEX('DEFAULT DATA'!$AGQ$9:$AGX$41,START!$C$3,2))+(BK$94*INDEX('DEFAULT DATA'!$YA$9:$YH$41,START!$C$3,2))+(BK$95*INDEX('DEFAULT DATA'!$ZG$9:$ZN$41,START!$C$3,2)))*INDEX('DEFAULT DATA'!$VD$9:$VK$41,START!$C$3,2)/1000000)</f>
        <v>2030.0610187896607</v>
      </c>
      <c r="BL100" s="272">
        <f>IF((BL$98-2021)&lt;START!$C$2,0,((BL$93*INDEX('DEFAULT DATA'!$AGQ$9:$AGX$41,START!$C$3,2))+(BL$94*INDEX('DEFAULT DATA'!$YA$9:$YH$41,START!$C$3,2))+(BL$95*INDEX('DEFAULT DATA'!$ZG$9:$ZN$41,START!$C$3,2)))*INDEX('DEFAULT DATA'!$VD$9:$VK$41,START!$C$3,2)/1000000)</f>
        <v>2030.0610187896607</v>
      </c>
      <c r="BM100" s="272">
        <f>IF((BM$98-2021)&lt;START!$C$2,0,((BM$93*INDEX('DEFAULT DATA'!$AGQ$9:$AGX$41,START!$C$3,2))+(BM$94*INDEX('DEFAULT DATA'!$YA$9:$YH$41,START!$C$3,2))+(BM$95*INDEX('DEFAULT DATA'!$ZG$9:$ZN$41,START!$C$3,2)))*INDEX('DEFAULT DATA'!$VD$9:$VK$41,START!$C$3,2)/1000000)</f>
        <v>2030.0610187896607</v>
      </c>
      <c r="BN100" s="324">
        <f>IF((BN$98-2021)&lt;START!$C$2,0,((BN$93*INDEX('DEFAULT DATA'!$AGQ$9:$AGX$41,START!$C$3,2))+(BN$94*INDEX('DEFAULT DATA'!$YA$9:$YH$41,START!$C$3,2))+(BN$95*INDEX('DEFAULT DATA'!$ZG$9:$ZN$41,START!$C$3,2)))*INDEX('DEFAULT DATA'!$VD$9:$VK$41,START!$C$3,2)/1000000)</f>
        <v>2030.0610187896607</v>
      </c>
      <c r="BP100" s="524" t="str">
        <f t="shared" ref="BP100:BP106" si="27">AG100</f>
        <v>Gas</v>
      </c>
      <c r="BQ100" s="530" t="s">
        <v>1747</v>
      </c>
      <c r="BR100" s="531"/>
      <c r="BS100" s="531"/>
      <c r="BT100" s="531"/>
      <c r="BU100" s="531"/>
      <c r="BV100" s="531"/>
      <c r="BW100" s="531"/>
      <c r="BX100" s="531"/>
      <c r="BY100" s="531"/>
      <c r="BZ100" s="531"/>
      <c r="CA100" s="531"/>
      <c r="CB100" s="531"/>
      <c r="CC100" s="531"/>
      <c r="CD100" s="531"/>
      <c r="CE100" s="532"/>
      <c r="CF100" s="529" t="s">
        <v>1687</v>
      </c>
      <c r="CG100" s="529" t="s">
        <v>1694</v>
      </c>
      <c r="CH100" s="529" t="s">
        <v>1701</v>
      </c>
      <c r="CI100" s="529" t="s">
        <v>1248</v>
      </c>
    </row>
    <row r="101" spans="1:87" ht="20.100000000000001" customHeight="1">
      <c r="A101" s="55" t="str">
        <f t="shared" ref="A101:A106" si="28">A83</f>
        <v>Retail</v>
      </c>
      <c r="B101" s="282">
        <v>0</v>
      </c>
      <c r="C101" s="220">
        <v>0</v>
      </c>
      <c r="D101" s="29">
        <v>9</v>
      </c>
      <c r="E101" s="246">
        <v>9</v>
      </c>
      <c r="F101" s="220">
        <v>0</v>
      </c>
      <c r="G101" s="29"/>
      <c r="H101" s="1360">
        <f t="shared" ref="H101:H106" si="29">(100+C101)/100*B101</f>
        <v>0</v>
      </c>
      <c r="I101" s="29"/>
      <c r="J101" s="29"/>
      <c r="K101" s="22"/>
      <c r="L101" s="29"/>
      <c r="M101" s="968"/>
      <c r="N101" s="971"/>
      <c r="O101" s="971"/>
      <c r="P101" s="971"/>
      <c r="Q101" s="971"/>
      <c r="R101" s="971"/>
      <c r="S101" s="971"/>
      <c r="T101" s="971"/>
      <c r="U101" s="971"/>
      <c r="V101" s="971"/>
      <c r="W101" s="971"/>
      <c r="X101" s="971"/>
      <c r="Y101" s="971"/>
      <c r="Z101" s="971"/>
      <c r="AA101" s="971"/>
      <c r="AB101" s="971"/>
      <c r="AC101" s="971"/>
      <c r="AD101" s="971"/>
      <c r="AE101" s="971"/>
      <c r="AF101" s="1492"/>
      <c r="AG101" s="1513" t="s">
        <v>1221</v>
      </c>
      <c r="AH101" s="1514"/>
      <c r="AI101" s="1514"/>
      <c r="AJ101" s="1515"/>
      <c r="AK101" s="262">
        <v>0</v>
      </c>
      <c r="AL101" s="272">
        <f>IF((AL$98-2021)&lt;START!$C$2,0,((AL$93*INDEX('DEFAULT DATA'!$AGQ$9:$AGX$41,START!$C$3,3))+(AL$94*INDEX('DEFAULT DATA'!$YA$9:$YH$41,START!$C$3,3))+(AL$95*INDEX('DEFAULT DATA'!$ZG$9:$ZN$41,START!$C$3,3)))*INDEX('DEFAULT DATA'!$VD$9:$VK$41,START!$C$3,3)/1000000)</f>
        <v>0</v>
      </c>
      <c r="AM101" s="272">
        <f>IF((AM$98-2021)&lt;START!$C$2,0,((AM$93*INDEX('DEFAULT DATA'!$AGQ$9:$AGX$41,START!$C$3,3))+(AM$94*INDEX('DEFAULT DATA'!$YA$9:$YH$41,START!$C$3,3))+(AM$95*INDEX('DEFAULT DATA'!$ZG$9:$ZN$41,START!$C$3,3)))*INDEX('DEFAULT DATA'!$VD$9:$VK$41,START!$C$3,3)/1000000)</f>
        <v>22431.169276923378</v>
      </c>
      <c r="AN101" s="272">
        <f>IF((AN$98-2021)&lt;START!$C$2,0,((AN$93*INDEX('DEFAULT DATA'!$AGQ$9:$AGX$41,START!$C$3,3))+(AN$94*INDEX('DEFAULT DATA'!$YA$9:$YH$41,START!$C$3,3))+(AN$95*INDEX('DEFAULT DATA'!$ZG$9:$ZN$41,START!$C$3,3)))*INDEX('DEFAULT DATA'!$VD$9:$VK$41,START!$C$3,3)/1000000)</f>
        <v>22431.169276923378</v>
      </c>
      <c r="AO101" s="272">
        <f>IF((AO$98-2021)&lt;START!$C$2,0,((AO$93*INDEX('DEFAULT DATA'!$AGQ$9:$AGX$41,START!$C$3,3))+(AO$94*INDEX('DEFAULT DATA'!$YA$9:$YH$41,START!$C$3,3))+(AO$95*INDEX('DEFAULT DATA'!$ZG$9:$ZN$41,START!$C$3,3)))*INDEX('DEFAULT DATA'!$VD$9:$VK$41,START!$C$3,3)/1000000)</f>
        <v>22431.169276923378</v>
      </c>
      <c r="AP101" s="272">
        <f>IF((AP$98-2021)&lt;START!$C$2,0,((AP$93*INDEX('DEFAULT DATA'!$AGQ$9:$AGX$41,START!$C$3,3))+(AP$94*INDEX('DEFAULT DATA'!$YA$9:$YH$41,START!$C$3,3))+(AP$95*INDEX('DEFAULT DATA'!$ZG$9:$ZN$41,START!$C$3,3)))*INDEX('DEFAULT DATA'!$VD$9:$VK$41,START!$C$3,3)/1000000)</f>
        <v>22431.169276923378</v>
      </c>
      <c r="AQ101" s="272">
        <f>IF((AQ$98-2021)&lt;START!$C$2,0,((AQ$93*INDEX('DEFAULT DATA'!$AGQ$9:$AGX$41,START!$C$3,3))+(AQ$94*INDEX('DEFAULT DATA'!$YA$9:$YH$41,START!$C$3,3))+(AQ$95*INDEX('DEFAULT DATA'!$ZG$9:$ZN$41,START!$C$3,3)))*INDEX('DEFAULT DATA'!$VD$9:$VK$41,START!$C$3,3)/1000000)</f>
        <v>22431.169276923378</v>
      </c>
      <c r="AR101" s="272">
        <f>IF((AR$98-2021)&lt;START!$C$2,0,((AR$93*INDEX('DEFAULT DATA'!$AGQ$9:$AGX$41,START!$C$3,3))+(AR$94*INDEX('DEFAULT DATA'!$YA$9:$YH$41,START!$C$3,3))+(AR$95*INDEX('DEFAULT DATA'!$ZG$9:$ZN$41,START!$C$3,3)))*INDEX('DEFAULT DATA'!$VD$9:$VK$41,START!$C$3,3)/1000000)</f>
        <v>22431.169276923378</v>
      </c>
      <c r="AS101" s="272">
        <f>IF((AS$98-2021)&lt;START!$C$2,0,((AS$93*INDEX('DEFAULT DATA'!$AGQ$9:$AGX$41,START!$C$3,3))+(AS$94*INDEX('DEFAULT DATA'!$YA$9:$YH$41,START!$C$3,3))+(AS$95*INDEX('DEFAULT DATA'!$ZG$9:$ZN$41,START!$C$3,3)))*INDEX('DEFAULT DATA'!$VD$9:$VK$41,START!$C$3,3)/1000000)</f>
        <v>22431.169276923378</v>
      </c>
      <c r="AT101" s="272">
        <f>IF((AT$98-2021)&lt;START!$C$2,0,((AT$93*INDEX('DEFAULT DATA'!$AGQ$9:$AGX$41,START!$C$3,3))+(AT$94*INDEX('DEFAULT DATA'!$YA$9:$YH$41,START!$C$3,3))+(AT$95*INDEX('DEFAULT DATA'!$ZG$9:$ZN$41,START!$C$3,3)))*INDEX('DEFAULT DATA'!$VD$9:$VK$41,START!$C$3,3)/1000000)</f>
        <v>22431.169276923378</v>
      </c>
      <c r="AU101" s="272">
        <f>IF((AU$98-2021)&lt;START!$C$2,0,((AU$93*INDEX('DEFAULT DATA'!$AGQ$9:$AGX$41,START!$C$3,3))+(AU$94*INDEX('DEFAULT DATA'!$YA$9:$YH$41,START!$C$3,3))+(AU$95*INDEX('DEFAULT DATA'!$ZG$9:$ZN$41,START!$C$3,3)))*INDEX('DEFAULT DATA'!$VD$9:$VK$41,START!$C$3,3)/1000000)</f>
        <v>22431.169276923378</v>
      </c>
      <c r="AV101" s="272">
        <f>IF((AV$98-2021)&lt;START!$C$2,0,((AV$93*INDEX('DEFAULT DATA'!$AGQ$9:$AGX$41,START!$C$3,3))+(AV$94*INDEX('DEFAULT DATA'!$YA$9:$YH$41,START!$C$3,3))+(AV$95*INDEX('DEFAULT DATA'!$ZG$9:$ZN$41,START!$C$3,3)))*INDEX('DEFAULT DATA'!$VD$9:$VK$41,START!$C$3,3)/1000000)</f>
        <v>22431.169276923378</v>
      </c>
      <c r="AW101" s="272">
        <f>IF((AW$98-2021)&lt;START!$C$2,0,((AW$93*INDEX('DEFAULT DATA'!$AGQ$9:$AGX$41,START!$C$3,3))+(AW$94*INDEX('DEFAULT DATA'!$YA$9:$YH$41,START!$C$3,3))+(AW$95*INDEX('DEFAULT DATA'!$ZG$9:$ZN$41,START!$C$3,3)))*INDEX('DEFAULT DATA'!$VD$9:$VK$41,START!$C$3,3)/1000000)</f>
        <v>22431.169276923378</v>
      </c>
      <c r="AX101" s="272">
        <f>IF((AX$98-2021)&lt;START!$C$2,0,((AX$93*INDEX('DEFAULT DATA'!$AGQ$9:$AGX$41,START!$C$3,3))+(AX$94*INDEX('DEFAULT DATA'!$YA$9:$YH$41,START!$C$3,3))+(AX$95*INDEX('DEFAULT DATA'!$ZG$9:$ZN$41,START!$C$3,3)))*INDEX('DEFAULT DATA'!$VD$9:$VK$41,START!$C$3,3)/1000000)</f>
        <v>22431.169276923378</v>
      </c>
      <c r="AY101" s="272">
        <f>IF((AY$98-2021)&lt;START!$C$2,0,((AY$93*INDEX('DEFAULT DATA'!$AGQ$9:$AGX$41,START!$C$3,3))+(AY$94*INDEX('DEFAULT DATA'!$YA$9:$YH$41,START!$C$3,3))+(AY$95*INDEX('DEFAULT DATA'!$ZG$9:$ZN$41,START!$C$3,3)))*INDEX('DEFAULT DATA'!$VD$9:$VK$41,START!$C$3,3)/1000000)</f>
        <v>22431.169276923378</v>
      </c>
      <c r="AZ101" s="272">
        <f>IF((AZ$98-2021)&lt;START!$C$2,0,((AZ$93*INDEX('DEFAULT DATA'!$AGQ$9:$AGX$41,START!$C$3,3))+(AZ$94*INDEX('DEFAULT DATA'!$YA$9:$YH$41,START!$C$3,3))+(AZ$95*INDEX('DEFAULT DATA'!$ZG$9:$ZN$41,START!$C$3,3)))*INDEX('DEFAULT DATA'!$VD$9:$VK$41,START!$C$3,3)/1000000)</f>
        <v>22431.169276923378</v>
      </c>
      <c r="BA101" s="272">
        <f>IF((BA$98-2021)&lt;START!$C$2,0,((BA$93*INDEX('DEFAULT DATA'!$AGQ$9:$AGX$41,START!$C$3,3))+(BA$94*INDEX('DEFAULT DATA'!$YA$9:$YH$41,START!$C$3,3))+(BA$95*INDEX('DEFAULT DATA'!$ZG$9:$ZN$41,START!$C$3,3)))*INDEX('DEFAULT DATA'!$VD$9:$VK$41,START!$C$3,3)/1000000)</f>
        <v>22431.169276923378</v>
      </c>
      <c r="BB101" s="272">
        <f>IF((BB$98-2021)&lt;START!$C$2,0,((BB$93*INDEX('DEFAULT DATA'!$AGQ$9:$AGX$41,START!$C$3,3))+(BB$94*INDEX('DEFAULT DATA'!$YA$9:$YH$41,START!$C$3,3))+(BB$95*INDEX('DEFAULT DATA'!$ZG$9:$ZN$41,START!$C$3,3)))*INDEX('DEFAULT DATA'!$VD$9:$VK$41,START!$C$3,3)/1000000)</f>
        <v>22431.169276923378</v>
      </c>
      <c r="BC101" s="272">
        <f>IF((BC$98-2021)&lt;START!$C$2,0,((BC$93*INDEX('DEFAULT DATA'!$AGQ$9:$AGX$41,START!$C$3,3))+(BC$94*INDEX('DEFAULT DATA'!$YA$9:$YH$41,START!$C$3,3))+(BC$95*INDEX('DEFAULT DATA'!$ZG$9:$ZN$41,START!$C$3,3)))*INDEX('DEFAULT DATA'!$VD$9:$VK$41,START!$C$3,3)/1000000)</f>
        <v>22431.169276923378</v>
      </c>
      <c r="BD101" s="272">
        <f>IF((BD$98-2021)&lt;START!$C$2,0,((BD$93*INDEX('DEFAULT DATA'!$AGQ$9:$AGX$41,START!$C$3,3))+(BD$94*INDEX('DEFAULT DATA'!$YA$9:$YH$41,START!$C$3,3))+(BD$95*INDEX('DEFAULT DATA'!$ZG$9:$ZN$41,START!$C$3,3)))*INDEX('DEFAULT DATA'!$VD$9:$VK$41,START!$C$3,3)/1000000)</f>
        <v>22431.169276923378</v>
      </c>
      <c r="BE101" s="272">
        <f>IF((BE$98-2021)&lt;START!$C$2,0,((BE$93*INDEX('DEFAULT DATA'!$AGQ$9:$AGX$41,START!$C$3,3))+(BE$94*INDEX('DEFAULT DATA'!$YA$9:$YH$41,START!$C$3,3))+(BE$95*INDEX('DEFAULT DATA'!$ZG$9:$ZN$41,START!$C$3,3)))*INDEX('DEFAULT DATA'!$VD$9:$VK$41,START!$C$3,3)/1000000)</f>
        <v>22431.169276923378</v>
      </c>
      <c r="BF101" s="272">
        <f>IF((BF$98-2021)&lt;START!$C$2,0,((BF$93*INDEX('DEFAULT DATA'!$AGQ$9:$AGX$41,START!$C$3,3))+(BF$94*INDEX('DEFAULT DATA'!$YA$9:$YH$41,START!$C$3,3))+(BF$95*INDEX('DEFAULT DATA'!$ZG$9:$ZN$41,START!$C$3,3)))*INDEX('DEFAULT DATA'!$VD$9:$VK$41,START!$C$3,3)/1000000)</f>
        <v>22431.169276923378</v>
      </c>
      <c r="BG101" s="272">
        <f>IF((BG$98-2021)&lt;START!$C$2,0,((BG$93*INDEX('DEFAULT DATA'!$AGQ$9:$AGX$41,START!$C$3,3))+(BG$94*INDEX('DEFAULT DATA'!$YA$9:$YH$41,START!$C$3,3))+(BG$95*INDEX('DEFAULT DATA'!$ZG$9:$ZN$41,START!$C$3,3)))*INDEX('DEFAULT DATA'!$VD$9:$VK$41,START!$C$3,3)/1000000)</f>
        <v>22431.169276923378</v>
      </c>
      <c r="BH101" s="272">
        <f>IF((BH$98-2021)&lt;START!$C$2,0,((BH$93*INDEX('DEFAULT DATA'!$AGQ$9:$AGX$41,START!$C$3,3))+(BH$94*INDEX('DEFAULT DATA'!$YA$9:$YH$41,START!$C$3,3))+(BH$95*INDEX('DEFAULT DATA'!$ZG$9:$ZN$41,START!$C$3,3)))*INDEX('DEFAULT DATA'!$VD$9:$VK$41,START!$C$3,3)/1000000)</f>
        <v>22431.169276923378</v>
      </c>
      <c r="BI101" s="272">
        <f>IF((BI$98-2021)&lt;START!$C$2,0,((BI$93*INDEX('DEFAULT DATA'!$AGQ$9:$AGX$41,START!$C$3,3))+(BI$94*INDEX('DEFAULT DATA'!$YA$9:$YH$41,START!$C$3,3))+(BI$95*INDEX('DEFAULT DATA'!$ZG$9:$ZN$41,START!$C$3,3)))*INDEX('DEFAULT DATA'!$VD$9:$VK$41,START!$C$3,3)/1000000)</f>
        <v>22431.169276923378</v>
      </c>
      <c r="BJ101" s="272">
        <f>IF((BJ$98-2021)&lt;START!$C$2,0,((BJ$93*INDEX('DEFAULT DATA'!$AGQ$9:$AGX$41,START!$C$3,3))+(BJ$94*INDEX('DEFAULT DATA'!$YA$9:$YH$41,START!$C$3,3))+(BJ$95*INDEX('DEFAULT DATA'!$ZG$9:$ZN$41,START!$C$3,3)))*INDEX('DEFAULT DATA'!$VD$9:$VK$41,START!$C$3,3)/1000000)</f>
        <v>22431.169276923378</v>
      </c>
      <c r="BK101" s="272">
        <f>IF((BK$98-2021)&lt;START!$C$2,0,((BK$93*INDEX('DEFAULT DATA'!$AGQ$9:$AGX$41,START!$C$3,3))+(BK$94*INDEX('DEFAULT DATA'!$YA$9:$YH$41,START!$C$3,3))+(BK$95*INDEX('DEFAULT DATA'!$ZG$9:$ZN$41,START!$C$3,3)))*INDEX('DEFAULT DATA'!$VD$9:$VK$41,START!$C$3,3)/1000000)</f>
        <v>22431.169276923378</v>
      </c>
      <c r="BL101" s="272">
        <f>IF((BL$98-2021)&lt;START!$C$2,0,((BL$93*INDEX('DEFAULT DATA'!$AGQ$9:$AGX$41,START!$C$3,3))+(BL$94*INDEX('DEFAULT DATA'!$YA$9:$YH$41,START!$C$3,3))+(BL$95*INDEX('DEFAULT DATA'!$ZG$9:$ZN$41,START!$C$3,3)))*INDEX('DEFAULT DATA'!$VD$9:$VK$41,START!$C$3,3)/1000000)</f>
        <v>22431.169276923378</v>
      </c>
      <c r="BM101" s="272">
        <f>IF((BM$98-2021)&lt;START!$C$2,0,((BM$93*INDEX('DEFAULT DATA'!$AGQ$9:$AGX$41,START!$C$3,3))+(BM$94*INDEX('DEFAULT DATA'!$YA$9:$YH$41,START!$C$3,3))+(BM$95*INDEX('DEFAULT DATA'!$ZG$9:$ZN$41,START!$C$3,3)))*INDEX('DEFAULT DATA'!$VD$9:$VK$41,START!$C$3,3)/1000000)</f>
        <v>22431.169276923378</v>
      </c>
      <c r="BN101" s="324">
        <f>IF((BN$98-2021)&lt;START!$C$2,0,((BN$93*INDEX('DEFAULT DATA'!$AGQ$9:$AGX$41,START!$C$3,3))+(BN$94*INDEX('DEFAULT DATA'!$YA$9:$YH$41,START!$C$3,3))+(BN$95*INDEX('DEFAULT DATA'!$ZG$9:$ZN$41,START!$C$3,3)))*INDEX('DEFAULT DATA'!$VD$9:$VK$41,START!$C$3,3)/1000000)</f>
        <v>22431.169276923378</v>
      </c>
      <c r="BP101" s="524" t="str">
        <f t="shared" si="27"/>
        <v>Oil</v>
      </c>
      <c r="BQ101" s="530" t="s">
        <v>1748</v>
      </c>
      <c r="BR101" s="531"/>
      <c r="BS101" s="531"/>
      <c r="BT101" s="531"/>
      <c r="BU101" s="531"/>
      <c r="BV101" s="531"/>
      <c r="BW101" s="531"/>
      <c r="BX101" s="531"/>
      <c r="BY101" s="531"/>
      <c r="BZ101" s="531"/>
      <c r="CA101" s="531"/>
      <c r="CB101" s="531"/>
      <c r="CC101" s="531"/>
      <c r="CD101" s="531"/>
      <c r="CE101" s="532"/>
      <c r="CF101" s="529" t="s">
        <v>1688</v>
      </c>
      <c r="CG101" s="529" t="s">
        <v>1695</v>
      </c>
      <c r="CH101" s="529" t="s">
        <v>1702</v>
      </c>
      <c r="CI101" s="529" t="s">
        <v>1621</v>
      </c>
    </row>
    <row r="102" spans="1:87" ht="20.100000000000001" customHeight="1">
      <c r="A102" s="55" t="str">
        <f t="shared" si="28"/>
        <v>Health</v>
      </c>
      <c r="B102" s="282">
        <v>0</v>
      </c>
      <c r="C102" s="220">
        <v>0</v>
      </c>
      <c r="D102" s="29">
        <v>9</v>
      </c>
      <c r="E102" s="246">
        <v>9</v>
      </c>
      <c r="F102" s="220">
        <v>0</v>
      </c>
      <c r="G102" s="29"/>
      <c r="H102" s="1360">
        <f t="shared" si="29"/>
        <v>0</v>
      </c>
      <c r="I102" s="29"/>
      <c r="J102" s="29"/>
      <c r="K102" s="22"/>
      <c r="L102" s="29"/>
      <c r="M102" s="968"/>
      <c r="N102" s="971"/>
      <c r="O102" s="971"/>
      <c r="P102" s="971"/>
      <c r="Q102" s="971"/>
      <c r="R102" s="971"/>
      <c r="S102" s="971"/>
      <c r="T102" s="971"/>
      <c r="U102" s="971"/>
      <c r="V102" s="971"/>
      <c r="W102" s="971"/>
      <c r="X102" s="971"/>
      <c r="Y102" s="971"/>
      <c r="Z102" s="971"/>
      <c r="AA102" s="971"/>
      <c r="AB102" s="971"/>
      <c r="AC102" s="971"/>
      <c r="AD102" s="971"/>
      <c r="AE102" s="971"/>
      <c r="AF102" s="1492"/>
      <c r="AG102" s="1513" t="s">
        <v>1222</v>
      </c>
      <c r="AH102" s="1514"/>
      <c r="AI102" s="1514"/>
      <c r="AJ102" s="1515"/>
      <c r="AK102" s="262">
        <v>0</v>
      </c>
      <c r="AL102" s="272">
        <f>IF((AL$98-2021)&lt;START!$C$2,0,((AL$93*INDEX('DEFAULT DATA'!$AGQ$9:$AGX$41,START!$C$3,4))+(AL$94*INDEX('DEFAULT DATA'!$YA$9:$YH$41,START!$C$3,4))+(AL$95*INDEX('DEFAULT DATA'!$ZG$9:$ZN$41,START!$C$3,4)))*INDEX('DEFAULT DATA'!$VD$9:$VK$41,START!$C$3,4)/1000000)</f>
        <v>0</v>
      </c>
      <c r="AM102" s="272">
        <f>IF((AM$98-2021)&lt;START!$C$2,0,((AM$93*INDEX('DEFAULT DATA'!$AGQ$9:$AGX$41,START!$C$3,4))+(AM$94*INDEX('DEFAULT DATA'!$YA$9:$YH$41,START!$C$3,4))+(AM$95*INDEX('DEFAULT DATA'!$ZG$9:$ZN$41,START!$C$3,4)))*INDEX('DEFAULT DATA'!$VD$9:$VK$41,START!$C$3,4)/1000000)</f>
        <v>0</v>
      </c>
      <c r="AN102" s="272">
        <f>IF((AN$98-2021)&lt;START!$C$2,0,((AN$93*INDEX('DEFAULT DATA'!$AGQ$9:$AGX$41,START!$C$3,4))+(AN$94*INDEX('DEFAULT DATA'!$YA$9:$YH$41,START!$C$3,4))+(AN$95*INDEX('DEFAULT DATA'!$ZG$9:$ZN$41,START!$C$3,4)))*INDEX('DEFAULT DATA'!$VD$9:$VK$41,START!$C$3,4)/1000000)</f>
        <v>0</v>
      </c>
      <c r="AO102" s="272">
        <f>IF((AO$98-2021)&lt;START!$C$2,0,((AO$93*INDEX('DEFAULT DATA'!$AGQ$9:$AGX$41,START!$C$3,4))+(AO$94*INDEX('DEFAULT DATA'!$YA$9:$YH$41,START!$C$3,4))+(AO$95*INDEX('DEFAULT DATA'!$ZG$9:$ZN$41,START!$C$3,4)))*INDEX('DEFAULT DATA'!$VD$9:$VK$41,START!$C$3,4)/1000000)</f>
        <v>0</v>
      </c>
      <c r="AP102" s="272">
        <f>IF((AP$98-2021)&lt;START!$C$2,0,((AP$93*INDEX('DEFAULT DATA'!$AGQ$9:$AGX$41,START!$C$3,4))+(AP$94*INDEX('DEFAULT DATA'!$YA$9:$YH$41,START!$C$3,4))+(AP$95*INDEX('DEFAULT DATA'!$ZG$9:$ZN$41,START!$C$3,4)))*INDEX('DEFAULT DATA'!$VD$9:$VK$41,START!$C$3,4)/1000000)</f>
        <v>0</v>
      </c>
      <c r="AQ102" s="272">
        <f>IF((AQ$98-2021)&lt;START!$C$2,0,((AQ$93*INDEX('DEFAULT DATA'!$AGQ$9:$AGX$41,START!$C$3,4))+(AQ$94*INDEX('DEFAULT DATA'!$YA$9:$YH$41,START!$C$3,4))+(AQ$95*INDEX('DEFAULT DATA'!$ZG$9:$ZN$41,START!$C$3,4)))*INDEX('DEFAULT DATA'!$VD$9:$VK$41,START!$C$3,4)/1000000)</f>
        <v>0</v>
      </c>
      <c r="AR102" s="272">
        <f>IF((AR$98-2021)&lt;START!$C$2,0,((AR$93*INDEX('DEFAULT DATA'!$AGQ$9:$AGX$41,START!$C$3,4))+(AR$94*INDEX('DEFAULT DATA'!$YA$9:$YH$41,START!$C$3,4))+(AR$95*INDEX('DEFAULT DATA'!$ZG$9:$ZN$41,START!$C$3,4)))*INDEX('DEFAULT DATA'!$VD$9:$VK$41,START!$C$3,4)/1000000)</f>
        <v>0</v>
      </c>
      <c r="AS102" s="272">
        <f>IF((AS$98-2021)&lt;START!$C$2,0,((AS$93*INDEX('DEFAULT DATA'!$AGQ$9:$AGX$41,START!$C$3,4))+(AS$94*INDEX('DEFAULT DATA'!$YA$9:$YH$41,START!$C$3,4))+(AS$95*INDEX('DEFAULT DATA'!$ZG$9:$ZN$41,START!$C$3,4)))*INDEX('DEFAULT DATA'!$VD$9:$VK$41,START!$C$3,4)/1000000)</f>
        <v>0</v>
      </c>
      <c r="AT102" s="272">
        <f>IF((AT$98-2021)&lt;START!$C$2,0,((AT$93*INDEX('DEFAULT DATA'!$AGQ$9:$AGX$41,START!$C$3,4))+(AT$94*INDEX('DEFAULT DATA'!$YA$9:$YH$41,START!$C$3,4))+(AT$95*INDEX('DEFAULT DATA'!$ZG$9:$ZN$41,START!$C$3,4)))*INDEX('DEFAULT DATA'!$VD$9:$VK$41,START!$C$3,4)/1000000)</f>
        <v>0</v>
      </c>
      <c r="AU102" s="272">
        <f>IF((AU$98-2021)&lt;START!$C$2,0,((AU$93*INDEX('DEFAULT DATA'!$AGQ$9:$AGX$41,START!$C$3,4))+(AU$94*INDEX('DEFAULT DATA'!$YA$9:$YH$41,START!$C$3,4))+(AU$95*INDEX('DEFAULT DATA'!$ZG$9:$ZN$41,START!$C$3,4)))*INDEX('DEFAULT DATA'!$VD$9:$VK$41,START!$C$3,4)/1000000)</f>
        <v>0</v>
      </c>
      <c r="AV102" s="272">
        <f>IF((AV$98-2021)&lt;START!$C$2,0,((AV$93*INDEX('DEFAULT DATA'!$AGQ$9:$AGX$41,START!$C$3,4))+(AV$94*INDEX('DEFAULT DATA'!$YA$9:$YH$41,START!$C$3,4))+(AV$95*INDEX('DEFAULT DATA'!$ZG$9:$ZN$41,START!$C$3,4)))*INDEX('DEFAULT DATA'!$VD$9:$VK$41,START!$C$3,4)/1000000)</f>
        <v>0</v>
      </c>
      <c r="AW102" s="272">
        <f>IF((AW$98-2021)&lt;START!$C$2,0,((AW$93*INDEX('DEFAULT DATA'!$AGQ$9:$AGX$41,START!$C$3,4))+(AW$94*INDEX('DEFAULT DATA'!$YA$9:$YH$41,START!$C$3,4))+(AW$95*INDEX('DEFAULT DATA'!$ZG$9:$ZN$41,START!$C$3,4)))*INDEX('DEFAULT DATA'!$VD$9:$VK$41,START!$C$3,4)/1000000)</f>
        <v>0</v>
      </c>
      <c r="AX102" s="272">
        <f>IF((AX$98-2021)&lt;START!$C$2,0,((AX$93*INDEX('DEFAULT DATA'!$AGQ$9:$AGX$41,START!$C$3,4))+(AX$94*INDEX('DEFAULT DATA'!$YA$9:$YH$41,START!$C$3,4))+(AX$95*INDEX('DEFAULT DATA'!$ZG$9:$ZN$41,START!$C$3,4)))*INDEX('DEFAULT DATA'!$VD$9:$VK$41,START!$C$3,4)/1000000)</f>
        <v>0</v>
      </c>
      <c r="AY102" s="272">
        <f>IF((AY$98-2021)&lt;START!$C$2,0,((AY$93*INDEX('DEFAULT DATA'!$AGQ$9:$AGX$41,START!$C$3,4))+(AY$94*INDEX('DEFAULT DATA'!$YA$9:$YH$41,START!$C$3,4))+(AY$95*INDEX('DEFAULT DATA'!$ZG$9:$ZN$41,START!$C$3,4)))*INDEX('DEFAULT DATA'!$VD$9:$VK$41,START!$C$3,4)/1000000)</f>
        <v>0</v>
      </c>
      <c r="AZ102" s="272">
        <f>IF((AZ$98-2021)&lt;START!$C$2,0,((AZ$93*INDEX('DEFAULT DATA'!$AGQ$9:$AGX$41,START!$C$3,4))+(AZ$94*INDEX('DEFAULT DATA'!$YA$9:$YH$41,START!$C$3,4))+(AZ$95*INDEX('DEFAULT DATA'!$ZG$9:$ZN$41,START!$C$3,4)))*INDEX('DEFAULT DATA'!$VD$9:$VK$41,START!$C$3,4)/1000000)</f>
        <v>0</v>
      </c>
      <c r="BA102" s="272">
        <f>IF((BA$98-2021)&lt;START!$C$2,0,((BA$93*INDEX('DEFAULT DATA'!$AGQ$9:$AGX$41,START!$C$3,4))+(BA$94*INDEX('DEFAULT DATA'!$YA$9:$YH$41,START!$C$3,4))+(BA$95*INDEX('DEFAULT DATA'!$ZG$9:$ZN$41,START!$C$3,4)))*INDEX('DEFAULT DATA'!$VD$9:$VK$41,START!$C$3,4)/1000000)</f>
        <v>0</v>
      </c>
      <c r="BB102" s="272">
        <f>IF((BB$98-2021)&lt;START!$C$2,0,((BB$93*INDEX('DEFAULT DATA'!$AGQ$9:$AGX$41,START!$C$3,4))+(BB$94*INDEX('DEFAULT DATA'!$YA$9:$YH$41,START!$C$3,4))+(BB$95*INDEX('DEFAULT DATA'!$ZG$9:$ZN$41,START!$C$3,4)))*INDEX('DEFAULT DATA'!$VD$9:$VK$41,START!$C$3,4)/1000000)</f>
        <v>0</v>
      </c>
      <c r="BC102" s="272">
        <f>IF((BC$98-2021)&lt;START!$C$2,0,((BC$93*INDEX('DEFAULT DATA'!$AGQ$9:$AGX$41,START!$C$3,4))+(BC$94*INDEX('DEFAULT DATA'!$YA$9:$YH$41,START!$C$3,4))+(BC$95*INDEX('DEFAULT DATA'!$ZG$9:$ZN$41,START!$C$3,4)))*INDEX('DEFAULT DATA'!$VD$9:$VK$41,START!$C$3,4)/1000000)</f>
        <v>0</v>
      </c>
      <c r="BD102" s="272">
        <f>IF((BD$98-2021)&lt;START!$C$2,0,((BD$93*INDEX('DEFAULT DATA'!$AGQ$9:$AGX$41,START!$C$3,4))+(BD$94*INDEX('DEFAULT DATA'!$YA$9:$YH$41,START!$C$3,4))+(BD$95*INDEX('DEFAULT DATA'!$ZG$9:$ZN$41,START!$C$3,4)))*INDEX('DEFAULT DATA'!$VD$9:$VK$41,START!$C$3,4)/1000000)</f>
        <v>0</v>
      </c>
      <c r="BE102" s="272">
        <f>IF((BE$98-2021)&lt;START!$C$2,0,((BE$93*INDEX('DEFAULT DATA'!$AGQ$9:$AGX$41,START!$C$3,4))+(BE$94*INDEX('DEFAULT DATA'!$YA$9:$YH$41,START!$C$3,4))+(BE$95*INDEX('DEFAULT DATA'!$ZG$9:$ZN$41,START!$C$3,4)))*INDEX('DEFAULT DATA'!$VD$9:$VK$41,START!$C$3,4)/1000000)</f>
        <v>0</v>
      </c>
      <c r="BF102" s="272">
        <f>IF((BF$98-2021)&lt;START!$C$2,0,((BF$93*INDEX('DEFAULT DATA'!$AGQ$9:$AGX$41,START!$C$3,4))+(BF$94*INDEX('DEFAULT DATA'!$YA$9:$YH$41,START!$C$3,4))+(BF$95*INDEX('DEFAULT DATA'!$ZG$9:$ZN$41,START!$C$3,4)))*INDEX('DEFAULT DATA'!$VD$9:$VK$41,START!$C$3,4)/1000000)</f>
        <v>0</v>
      </c>
      <c r="BG102" s="272">
        <f>IF((BG$98-2021)&lt;START!$C$2,0,((BG$93*INDEX('DEFAULT DATA'!$AGQ$9:$AGX$41,START!$C$3,4))+(BG$94*INDEX('DEFAULT DATA'!$YA$9:$YH$41,START!$C$3,4))+(BG$95*INDEX('DEFAULT DATA'!$ZG$9:$ZN$41,START!$C$3,4)))*INDEX('DEFAULT DATA'!$VD$9:$VK$41,START!$C$3,4)/1000000)</f>
        <v>0</v>
      </c>
      <c r="BH102" s="272">
        <f>IF((BH$98-2021)&lt;START!$C$2,0,((BH$93*INDEX('DEFAULT DATA'!$AGQ$9:$AGX$41,START!$C$3,4))+(BH$94*INDEX('DEFAULT DATA'!$YA$9:$YH$41,START!$C$3,4))+(BH$95*INDEX('DEFAULT DATA'!$ZG$9:$ZN$41,START!$C$3,4)))*INDEX('DEFAULT DATA'!$VD$9:$VK$41,START!$C$3,4)/1000000)</f>
        <v>0</v>
      </c>
      <c r="BI102" s="272">
        <f>IF((BI$98-2021)&lt;START!$C$2,0,((BI$93*INDEX('DEFAULT DATA'!$AGQ$9:$AGX$41,START!$C$3,4))+(BI$94*INDEX('DEFAULT DATA'!$YA$9:$YH$41,START!$C$3,4))+(BI$95*INDEX('DEFAULT DATA'!$ZG$9:$ZN$41,START!$C$3,4)))*INDEX('DEFAULT DATA'!$VD$9:$VK$41,START!$C$3,4)/1000000)</f>
        <v>0</v>
      </c>
      <c r="BJ102" s="272">
        <f>IF((BJ$98-2021)&lt;START!$C$2,0,((BJ$93*INDEX('DEFAULT DATA'!$AGQ$9:$AGX$41,START!$C$3,4))+(BJ$94*INDEX('DEFAULT DATA'!$YA$9:$YH$41,START!$C$3,4))+(BJ$95*INDEX('DEFAULT DATA'!$ZG$9:$ZN$41,START!$C$3,4)))*INDEX('DEFAULT DATA'!$VD$9:$VK$41,START!$C$3,4)/1000000)</f>
        <v>0</v>
      </c>
      <c r="BK102" s="272">
        <f>IF((BK$98-2021)&lt;START!$C$2,0,((BK$93*INDEX('DEFAULT DATA'!$AGQ$9:$AGX$41,START!$C$3,4))+(BK$94*INDEX('DEFAULT DATA'!$YA$9:$YH$41,START!$C$3,4))+(BK$95*INDEX('DEFAULT DATA'!$ZG$9:$ZN$41,START!$C$3,4)))*INDEX('DEFAULT DATA'!$VD$9:$VK$41,START!$C$3,4)/1000000)</f>
        <v>0</v>
      </c>
      <c r="BL102" s="272">
        <f>IF((BL$98-2021)&lt;START!$C$2,0,((BL$93*INDEX('DEFAULT DATA'!$AGQ$9:$AGX$41,START!$C$3,4))+(BL$94*INDEX('DEFAULT DATA'!$YA$9:$YH$41,START!$C$3,4))+(BL$95*INDEX('DEFAULT DATA'!$ZG$9:$ZN$41,START!$C$3,4)))*INDEX('DEFAULT DATA'!$VD$9:$VK$41,START!$C$3,4)/1000000)</f>
        <v>0</v>
      </c>
      <c r="BM102" s="272">
        <f>IF((BM$98-2021)&lt;START!$C$2,0,((BM$93*INDEX('DEFAULT DATA'!$AGQ$9:$AGX$41,START!$C$3,4))+(BM$94*INDEX('DEFAULT DATA'!$YA$9:$YH$41,START!$C$3,4))+(BM$95*INDEX('DEFAULT DATA'!$ZG$9:$ZN$41,START!$C$3,4)))*INDEX('DEFAULT DATA'!$VD$9:$VK$41,START!$C$3,4)/1000000)</f>
        <v>0</v>
      </c>
      <c r="BN102" s="324">
        <f>IF((BN$98-2021)&lt;START!$C$2,0,((BN$93*INDEX('DEFAULT DATA'!$AGQ$9:$AGX$41,START!$C$3,4))+(BN$94*INDEX('DEFAULT DATA'!$YA$9:$YH$41,START!$C$3,4))+(BN$95*INDEX('DEFAULT DATA'!$ZG$9:$ZN$41,START!$C$3,4)))*INDEX('DEFAULT DATA'!$VD$9:$VK$41,START!$C$3,4)/1000000)</f>
        <v>0</v>
      </c>
      <c r="BP102" s="524" t="str">
        <f t="shared" si="27"/>
        <v>Coal</v>
      </c>
      <c r="BQ102" s="530" t="s">
        <v>1749</v>
      </c>
      <c r="BR102" s="531"/>
      <c r="BS102" s="531"/>
      <c r="BT102" s="531"/>
      <c r="BU102" s="531"/>
      <c r="BV102" s="531"/>
      <c r="BW102" s="531"/>
      <c r="BX102" s="531"/>
      <c r="BY102" s="531"/>
      <c r="BZ102" s="531"/>
      <c r="CA102" s="531"/>
      <c r="CB102" s="531"/>
      <c r="CC102" s="531"/>
      <c r="CD102" s="531"/>
      <c r="CE102" s="532"/>
      <c r="CF102" s="529" t="s">
        <v>1689</v>
      </c>
      <c r="CG102" s="529" t="s">
        <v>1696</v>
      </c>
      <c r="CH102" s="529" t="s">
        <v>1703</v>
      </c>
      <c r="CI102" s="529" t="s">
        <v>1622</v>
      </c>
    </row>
    <row r="103" spans="1:87" ht="20.100000000000001" customHeight="1">
      <c r="A103" s="55" t="str">
        <f t="shared" si="28"/>
        <v>Hospitality</v>
      </c>
      <c r="B103" s="282">
        <v>0</v>
      </c>
      <c r="C103" s="220">
        <v>0</v>
      </c>
      <c r="D103" s="29">
        <v>9</v>
      </c>
      <c r="E103" s="246">
        <v>9</v>
      </c>
      <c r="F103" s="220">
        <v>0</v>
      </c>
      <c r="G103" s="29"/>
      <c r="H103" s="1360">
        <f t="shared" si="29"/>
        <v>0</v>
      </c>
      <c r="I103" s="29"/>
      <c r="J103" s="29"/>
      <c r="K103" s="22"/>
      <c r="L103" s="29"/>
      <c r="M103" s="968"/>
      <c r="N103" s="971"/>
      <c r="O103" s="971"/>
      <c r="P103" s="971"/>
      <c r="Q103" s="971"/>
      <c r="R103" s="971"/>
      <c r="S103" s="971"/>
      <c r="T103" s="971"/>
      <c r="U103" s="971"/>
      <c r="V103" s="971"/>
      <c r="W103" s="971"/>
      <c r="X103" s="971"/>
      <c r="Y103" s="971"/>
      <c r="Z103" s="971"/>
      <c r="AA103" s="971"/>
      <c r="AB103" s="971"/>
      <c r="AC103" s="971"/>
      <c r="AD103" s="971"/>
      <c r="AE103" s="971"/>
      <c r="AF103" s="1492"/>
      <c r="AG103" s="1513" t="s">
        <v>1223</v>
      </c>
      <c r="AH103" s="1514"/>
      <c r="AI103" s="1514"/>
      <c r="AJ103" s="1515"/>
      <c r="AK103" s="262">
        <v>0</v>
      </c>
      <c r="AL103" s="272">
        <f>IF((AL$98-2021)&lt;START!$C$2,0,((AL$93*INDEX('DEFAULT DATA'!$AGQ$9:$AGX$41,START!$C$3,5))+(AL$94*INDEX('DEFAULT DATA'!$YA$9:$YH$41,START!$C$3,5))+(AL$95*INDEX('DEFAULT DATA'!$ZG$9:$ZN$41,START!$C$3,5)))*INDEX('DEFAULT DATA'!$VD$9:$VK$41,START!$C$3,5)/1000000)</f>
        <v>0</v>
      </c>
      <c r="AM103" s="272">
        <f>IF((AM$98-2021)&lt;START!$C$2,0,((AM$93*INDEX('DEFAULT DATA'!$AGQ$9:$AGX$41,START!$C$3,5))+(AM$94*INDEX('DEFAULT DATA'!$YA$9:$YH$41,START!$C$3,5))+(AM$95*INDEX('DEFAULT DATA'!$ZG$9:$ZN$41,START!$C$3,5)))*INDEX('DEFAULT DATA'!$VD$9:$VK$41,START!$C$3,5)/1000000)</f>
        <v>0</v>
      </c>
      <c r="AN103" s="272">
        <f>IF((AN$98-2021)&lt;START!$C$2,0,((AN$93*INDEX('DEFAULT DATA'!$AGQ$9:$AGX$41,START!$C$3,5))+(AN$94*INDEX('DEFAULT DATA'!$YA$9:$YH$41,START!$C$3,5))+(AN$95*INDEX('DEFAULT DATA'!$ZG$9:$ZN$41,START!$C$3,5)))*INDEX('DEFAULT DATA'!$VD$9:$VK$41,START!$C$3,5)/1000000)</f>
        <v>0</v>
      </c>
      <c r="AO103" s="272">
        <f>IF((AO$98-2021)&lt;START!$C$2,0,((AO$93*INDEX('DEFAULT DATA'!$AGQ$9:$AGX$41,START!$C$3,5))+(AO$94*INDEX('DEFAULT DATA'!$YA$9:$YH$41,START!$C$3,5))+(AO$95*INDEX('DEFAULT DATA'!$ZG$9:$ZN$41,START!$C$3,5)))*INDEX('DEFAULT DATA'!$VD$9:$VK$41,START!$C$3,5)/1000000)</f>
        <v>0</v>
      </c>
      <c r="AP103" s="272">
        <f>IF((AP$98-2021)&lt;START!$C$2,0,((AP$93*INDEX('DEFAULT DATA'!$AGQ$9:$AGX$41,START!$C$3,5))+(AP$94*INDEX('DEFAULT DATA'!$YA$9:$YH$41,START!$C$3,5))+(AP$95*INDEX('DEFAULT DATA'!$ZG$9:$ZN$41,START!$C$3,5)))*INDEX('DEFAULT DATA'!$VD$9:$VK$41,START!$C$3,5)/1000000)</f>
        <v>0</v>
      </c>
      <c r="AQ103" s="272">
        <f>IF((AQ$98-2021)&lt;START!$C$2,0,((AQ$93*INDEX('DEFAULT DATA'!$AGQ$9:$AGX$41,START!$C$3,5))+(AQ$94*INDEX('DEFAULT DATA'!$YA$9:$YH$41,START!$C$3,5))+(AQ$95*INDEX('DEFAULT DATA'!$ZG$9:$ZN$41,START!$C$3,5)))*INDEX('DEFAULT DATA'!$VD$9:$VK$41,START!$C$3,5)/1000000)</f>
        <v>0</v>
      </c>
      <c r="AR103" s="272">
        <f>IF((AR$98-2021)&lt;START!$C$2,0,((AR$93*INDEX('DEFAULT DATA'!$AGQ$9:$AGX$41,START!$C$3,5))+(AR$94*INDEX('DEFAULT DATA'!$YA$9:$YH$41,START!$C$3,5))+(AR$95*INDEX('DEFAULT DATA'!$ZG$9:$ZN$41,START!$C$3,5)))*INDEX('DEFAULT DATA'!$VD$9:$VK$41,START!$C$3,5)/1000000)</f>
        <v>0</v>
      </c>
      <c r="AS103" s="272">
        <f>IF((AS$98-2021)&lt;START!$C$2,0,((AS$93*INDEX('DEFAULT DATA'!$AGQ$9:$AGX$41,START!$C$3,5))+(AS$94*INDEX('DEFAULT DATA'!$YA$9:$YH$41,START!$C$3,5))+(AS$95*INDEX('DEFAULT DATA'!$ZG$9:$ZN$41,START!$C$3,5)))*INDEX('DEFAULT DATA'!$VD$9:$VK$41,START!$C$3,5)/1000000)</f>
        <v>0</v>
      </c>
      <c r="AT103" s="272">
        <f>IF((AT$98-2021)&lt;START!$C$2,0,((AT$93*INDEX('DEFAULT DATA'!$AGQ$9:$AGX$41,START!$C$3,5))+(AT$94*INDEX('DEFAULT DATA'!$YA$9:$YH$41,START!$C$3,5))+(AT$95*INDEX('DEFAULT DATA'!$ZG$9:$ZN$41,START!$C$3,5)))*INDEX('DEFAULT DATA'!$VD$9:$VK$41,START!$C$3,5)/1000000)</f>
        <v>0</v>
      </c>
      <c r="AU103" s="272">
        <f>IF((AU$98-2021)&lt;START!$C$2,0,((AU$93*INDEX('DEFAULT DATA'!$AGQ$9:$AGX$41,START!$C$3,5))+(AU$94*INDEX('DEFAULT DATA'!$YA$9:$YH$41,START!$C$3,5))+(AU$95*INDEX('DEFAULT DATA'!$ZG$9:$ZN$41,START!$C$3,5)))*INDEX('DEFAULT DATA'!$VD$9:$VK$41,START!$C$3,5)/1000000)</f>
        <v>0</v>
      </c>
      <c r="AV103" s="272">
        <f>IF((AV$98-2021)&lt;START!$C$2,0,((AV$93*INDEX('DEFAULT DATA'!$AGQ$9:$AGX$41,START!$C$3,5))+(AV$94*INDEX('DEFAULT DATA'!$YA$9:$YH$41,START!$C$3,5))+(AV$95*INDEX('DEFAULT DATA'!$ZG$9:$ZN$41,START!$C$3,5)))*INDEX('DEFAULT DATA'!$VD$9:$VK$41,START!$C$3,5)/1000000)</f>
        <v>0</v>
      </c>
      <c r="AW103" s="272">
        <f>IF((AW$98-2021)&lt;START!$C$2,0,((AW$93*INDEX('DEFAULT DATA'!$AGQ$9:$AGX$41,START!$C$3,5))+(AW$94*INDEX('DEFAULT DATA'!$YA$9:$YH$41,START!$C$3,5))+(AW$95*INDEX('DEFAULT DATA'!$ZG$9:$ZN$41,START!$C$3,5)))*INDEX('DEFAULT DATA'!$VD$9:$VK$41,START!$C$3,5)/1000000)</f>
        <v>0</v>
      </c>
      <c r="AX103" s="272">
        <f>IF((AX$98-2021)&lt;START!$C$2,0,((AX$93*INDEX('DEFAULT DATA'!$AGQ$9:$AGX$41,START!$C$3,5))+(AX$94*INDEX('DEFAULT DATA'!$YA$9:$YH$41,START!$C$3,5))+(AX$95*INDEX('DEFAULT DATA'!$ZG$9:$ZN$41,START!$C$3,5)))*INDEX('DEFAULT DATA'!$VD$9:$VK$41,START!$C$3,5)/1000000)</f>
        <v>0</v>
      </c>
      <c r="AY103" s="272">
        <f>IF((AY$98-2021)&lt;START!$C$2,0,((AY$93*INDEX('DEFAULT DATA'!$AGQ$9:$AGX$41,START!$C$3,5))+(AY$94*INDEX('DEFAULT DATA'!$YA$9:$YH$41,START!$C$3,5))+(AY$95*INDEX('DEFAULT DATA'!$ZG$9:$ZN$41,START!$C$3,5)))*INDEX('DEFAULT DATA'!$VD$9:$VK$41,START!$C$3,5)/1000000)</f>
        <v>0</v>
      </c>
      <c r="AZ103" s="272">
        <f>IF((AZ$98-2021)&lt;START!$C$2,0,((AZ$93*INDEX('DEFAULT DATA'!$AGQ$9:$AGX$41,START!$C$3,5))+(AZ$94*INDEX('DEFAULT DATA'!$YA$9:$YH$41,START!$C$3,5))+(AZ$95*INDEX('DEFAULT DATA'!$ZG$9:$ZN$41,START!$C$3,5)))*INDEX('DEFAULT DATA'!$VD$9:$VK$41,START!$C$3,5)/1000000)</f>
        <v>0</v>
      </c>
      <c r="BA103" s="272">
        <f>IF((BA$98-2021)&lt;START!$C$2,0,((BA$93*INDEX('DEFAULT DATA'!$AGQ$9:$AGX$41,START!$C$3,5))+(BA$94*INDEX('DEFAULT DATA'!$YA$9:$YH$41,START!$C$3,5))+(BA$95*INDEX('DEFAULT DATA'!$ZG$9:$ZN$41,START!$C$3,5)))*INDEX('DEFAULT DATA'!$VD$9:$VK$41,START!$C$3,5)/1000000)</f>
        <v>0</v>
      </c>
      <c r="BB103" s="272">
        <f>IF((BB$98-2021)&lt;START!$C$2,0,((BB$93*INDEX('DEFAULT DATA'!$AGQ$9:$AGX$41,START!$C$3,5))+(BB$94*INDEX('DEFAULT DATA'!$YA$9:$YH$41,START!$C$3,5))+(BB$95*INDEX('DEFAULT DATA'!$ZG$9:$ZN$41,START!$C$3,5)))*INDEX('DEFAULT DATA'!$VD$9:$VK$41,START!$C$3,5)/1000000)</f>
        <v>0</v>
      </c>
      <c r="BC103" s="272">
        <f>IF((BC$98-2021)&lt;START!$C$2,0,((BC$93*INDEX('DEFAULT DATA'!$AGQ$9:$AGX$41,START!$C$3,5))+(BC$94*INDEX('DEFAULT DATA'!$YA$9:$YH$41,START!$C$3,5))+(BC$95*INDEX('DEFAULT DATA'!$ZG$9:$ZN$41,START!$C$3,5)))*INDEX('DEFAULT DATA'!$VD$9:$VK$41,START!$C$3,5)/1000000)</f>
        <v>0</v>
      </c>
      <c r="BD103" s="272">
        <f>IF((BD$98-2021)&lt;START!$C$2,0,((BD$93*INDEX('DEFAULT DATA'!$AGQ$9:$AGX$41,START!$C$3,5))+(BD$94*INDEX('DEFAULT DATA'!$YA$9:$YH$41,START!$C$3,5))+(BD$95*INDEX('DEFAULT DATA'!$ZG$9:$ZN$41,START!$C$3,5)))*INDEX('DEFAULT DATA'!$VD$9:$VK$41,START!$C$3,5)/1000000)</f>
        <v>0</v>
      </c>
      <c r="BE103" s="272">
        <f>IF((BE$98-2021)&lt;START!$C$2,0,((BE$93*INDEX('DEFAULT DATA'!$AGQ$9:$AGX$41,START!$C$3,5))+(BE$94*INDEX('DEFAULT DATA'!$YA$9:$YH$41,START!$C$3,5))+(BE$95*INDEX('DEFAULT DATA'!$ZG$9:$ZN$41,START!$C$3,5)))*INDEX('DEFAULT DATA'!$VD$9:$VK$41,START!$C$3,5)/1000000)</f>
        <v>0</v>
      </c>
      <c r="BF103" s="272">
        <f>IF((BF$98-2021)&lt;START!$C$2,0,((BF$93*INDEX('DEFAULT DATA'!$AGQ$9:$AGX$41,START!$C$3,5))+(BF$94*INDEX('DEFAULT DATA'!$YA$9:$YH$41,START!$C$3,5))+(BF$95*INDEX('DEFAULT DATA'!$ZG$9:$ZN$41,START!$C$3,5)))*INDEX('DEFAULT DATA'!$VD$9:$VK$41,START!$C$3,5)/1000000)</f>
        <v>0</v>
      </c>
      <c r="BG103" s="272">
        <f>IF((BG$98-2021)&lt;START!$C$2,0,((BG$93*INDEX('DEFAULT DATA'!$AGQ$9:$AGX$41,START!$C$3,5))+(BG$94*INDEX('DEFAULT DATA'!$YA$9:$YH$41,START!$C$3,5))+(BG$95*INDEX('DEFAULT DATA'!$ZG$9:$ZN$41,START!$C$3,5)))*INDEX('DEFAULT DATA'!$VD$9:$VK$41,START!$C$3,5)/1000000)</f>
        <v>0</v>
      </c>
      <c r="BH103" s="272">
        <f>IF((BH$98-2021)&lt;START!$C$2,0,((BH$93*INDEX('DEFAULT DATA'!$AGQ$9:$AGX$41,START!$C$3,5))+(BH$94*INDEX('DEFAULT DATA'!$YA$9:$YH$41,START!$C$3,5))+(BH$95*INDEX('DEFAULT DATA'!$ZG$9:$ZN$41,START!$C$3,5)))*INDEX('DEFAULT DATA'!$VD$9:$VK$41,START!$C$3,5)/1000000)</f>
        <v>0</v>
      </c>
      <c r="BI103" s="272">
        <f>IF((BI$98-2021)&lt;START!$C$2,0,((BI$93*INDEX('DEFAULT DATA'!$AGQ$9:$AGX$41,START!$C$3,5))+(BI$94*INDEX('DEFAULT DATA'!$YA$9:$YH$41,START!$C$3,5))+(BI$95*INDEX('DEFAULT DATA'!$ZG$9:$ZN$41,START!$C$3,5)))*INDEX('DEFAULT DATA'!$VD$9:$VK$41,START!$C$3,5)/1000000)</f>
        <v>0</v>
      </c>
      <c r="BJ103" s="272">
        <f>IF((BJ$98-2021)&lt;START!$C$2,0,((BJ$93*INDEX('DEFAULT DATA'!$AGQ$9:$AGX$41,START!$C$3,5))+(BJ$94*INDEX('DEFAULT DATA'!$YA$9:$YH$41,START!$C$3,5))+(BJ$95*INDEX('DEFAULT DATA'!$ZG$9:$ZN$41,START!$C$3,5)))*INDEX('DEFAULT DATA'!$VD$9:$VK$41,START!$C$3,5)/1000000)</f>
        <v>0</v>
      </c>
      <c r="BK103" s="272">
        <f>IF((BK$98-2021)&lt;START!$C$2,0,((BK$93*INDEX('DEFAULT DATA'!$AGQ$9:$AGX$41,START!$C$3,5))+(BK$94*INDEX('DEFAULT DATA'!$YA$9:$YH$41,START!$C$3,5))+(BK$95*INDEX('DEFAULT DATA'!$ZG$9:$ZN$41,START!$C$3,5)))*INDEX('DEFAULT DATA'!$VD$9:$VK$41,START!$C$3,5)/1000000)</f>
        <v>0</v>
      </c>
      <c r="BL103" s="272">
        <f>IF((BL$98-2021)&lt;START!$C$2,0,((BL$93*INDEX('DEFAULT DATA'!$AGQ$9:$AGX$41,START!$C$3,5))+(BL$94*INDEX('DEFAULT DATA'!$YA$9:$YH$41,START!$C$3,5))+(BL$95*INDEX('DEFAULT DATA'!$ZG$9:$ZN$41,START!$C$3,5)))*INDEX('DEFAULT DATA'!$VD$9:$VK$41,START!$C$3,5)/1000000)</f>
        <v>0</v>
      </c>
      <c r="BM103" s="272">
        <f>IF((BM$98-2021)&lt;START!$C$2,0,((BM$93*INDEX('DEFAULT DATA'!$AGQ$9:$AGX$41,START!$C$3,5))+(BM$94*INDEX('DEFAULT DATA'!$YA$9:$YH$41,START!$C$3,5))+(BM$95*INDEX('DEFAULT DATA'!$ZG$9:$ZN$41,START!$C$3,5)))*INDEX('DEFAULT DATA'!$VD$9:$VK$41,START!$C$3,5)/1000000)</f>
        <v>0</v>
      </c>
      <c r="BN103" s="324">
        <f>IF((BN$98-2021)&lt;START!$C$2,0,((BN$93*INDEX('DEFAULT DATA'!$AGQ$9:$AGX$41,START!$C$3,5))+(BN$94*INDEX('DEFAULT DATA'!$YA$9:$YH$41,START!$C$3,5))+(BN$95*INDEX('DEFAULT DATA'!$ZG$9:$ZN$41,START!$C$3,5)))*INDEX('DEFAULT DATA'!$VD$9:$VK$41,START!$C$3,5)/1000000)</f>
        <v>0</v>
      </c>
      <c r="BP103" s="524" t="str">
        <f t="shared" si="27"/>
        <v>Peat</v>
      </c>
      <c r="BQ103" s="530" t="s">
        <v>1750</v>
      </c>
      <c r="BR103" s="531"/>
      <c r="BS103" s="531"/>
      <c r="BT103" s="531"/>
      <c r="BU103" s="531"/>
      <c r="BV103" s="531"/>
      <c r="BW103" s="531"/>
      <c r="BX103" s="531"/>
      <c r="BY103" s="531"/>
      <c r="BZ103" s="531"/>
      <c r="CA103" s="531"/>
      <c r="CB103" s="531"/>
      <c r="CC103" s="531"/>
      <c r="CD103" s="531"/>
      <c r="CE103" s="532"/>
      <c r="CF103" s="529" t="s">
        <v>1690</v>
      </c>
      <c r="CG103" s="529" t="s">
        <v>1697</v>
      </c>
      <c r="CH103" s="529" t="s">
        <v>1704</v>
      </c>
      <c r="CI103" s="529" t="s">
        <v>1623</v>
      </c>
    </row>
    <row r="104" spans="1:87" ht="20.100000000000001" customHeight="1">
      <c r="A104" s="55" t="str">
        <f t="shared" si="28"/>
        <v>Offices</v>
      </c>
      <c r="B104" s="282">
        <v>0</v>
      </c>
      <c r="C104" s="220">
        <v>0</v>
      </c>
      <c r="D104" s="29">
        <v>9</v>
      </c>
      <c r="E104" s="246">
        <v>9</v>
      </c>
      <c r="F104" s="220">
        <v>0</v>
      </c>
      <c r="G104" s="29"/>
      <c r="H104" s="1360">
        <f t="shared" si="29"/>
        <v>0</v>
      </c>
      <c r="I104" s="29"/>
      <c r="J104" s="29"/>
      <c r="K104" s="22"/>
      <c r="L104" s="29"/>
      <c r="M104" s="968"/>
      <c r="N104" s="971"/>
      <c r="O104" s="971"/>
      <c r="P104" s="971"/>
      <c r="Q104" s="971"/>
      <c r="R104" s="971"/>
      <c r="S104" s="971"/>
      <c r="T104" s="971"/>
      <c r="U104" s="971"/>
      <c r="V104" s="971"/>
      <c r="W104" s="971"/>
      <c r="X104" s="971"/>
      <c r="Y104" s="971"/>
      <c r="Z104" s="971"/>
      <c r="AA104" s="971"/>
      <c r="AB104" s="971"/>
      <c r="AC104" s="971"/>
      <c r="AD104" s="971"/>
      <c r="AE104" s="971"/>
      <c r="AF104" s="1492"/>
      <c r="AG104" s="1513" t="s">
        <v>1224</v>
      </c>
      <c r="AH104" s="1514"/>
      <c r="AI104" s="1514"/>
      <c r="AJ104" s="1515"/>
      <c r="AK104" s="262">
        <v>0</v>
      </c>
      <c r="AL104" s="272">
        <f>IF((AL$98-2021)&lt;START!$C$2,0,((AL$93*INDEX('DEFAULT DATA'!$AGQ$9:$AGX$41,START!$C$3,6))+(AL$94*INDEX('DEFAULT DATA'!$YA$9:$YH$41,START!$C$3,6))+(AL$95*INDEX('DEFAULT DATA'!$ZG$9:$ZN$41,START!$C$3,6)))*INDEX('DEFAULT DATA'!$VD$9:$VK$41,START!$C$3,6)/1000000)</f>
        <v>0</v>
      </c>
      <c r="AM104" s="272">
        <f>IF((AM$98-2021)&lt;START!$C$2,0,((AM$93*INDEX('DEFAULT DATA'!$AGQ$9:$AGX$41,START!$C$3,6))+(AM$94*INDEX('DEFAULT DATA'!$YA$9:$YH$41,START!$C$3,6))+(AM$95*INDEX('DEFAULT DATA'!$ZG$9:$ZN$41,START!$C$3,6)))*INDEX('DEFAULT DATA'!$VD$9:$VK$41,START!$C$3,6)/1000000)</f>
        <v>0</v>
      </c>
      <c r="AN104" s="272">
        <f>IF((AN$98-2021)&lt;START!$C$2,0,((AN$93*INDEX('DEFAULT DATA'!$AGQ$9:$AGX$41,START!$C$3,6))+(AN$94*INDEX('DEFAULT DATA'!$YA$9:$YH$41,START!$C$3,6))+(AN$95*INDEX('DEFAULT DATA'!$ZG$9:$ZN$41,START!$C$3,6)))*INDEX('DEFAULT DATA'!$VD$9:$VK$41,START!$C$3,6)/1000000)</f>
        <v>0</v>
      </c>
      <c r="AO104" s="272">
        <f>IF((AO$98-2021)&lt;START!$C$2,0,((AO$93*INDEX('DEFAULT DATA'!$AGQ$9:$AGX$41,START!$C$3,6))+(AO$94*INDEX('DEFAULT DATA'!$YA$9:$YH$41,START!$C$3,6))+(AO$95*INDEX('DEFAULT DATA'!$ZG$9:$ZN$41,START!$C$3,6)))*INDEX('DEFAULT DATA'!$VD$9:$VK$41,START!$C$3,6)/1000000)</f>
        <v>0</v>
      </c>
      <c r="AP104" s="272">
        <f>IF((AP$98-2021)&lt;START!$C$2,0,((AP$93*INDEX('DEFAULT DATA'!$AGQ$9:$AGX$41,START!$C$3,6))+(AP$94*INDEX('DEFAULT DATA'!$YA$9:$YH$41,START!$C$3,6))+(AP$95*INDEX('DEFAULT DATA'!$ZG$9:$ZN$41,START!$C$3,6)))*INDEX('DEFAULT DATA'!$VD$9:$VK$41,START!$C$3,6)/1000000)</f>
        <v>0</v>
      </c>
      <c r="AQ104" s="272">
        <f>IF((AQ$98-2021)&lt;START!$C$2,0,((AQ$93*INDEX('DEFAULT DATA'!$AGQ$9:$AGX$41,START!$C$3,6))+(AQ$94*INDEX('DEFAULT DATA'!$YA$9:$YH$41,START!$C$3,6))+(AQ$95*INDEX('DEFAULT DATA'!$ZG$9:$ZN$41,START!$C$3,6)))*INDEX('DEFAULT DATA'!$VD$9:$VK$41,START!$C$3,6)/1000000)</f>
        <v>0</v>
      </c>
      <c r="AR104" s="272">
        <f>IF((AR$98-2021)&lt;START!$C$2,0,((AR$93*INDEX('DEFAULT DATA'!$AGQ$9:$AGX$41,START!$C$3,6))+(AR$94*INDEX('DEFAULT DATA'!$YA$9:$YH$41,START!$C$3,6))+(AR$95*INDEX('DEFAULT DATA'!$ZG$9:$ZN$41,START!$C$3,6)))*INDEX('DEFAULT DATA'!$VD$9:$VK$41,START!$C$3,6)/1000000)</f>
        <v>0</v>
      </c>
      <c r="AS104" s="272">
        <f>IF((AS$98-2021)&lt;START!$C$2,0,((AS$93*INDEX('DEFAULT DATA'!$AGQ$9:$AGX$41,START!$C$3,6))+(AS$94*INDEX('DEFAULT DATA'!$YA$9:$YH$41,START!$C$3,6))+(AS$95*INDEX('DEFAULT DATA'!$ZG$9:$ZN$41,START!$C$3,6)))*INDEX('DEFAULT DATA'!$VD$9:$VK$41,START!$C$3,6)/1000000)</f>
        <v>0</v>
      </c>
      <c r="AT104" s="272">
        <f>IF((AT$98-2021)&lt;START!$C$2,0,((AT$93*INDEX('DEFAULT DATA'!$AGQ$9:$AGX$41,START!$C$3,6))+(AT$94*INDEX('DEFAULT DATA'!$YA$9:$YH$41,START!$C$3,6))+(AT$95*INDEX('DEFAULT DATA'!$ZG$9:$ZN$41,START!$C$3,6)))*INDEX('DEFAULT DATA'!$VD$9:$VK$41,START!$C$3,6)/1000000)</f>
        <v>0</v>
      </c>
      <c r="AU104" s="272">
        <f>IF((AU$98-2021)&lt;START!$C$2,0,((AU$93*INDEX('DEFAULT DATA'!$AGQ$9:$AGX$41,START!$C$3,6))+(AU$94*INDEX('DEFAULT DATA'!$YA$9:$YH$41,START!$C$3,6))+(AU$95*INDEX('DEFAULT DATA'!$ZG$9:$ZN$41,START!$C$3,6)))*INDEX('DEFAULT DATA'!$VD$9:$VK$41,START!$C$3,6)/1000000)</f>
        <v>0</v>
      </c>
      <c r="AV104" s="272">
        <f>IF((AV$98-2021)&lt;START!$C$2,0,((AV$93*INDEX('DEFAULT DATA'!$AGQ$9:$AGX$41,START!$C$3,6))+(AV$94*INDEX('DEFAULT DATA'!$YA$9:$YH$41,START!$C$3,6))+(AV$95*INDEX('DEFAULT DATA'!$ZG$9:$ZN$41,START!$C$3,6)))*INDEX('DEFAULT DATA'!$VD$9:$VK$41,START!$C$3,6)/1000000)</f>
        <v>0</v>
      </c>
      <c r="AW104" s="272">
        <f>IF((AW$98-2021)&lt;START!$C$2,0,((AW$93*INDEX('DEFAULT DATA'!$AGQ$9:$AGX$41,START!$C$3,6))+(AW$94*INDEX('DEFAULT DATA'!$YA$9:$YH$41,START!$C$3,6))+(AW$95*INDEX('DEFAULT DATA'!$ZG$9:$ZN$41,START!$C$3,6)))*INDEX('DEFAULT DATA'!$VD$9:$VK$41,START!$C$3,6)/1000000)</f>
        <v>0</v>
      </c>
      <c r="AX104" s="272">
        <f>IF((AX$98-2021)&lt;START!$C$2,0,((AX$93*INDEX('DEFAULT DATA'!$AGQ$9:$AGX$41,START!$C$3,6))+(AX$94*INDEX('DEFAULT DATA'!$YA$9:$YH$41,START!$C$3,6))+(AX$95*INDEX('DEFAULT DATA'!$ZG$9:$ZN$41,START!$C$3,6)))*INDEX('DEFAULT DATA'!$VD$9:$VK$41,START!$C$3,6)/1000000)</f>
        <v>0</v>
      </c>
      <c r="AY104" s="272">
        <f>IF((AY$98-2021)&lt;START!$C$2,0,((AY$93*INDEX('DEFAULT DATA'!$AGQ$9:$AGX$41,START!$C$3,6))+(AY$94*INDEX('DEFAULT DATA'!$YA$9:$YH$41,START!$C$3,6))+(AY$95*INDEX('DEFAULT DATA'!$ZG$9:$ZN$41,START!$C$3,6)))*INDEX('DEFAULT DATA'!$VD$9:$VK$41,START!$C$3,6)/1000000)</f>
        <v>0</v>
      </c>
      <c r="AZ104" s="272">
        <f>IF((AZ$98-2021)&lt;START!$C$2,0,((AZ$93*INDEX('DEFAULT DATA'!$AGQ$9:$AGX$41,START!$C$3,6))+(AZ$94*INDEX('DEFAULT DATA'!$YA$9:$YH$41,START!$C$3,6))+(AZ$95*INDEX('DEFAULT DATA'!$ZG$9:$ZN$41,START!$C$3,6)))*INDEX('DEFAULT DATA'!$VD$9:$VK$41,START!$C$3,6)/1000000)</f>
        <v>0</v>
      </c>
      <c r="BA104" s="272">
        <f>IF((BA$98-2021)&lt;START!$C$2,0,((BA$93*INDEX('DEFAULT DATA'!$AGQ$9:$AGX$41,START!$C$3,6))+(BA$94*INDEX('DEFAULT DATA'!$YA$9:$YH$41,START!$C$3,6))+(BA$95*INDEX('DEFAULT DATA'!$ZG$9:$ZN$41,START!$C$3,6)))*INDEX('DEFAULT DATA'!$VD$9:$VK$41,START!$C$3,6)/1000000)</f>
        <v>0</v>
      </c>
      <c r="BB104" s="272">
        <f>IF((BB$98-2021)&lt;START!$C$2,0,((BB$93*INDEX('DEFAULT DATA'!$AGQ$9:$AGX$41,START!$C$3,6))+(BB$94*INDEX('DEFAULT DATA'!$YA$9:$YH$41,START!$C$3,6))+(BB$95*INDEX('DEFAULT DATA'!$ZG$9:$ZN$41,START!$C$3,6)))*INDEX('DEFAULT DATA'!$VD$9:$VK$41,START!$C$3,6)/1000000)</f>
        <v>0</v>
      </c>
      <c r="BC104" s="272">
        <f>IF((BC$98-2021)&lt;START!$C$2,0,((BC$93*INDEX('DEFAULT DATA'!$AGQ$9:$AGX$41,START!$C$3,6))+(BC$94*INDEX('DEFAULT DATA'!$YA$9:$YH$41,START!$C$3,6))+(BC$95*INDEX('DEFAULT DATA'!$ZG$9:$ZN$41,START!$C$3,6)))*INDEX('DEFAULT DATA'!$VD$9:$VK$41,START!$C$3,6)/1000000)</f>
        <v>0</v>
      </c>
      <c r="BD104" s="272">
        <f>IF((BD$98-2021)&lt;START!$C$2,0,((BD$93*INDEX('DEFAULT DATA'!$AGQ$9:$AGX$41,START!$C$3,6))+(BD$94*INDEX('DEFAULT DATA'!$YA$9:$YH$41,START!$C$3,6))+(BD$95*INDEX('DEFAULT DATA'!$ZG$9:$ZN$41,START!$C$3,6)))*INDEX('DEFAULT DATA'!$VD$9:$VK$41,START!$C$3,6)/1000000)</f>
        <v>0</v>
      </c>
      <c r="BE104" s="272">
        <f>IF((BE$98-2021)&lt;START!$C$2,0,((BE$93*INDEX('DEFAULT DATA'!$AGQ$9:$AGX$41,START!$C$3,6))+(BE$94*INDEX('DEFAULT DATA'!$YA$9:$YH$41,START!$C$3,6))+(BE$95*INDEX('DEFAULT DATA'!$ZG$9:$ZN$41,START!$C$3,6)))*INDEX('DEFAULT DATA'!$VD$9:$VK$41,START!$C$3,6)/1000000)</f>
        <v>0</v>
      </c>
      <c r="BF104" s="272">
        <f>IF((BF$98-2021)&lt;START!$C$2,0,((BF$93*INDEX('DEFAULT DATA'!$AGQ$9:$AGX$41,START!$C$3,6))+(BF$94*INDEX('DEFAULT DATA'!$YA$9:$YH$41,START!$C$3,6))+(BF$95*INDEX('DEFAULT DATA'!$ZG$9:$ZN$41,START!$C$3,6)))*INDEX('DEFAULT DATA'!$VD$9:$VK$41,START!$C$3,6)/1000000)</f>
        <v>0</v>
      </c>
      <c r="BG104" s="272">
        <f>IF((BG$98-2021)&lt;START!$C$2,0,((BG$93*INDEX('DEFAULT DATA'!$AGQ$9:$AGX$41,START!$C$3,6))+(BG$94*INDEX('DEFAULT DATA'!$YA$9:$YH$41,START!$C$3,6))+(BG$95*INDEX('DEFAULT DATA'!$ZG$9:$ZN$41,START!$C$3,6)))*INDEX('DEFAULT DATA'!$VD$9:$VK$41,START!$C$3,6)/1000000)</f>
        <v>0</v>
      </c>
      <c r="BH104" s="272">
        <f>IF((BH$98-2021)&lt;START!$C$2,0,((BH$93*INDEX('DEFAULT DATA'!$AGQ$9:$AGX$41,START!$C$3,6))+(BH$94*INDEX('DEFAULT DATA'!$YA$9:$YH$41,START!$C$3,6))+(BH$95*INDEX('DEFAULT DATA'!$ZG$9:$ZN$41,START!$C$3,6)))*INDEX('DEFAULT DATA'!$VD$9:$VK$41,START!$C$3,6)/1000000)</f>
        <v>0</v>
      </c>
      <c r="BI104" s="272">
        <f>IF((BI$98-2021)&lt;START!$C$2,0,((BI$93*INDEX('DEFAULT DATA'!$AGQ$9:$AGX$41,START!$C$3,6))+(BI$94*INDEX('DEFAULT DATA'!$YA$9:$YH$41,START!$C$3,6))+(BI$95*INDEX('DEFAULT DATA'!$ZG$9:$ZN$41,START!$C$3,6)))*INDEX('DEFAULT DATA'!$VD$9:$VK$41,START!$C$3,6)/1000000)</f>
        <v>0</v>
      </c>
      <c r="BJ104" s="272">
        <f>IF((BJ$98-2021)&lt;START!$C$2,0,((BJ$93*INDEX('DEFAULT DATA'!$AGQ$9:$AGX$41,START!$C$3,6))+(BJ$94*INDEX('DEFAULT DATA'!$YA$9:$YH$41,START!$C$3,6))+(BJ$95*INDEX('DEFAULT DATA'!$ZG$9:$ZN$41,START!$C$3,6)))*INDEX('DEFAULT DATA'!$VD$9:$VK$41,START!$C$3,6)/1000000)</f>
        <v>0</v>
      </c>
      <c r="BK104" s="272">
        <f>IF((BK$98-2021)&lt;START!$C$2,0,((BK$93*INDEX('DEFAULT DATA'!$AGQ$9:$AGX$41,START!$C$3,6))+(BK$94*INDEX('DEFAULT DATA'!$YA$9:$YH$41,START!$C$3,6))+(BK$95*INDEX('DEFAULT DATA'!$ZG$9:$ZN$41,START!$C$3,6)))*INDEX('DEFAULT DATA'!$VD$9:$VK$41,START!$C$3,6)/1000000)</f>
        <v>0</v>
      </c>
      <c r="BL104" s="272">
        <f>IF((BL$98-2021)&lt;START!$C$2,0,((BL$93*INDEX('DEFAULT DATA'!$AGQ$9:$AGX$41,START!$C$3,6))+(BL$94*INDEX('DEFAULT DATA'!$YA$9:$YH$41,START!$C$3,6))+(BL$95*INDEX('DEFAULT DATA'!$ZG$9:$ZN$41,START!$C$3,6)))*INDEX('DEFAULT DATA'!$VD$9:$VK$41,START!$C$3,6)/1000000)</f>
        <v>0</v>
      </c>
      <c r="BM104" s="272">
        <f>IF((BM$98-2021)&lt;START!$C$2,0,((BM$93*INDEX('DEFAULT DATA'!$AGQ$9:$AGX$41,START!$C$3,6))+(BM$94*INDEX('DEFAULT DATA'!$YA$9:$YH$41,START!$C$3,6))+(BM$95*INDEX('DEFAULT DATA'!$ZG$9:$ZN$41,START!$C$3,6)))*INDEX('DEFAULT DATA'!$VD$9:$VK$41,START!$C$3,6)/1000000)</f>
        <v>0</v>
      </c>
      <c r="BN104" s="324">
        <f>IF((BN$98-2021)&lt;START!$C$2,0,((BN$93*INDEX('DEFAULT DATA'!$AGQ$9:$AGX$41,START!$C$3,6))+(BN$94*INDEX('DEFAULT DATA'!$YA$9:$YH$41,START!$C$3,6))+(BN$95*INDEX('DEFAULT DATA'!$ZG$9:$ZN$41,START!$C$3,6)))*INDEX('DEFAULT DATA'!$VD$9:$VK$41,START!$C$3,6)/1000000)</f>
        <v>0</v>
      </c>
      <c r="BP104" s="524" t="str">
        <f t="shared" si="27"/>
        <v>Wood</v>
      </c>
      <c r="BQ104" s="530" t="s">
        <v>1751</v>
      </c>
      <c r="BR104" s="531"/>
      <c r="BS104" s="531"/>
      <c r="BT104" s="531"/>
      <c r="BU104" s="531"/>
      <c r="BV104" s="531"/>
      <c r="BW104" s="531"/>
      <c r="BX104" s="531"/>
      <c r="BY104" s="531"/>
      <c r="BZ104" s="531"/>
      <c r="CA104" s="531"/>
      <c r="CB104" s="531"/>
      <c r="CC104" s="531"/>
      <c r="CD104" s="531"/>
      <c r="CE104" s="532"/>
      <c r="CF104" s="529" t="s">
        <v>1691</v>
      </c>
      <c r="CG104" s="529" t="s">
        <v>1698</v>
      </c>
      <c r="CH104" s="529" t="s">
        <v>1705</v>
      </c>
      <c r="CI104" s="529" t="s">
        <v>1624</v>
      </c>
    </row>
    <row r="105" spans="1:87" ht="20.100000000000001" customHeight="1">
      <c r="A105" s="55" t="str">
        <f t="shared" si="28"/>
        <v>Industrial</v>
      </c>
      <c r="B105" s="282">
        <v>0</v>
      </c>
      <c r="C105" s="220">
        <v>0</v>
      </c>
      <c r="D105" s="29">
        <v>9</v>
      </c>
      <c r="E105" s="246">
        <v>9</v>
      </c>
      <c r="F105" s="220">
        <v>0</v>
      </c>
      <c r="G105" s="29"/>
      <c r="H105" s="1360">
        <f t="shared" si="29"/>
        <v>0</v>
      </c>
      <c r="I105" s="29"/>
      <c r="J105" s="29"/>
      <c r="K105" s="22"/>
      <c r="L105" s="29"/>
      <c r="M105" s="968"/>
      <c r="N105" s="971"/>
      <c r="O105" s="971"/>
      <c r="P105" s="971"/>
      <c r="Q105" s="971"/>
      <c r="R105" s="971"/>
      <c r="S105" s="971"/>
      <c r="T105" s="971"/>
      <c r="U105" s="971"/>
      <c r="V105" s="971"/>
      <c r="W105" s="971"/>
      <c r="X105" s="971"/>
      <c r="Y105" s="971"/>
      <c r="Z105" s="971"/>
      <c r="AA105" s="971"/>
      <c r="AB105" s="971"/>
      <c r="AC105" s="971"/>
      <c r="AD105" s="971"/>
      <c r="AE105" s="971"/>
      <c r="AF105" s="1492"/>
      <c r="AG105" s="1513" t="s">
        <v>1225</v>
      </c>
      <c r="AH105" s="1514"/>
      <c r="AI105" s="1514"/>
      <c r="AJ105" s="1515"/>
      <c r="AK105" s="262">
        <v>0</v>
      </c>
      <c r="AL105" s="272">
        <f>IF((AL$98-2021)&lt;START!$C$2,0,((AL$93*INDEX('DEFAULT DATA'!$AGQ$9:$AGX$41,START!$C$3,7))+(AL$94*INDEX('DEFAULT DATA'!$YA$9:$YH$41,START!$C$3,7))+(AL$95*INDEX('DEFAULT DATA'!$ZG$9:$ZN$41,START!$C$3,7)))*INDEX('DEFAULT DATA'!$VD$9:$VK$41,START!$C$3,7)/1000000)</f>
        <v>0</v>
      </c>
      <c r="AM105" s="272">
        <f>IF((AM$98-2021)&lt;START!$C$2,0,((AM$93*INDEX('DEFAULT DATA'!$AGQ$9:$AGX$41,START!$C$3,7))+(AM$94*INDEX('DEFAULT DATA'!$YA$9:$YH$41,START!$C$3,7))+(AM$95*INDEX('DEFAULT DATA'!$ZG$9:$ZN$41,START!$C$3,7)))*INDEX('DEFAULT DATA'!$VD$9:$VK$41,START!$C$3,7)/1000000)</f>
        <v>0</v>
      </c>
      <c r="AN105" s="272">
        <f>IF((AN$98-2021)&lt;START!$C$2,0,((AN$93*INDEX('DEFAULT DATA'!$AGQ$9:$AGX$41,START!$C$3,7))+(AN$94*INDEX('DEFAULT DATA'!$YA$9:$YH$41,START!$C$3,7))+(AN$95*INDEX('DEFAULT DATA'!$ZG$9:$ZN$41,START!$C$3,7)))*INDEX('DEFAULT DATA'!$VD$9:$VK$41,START!$C$3,7)/1000000)</f>
        <v>0</v>
      </c>
      <c r="AO105" s="272">
        <f>IF((AO$98-2021)&lt;START!$C$2,0,((AO$93*INDEX('DEFAULT DATA'!$AGQ$9:$AGX$41,START!$C$3,7))+(AO$94*INDEX('DEFAULT DATA'!$YA$9:$YH$41,START!$C$3,7))+(AO$95*INDEX('DEFAULT DATA'!$ZG$9:$ZN$41,START!$C$3,7)))*INDEX('DEFAULT DATA'!$VD$9:$VK$41,START!$C$3,7)/1000000)</f>
        <v>0</v>
      </c>
      <c r="AP105" s="272">
        <f>IF((AP$98-2021)&lt;START!$C$2,0,((AP$93*INDEX('DEFAULT DATA'!$AGQ$9:$AGX$41,START!$C$3,7))+(AP$94*INDEX('DEFAULT DATA'!$YA$9:$YH$41,START!$C$3,7))+(AP$95*INDEX('DEFAULT DATA'!$ZG$9:$ZN$41,START!$C$3,7)))*INDEX('DEFAULT DATA'!$VD$9:$VK$41,START!$C$3,7)/1000000)</f>
        <v>0</v>
      </c>
      <c r="AQ105" s="272">
        <f>IF((AQ$98-2021)&lt;START!$C$2,0,((AQ$93*INDEX('DEFAULT DATA'!$AGQ$9:$AGX$41,START!$C$3,7))+(AQ$94*INDEX('DEFAULT DATA'!$YA$9:$YH$41,START!$C$3,7))+(AQ$95*INDEX('DEFAULT DATA'!$ZG$9:$ZN$41,START!$C$3,7)))*INDEX('DEFAULT DATA'!$VD$9:$VK$41,START!$C$3,7)/1000000)</f>
        <v>0</v>
      </c>
      <c r="AR105" s="272">
        <f>IF((AR$98-2021)&lt;START!$C$2,0,((AR$93*INDEX('DEFAULT DATA'!$AGQ$9:$AGX$41,START!$C$3,7))+(AR$94*INDEX('DEFAULT DATA'!$YA$9:$YH$41,START!$C$3,7))+(AR$95*INDEX('DEFAULT DATA'!$ZG$9:$ZN$41,START!$C$3,7)))*INDEX('DEFAULT DATA'!$VD$9:$VK$41,START!$C$3,7)/1000000)</f>
        <v>0</v>
      </c>
      <c r="AS105" s="272">
        <f>IF((AS$98-2021)&lt;START!$C$2,0,((AS$93*INDEX('DEFAULT DATA'!$AGQ$9:$AGX$41,START!$C$3,7))+(AS$94*INDEX('DEFAULT DATA'!$YA$9:$YH$41,START!$C$3,7))+(AS$95*INDEX('DEFAULT DATA'!$ZG$9:$ZN$41,START!$C$3,7)))*INDEX('DEFAULT DATA'!$VD$9:$VK$41,START!$C$3,7)/1000000)</f>
        <v>0</v>
      </c>
      <c r="AT105" s="272">
        <f>IF((AT$98-2021)&lt;START!$C$2,0,((AT$93*INDEX('DEFAULT DATA'!$AGQ$9:$AGX$41,START!$C$3,7))+(AT$94*INDEX('DEFAULT DATA'!$YA$9:$YH$41,START!$C$3,7))+(AT$95*INDEX('DEFAULT DATA'!$ZG$9:$ZN$41,START!$C$3,7)))*INDEX('DEFAULT DATA'!$VD$9:$VK$41,START!$C$3,7)/1000000)</f>
        <v>0</v>
      </c>
      <c r="AU105" s="272">
        <f>IF((AU$98-2021)&lt;START!$C$2,0,((AU$93*INDEX('DEFAULT DATA'!$AGQ$9:$AGX$41,START!$C$3,7))+(AU$94*INDEX('DEFAULT DATA'!$YA$9:$YH$41,START!$C$3,7))+(AU$95*INDEX('DEFAULT DATA'!$ZG$9:$ZN$41,START!$C$3,7)))*INDEX('DEFAULT DATA'!$VD$9:$VK$41,START!$C$3,7)/1000000)</f>
        <v>0</v>
      </c>
      <c r="AV105" s="272">
        <f>IF((AV$98-2021)&lt;START!$C$2,0,((AV$93*INDEX('DEFAULT DATA'!$AGQ$9:$AGX$41,START!$C$3,7))+(AV$94*INDEX('DEFAULT DATA'!$YA$9:$YH$41,START!$C$3,7))+(AV$95*INDEX('DEFAULT DATA'!$ZG$9:$ZN$41,START!$C$3,7)))*INDEX('DEFAULT DATA'!$VD$9:$VK$41,START!$C$3,7)/1000000)</f>
        <v>0</v>
      </c>
      <c r="AW105" s="272">
        <f>IF((AW$98-2021)&lt;START!$C$2,0,((AW$93*INDEX('DEFAULT DATA'!$AGQ$9:$AGX$41,START!$C$3,7))+(AW$94*INDEX('DEFAULT DATA'!$YA$9:$YH$41,START!$C$3,7))+(AW$95*INDEX('DEFAULT DATA'!$ZG$9:$ZN$41,START!$C$3,7)))*INDEX('DEFAULT DATA'!$VD$9:$VK$41,START!$C$3,7)/1000000)</f>
        <v>0</v>
      </c>
      <c r="AX105" s="272">
        <f>IF((AX$98-2021)&lt;START!$C$2,0,((AX$93*INDEX('DEFAULT DATA'!$AGQ$9:$AGX$41,START!$C$3,7))+(AX$94*INDEX('DEFAULT DATA'!$YA$9:$YH$41,START!$C$3,7))+(AX$95*INDEX('DEFAULT DATA'!$ZG$9:$ZN$41,START!$C$3,7)))*INDEX('DEFAULT DATA'!$VD$9:$VK$41,START!$C$3,7)/1000000)</f>
        <v>0</v>
      </c>
      <c r="AY105" s="272">
        <f>IF((AY$98-2021)&lt;START!$C$2,0,((AY$93*INDEX('DEFAULT DATA'!$AGQ$9:$AGX$41,START!$C$3,7))+(AY$94*INDEX('DEFAULT DATA'!$YA$9:$YH$41,START!$C$3,7))+(AY$95*INDEX('DEFAULT DATA'!$ZG$9:$ZN$41,START!$C$3,7)))*INDEX('DEFAULT DATA'!$VD$9:$VK$41,START!$C$3,7)/1000000)</f>
        <v>0</v>
      </c>
      <c r="AZ105" s="272">
        <f>IF((AZ$98-2021)&lt;START!$C$2,0,((AZ$93*INDEX('DEFAULT DATA'!$AGQ$9:$AGX$41,START!$C$3,7))+(AZ$94*INDEX('DEFAULT DATA'!$YA$9:$YH$41,START!$C$3,7))+(AZ$95*INDEX('DEFAULT DATA'!$ZG$9:$ZN$41,START!$C$3,7)))*INDEX('DEFAULT DATA'!$VD$9:$VK$41,START!$C$3,7)/1000000)</f>
        <v>0</v>
      </c>
      <c r="BA105" s="272">
        <f>IF((BA$98-2021)&lt;START!$C$2,0,((BA$93*INDEX('DEFAULT DATA'!$AGQ$9:$AGX$41,START!$C$3,7))+(BA$94*INDEX('DEFAULT DATA'!$YA$9:$YH$41,START!$C$3,7))+(BA$95*INDEX('DEFAULT DATA'!$ZG$9:$ZN$41,START!$C$3,7)))*INDEX('DEFAULT DATA'!$VD$9:$VK$41,START!$C$3,7)/1000000)</f>
        <v>0</v>
      </c>
      <c r="BB105" s="272">
        <f>IF((BB$98-2021)&lt;START!$C$2,0,((BB$93*INDEX('DEFAULT DATA'!$AGQ$9:$AGX$41,START!$C$3,7))+(BB$94*INDEX('DEFAULT DATA'!$YA$9:$YH$41,START!$C$3,7))+(BB$95*INDEX('DEFAULT DATA'!$ZG$9:$ZN$41,START!$C$3,7)))*INDEX('DEFAULT DATA'!$VD$9:$VK$41,START!$C$3,7)/1000000)</f>
        <v>0</v>
      </c>
      <c r="BC105" s="272">
        <f>IF((BC$98-2021)&lt;START!$C$2,0,((BC$93*INDEX('DEFAULT DATA'!$AGQ$9:$AGX$41,START!$C$3,7))+(BC$94*INDEX('DEFAULT DATA'!$YA$9:$YH$41,START!$C$3,7))+(BC$95*INDEX('DEFAULT DATA'!$ZG$9:$ZN$41,START!$C$3,7)))*INDEX('DEFAULT DATA'!$VD$9:$VK$41,START!$C$3,7)/1000000)</f>
        <v>0</v>
      </c>
      <c r="BD105" s="272">
        <f>IF((BD$98-2021)&lt;START!$C$2,0,((BD$93*INDEX('DEFAULT DATA'!$AGQ$9:$AGX$41,START!$C$3,7))+(BD$94*INDEX('DEFAULT DATA'!$YA$9:$YH$41,START!$C$3,7))+(BD$95*INDEX('DEFAULT DATA'!$ZG$9:$ZN$41,START!$C$3,7)))*INDEX('DEFAULT DATA'!$VD$9:$VK$41,START!$C$3,7)/1000000)</f>
        <v>0</v>
      </c>
      <c r="BE105" s="272">
        <f>IF((BE$98-2021)&lt;START!$C$2,0,((BE$93*INDEX('DEFAULT DATA'!$AGQ$9:$AGX$41,START!$C$3,7))+(BE$94*INDEX('DEFAULT DATA'!$YA$9:$YH$41,START!$C$3,7))+(BE$95*INDEX('DEFAULT DATA'!$ZG$9:$ZN$41,START!$C$3,7)))*INDEX('DEFAULT DATA'!$VD$9:$VK$41,START!$C$3,7)/1000000)</f>
        <v>0</v>
      </c>
      <c r="BF105" s="272">
        <f>IF((BF$98-2021)&lt;START!$C$2,0,((BF$93*INDEX('DEFAULT DATA'!$AGQ$9:$AGX$41,START!$C$3,7))+(BF$94*INDEX('DEFAULT DATA'!$YA$9:$YH$41,START!$C$3,7))+(BF$95*INDEX('DEFAULT DATA'!$ZG$9:$ZN$41,START!$C$3,7)))*INDEX('DEFAULT DATA'!$VD$9:$VK$41,START!$C$3,7)/1000000)</f>
        <v>0</v>
      </c>
      <c r="BG105" s="272">
        <f>IF((BG$98-2021)&lt;START!$C$2,0,((BG$93*INDEX('DEFAULT DATA'!$AGQ$9:$AGX$41,START!$C$3,7))+(BG$94*INDEX('DEFAULT DATA'!$YA$9:$YH$41,START!$C$3,7))+(BG$95*INDEX('DEFAULT DATA'!$ZG$9:$ZN$41,START!$C$3,7)))*INDEX('DEFAULT DATA'!$VD$9:$VK$41,START!$C$3,7)/1000000)</f>
        <v>0</v>
      </c>
      <c r="BH105" s="272">
        <f>IF((BH$98-2021)&lt;START!$C$2,0,((BH$93*INDEX('DEFAULT DATA'!$AGQ$9:$AGX$41,START!$C$3,7))+(BH$94*INDEX('DEFAULT DATA'!$YA$9:$YH$41,START!$C$3,7))+(BH$95*INDEX('DEFAULT DATA'!$ZG$9:$ZN$41,START!$C$3,7)))*INDEX('DEFAULT DATA'!$VD$9:$VK$41,START!$C$3,7)/1000000)</f>
        <v>0</v>
      </c>
      <c r="BI105" s="272">
        <f>IF((BI$98-2021)&lt;START!$C$2,0,((BI$93*INDEX('DEFAULT DATA'!$AGQ$9:$AGX$41,START!$C$3,7))+(BI$94*INDEX('DEFAULT DATA'!$YA$9:$YH$41,START!$C$3,7))+(BI$95*INDEX('DEFAULT DATA'!$ZG$9:$ZN$41,START!$C$3,7)))*INDEX('DEFAULT DATA'!$VD$9:$VK$41,START!$C$3,7)/1000000)</f>
        <v>0</v>
      </c>
      <c r="BJ105" s="272">
        <f>IF((BJ$98-2021)&lt;START!$C$2,0,((BJ$93*INDEX('DEFAULT DATA'!$AGQ$9:$AGX$41,START!$C$3,7))+(BJ$94*INDEX('DEFAULT DATA'!$YA$9:$YH$41,START!$C$3,7))+(BJ$95*INDEX('DEFAULT DATA'!$ZG$9:$ZN$41,START!$C$3,7)))*INDEX('DEFAULT DATA'!$VD$9:$VK$41,START!$C$3,7)/1000000)</f>
        <v>0</v>
      </c>
      <c r="BK105" s="272">
        <f>IF((BK$98-2021)&lt;START!$C$2,0,((BK$93*INDEX('DEFAULT DATA'!$AGQ$9:$AGX$41,START!$C$3,7))+(BK$94*INDEX('DEFAULT DATA'!$YA$9:$YH$41,START!$C$3,7))+(BK$95*INDEX('DEFAULT DATA'!$ZG$9:$ZN$41,START!$C$3,7)))*INDEX('DEFAULT DATA'!$VD$9:$VK$41,START!$C$3,7)/1000000)</f>
        <v>0</v>
      </c>
      <c r="BL105" s="272">
        <f>IF((BL$98-2021)&lt;START!$C$2,0,((BL$93*INDEX('DEFAULT DATA'!$AGQ$9:$AGX$41,START!$C$3,7))+(BL$94*INDEX('DEFAULT DATA'!$YA$9:$YH$41,START!$C$3,7))+(BL$95*INDEX('DEFAULT DATA'!$ZG$9:$ZN$41,START!$C$3,7)))*INDEX('DEFAULT DATA'!$VD$9:$VK$41,START!$C$3,7)/1000000)</f>
        <v>0</v>
      </c>
      <c r="BM105" s="272">
        <f>IF((BM$98-2021)&lt;START!$C$2,0,((BM$93*INDEX('DEFAULT DATA'!$AGQ$9:$AGX$41,START!$C$3,7))+(BM$94*INDEX('DEFAULT DATA'!$YA$9:$YH$41,START!$C$3,7))+(BM$95*INDEX('DEFAULT DATA'!$ZG$9:$ZN$41,START!$C$3,7)))*INDEX('DEFAULT DATA'!$VD$9:$VK$41,START!$C$3,7)/1000000)</f>
        <v>0</v>
      </c>
      <c r="BN105" s="324">
        <f>IF((BN$98-2021)&lt;START!$C$2,0,((BN$93*INDEX('DEFAULT DATA'!$AGQ$9:$AGX$41,START!$C$3,7))+(BN$94*INDEX('DEFAULT DATA'!$YA$9:$YH$41,START!$C$3,7))+(BN$95*INDEX('DEFAULT DATA'!$ZG$9:$ZN$41,START!$C$3,7)))*INDEX('DEFAULT DATA'!$VD$9:$VK$41,START!$C$3,7)/1000000)</f>
        <v>0</v>
      </c>
      <c r="BP105" s="524" t="str">
        <f t="shared" si="27"/>
        <v>Renewable</v>
      </c>
      <c r="BQ105" s="530" t="s">
        <v>1752</v>
      </c>
      <c r="BR105" s="531"/>
      <c r="BS105" s="531"/>
      <c r="BT105" s="531"/>
      <c r="BU105" s="531"/>
      <c r="BV105" s="531"/>
      <c r="BW105" s="531"/>
      <c r="BX105" s="531"/>
      <c r="BY105" s="531"/>
      <c r="BZ105" s="531"/>
      <c r="CA105" s="531"/>
      <c r="CB105" s="531"/>
      <c r="CC105" s="531"/>
      <c r="CD105" s="531"/>
      <c r="CE105" s="532"/>
      <c r="CF105" s="529" t="s">
        <v>1692</v>
      </c>
      <c r="CG105" s="529" t="s">
        <v>1699</v>
      </c>
      <c r="CH105" s="529" t="s">
        <v>1706</v>
      </c>
      <c r="CI105" s="529" t="s">
        <v>1625</v>
      </c>
    </row>
    <row r="106" spans="1:87" ht="20.100000000000001" customHeight="1" thickBot="1">
      <c r="A106" s="55" t="str">
        <f t="shared" si="28"/>
        <v>Warehouses</v>
      </c>
      <c r="B106" s="282">
        <v>0</v>
      </c>
      <c r="C106" s="220">
        <v>0</v>
      </c>
      <c r="D106" s="29">
        <v>9</v>
      </c>
      <c r="E106" s="246">
        <v>9</v>
      </c>
      <c r="F106" s="220">
        <v>0</v>
      </c>
      <c r="G106" s="29"/>
      <c r="H106" s="1360">
        <f t="shared" si="29"/>
        <v>0</v>
      </c>
      <c r="I106" s="29"/>
      <c r="J106" s="29"/>
      <c r="K106" s="22"/>
      <c r="L106" s="29"/>
      <c r="M106" s="968"/>
      <c r="N106" s="971"/>
      <c r="O106" s="971"/>
      <c r="P106" s="971"/>
      <c r="Q106" s="971"/>
      <c r="R106" s="971"/>
      <c r="S106" s="971"/>
      <c r="T106" s="971"/>
      <c r="U106" s="971"/>
      <c r="V106" s="971"/>
      <c r="W106" s="971"/>
      <c r="X106" s="971"/>
      <c r="Y106" s="971"/>
      <c r="Z106" s="971"/>
      <c r="AA106" s="971"/>
      <c r="AB106" s="971"/>
      <c r="AC106" s="971"/>
      <c r="AD106" s="971"/>
      <c r="AE106" s="971"/>
      <c r="AF106" s="1493"/>
      <c r="AG106" s="1477" t="s">
        <v>1226</v>
      </c>
      <c r="AH106" s="1527"/>
      <c r="AI106" s="1527"/>
      <c r="AJ106" s="1478"/>
      <c r="AK106" s="335">
        <v>0</v>
      </c>
      <c r="AL106" s="325">
        <f>IF((AL$98-2021)&lt;START!$C$2,0,((AL$93*INDEX('DEFAULT DATA'!$AFS$9:$AFZ$41,START!$C$3,8))+(AL$94*INDEX('DEFAULT DATA'!$XC$9:$XJ$41,START!$C$3,8))+(AL$95*INDEX('DEFAULT DATA'!$YI$9:$YP$41,START!$C$3,8)))*AL6/1000000)</f>
        <v>0</v>
      </c>
      <c r="AM106" s="325">
        <f>IF((AM$98-2021)&lt;START!$C$2,0,((AM$93*INDEX('DEFAULT DATA'!$AFS$9:$AFZ$41,START!$C$3,8))+(AM$94*INDEX('DEFAULT DATA'!$XC$9:$XJ$41,START!$C$3,8))+(AM$95*INDEX('DEFAULT DATA'!$YI$9:$YP$41,START!$C$3,8)))*AM6/1000000)</f>
        <v>59317.647965395925</v>
      </c>
      <c r="AN106" s="325">
        <f>IF((AN$98-2021)&lt;START!$C$2,0,((AN$93*INDEX('DEFAULT DATA'!$AFS$9:$AFZ$41,START!$C$3,8))+(AN$94*INDEX('DEFAULT DATA'!$XC$9:$XJ$41,START!$C$3,8))+(AN$95*INDEX('DEFAULT DATA'!$YI$9:$YP$41,START!$C$3,8)))*AN6/1000000)</f>
        <v>59317.647965395925</v>
      </c>
      <c r="AO106" s="325">
        <f>IF((AO$98-2021)&lt;START!$C$2,0,((AO$93*INDEX('DEFAULT DATA'!$AFS$9:$AFZ$41,START!$C$3,8))+(AO$94*INDEX('DEFAULT DATA'!$XC$9:$XJ$41,START!$C$3,8))+(AO$95*INDEX('DEFAULT DATA'!$YI$9:$YP$41,START!$C$3,8)))*AO6/1000000)</f>
        <v>59317.647965395925</v>
      </c>
      <c r="AP106" s="325">
        <f>IF((AP$98-2021)&lt;START!$C$2,0,((AP$93*INDEX('DEFAULT DATA'!$AFS$9:$AFZ$41,START!$C$3,8))+(AP$94*INDEX('DEFAULT DATA'!$XC$9:$XJ$41,START!$C$3,8))+(AP$95*INDEX('DEFAULT DATA'!$YI$9:$YP$41,START!$C$3,8)))*AP6/1000000)</f>
        <v>59317.647965395925</v>
      </c>
      <c r="AQ106" s="325">
        <f>IF((AQ$98-2021)&lt;START!$C$2,0,((AQ$93*INDEX('DEFAULT DATA'!$AFS$9:$AFZ$41,START!$C$3,8))+(AQ$94*INDEX('DEFAULT DATA'!$XC$9:$XJ$41,START!$C$3,8))+(AQ$95*INDEX('DEFAULT DATA'!$YI$9:$YP$41,START!$C$3,8)))*AQ6/1000000)</f>
        <v>59317.647965395925</v>
      </c>
      <c r="AR106" s="325">
        <f>IF((AR$98-2021)&lt;START!$C$2,0,((AR$93*INDEX('DEFAULT DATA'!$AFS$9:$AFZ$41,START!$C$3,8))+(AR$94*INDEX('DEFAULT DATA'!$XC$9:$XJ$41,START!$C$3,8))+(AR$95*INDEX('DEFAULT DATA'!$YI$9:$YP$41,START!$C$3,8)))*AR6/1000000)</f>
        <v>59317.647965395925</v>
      </c>
      <c r="AS106" s="325">
        <f>IF((AS$98-2021)&lt;START!$C$2,0,((AS$93*INDEX('DEFAULT DATA'!$AFS$9:$AFZ$41,START!$C$3,8))+(AS$94*INDEX('DEFAULT DATA'!$XC$9:$XJ$41,START!$C$3,8))+(AS$95*INDEX('DEFAULT DATA'!$YI$9:$YP$41,START!$C$3,8)))*AS6/1000000)</f>
        <v>59317.647965395925</v>
      </c>
      <c r="AT106" s="325">
        <f>IF((AT$98-2021)&lt;START!$C$2,0,((AT$93*INDEX('DEFAULT DATA'!$AFS$9:$AFZ$41,START!$C$3,8))+(AT$94*INDEX('DEFAULT DATA'!$XC$9:$XJ$41,START!$C$3,8))+(AT$95*INDEX('DEFAULT DATA'!$YI$9:$YP$41,START!$C$3,8)))*AT6/1000000)</f>
        <v>59317.647965395925</v>
      </c>
      <c r="AU106" s="325">
        <f>IF((AU$98-2021)&lt;START!$C$2,0,((AU$93*INDEX('DEFAULT DATA'!$AFS$9:$AFZ$41,START!$C$3,8))+(AU$94*INDEX('DEFAULT DATA'!$XC$9:$XJ$41,START!$C$3,8))+(AU$95*INDEX('DEFAULT DATA'!$YI$9:$YP$41,START!$C$3,8)))*AU6/1000000)</f>
        <v>59317.647965395925</v>
      </c>
      <c r="AV106" s="325">
        <f>IF((AV$98-2021)&lt;START!$C$2,0,((AV$93*INDEX('DEFAULT DATA'!$AFS$9:$AFZ$41,START!$C$3,8))+(AV$94*INDEX('DEFAULT DATA'!$XC$9:$XJ$41,START!$C$3,8))+(AV$95*INDEX('DEFAULT DATA'!$YI$9:$YP$41,START!$C$3,8)))*AV6/1000000)</f>
        <v>59317.647965395925</v>
      </c>
      <c r="AW106" s="325">
        <f>IF((AW$98-2021)&lt;START!$C$2,0,((AW$93*INDEX('DEFAULT DATA'!$AFS$9:$AFZ$41,START!$C$3,8))+(AW$94*INDEX('DEFAULT DATA'!$XC$9:$XJ$41,START!$C$3,8))+(AW$95*INDEX('DEFAULT DATA'!$YI$9:$YP$41,START!$C$3,8)))*AW6/1000000)</f>
        <v>59317.647965395925</v>
      </c>
      <c r="AX106" s="325">
        <f>IF((AX$98-2021)&lt;START!$C$2,0,((AX$93*INDEX('DEFAULT DATA'!$AFS$9:$AFZ$41,START!$C$3,8))+(AX$94*INDEX('DEFAULT DATA'!$XC$9:$XJ$41,START!$C$3,8))+(AX$95*INDEX('DEFAULT DATA'!$YI$9:$YP$41,START!$C$3,8)))*AX6/1000000)</f>
        <v>59317.647965395925</v>
      </c>
      <c r="AY106" s="325">
        <f>IF((AY$98-2021)&lt;START!$C$2,0,((AY$93*INDEX('DEFAULT DATA'!$AFS$9:$AFZ$41,START!$C$3,8))+(AY$94*INDEX('DEFAULT DATA'!$XC$9:$XJ$41,START!$C$3,8))+(AY$95*INDEX('DEFAULT DATA'!$YI$9:$YP$41,START!$C$3,8)))*AY6/1000000)</f>
        <v>59317.647965395925</v>
      </c>
      <c r="AZ106" s="325">
        <f>IF((AZ$98-2021)&lt;START!$C$2,0,((AZ$93*INDEX('DEFAULT DATA'!$AFS$9:$AFZ$41,START!$C$3,8))+(AZ$94*INDEX('DEFAULT DATA'!$XC$9:$XJ$41,START!$C$3,8))+(AZ$95*INDEX('DEFAULT DATA'!$YI$9:$YP$41,START!$C$3,8)))*AZ6/1000000)</f>
        <v>59317.647965395925</v>
      </c>
      <c r="BA106" s="325">
        <f>IF((BA$98-2021)&lt;START!$C$2,0,((BA$93*INDEX('DEFAULT DATA'!$AFS$9:$AFZ$41,START!$C$3,8))+(BA$94*INDEX('DEFAULT DATA'!$XC$9:$XJ$41,START!$C$3,8))+(BA$95*INDEX('DEFAULT DATA'!$YI$9:$YP$41,START!$C$3,8)))*BA6/1000000)</f>
        <v>59317.647965395925</v>
      </c>
      <c r="BB106" s="325">
        <f>IF((BB$98-2021)&lt;START!$C$2,0,((BB$93*INDEX('DEFAULT DATA'!$AFS$9:$AFZ$41,START!$C$3,8))+(BB$94*INDEX('DEFAULT DATA'!$XC$9:$XJ$41,START!$C$3,8))+(BB$95*INDEX('DEFAULT DATA'!$YI$9:$YP$41,START!$C$3,8)))*BB6/1000000)</f>
        <v>59317.647965395925</v>
      </c>
      <c r="BC106" s="325">
        <f>IF((BC$98-2021)&lt;START!$C$2,0,((BC$93*INDEX('DEFAULT DATA'!$AFS$9:$AFZ$41,START!$C$3,8))+(BC$94*INDEX('DEFAULT DATA'!$XC$9:$XJ$41,START!$C$3,8))+(BC$95*INDEX('DEFAULT DATA'!$YI$9:$YP$41,START!$C$3,8)))*BC6/1000000)</f>
        <v>59317.647965395925</v>
      </c>
      <c r="BD106" s="325">
        <f>IF((BD$98-2021)&lt;START!$C$2,0,((BD$93*INDEX('DEFAULT DATA'!$AFS$9:$AFZ$41,START!$C$3,8))+(BD$94*INDEX('DEFAULT DATA'!$XC$9:$XJ$41,START!$C$3,8))+(BD$95*INDEX('DEFAULT DATA'!$YI$9:$YP$41,START!$C$3,8)))*BD6/1000000)</f>
        <v>59317.647965395925</v>
      </c>
      <c r="BE106" s="325">
        <f>IF((BE$98-2021)&lt;START!$C$2,0,((BE$93*INDEX('DEFAULT DATA'!$AFS$9:$AFZ$41,START!$C$3,8))+(BE$94*INDEX('DEFAULT DATA'!$XC$9:$XJ$41,START!$C$3,8))+(BE$95*INDEX('DEFAULT DATA'!$YI$9:$YP$41,START!$C$3,8)))*BE6/1000000)</f>
        <v>59317.647965395925</v>
      </c>
      <c r="BF106" s="325">
        <f>IF((BF$98-2021)&lt;START!$C$2,0,((BF$93*INDEX('DEFAULT DATA'!$AFS$9:$AFZ$41,START!$C$3,8))+(BF$94*INDEX('DEFAULT DATA'!$XC$9:$XJ$41,START!$C$3,8))+(BF$95*INDEX('DEFAULT DATA'!$YI$9:$YP$41,START!$C$3,8)))*BF6/1000000)</f>
        <v>59317.647965395925</v>
      </c>
      <c r="BG106" s="325">
        <f>IF((BG$98-2021)&lt;START!$C$2,0,((BG$93*INDEX('DEFAULT DATA'!$AFS$9:$AFZ$41,START!$C$3,8))+(BG$94*INDEX('DEFAULT DATA'!$XC$9:$XJ$41,START!$C$3,8))+(BG$95*INDEX('DEFAULT DATA'!$YI$9:$YP$41,START!$C$3,8)))*BG6/1000000)</f>
        <v>59317.647965395925</v>
      </c>
      <c r="BH106" s="325">
        <f>IF((BH$98-2021)&lt;START!$C$2,0,((BH$93*INDEX('DEFAULT DATA'!$AFS$9:$AFZ$41,START!$C$3,8))+(BH$94*INDEX('DEFAULT DATA'!$XC$9:$XJ$41,START!$C$3,8))+(BH$95*INDEX('DEFAULT DATA'!$YI$9:$YP$41,START!$C$3,8)))*BH6/1000000)</f>
        <v>59317.647965395925</v>
      </c>
      <c r="BI106" s="325">
        <f>IF((BI$98-2021)&lt;START!$C$2,0,((BI$93*INDEX('DEFAULT DATA'!$AFS$9:$AFZ$41,START!$C$3,8))+(BI$94*INDEX('DEFAULT DATA'!$XC$9:$XJ$41,START!$C$3,8))+(BI$95*INDEX('DEFAULT DATA'!$YI$9:$YP$41,START!$C$3,8)))*BI6/1000000)</f>
        <v>59317.647965395925</v>
      </c>
      <c r="BJ106" s="325">
        <f>IF((BJ$98-2021)&lt;START!$C$2,0,((BJ$93*INDEX('DEFAULT DATA'!$AFS$9:$AFZ$41,START!$C$3,8))+(BJ$94*INDEX('DEFAULT DATA'!$XC$9:$XJ$41,START!$C$3,8))+(BJ$95*INDEX('DEFAULT DATA'!$YI$9:$YP$41,START!$C$3,8)))*BJ6/1000000)</f>
        <v>59317.647965395925</v>
      </c>
      <c r="BK106" s="325">
        <f>IF((BK$98-2021)&lt;START!$C$2,0,((BK$93*INDEX('DEFAULT DATA'!$AFS$9:$AFZ$41,START!$C$3,8))+(BK$94*INDEX('DEFAULT DATA'!$XC$9:$XJ$41,START!$C$3,8))+(BK$95*INDEX('DEFAULT DATA'!$YI$9:$YP$41,START!$C$3,8)))*BK6/1000000)</f>
        <v>59317.647965395925</v>
      </c>
      <c r="BL106" s="325">
        <f>IF((BL$98-2021)&lt;START!$C$2,0,((BL$93*INDEX('DEFAULT DATA'!$AFS$9:$AFZ$41,START!$C$3,8))+(BL$94*INDEX('DEFAULT DATA'!$XC$9:$XJ$41,START!$C$3,8))+(BL$95*INDEX('DEFAULT DATA'!$YI$9:$YP$41,START!$C$3,8)))*BL6/1000000)</f>
        <v>59317.647965395925</v>
      </c>
      <c r="BM106" s="325">
        <f>IF((BM$98-2021)&lt;START!$C$2,0,((BM$93*INDEX('DEFAULT DATA'!$AFS$9:$AFZ$41,START!$C$3,8))+(BM$94*INDEX('DEFAULT DATA'!$XC$9:$XJ$41,START!$C$3,8))+(BM$95*INDEX('DEFAULT DATA'!$YI$9:$YP$41,START!$C$3,8)))*BM6/1000000)</f>
        <v>59317.647965395925</v>
      </c>
      <c r="BN106" s="326">
        <f>IF((BN$98-2021)&lt;START!$C$2,0,((BN$93*INDEX('DEFAULT DATA'!$AFS$9:$AFZ$41,START!$C$3,8))+(BN$94*INDEX('DEFAULT DATA'!$XC$9:$XJ$41,START!$C$3,8))+(BN$95*INDEX('DEFAULT DATA'!$YI$9:$YP$41,START!$C$3,8)))*BN6/1000000)</f>
        <v>59317.647965395925</v>
      </c>
      <c r="BP106" s="525" t="str">
        <f t="shared" si="27"/>
        <v>Heat</v>
      </c>
      <c r="BQ106" s="533" t="s">
        <v>1753</v>
      </c>
      <c r="BR106" s="534"/>
      <c r="BS106" s="534"/>
      <c r="BT106" s="534"/>
      <c r="BU106" s="534"/>
      <c r="BV106" s="534"/>
      <c r="BW106" s="534"/>
      <c r="BX106" s="534"/>
      <c r="BY106" s="534"/>
      <c r="BZ106" s="534"/>
      <c r="CA106" s="534"/>
      <c r="CB106" s="534"/>
      <c r="CC106" s="534"/>
      <c r="CD106" s="534"/>
      <c r="CE106" s="535"/>
      <c r="CF106" s="529" t="s">
        <v>1693</v>
      </c>
      <c r="CG106" s="529" t="s">
        <v>1700</v>
      </c>
      <c r="CH106" s="529" t="s">
        <v>1707</v>
      </c>
      <c r="CI106" s="529" t="s">
        <v>1626</v>
      </c>
    </row>
    <row r="107" spans="1:87" ht="20.100000000000001" customHeight="1">
      <c r="A107" s="28"/>
      <c r="B107" s="29"/>
      <c r="C107" s="29"/>
      <c r="D107" s="29"/>
      <c r="E107" s="29"/>
      <c r="F107" s="29"/>
      <c r="G107" s="29"/>
      <c r="H107" s="29"/>
      <c r="I107" s="29"/>
      <c r="J107" s="29"/>
      <c r="K107" s="22"/>
      <c r="L107" s="29"/>
      <c r="M107" s="968"/>
      <c r="N107" s="971"/>
      <c r="O107" s="971"/>
      <c r="P107" s="971"/>
      <c r="Q107" s="971"/>
      <c r="R107" s="971"/>
      <c r="S107" s="971"/>
      <c r="T107" s="971"/>
      <c r="U107" s="971"/>
      <c r="V107" s="971"/>
      <c r="W107" s="971"/>
      <c r="X107" s="971"/>
      <c r="Y107" s="971"/>
      <c r="Z107" s="971"/>
      <c r="AA107" s="971"/>
      <c r="AB107" s="971"/>
      <c r="AC107" s="971"/>
      <c r="AD107" s="971"/>
      <c r="AE107" s="971"/>
      <c r="AF107" s="332"/>
      <c r="AG107" s="1429" t="s">
        <v>310</v>
      </c>
      <c r="AH107" s="1430"/>
      <c r="AI107" s="1430"/>
      <c r="AJ107" s="1516"/>
      <c r="AK107" s="497">
        <f>SUM(AK99:AK106)</f>
        <v>0</v>
      </c>
      <c r="AL107" s="327">
        <f t="shared" ref="AL107" si="30">SUM(AL99:AL106)</f>
        <v>0</v>
      </c>
      <c r="AM107" s="327">
        <f t="shared" ref="AM107:BN107" si="31">SUM(AM99:AM106)</f>
        <v>119258.03736097951</v>
      </c>
      <c r="AN107" s="327">
        <f t="shared" si="31"/>
        <v>118903.2457699808</v>
      </c>
      <c r="AO107" s="327">
        <f t="shared" si="31"/>
        <v>118552.00209489209</v>
      </c>
      <c r="AP107" s="327">
        <f t="shared" si="31"/>
        <v>118204.27085655424</v>
      </c>
      <c r="AQ107" s="327">
        <f t="shared" si="31"/>
        <v>117860.0169305998</v>
      </c>
      <c r="AR107" s="327">
        <f t="shared" si="31"/>
        <v>117519.20554390489</v>
      </c>
      <c r="AS107" s="327">
        <f t="shared" si="31"/>
        <v>117181.80227107693</v>
      </c>
      <c r="AT107" s="327">
        <f t="shared" si="31"/>
        <v>116847.77303097726</v>
      </c>
      <c r="AU107" s="327">
        <f t="shared" si="31"/>
        <v>115028.9838186345</v>
      </c>
      <c r="AV107" s="327">
        <f t="shared" si="31"/>
        <v>113310.22801297059</v>
      </c>
      <c r="AW107" s="327">
        <f t="shared" si="31"/>
        <v>111686.00377661819</v>
      </c>
      <c r="AX107" s="327">
        <f t="shared" si="31"/>
        <v>110151.11187326518</v>
      </c>
      <c r="AY107" s="327">
        <f t="shared" si="31"/>
        <v>108700.6390245966</v>
      </c>
      <c r="AZ107" s="327">
        <f t="shared" si="31"/>
        <v>107329.94218260478</v>
      </c>
      <c r="BA107" s="327">
        <f t="shared" si="31"/>
        <v>106034.63366692251</v>
      </c>
      <c r="BB107" s="327">
        <f t="shared" si="31"/>
        <v>104810.56711960275</v>
      </c>
      <c r="BC107" s="327">
        <f t="shared" si="31"/>
        <v>103653.8242323856</v>
      </c>
      <c r="BD107" s="327">
        <f t="shared" si="31"/>
        <v>102560.70220396538</v>
      </c>
      <c r="BE107" s="327">
        <f t="shared" si="31"/>
        <v>101527.70188710827</v>
      </c>
      <c r="BF107" s="327">
        <f t="shared" si="31"/>
        <v>100551.51658767831</v>
      </c>
      <c r="BG107" s="327">
        <f t="shared" si="31"/>
        <v>99629.02147971699</v>
      </c>
      <c r="BH107" s="327">
        <f t="shared" si="31"/>
        <v>98757.263602693565</v>
      </c>
      <c r="BI107" s="327">
        <f t="shared" si="31"/>
        <v>97933.452408906393</v>
      </c>
      <c r="BJ107" s="327">
        <f t="shared" si="31"/>
        <v>97154.95083077754</v>
      </c>
      <c r="BK107" s="327">
        <f t="shared" si="31"/>
        <v>96419.266839445772</v>
      </c>
      <c r="BL107" s="327">
        <f t="shared" si="31"/>
        <v>95724.045467637246</v>
      </c>
      <c r="BM107" s="327">
        <f t="shared" si="31"/>
        <v>95067.061271278188</v>
      </c>
      <c r="BN107" s="327">
        <f t="shared" si="31"/>
        <v>94446.211205718879</v>
      </c>
    </row>
    <row r="108" spans="1:87" ht="20.100000000000001" customHeight="1" thickBot="1">
      <c r="A108" s="31"/>
      <c r="B108" s="32"/>
      <c r="C108" s="32"/>
      <c r="D108" s="32"/>
      <c r="E108" s="32"/>
      <c r="F108" s="32"/>
      <c r="G108" s="32"/>
      <c r="H108" s="32"/>
      <c r="I108" s="32"/>
      <c r="J108" s="32"/>
      <c r="K108" s="33"/>
      <c r="L108" s="29"/>
      <c r="M108" s="968"/>
      <c r="N108" s="971"/>
      <c r="O108" s="971"/>
      <c r="P108" s="971"/>
      <c r="Q108" s="971"/>
      <c r="R108" s="971"/>
      <c r="S108" s="971"/>
      <c r="T108" s="971"/>
      <c r="U108" s="971"/>
      <c r="V108" s="971"/>
      <c r="W108" s="971"/>
      <c r="X108" s="971"/>
      <c r="Y108" s="971"/>
      <c r="Z108" s="971"/>
      <c r="AA108" s="971"/>
      <c r="AB108" s="971"/>
      <c r="AC108" s="971"/>
      <c r="AD108" s="971"/>
      <c r="AE108" s="971"/>
    </row>
    <row r="109" spans="1:87" ht="30" customHeight="1" thickBot="1">
      <c r="A109" s="1529" t="s">
        <v>1239</v>
      </c>
      <c r="B109" s="1530"/>
      <c r="C109" s="1530"/>
      <c r="D109" s="1530"/>
      <c r="E109" s="1530"/>
      <c r="F109" s="1530"/>
      <c r="G109" s="1530"/>
      <c r="H109" s="1530"/>
      <c r="I109" s="1530"/>
      <c r="J109" s="1530"/>
      <c r="K109" s="1531"/>
      <c r="L109" s="385"/>
      <c r="M109" s="385"/>
      <c r="N109" s="385"/>
      <c r="O109" s="385"/>
      <c r="P109" s="385"/>
      <c r="Q109" s="385"/>
      <c r="R109" s="385"/>
      <c r="S109" s="385"/>
      <c r="T109" s="385"/>
      <c r="U109" s="385"/>
      <c r="V109" s="385"/>
      <c r="W109" s="385"/>
      <c r="X109" s="385"/>
      <c r="Y109" s="385"/>
      <c r="Z109" s="385"/>
      <c r="AA109" s="385"/>
      <c r="AB109" s="385"/>
      <c r="AC109" s="385"/>
      <c r="AD109" s="385"/>
      <c r="AE109" s="385"/>
      <c r="AF109" s="271" t="s">
        <v>1392</v>
      </c>
    </row>
    <row r="110" spans="1:87" ht="20.100000000000001" customHeight="1">
      <c r="A110" s="161"/>
      <c r="B110" s="349"/>
      <c r="C110" s="349"/>
      <c r="D110" s="349"/>
      <c r="E110" s="349"/>
      <c r="F110" s="349"/>
      <c r="G110" s="349"/>
      <c r="H110" s="349"/>
      <c r="I110" s="349"/>
      <c r="J110" s="349"/>
      <c r="K110" s="350"/>
      <c r="L110" s="222"/>
      <c r="M110" s="222"/>
      <c r="N110" s="222"/>
      <c r="O110" s="222"/>
      <c r="P110" s="222"/>
      <c r="Q110" s="222"/>
      <c r="R110" s="222"/>
      <c r="S110" s="222"/>
      <c r="T110" s="222"/>
      <c r="U110" s="222"/>
      <c r="V110" s="222"/>
      <c r="W110" s="222"/>
      <c r="X110" s="222"/>
      <c r="Y110" s="222"/>
      <c r="Z110" s="222"/>
      <c r="AA110" s="222"/>
      <c r="AB110" s="222"/>
      <c r="AC110" s="222"/>
      <c r="AD110" s="222"/>
      <c r="AE110" s="222"/>
      <c r="AF110" s="1532" t="s">
        <v>1412</v>
      </c>
      <c r="AG110" s="1471" t="s">
        <v>1413</v>
      </c>
      <c r="AH110" s="1479"/>
      <c r="AI110" s="1479"/>
      <c r="AJ110" s="1479"/>
      <c r="AK110" s="1479"/>
      <c r="AL110" s="1479"/>
      <c r="AM110" s="1472"/>
    </row>
    <row r="111" spans="1:87" ht="20.100000000000001" customHeight="1">
      <c r="A111" s="225" t="s">
        <v>1339</v>
      </c>
      <c r="B111" s="274"/>
      <c r="C111" s="274"/>
      <c r="D111" s="274"/>
      <c r="E111" s="274"/>
      <c r="F111" s="274"/>
      <c r="G111" s="274"/>
      <c r="H111" s="274"/>
      <c r="I111" s="274"/>
      <c r="J111" s="274"/>
      <c r="K111" s="275"/>
      <c r="L111" s="222"/>
      <c r="M111" s="222"/>
      <c r="N111" s="222"/>
      <c r="O111" s="222"/>
      <c r="P111" s="222"/>
      <c r="Q111" s="222"/>
      <c r="R111" s="222"/>
      <c r="S111" s="222"/>
      <c r="T111" s="222"/>
      <c r="U111" s="222"/>
      <c r="V111" s="222"/>
      <c r="W111" s="222"/>
      <c r="X111" s="222"/>
      <c r="Y111" s="222"/>
      <c r="Z111" s="222"/>
      <c r="AA111" s="222"/>
      <c r="AB111" s="222"/>
      <c r="AC111" s="222"/>
      <c r="AD111" s="222"/>
      <c r="AE111" s="222"/>
      <c r="AF111" s="1533"/>
      <c r="AG111" s="1524" t="s">
        <v>1414</v>
      </c>
      <c r="AH111" s="1525"/>
      <c r="AI111" s="1525"/>
      <c r="AJ111" s="1525"/>
      <c r="AK111" s="1525"/>
      <c r="AL111" s="1525"/>
      <c r="AM111" s="1526"/>
    </row>
    <row r="112" spans="1:87" ht="20.100000000000001" customHeight="1">
      <c r="A112" s="55"/>
      <c r="B112" s="222"/>
      <c r="C112" s="1517" t="s">
        <v>1435</v>
      </c>
      <c r="D112" s="1520" t="s">
        <v>1342</v>
      </c>
      <c r="E112" s="1520"/>
      <c r="F112" s="1521" t="s">
        <v>1338</v>
      </c>
      <c r="G112" s="1420"/>
      <c r="H112" s="1420"/>
      <c r="I112" s="1420" t="s">
        <v>1449</v>
      </c>
      <c r="J112" s="1420"/>
      <c r="K112" s="276"/>
      <c r="L112" s="222"/>
      <c r="M112" s="222"/>
      <c r="N112" s="222"/>
      <c r="O112" s="222"/>
      <c r="P112" s="222"/>
      <c r="Q112" s="222"/>
      <c r="R112" s="222"/>
      <c r="S112" s="222"/>
      <c r="T112" s="222"/>
      <c r="U112" s="222"/>
      <c r="V112" s="222"/>
      <c r="W112" s="222"/>
      <c r="X112" s="222"/>
      <c r="Y112" s="222"/>
      <c r="Z112" s="222"/>
      <c r="AA112" s="222"/>
      <c r="AB112" s="222"/>
      <c r="AC112" s="222"/>
      <c r="AD112" s="222"/>
      <c r="AE112" s="222"/>
      <c r="AF112" s="1533"/>
      <c r="AG112" s="1524" t="s">
        <v>1415</v>
      </c>
      <c r="AH112" s="1525"/>
      <c r="AI112" s="1525"/>
      <c r="AJ112" s="1525"/>
      <c r="AK112" s="1525"/>
      <c r="AL112" s="1525"/>
      <c r="AM112" s="1526"/>
    </row>
    <row r="113" spans="1:58" ht="20.100000000000001" customHeight="1">
      <c r="A113" s="55" t="s">
        <v>1351</v>
      </c>
      <c r="B113" s="222"/>
      <c r="C113" s="1425"/>
      <c r="D113" s="381" t="s">
        <v>1343</v>
      </c>
      <c r="E113" s="381" t="s">
        <v>1261</v>
      </c>
      <c r="F113" s="1522"/>
      <c r="G113" s="380"/>
      <c r="H113" s="381"/>
      <c r="I113" s="1420"/>
      <c r="J113" s="1420"/>
      <c r="K113" s="276"/>
      <c r="L113" s="222"/>
      <c r="M113" s="222"/>
      <c r="N113" s="222"/>
      <c r="O113" s="222"/>
      <c r="P113" s="222"/>
      <c r="Q113" s="222"/>
      <c r="R113" s="222"/>
      <c r="S113" s="222"/>
      <c r="T113" s="222"/>
      <c r="U113" s="222"/>
      <c r="V113" s="222"/>
      <c r="W113" s="222"/>
      <c r="X113" s="222"/>
      <c r="Y113" s="222"/>
      <c r="Z113" s="222"/>
      <c r="AA113" s="222"/>
      <c r="AB113" s="222"/>
      <c r="AC113" s="222"/>
      <c r="AD113" s="222"/>
      <c r="AE113" s="222"/>
      <c r="AF113" s="1534"/>
      <c r="AG113" s="1524" t="s">
        <v>1416</v>
      </c>
      <c r="AH113" s="1525"/>
      <c r="AI113" s="1525"/>
      <c r="AJ113" s="1525"/>
      <c r="AK113" s="1525"/>
      <c r="AL113" s="1525"/>
      <c r="AM113" s="1526"/>
    </row>
    <row r="114" spans="1:58" ht="20.100000000000001" customHeight="1">
      <c r="A114" s="55">
        <v>1</v>
      </c>
      <c r="B114" s="222"/>
      <c r="C114" s="282">
        <v>2000</v>
      </c>
      <c r="D114" s="222">
        <v>4</v>
      </c>
      <c r="E114" s="351">
        <v>1</v>
      </c>
      <c r="F114" s="220">
        <v>50</v>
      </c>
      <c r="G114" s="381"/>
      <c r="H114" s="381"/>
      <c r="I114" s="222">
        <v>9</v>
      </c>
      <c r="J114" s="351">
        <v>9</v>
      </c>
      <c r="K114" s="276"/>
      <c r="L114" s="222"/>
      <c r="M114" s="222"/>
      <c r="N114" s="222"/>
      <c r="O114" s="222"/>
      <c r="P114" s="222"/>
      <c r="Q114" s="222"/>
      <c r="R114" s="222"/>
      <c r="S114" s="222"/>
      <c r="T114" s="222"/>
      <c r="U114" s="222"/>
      <c r="V114" s="222"/>
      <c r="W114" s="222"/>
      <c r="X114" s="222"/>
      <c r="Y114" s="222"/>
      <c r="Z114" s="222"/>
      <c r="AA114" s="222"/>
      <c r="AB114" s="222"/>
      <c r="AC114" s="222"/>
      <c r="AD114" s="222"/>
      <c r="AE114" s="222"/>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row>
    <row r="115" spans="1:58" ht="20.100000000000001" customHeight="1">
      <c r="A115" s="55">
        <v>4</v>
      </c>
      <c r="B115" s="222"/>
      <c r="C115" s="282">
        <v>9000</v>
      </c>
      <c r="D115" s="222">
        <v>5</v>
      </c>
      <c r="E115" s="351">
        <v>1</v>
      </c>
      <c r="F115" s="777">
        <v>50</v>
      </c>
      <c r="G115" s="381"/>
      <c r="H115" s="381"/>
      <c r="I115" s="222">
        <v>9</v>
      </c>
      <c r="J115" s="351">
        <v>14</v>
      </c>
      <c r="K115" s="276"/>
      <c r="L115" s="222"/>
      <c r="M115" s="222"/>
      <c r="N115" s="222"/>
      <c r="O115" s="222"/>
      <c r="P115" s="222"/>
      <c r="Q115" s="222"/>
      <c r="R115" s="222"/>
      <c r="S115" s="222"/>
      <c r="T115" s="222"/>
      <c r="U115" s="222"/>
      <c r="V115" s="222"/>
      <c r="W115" s="222"/>
      <c r="X115" s="222"/>
      <c r="Y115" s="222"/>
      <c r="Z115" s="222"/>
      <c r="AA115" s="222"/>
      <c r="AB115" s="222"/>
      <c r="AC115" s="222"/>
      <c r="AD115" s="222"/>
      <c r="AE115" s="222"/>
      <c r="AF115" s="536" t="s">
        <v>1417</v>
      </c>
      <c r="AG115" s="1438" t="s">
        <v>1419</v>
      </c>
      <c r="AH115" s="1438"/>
      <c r="AI115" s="1438"/>
      <c r="AJ115" s="1438"/>
      <c r="AK115" s="1438"/>
      <c r="AL115" s="1438"/>
      <c r="AM115" s="1438"/>
      <c r="AN115" s="1438"/>
      <c r="AO115" s="1542" t="s">
        <v>1546</v>
      </c>
      <c r="AP115" s="1542"/>
      <c r="AQ115" s="1542"/>
      <c r="AR115" s="1542"/>
      <c r="AS115" s="1542"/>
      <c r="AT115" s="29"/>
      <c r="AU115" s="29"/>
      <c r="AV115" s="29"/>
      <c r="AW115" s="29"/>
      <c r="AX115" s="29"/>
      <c r="AY115" s="29"/>
      <c r="AZ115" s="29"/>
      <c r="BA115" s="29"/>
      <c r="BB115" s="29"/>
      <c r="BC115" s="29"/>
      <c r="BD115" s="29"/>
      <c r="BE115" s="29"/>
      <c r="BF115" s="29"/>
    </row>
    <row r="116" spans="1:58" ht="20.100000000000001" customHeight="1">
      <c r="A116" s="55">
        <v>2</v>
      </c>
      <c r="B116" s="222"/>
      <c r="C116" s="282">
        <v>0</v>
      </c>
      <c r="D116" s="222">
        <v>5</v>
      </c>
      <c r="E116" s="351">
        <v>1</v>
      </c>
      <c r="F116" s="777">
        <v>0</v>
      </c>
      <c r="G116" s="381"/>
      <c r="H116" s="381"/>
      <c r="I116" s="222">
        <v>4</v>
      </c>
      <c r="J116" s="351">
        <v>4</v>
      </c>
      <c r="K116" s="276"/>
      <c r="L116" s="222"/>
      <c r="M116" s="222"/>
      <c r="N116" s="222"/>
      <c r="O116" s="222"/>
      <c r="P116" s="222"/>
      <c r="Q116" s="222"/>
      <c r="R116" s="222"/>
      <c r="S116" s="222"/>
      <c r="T116" s="222"/>
      <c r="U116" s="222"/>
      <c r="V116" s="222"/>
      <c r="W116" s="222"/>
      <c r="X116" s="222"/>
      <c r="Y116" s="222"/>
      <c r="Z116" s="222"/>
      <c r="AA116" s="222"/>
      <c r="AB116" s="222"/>
      <c r="AC116" s="222"/>
      <c r="AD116" s="222"/>
      <c r="AE116" s="222"/>
      <c r="AF116" s="1500" t="s">
        <v>1418</v>
      </c>
      <c r="AG116" s="1438" t="s">
        <v>1420</v>
      </c>
      <c r="AH116" s="1438"/>
      <c r="AI116" s="1438"/>
      <c r="AJ116" s="1438"/>
      <c r="AK116" s="1438"/>
      <c r="AL116" s="1438"/>
      <c r="AM116" s="1438"/>
      <c r="AN116" s="1438"/>
      <c r="AO116" s="1542" t="s">
        <v>1547</v>
      </c>
      <c r="AP116" s="1542"/>
      <c r="AQ116" s="1542"/>
      <c r="AR116" s="1542"/>
      <c r="AS116" s="1542"/>
      <c r="AT116" s="29"/>
      <c r="AU116" s="29"/>
      <c r="AV116" s="29"/>
      <c r="AW116" s="29"/>
      <c r="AX116" s="29"/>
      <c r="AY116" s="29"/>
      <c r="AZ116" s="29"/>
      <c r="BA116" s="29"/>
      <c r="BB116" s="29"/>
      <c r="BC116" s="29"/>
      <c r="BD116" s="29"/>
      <c r="BE116" s="29"/>
      <c r="BF116" s="29"/>
    </row>
    <row r="117" spans="1:58" ht="20.100000000000001" customHeight="1">
      <c r="A117" s="55">
        <v>2</v>
      </c>
      <c r="B117" s="222"/>
      <c r="C117" s="282">
        <v>0</v>
      </c>
      <c r="D117" s="222">
        <v>5</v>
      </c>
      <c r="E117" s="351">
        <v>1</v>
      </c>
      <c r="F117" s="777">
        <v>0</v>
      </c>
      <c r="G117" s="381"/>
      <c r="H117" s="381"/>
      <c r="I117" s="222">
        <v>4</v>
      </c>
      <c r="J117" s="351">
        <v>4</v>
      </c>
      <c r="K117" s="276"/>
      <c r="L117" s="222"/>
      <c r="M117" s="222"/>
      <c r="N117" s="222"/>
      <c r="O117" s="222"/>
      <c r="P117" s="222"/>
      <c r="Q117" s="222"/>
      <c r="R117" s="222"/>
      <c r="S117" s="222"/>
      <c r="T117" s="222"/>
      <c r="U117" s="222"/>
      <c r="V117" s="222"/>
      <c r="W117" s="222"/>
      <c r="X117" s="222"/>
      <c r="Y117" s="222"/>
      <c r="Z117" s="222"/>
      <c r="AA117" s="222"/>
      <c r="AB117" s="222"/>
      <c r="AC117" s="222"/>
      <c r="AD117" s="222"/>
      <c r="AE117" s="222"/>
      <c r="AF117" s="1500"/>
      <c r="AG117" s="1438" t="s">
        <v>1421</v>
      </c>
      <c r="AH117" s="1438"/>
      <c r="AI117" s="1438"/>
      <c r="AJ117" s="1438"/>
      <c r="AK117" s="1438"/>
      <c r="AL117" s="1438"/>
      <c r="AM117" s="1438"/>
      <c r="AN117" s="1438"/>
      <c r="AO117" s="1542" t="s">
        <v>1548</v>
      </c>
      <c r="AP117" s="1542"/>
      <c r="AQ117" s="1542"/>
      <c r="AR117" s="1542"/>
      <c r="AS117" s="1542"/>
      <c r="AT117" s="29"/>
      <c r="AU117" s="29"/>
      <c r="AV117" s="29"/>
      <c r="AW117" s="29"/>
      <c r="AX117" s="29"/>
      <c r="AY117" s="29"/>
      <c r="AZ117" s="29"/>
      <c r="BA117" s="29"/>
      <c r="BB117" s="29"/>
      <c r="BC117" s="29"/>
      <c r="BD117" s="29"/>
      <c r="BE117" s="29"/>
      <c r="BF117" s="29"/>
    </row>
    <row r="118" spans="1:58" ht="20.100000000000001" customHeight="1">
      <c r="A118" s="55">
        <v>2</v>
      </c>
      <c r="B118" s="222"/>
      <c r="C118" s="282">
        <v>0</v>
      </c>
      <c r="D118" s="222">
        <v>5</v>
      </c>
      <c r="E118" s="351">
        <v>1</v>
      </c>
      <c r="F118" s="777">
        <v>0</v>
      </c>
      <c r="G118" s="381"/>
      <c r="H118" s="381"/>
      <c r="I118" s="222">
        <v>4</v>
      </c>
      <c r="J118" s="351">
        <v>4</v>
      </c>
      <c r="K118" s="276"/>
      <c r="L118" s="222"/>
      <c r="M118" s="222"/>
      <c r="N118" s="222"/>
      <c r="O118" s="222"/>
      <c r="P118" s="222"/>
      <c r="Q118" s="222"/>
      <c r="R118" s="222"/>
      <c r="S118" s="222"/>
      <c r="T118" s="222"/>
      <c r="U118" s="222"/>
      <c r="V118" s="222"/>
      <c r="W118" s="222"/>
      <c r="X118" s="222"/>
      <c r="Y118" s="222"/>
      <c r="Z118" s="222"/>
      <c r="AA118" s="222"/>
      <c r="AB118" s="222"/>
      <c r="AC118" s="222"/>
      <c r="AD118" s="222"/>
      <c r="AE118" s="222"/>
      <c r="AF118" s="1500"/>
      <c r="AG118" s="1438" t="s">
        <v>1422</v>
      </c>
      <c r="AH118" s="1438"/>
      <c r="AI118" s="1438"/>
      <c r="AJ118" s="1438"/>
      <c r="AK118" s="1438"/>
      <c r="AL118" s="1438"/>
      <c r="AM118" s="1438"/>
      <c r="AN118" s="1438"/>
      <c r="AO118" s="1542" t="s">
        <v>1549</v>
      </c>
      <c r="AP118" s="1542"/>
      <c r="AQ118" s="1542"/>
      <c r="AR118" s="1542"/>
      <c r="AS118" s="1542"/>
      <c r="AT118" s="29"/>
      <c r="AU118" s="29"/>
      <c r="AV118" s="29"/>
      <c r="AW118" s="29"/>
      <c r="AX118" s="29"/>
      <c r="AY118" s="29"/>
      <c r="AZ118" s="29"/>
      <c r="BA118" s="29"/>
      <c r="BB118" s="29"/>
      <c r="BC118" s="29"/>
      <c r="BD118" s="29"/>
      <c r="BE118" s="29"/>
      <c r="BF118" s="29"/>
    </row>
    <row r="119" spans="1:58" ht="20.100000000000001" customHeight="1">
      <c r="A119" s="55">
        <v>2</v>
      </c>
      <c r="B119" s="222"/>
      <c r="C119" s="282">
        <v>0</v>
      </c>
      <c r="D119" s="222">
        <v>5</v>
      </c>
      <c r="E119" s="351">
        <v>1</v>
      </c>
      <c r="F119" s="777">
        <v>0</v>
      </c>
      <c r="G119" s="381"/>
      <c r="H119" s="381"/>
      <c r="I119" s="222">
        <v>4</v>
      </c>
      <c r="J119" s="351">
        <v>4</v>
      </c>
      <c r="K119" s="276"/>
      <c r="L119" s="222"/>
      <c r="M119" s="222"/>
      <c r="N119" s="222"/>
      <c r="O119" s="222"/>
      <c r="P119" s="222"/>
      <c r="Q119" s="222"/>
      <c r="R119" s="222"/>
      <c r="S119" s="222"/>
      <c r="T119" s="222"/>
      <c r="U119" s="222"/>
      <c r="V119" s="222"/>
      <c r="W119" s="222"/>
      <c r="X119" s="222"/>
      <c r="Y119" s="222"/>
      <c r="Z119" s="222"/>
      <c r="AA119" s="222"/>
      <c r="AB119" s="222"/>
      <c r="AC119" s="222"/>
      <c r="AD119" s="222"/>
      <c r="AE119" s="222"/>
      <c r="AF119" s="1500"/>
      <c r="AG119" s="1438" t="s">
        <v>1423</v>
      </c>
      <c r="AH119" s="1438"/>
      <c r="AI119" s="1438"/>
      <c r="AJ119" s="1438"/>
      <c r="AK119" s="1438"/>
      <c r="AL119" s="1438"/>
      <c r="AM119" s="1438"/>
      <c r="AN119" s="1438"/>
      <c r="AO119" s="1542" t="s">
        <v>1550</v>
      </c>
      <c r="AP119" s="1542"/>
      <c r="AQ119" s="1542"/>
      <c r="AR119" s="1542"/>
      <c r="AS119" s="1542"/>
    </row>
    <row r="120" spans="1:58" ht="20.100000000000001" customHeight="1">
      <c r="A120" s="55"/>
      <c r="B120" s="222"/>
      <c r="C120" s="222"/>
      <c r="D120" s="222"/>
      <c r="E120" s="222"/>
      <c r="F120" s="222"/>
      <c r="G120" s="222"/>
      <c r="H120" s="222"/>
      <c r="I120" s="222"/>
      <c r="J120" s="222"/>
      <c r="K120" s="276"/>
      <c r="L120" s="222"/>
      <c r="M120" s="222"/>
      <c r="N120" s="222"/>
      <c r="O120" s="222"/>
      <c r="P120" s="222"/>
      <c r="Q120" s="222"/>
      <c r="R120" s="222"/>
      <c r="S120" s="222"/>
      <c r="T120" s="222"/>
      <c r="U120" s="222"/>
      <c r="V120" s="222"/>
      <c r="W120" s="222"/>
      <c r="X120" s="222"/>
      <c r="Y120" s="222"/>
      <c r="Z120" s="222"/>
      <c r="AA120" s="222"/>
      <c r="AB120" s="222"/>
      <c r="AC120" s="222"/>
      <c r="AD120" s="222"/>
      <c r="AE120" s="222"/>
      <c r="AF120" s="1500"/>
      <c r="AG120" s="1438" t="s">
        <v>1424</v>
      </c>
      <c r="AH120" s="1438"/>
      <c r="AI120" s="1438"/>
      <c r="AJ120" s="1438"/>
      <c r="AK120" s="1438"/>
      <c r="AL120" s="1438"/>
      <c r="AM120" s="1438"/>
      <c r="AN120" s="1438"/>
      <c r="AO120" s="1542" t="s">
        <v>1551</v>
      </c>
      <c r="AP120" s="1542"/>
      <c r="AQ120" s="1542"/>
      <c r="AR120" s="1542"/>
      <c r="AS120" s="1542"/>
    </row>
    <row r="121" spans="1:58" ht="20.100000000000001" customHeight="1">
      <c r="A121" s="225" t="s">
        <v>1340</v>
      </c>
      <c r="B121" s="274"/>
      <c r="C121" s="274"/>
      <c r="D121" s="274"/>
      <c r="E121" s="274"/>
      <c r="F121" s="274"/>
      <c r="G121" s="274"/>
      <c r="H121" s="274"/>
      <c r="I121" s="274"/>
      <c r="J121" s="274"/>
      <c r="K121" s="275"/>
      <c r="L121" s="222"/>
      <c r="M121" s="222"/>
      <c r="N121" s="222"/>
      <c r="O121" s="222"/>
      <c r="P121" s="222"/>
      <c r="Q121" s="222"/>
      <c r="R121" s="222"/>
      <c r="S121" s="222"/>
      <c r="T121" s="222"/>
      <c r="U121" s="222"/>
      <c r="V121" s="222"/>
      <c r="W121" s="222"/>
      <c r="X121" s="222"/>
      <c r="Y121" s="222"/>
      <c r="Z121" s="222"/>
      <c r="AA121" s="222"/>
      <c r="AB121" s="222"/>
      <c r="AC121" s="222"/>
      <c r="AD121" s="222"/>
      <c r="AE121" s="222"/>
      <c r="AF121" s="1500"/>
      <c r="AG121" s="1438" t="s">
        <v>1425</v>
      </c>
      <c r="AH121" s="1438"/>
      <c r="AI121" s="1438"/>
      <c r="AJ121" s="1438"/>
      <c r="AK121" s="1438"/>
      <c r="AL121" s="1438"/>
      <c r="AM121" s="1438"/>
      <c r="AN121" s="1438"/>
      <c r="AO121" s="1542" t="s">
        <v>1552</v>
      </c>
      <c r="AP121" s="1542"/>
      <c r="AQ121" s="1542"/>
      <c r="AR121" s="1542"/>
      <c r="AS121" s="1542"/>
    </row>
    <row r="122" spans="1:58" ht="20.100000000000001" customHeight="1">
      <c r="A122" s="55"/>
      <c r="B122" s="222"/>
      <c r="C122" s="1517" t="s">
        <v>1240</v>
      </c>
      <c r="D122" s="222"/>
      <c r="E122" s="1521" t="s">
        <v>2465</v>
      </c>
      <c r="F122" s="1521" t="s">
        <v>1338</v>
      </c>
      <c r="G122" s="1420"/>
      <c r="H122" s="1420"/>
      <c r="I122" s="1420" t="s">
        <v>1449</v>
      </c>
      <c r="J122" s="1420"/>
      <c r="K122" s="276"/>
      <c r="L122" s="222"/>
      <c r="M122" s="222"/>
      <c r="N122" s="222"/>
      <c r="O122" s="222"/>
      <c r="P122" s="222"/>
      <c r="Q122" s="222"/>
      <c r="R122" s="222"/>
      <c r="S122" s="222"/>
      <c r="T122" s="222"/>
      <c r="U122" s="222"/>
      <c r="V122" s="222"/>
      <c r="W122" s="222"/>
      <c r="X122" s="222"/>
      <c r="Y122" s="222"/>
      <c r="Z122" s="222"/>
      <c r="AA122" s="222"/>
      <c r="AB122" s="222"/>
      <c r="AC122" s="222"/>
      <c r="AD122" s="222"/>
      <c r="AE122" s="222"/>
      <c r="AF122" s="1500"/>
      <c r="AG122" s="1438" t="s">
        <v>1426</v>
      </c>
      <c r="AH122" s="1438"/>
      <c r="AI122" s="1438"/>
      <c r="AJ122" s="1438"/>
      <c r="AK122" s="1438"/>
      <c r="AL122" s="1438"/>
      <c r="AM122" s="1438"/>
      <c r="AN122" s="1438"/>
      <c r="AO122" s="1542" t="s">
        <v>1553</v>
      </c>
      <c r="AP122" s="1542"/>
      <c r="AQ122" s="1542"/>
      <c r="AR122" s="1542"/>
      <c r="AS122" s="1542"/>
    </row>
    <row r="123" spans="1:58" ht="20.100000000000001" customHeight="1">
      <c r="A123" s="55" t="s">
        <v>1352</v>
      </c>
      <c r="B123" s="222"/>
      <c r="C123" s="1425"/>
      <c r="D123" s="222"/>
      <c r="E123" s="1523"/>
      <c r="F123" s="1523"/>
      <c r="G123" s="380"/>
      <c r="H123" s="381"/>
      <c r="I123" s="1420"/>
      <c r="J123" s="1420"/>
      <c r="K123" s="276"/>
      <c r="L123" s="222"/>
      <c r="M123" s="222"/>
      <c r="N123" s="222"/>
      <c r="O123" s="222"/>
      <c r="P123" s="222"/>
      <c r="Q123" s="222"/>
      <c r="R123" s="222"/>
      <c r="S123" s="222"/>
      <c r="T123" s="222"/>
      <c r="U123" s="222"/>
      <c r="V123" s="222"/>
      <c r="W123" s="222"/>
      <c r="X123" s="222"/>
      <c r="Y123" s="222"/>
      <c r="Z123" s="222"/>
      <c r="AA123" s="222"/>
      <c r="AB123" s="222"/>
      <c r="AC123" s="222"/>
      <c r="AD123" s="222"/>
      <c r="AE123" s="222"/>
      <c r="AF123" s="537" t="s">
        <v>1229</v>
      </c>
      <c r="AG123" s="1438" t="s">
        <v>1427</v>
      </c>
      <c r="AH123" s="1438"/>
      <c r="AI123" s="1438"/>
      <c r="AJ123" s="1438"/>
      <c r="AK123" s="1438"/>
      <c r="AL123" s="1438"/>
      <c r="AM123" s="1438"/>
      <c r="AN123" s="1438"/>
      <c r="AO123" s="1542" t="s">
        <v>1554</v>
      </c>
      <c r="AP123" s="1542"/>
      <c r="AQ123" s="1542"/>
      <c r="AR123" s="1542"/>
      <c r="AS123" s="1542"/>
    </row>
    <row r="124" spans="1:58" ht="20.100000000000001" customHeight="1">
      <c r="A124" s="55">
        <v>2</v>
      </c>
      <c r="B124" s="222"/>
      <c r="C124" s="777">
        <v>0</v>
      </c>
      <c r="D124" s="381"/>
      <c r="E124" s="280"/>
      <c r="F124" s="280"/>
      <c r="G124" s="381"/>
      <c r="H124" s="381"/>
      <c r="I124" s="352">
        <v>2</v>
      </c>
      <c r="J124" s="352">
        <v>3</v>
      </c>
      <c r="K124" s="276"/>
      <c r="L124" s="222"/>
      <c r="M124" s="222"/>
      <c r="N124" s="222"/>
      <c r="O124" s="222"/>
      <c r="P124" s="222"/>
      <c r="Q124" s="222"/>
      <c r="R124" s="222"/>
      <c r="S124" s="222"/>
      <c r="T124" s="222"/>
      <c r="U124" s="222"/>
      <c r="V124" s="222"/>
      <c r="W124" s="222"/>
      <c r="X124" s="222"/>
      <c r="Y124" s="222"/>
      <c r="Z124" s="222"/>
      <c r="AA124" s="222"/>
      <c r="AB124" s="222"/>
      <c r="AC124" s="222"/>
      <c r="AD124" s="222"/>
      <c r="AE124" s="222"/>
      <c r="AF124" s="537" t="s">
        <v>1230</v>
      </c>
      <c r="AG124" s="1438" t="s">
        <v>1428</v>
      </c>
      <c r="AH124" s="1438"/>
      <c r="AI124" s="1438"/>
      <c r="AJ124" s="1438"/>
      <c r="AK124" s="1438"/>
      <c r="AL124" s="1438"/>
      <c r="AM124" s="1438"/>
      <c r="AN124" s="1438"/>
      <c r="AO124" s="1542" t="s">
        <v>1555</v>
      </c>
      <c r="AP124" s="1542"/>
      <c r="AQ124" s="1542"/>
      <c r="AR124" s="1542"/>
      <c r="AS124" s="1542"/>
    </row>
    <row r="125" spans="1:58" ht="20.100000000000001" customHeight="1">
      <c r="A125" s="55">
        <v>2</v>
      </c>
      <c r="B125" s="222"/>
      <c r="C125" s="777">
        <v>0</v>
      </c>
      <c r="D125" s="381"/>
      <c r="E125" s="280"/>
      <c r="F125" s="280"/>
      <c r="G125" s="381"/>
      <c r="H125" s="381"/>
      <c r="I125" s="352">
        <v>2</v>
      </c>
      <c r="J125" s="352">
        <v>3</v>
      </c>
      <c r="K125" s="276"/>
      <c r="L125" s="222"/>
      <c r="M125" s="222"/>
      <c r="N125" s="222"/>
      <c r="O125" s="222"/>
      <c r="P125" s="222"/>
      <c r="Q125" s="222"/>
      <c r="R125" s="222"/>
      <c r="S125" s="222"/>
      <c r="T125" s="222"/>
      <c r="U125" s="222"/>
      <c r="V125" s="222"/>
      <c r="W125" s="222"/>
      <c r="X125" s="222"/>
      <c r="Y125" s="222"/>
      <c r="Z125" s="222"/>
      <c r="AA125" s="222"/>
      <c r="AB125" s="222"/>
      <c r="AC125" s="222"/>
      <c r="AD125" s="222"/>
      <c r="AE125" s="222"/>
      <c r="AF125" s="537" t="s">
        <v>1231</v>
      </c>
      <c r="AG125" s="1438" t="s">
        <v>1429</v>
      </c>
      <c r="AH125" s="1438"/>
      <c r="AI125" s="1438"/>
      <c r="AJ125" s="1438"/>
      <c r="AK125" s="1438"/>
      <c r="AL125" s="1438"/>
      <c r="AM125" s="1438"/>
      <c r="AN125" s="1438"/>
      <c r="AO125" s="1542" t="s">
        <v>1556</v>
      </c>
      <c r="AP125" s="1542"/>
      <c r="AQ125" s="1542"/>
      <c r="AR125" s="1542"/>
      <c r="AS125" s="1542"/>
    </row>
    <row r="126" spans="1:58" ht="20.100000000000001" customHeight="1">
      <c r="A126" s="55">
        <v>2</v>
      </c>
      <c r="B126" s="222"/>
      <c r="C126" s="777">
        <v>0</v>
      </c>
      <c r="D126" s="381"/>
      <c r="E126" s="280"/>
      <c r="F126" s="280"/>
      <c r="G126" s="381"/>
      <c r="H126" s="381"/>
      <c r="I126" s="352">
        <v>2</v>
      </c>
      <c r="J126" s="352">
        <v>3</v>
      </c>
      <c r="K126" s="276"/>
      <c r="L126" s="222"/>
      <c r="M126" s="222"/>
      <c r="N126" s="222"/>
      <c r="O126" s="222"/>
      <c r="P126" s="222"/>
      <c r="Q126" s="222"/>
      <c r="R126" s="222"/>
      <c r="S126" s="222"/>
      <c r="T126" s="222"/>
      <c r="U126" s="222"/>
      <c r="V126" s="222"/>
      <c r="W126" s="222"/>
      <c r="X126" s="222"/>
      <c r="Y126" s="222"/>
      <c r="Z126" s="222"/>
      <c r="AA126" s="222"/>
      <c r="AB126" s="222"/>
      <c r="AC126" s="222"/>
      <c r="AD126" s="222"/>
      <c r="AE126" s="222"/>
      <c r="AF126" s="537" t="s">
        <v>1232</v>
      </c>
      <c r="AG126" s="1438" t="s">
        <v>1430</v>
      </c>
      <c r="AH126" s="1438"/>
      <c r="AI126" s="1438"/>
      <c r="AJ126" s="1438"/>
      <c r="AK126" s="1438"/>
      <c r="AL126" s="1438"/>
      <c r="AM126" s="1438"/>
      <c r="AN126" s="1438"/>
      <c r="AO126" s="1542" t="s">
        <v>1557</v>
      </c>
      <c r="AP126" s="1542"/>
      <c r="AQ126" s="1542"/>
      <c r="AR126" s="1542"/>
      <c r="AS126" s="1542"/>
    </row>
    <row r="127" spans="1:58" ht="20.100000000000001" customHeight="1">
      <c r="A127" s="55">
        <v>2</v>
      </c>
      <c r="B127" s="222"/>
      <c r="C127" s="777">
        <v>0</v>
      </c>
      <c r="D127" s="381"/>
      <c r="E127" s="280"/>
      <c r="F127" s="280"/>
      <c r="G127" s="381"/>
      <c r="H127" s="381"/>
      <c r="I127" s="352">
        <v>2</v>
      </c>
      <c r="J127" s="352">
        <v>3</v>
      </c>
      <c r="K127" s="276"/>
      <c r="L127" s="222"/>
      <c r="M127" s="222"/>
      <c r="N127" s="222"/>
      <c r="O127" s="222"/>
      <c r="P127" s="222"/>
      <c r="Q127" s="222"/>
      <c r="R127" s="222"/>
      <c r="S127" s="222"/>
      <c r="T127" s="222"/>
      <c r="U127" s="222"/>
      <c r="V127" s="222"/>
      <c r="W127" s="222"/>
      <c r="X127" s="222"/>
      <c r="Y127" s="222"/>
      <c r="Z127" s="222"/>
      <c r="AA127" s="222"/>
      <c r="AB127" s="222"/>
      <c r="AC127" s="222"/>
      <c r="AD127" s="222"/>
      <c r="AE127" s="222"/>
      <c r="AF127" s="537" t="s">
        <v>1233</v>
      </c>
      <c r="AG127" s="1438" t="s">
        <v>1431</v>
      </c>
      <c r="AH127" s="1438"/>
      <c r="AI127" s="1438"/>
      <c r="AJ127" s="1438"/>
      <c r="AK127" s="1438"/>
      <c r="AL127" s="1438"/>
      <c r="AM127" s="1438"/>
      <c r="AN127" s="1438"/>
      <c r="AO127" s="1542" t="s">
        <v>1558</v>
      </c>
      <c r="AP127" s="1542"/>
      <c r="AQ127" s="1542"/>
      <c r="AR127" s="1542"/>
      <c r="AS127" s="1542"/>
    </row>
    <row r="128" spans="1:58" ht="20.100000000000001" customHeight="1">
      <c r="A128" s="55">
        <v>2</v>
      </c>
      <c r="B128" s="222"/>
      <c r="C128" s="777">
        <v>0</v>
      </c>
      <c r="D128" s="381"/>
      <c r="E128" s="280"/>
      <c r="F128" s="280"/>
      <c r="G128" s="381"/>
      <c r="H128" s="381"/>
      <c r="I128" s="352">
        <v>2</v>
      </c>
      <c r="J128" s="352">
        <v>3</v>
      </c>
      <c r="K128" s="276"/>
      <c r="L128" s="222"/>
      <c r="M128" s="222"/>
      <c r="N128" s="222"/>
      <c r="O128" s="222"/>
      <c r="P128" s="222"/>
      <c r="Q128" s="222"/>
      <c r="R128" s="222"/>
      <c r="S128" s="222"/>
      <c r="T128" s="222"/>
      <c r="U128" s="222"/>
      <c r="V128" s="222"/>
      <c r="W128" s="222"/>
      <c r="X128" s="222"/>
      <c r="Y128" s="222"/>
      <c r="Z128" s="222"/>
      <c r="AA128" s="222"/>
      <c r="AB128" s="222"/>
      <c r="AC128" s="222"/>
      <c r="AD128" s="222"/>
      <c r="AE128" s="222"/>
    </row>
    <row r="129" spans="1:87" ht="20.100000000000001" customHeight="1">
      <c r="A129" s="55">
        <v>2</v>
      </c>
      <c r="B129" s="222"/>
      <c r="C129" s="777">
        <v>0</v>
      </c>
      <c r="D129" s="381"/>
      <c r="E129" s="280"/>
      <c r="F129" s="280"/>
      <c r="G129" s="381"/>
      <c r="H129" s="381"/>
      <c r="I129" s="352">
        <v>2</v>
      </c>
      <c r="J129" s="352">
        <v>3</v>
      </c>
      <c r="K129" s="276"/>
      <c r="L129" s="222"/>
      <c r="M129" s="222"/>
      <c r="N129" s="222"/>
      <c r="O129" s="222"/>
      <c r="P129" s="222"/>
      <c r="Q129" s="222"/>
      <c r="R129" s="222"/>
      <c r="S129" s="222"/>
      <c r="T129" s="222"/>
      <c r="U129" s="222"/>
      <c r="V129" s="222"/>
      <c r="W129" s="222"/>
      <c r="X129" s="222"/>
      <c r="Y129" s="222"/>
      <c r="Z129" s="222"/>
      <c r="AA129" s="222"/>
      <c r="AB129" s="222"/>
      <c r="AC129" s="222"/>
      <c r="AD129" s="222"/>
      <c r="AE129" s="222"/>
    </row>
    <row r="130" spans="1:87" ht="20.100000000000001" customHeight="1">
      <c r="A130" s="55"/>
      <c r="B130" s="222"/>
      <c r="C130" s="222"/>
      <c r="D130" s="381"/>
      <c r="E130" s="222"/>
      <c r="F130" s="222"/>
      <c r="G130" s="222"/>
      <c r="H130" s="222"/>
      <c r="I130" s="352"/>
      <c r="J130" s="352"/>
      <c r="K130" s="276"/>
      <c r="L130" s="222"/>
      <c r="M130" s="222"/>
      <c r="N130" s="222"/>
      <c r="O130" s="222"/>
      <c r="P130" s="222"/>
      <c r="Q130" s="222"/>
      <c r="R130" s="222"/>
      <c r="S130" s="222"/>
      <c r="T130" s="222"/>
      <c r="U130" s="222"/>
      <c r="V130" s="222"/>
      <c r="W130" s="222"/>
      <c r="X130" s="222"/>
      <c r="Y130" s="222"/>
      <c r="Z130" s="222"/>
      <c r="AA130" s="222"/>
      <c r="AB130" s="222"/>
      <c r="AC130" s="222"/>
      <c r="AD130" s="222"/>
      <c r="AE130" s="222"/>
      <c r="AF130" s="271" t="s">
        <v>1392</v>
      </c>
      <c r="BP130" s="17" t="s">
        <v>1754</v>
      </c>
      <c r="BQ130" s="17"/>
    </row>
    <row r="131" spans="1:87" ht="20.100000000000001" customHeight="1">
      <c r="A131" s="55"/>
      <c r="B131" s="222"/>
      <c r="C131" s="222"/>
      <c r="D131" s="222"/>
      <c r="E131" s="222"/>
      <c r="F131" s="222"/>
      <c r="G131" s="222"/>
      <c r="H131" s="222"/>
      <c r="I131" s="222"/>
      <c r="J131" s="222"/>
      <c r="K131" s="276"/>
      <c r="L131" s="222"/>
      <c r="M131" s="222"/>
      <c r="N131" s="222"/>
      <c r="O131" s="222"/>
      <c r="P131" s="222"/>
      <c r="Q131" s="222"/>
      <c r="R131" s="222"/>
      <c r="S131" s="222"/>
      <c r="T131" s="222"/>
      <c r="U131" s="222"/>
      <c r="V131" s="222"/>
      <c r="W131" s="222"/>
      <c r="X131" s="222"/>
      <c r="Y131" s="222"/>
      <c r="Z131" s="222"/>
      <c r="AA131" s="222"/>
      <c r="AB131" s="222"/>
      <c r="AC131" s="222"/>
      <c r="AD131" s="222"/>
      <c r="AE131" s="222"/>
      <c r="AF131" s="488" t="s">
        <v>1404</v>
      </c>
      <c r="AG131" s="1513" t="s">
        <v>1355</v>
      </c>
      <c r="AH131" s="1514"/>
      <c r="AI131" s="1514"/>
      <c r="AJ131" s="1515"/>
      <c r="AK131" s="262">
        <v>2021</v>
      </c>
      <c r="AL131" s="262">
        <f>AK131+1</f>
        <v>2022</v>
      </c>
      <c r="AM131" s="262">
        <f t="shared" ref="AM131:BN131" si="32">AL131+1</f>
        <v>2023</v>
      </c>
      <c r="AN131" s="262">
        <f t="shared" si="32"/>
        <v>2024</v>
      </c>
      <c r="AO131" s="262">
        <f t="shared" si="32"/>
        <v>2025</v>
      </c>
      <c r="AP131" s="262">
        <f t="shared" si="32"/>
        <v>2026</v>
      </c>
      <c r="AQ131" s="262">
        <f t="shared" si="32"/>
        <v>2027</v>
      </c>
      <c r="AR131" s="262">
        <f t="shared" si="32"/>
        <v>2028</v>
      </c>
      <c r="AS131" s="262">
        <f t="shared" si="32"/>
        <v>2029</v>
      </c>
      <c r="AT131" s="262">
        <f t="shared" si="32"/>
        <v>2030</v>
      </c>
      <c r="AU131" s="262">
        <f t="shared" si="32"/>
        <v>2031</v>
      </c>
      <c r="AV131" s="262">
        <f t="shared" si="32"/>
        <v>2032</v>
      </c>
      <c r="AW131" s="262">
        <f t="shared" si="32"/>
        <v>2033</v>
      </c>
      <c r="AX131" s="262">
        <f t="shared" si="32"/>
        <v>2034</v>
      </c>
      <c r="AY131" s="262">
        <f t="shared" si="32"/>
        <v>2035</v>
      </c>
      <c r="AZ131" s="262">
        <f t="shared" si="32"/>
        <v>2036</v>
      </c>
      <c r="BA131" s="262">
        <f t="shared" si="32"/>
        <v>2037</v>
      </c>
      <c r="BB131" s="262">
        <f t="shared" si="32"/>
        <v>2038</v>
      </c>
      <c r="BC131" s="262">
        <f t="shared" si="32"/>
        <v>2039</v>
      </c>
      <c r="BD131" s="262">
        <f t="shared" si="32"/>
        <v>2040</v>
      </c>
      <c r="BE131" s="262">
        <f t="shared" si="32"/>
        <v>2041</v>
      </c>
      <c r="BF131" s="262">
        <f t="shared" si="32"/>
        <v>2042</v>
      </c>
      <c r="BG131" s="262">
        <f t="shared" si="32"/>
        <v>2043</v>
      </c>
      <c r="BH131" s="262">
        <f t="shared" si="32"/>
        <v>2044</v>
      </c>
      <c r="BI131" s="262">
        <f t="shared" si="32"/>
        <v>2045</v>
      </c>
      <c r="BJ131" s="262">
        <f t="shared" si="32"/>
        <v>2046</v>
      </c>
      <c r="BK131" s="262">
        <f t="shared" si="32"/>
        <v>2047</v>
      </c>
      <c r="BL131" s="262">
        <f t="shared" si="32"/>
        <v>2048</v>
      </c>
      <c r="BM131" s="262">
        <f t="shared" si="32"/>
        <v>2049</v>
      </c>
      <c r="BN131" s="262">
        <f t="shared" si="32"/>
        <v>2050</v>
      </c>
      <c r="BP131" s="522"/>
      <c r="BQ131" s="523" t="s">
        <v>1591</v>
      </c>
    </row>
    <row r="132" spans="1:87" ht="20.100000000000001" customHeight="1">
      <c r="A132" s="225" t="s">
        <v>1453</v>
      </c>
      <c r="B132" s="274"/>
      <c r="C132" s="274"/>
      <c r="D132" s="274"/>
      <c r="E132" s="274"/>
      <c r="F132" s="274"/>
      <c r="G132" s="274"/>
      <c r="H132" s="274"/>
      <c r="I132" s="274"/>
      <c r="J132" s="274"/>
      <c r="K132" s="275"/>
      <c r="L132" s="222"/>
      <c r="M132" s="222"/>
      <c r="N132" s="222"/>
      <c r="O132" s="222"/>
      <c r="P132" s="222"/>
      <c r="Q132" s="222"/>
      <c r="R132" s="222"/>
      <c r="S132" s="222"/>
      <c r="T132" s="222"/>
      <c r="U132" s="222"/>
      <c r="V132" s="222"/>
      <c r="W132" s="222"/>
      <c r="X132" s="222"/>
      <c r="Y132" s="222"/>
      <c r="Z132" s="222"/>
      <c r="AA132" s="222"/>
      <c r="AB132" s="222"/>
      <c r="AC132" s="222"/>
      <c r="AD132" s="222"/>
      <c r="AE132" s="222"/>
      <c r="AF132" s="1501" t="s">
        <v>1403</v>
      </c>
      <c r="AG132" s="1513" t="s">
        <v>1228</v>
      </c>
      <c r="AH132" s="1514"/>
      <c r="AI132" s="1514"/>
      <c r="AJ132" s="1515"/>
      <c r="AK132" s="491">
        <v>0</v>
      </c>
      <c r="AL132" s="220">
        <f>IF((AL$131-2021)=START!$C$2,BUILDINGS!$B15,(100-INDEX('DEFAULT DATA'!$VO$9:$VQ$41,START!$C$3,1)+INDEX('DEFAULT DATA'!$WP$9:$WR$41,START!$C$3,1))/100*AK132)</f>
        <v>0</v>
      </c>
      <c r="AM132" s="220">
        <f>IF((AM$131-2021)=START!$C$2,BUILDINGS!$B15,(100-INDEX('DEFAULT DATA'!$VO$9:$VQ$41,START!$C$3,1)+INDEX('DEFAULT DATA'!$WP$9:$WR$41,START!$C$3,1))/100*AL132)</f>
        <v>262714</v>
      </c>
      <c r="AN132" s="220">
        <f>IF((AN$131-2021)=START!$C$2,BUILDINGS!$B15,(100-INDEX('DEFAULT DATA'!$VO$9:$VQ$41,START!$C$3,1)+INDEX('DEFAULT DATA'!$WP$9:$WR$41,START!$C$3,1))/100*AM132)</f>
        <v>262714</v>
      </c>
      <c r="AO132" s="220">
        <f>IF((AO$131-2021)=START!$C$2,BUILDINGS!$B15,(100-INDEX('DEFAULT DATA'!$VO$9:$VQ$41,START!$C$3,1)+INDEX('DEFAULT DATA'!$WP$9:$WR$41,START!$C$3,1))/100*AN132)</f>
        <v>262714</v>
      </c>
      <c r="AP132" s="220">
        <f>IF((AP$131-2021)=START!$C$2,BUILDINGS!$B15,(100-INDEX('DEFAULT DATA'!$VO$9:$VQ$41,START!$C$3,1)+INDEX('DEFAULT DATA'!$WP$9:$WR$41,START!$C$3,1))/100*AO132)</f>
        <v>262714</v>
      </c>
      <c r="AQ132" s="220">
        <f>IF((AQ$131-2021)=START!$C$2,BUILDINGS!$B15,(100-INDEX('DEFAULT DATA'!$VO$9:$VQ$41,START!$C$3,1)+INDEX('DEFAULT DATA'!$WP$9:$WR$41,START!$C$3,1))/100*AP132)</f>
        <v>262714</v>
      </c>
      <c r="AR132" s="220">
        <f>IF((AR$131-2021)=START!$C$2,BUILDINGS!$B15,(100-INDEX('DEFAULT DATA'!$VO$9:$VQ$41,START!$C$3,1)+INDEX('DEFAULT DATA'!$WP$9:$WR$41,START!$C$3,1))/100*AQ132)</f>
        <v>262714</v>
      </c>
      <c r="AS132" s="220">
        <f>IF((AS$131-2021)=START!$C$2,BUILDINGS!$B15,(100-INDEX('DEFAULT DATA'!$VO$9:$VQ$41,START!$C$3,1)+INDEX('DEFAULT DATA'!$WP$9:$WR$41,START!$C$3,1))/100*AR132)</f>
        <v>262714</v>
      </c>
      <c r="AT132" s="220">
        <f>IF((AT$131-2021)=START!$C$2,BUILDINGS!$B15,(100-INDEX('DEFAULT DATA'!$VO$9:$VQ$41,START!$C$3,1)+INDEX('DEFAULT DATA'!$WP$9:$WR$41,START!$C$3,1))/100*AS132)</f>
        <v>262714</v>
      </c>
      <c r="AU132" s="220">
        <f>IF((AU$131-2021)=START!$C$2,BUILDINGS!$B15,(100-INDEX('DEFAULT DATA'!$VO$9:$VQ$41,START!$C$3,1)+INDEX('DEFAULT DATA'!$WP$9:$WR$41,START!$C$3,1))/100*AT132)</f>
        <v>262714</v>
      </c>
      <c r="AV132" s="220">
        <f>IF((AV$131-2021)=START!$C$2,BUILDINGS!$B15,(100-INDEX('DEFAULT DATA'!$VO$9:$VQ$41,START!$C$3,1)+INDEX('DEFAULT DATA'!$WP$9:$WR$41,START!$C$3,1))/100*AU132)</f>
        <v>262714</v>
      </c>
      <c r="AW132" s="220">
        <f>IF((AW$131-2021)=START!$C$2,BUILDINGS!$B15,(100-INDEX('DEFAULT DATA'!$VO$9:$VQ$41,START!$C$3,1)+INDEX('DEFAULT DATA'!$WP$9:$WR$41,START!$C$3,1))/100*AV132)</f>
        <v>262714</v>
      </c>
      <c r="AX132" s="220">
        <f>IF((AX$131-2021)=START!$C$2,BUILDINGS!$B15,(100-INDEX('DEFAULT DATA'!$VO$9:$VQ$41,START!$C$3,1)+INDEX('DEFAULT DATA'!$WP$9:$WR$41,START!$C$3,1))/100*AW132)</f>
        <v>262714</v>
      </c>
      <c r="AY132" s="220">
        <f>IF((AY$131-2021)=START!$C$2,BUILDINGS!$B15,(100-INDEX('DEFAULT DATA'!$VO$9:$VQ$41,START!$C$3,1)+INDEX('DEFAULT DATA'!$WP$9:$WR$41,START!$C$3,1))/100*AX132)</f>
        <v>262714</v>
      </c>
      <c r="AZ132" s="220">
        <f>IF((AZ$131-2021)=START!$C$2,BUILDINGS!$B15,(100-INDEX('DEFAULT DATA'!$VO$9:$VQ$41,START!$C$3,1)+INDEX('DEFAULT DATA'!$WP$9:$WR$41,START!$C$3,1))/100*AY132)</f>
        <v>262714</v>
      </c>
      <c r="BA132" s="220">
        <f>IF((BA$131-2021)=START!$C$2,BUILDINGS!$B15,(100-INDEX('DEFAULT DATA'!$VO$9:$VQ$41,START!$C$3,1)+INDEX('DEFAULT DATA'!$WP$9:$WR$41,START!$C$3,1))/100*AZ132)</f>
        <v>262714</v>
      </c>
      <c r="BB132" s="220">
        <f>IF((BB$131-2021)=START!$C$2,BUILDINGS!$B15,(100-INDEX('DEFAULT DATA'!$VO$9:$VQ$41,START!$C$3,1)+INDEX('DEFAULT DATA'!$WP$9:$WR$41,START!$C$3,1))/100*BA132)</f>
        <v>262714</v>
      </c>
      <c r="BC132" s="220">
        <f>IF((BC$131-2021)=START!$C$2,BUILDINGS!$B15,(100-INDEX('DEFAULT DATA'!$VO$9:$VQ$41,START!$C$3,1)+INDEX('DEFAULT DATA'!$WP$9:$WR$41,START!$C$3,1))/100*BB132)</f>
        <v>262714</v>
      </c>
      <c r="BD132" s="220">
        <f>IF((BD$131-2021)=START!$C$2,BUILDINGS!$B15,(100-INDEX('DEFAULT DATA'!$VO$9:$VQ$41,START!$C$3,1)+INDEX('DEFAULT DATA'!$WP$9:$WR$41,START!$C$3,1))/100*BC132)</f>
        <v>262714</v>
      </c>
      <c r="BE132" s="220">
        <f>IF((BE$131-2021)=START!$C$2,BUILDINGS!$B15,(100-INDEX('DEFAULT DATA'!$VO$9:$VQ$41,START!$C$3,1)+INDEX('DEFAULT DATA'!$WP$9:$WR$41,START!$C$3,1))/100*BD132)</f>
        <v>262714</v>
      </c>
      <c r="BF132" s="220">
        <f>IF((BF$131-2021)=START!$C$2,BUILDINGS!$B15,(100-INDEX('DEFAULT DATA'!$VO$9:$VQ$41,START!$C$3,1)+INDEX('DEFAULT DATA'!$WP$9:$WR$41,START!$C$3,1))/100*BE132)</f>
        <v>262714</v>
      </c>
      <c r="BG132" s="220">
        <f>IF((BG$131-2021)=START!$C$2,BUILDINGS!$B15,(100-INDEX('DEFAULT DATA'!$VO$9:$VQ$41,START!$C$3,1)+INDEX('DEFAULT DATA'!$WP$9:$WR$41,START!$C$3,1))/100*BF132)</f>
        <v>262714</v>
      </c>
      <c r="BH132" s="220">
        <f>IF((BH$131-2021)=START!$C$2,BUILDINGS!$B15,(100-INDEX('DEFAULT DATA'!$VO$9:$VQ$41,START!$C$3,1)+INDEX('DEFAULT DATA'!$WP$9:$WR$41,START!$C$3,1))/100*BG132)</f>
        <v>262714</v>
      </c>
      <c r="BI132" s="220">
        <f>IF((BI$131-2021)=START!$C$2,BUILDINGS!$B15,(100-INDEX('DEFAULT DATA'!$VO$9:$VQ$41,START!$C$3,1)+INDEX('DEFAULT DATA'!$WP$9:$WR$41,START!$C$3,1))/100*BH132)</f>
        <v>262714</v>
      </c>
      <c r="BJ132" s="220">
        <f>IF((BJ$131-2021)=START!$C$2,BUILDINGS!$B15,(100-INDEX('DEFAULT DATA'!$VO$9:$VQ$41,START!$C$3,1)+INDEX('DEFAULT DATA'!$WP$9:$WR$41,START!$C$3,1))/100*BI132)</f>
        <v>262714</v>
      </c>
      <c r="BK132" s="220">
        <f>IF((BK$131-2021)=START!$C$2,BUILDINGS!$B15,(100-INDEX('DEFAULT DATA'!$VO$9:$VQ$41,START!$C$3,1)+INDEX('DEFAULT DATA'!$WP$9:$WR$41,START!$C$3,1))/100*BJ132)</f>
        <v>262714</v>
      </c>
      <c r="BL132" s="220">
        <f>IF((BL$131-2021)=START!$C$2,BUILDINGS!$B15,(100-INDEX('DEFAULT DATA'!$VO$9:$VQ$41,START!$C$3,1)+INDEX('DEFAULT DATA'!$WP$9:$WR$41,START!$C$3,1))/100*BK132)</f>
        <v>262714</v>
      </c>
      <c r="BM132" s="220">
        <f>IF((BM$131-2021)=START!$C$2,BUILDINGS!$B15,(100-INDEX('DEFAULT DATA'!$VO$9:$VQ$41,START!$C$3,1)+INDEX('DEFAULT DATA'!$WP$9:$WR$41,START!$C$3,1))/100*BL132)</f>
        <v>262714</v>
      </c>
      <c r="BN132" s="220">
        <f>IF((BN$131-2021)=START!$C$2,BUILDINGS!$B15,(100-INDEX('DEFAULT DATA'!$VO$9:$VQ$41,START!$C$3,1)+INDEX('DEFAULT DATA'!$WP$9:$WR$41,START!$C$3,1))/100*BM132)</f>
        <v>262714</v>
      </c>
      <c r="BP132" s="524" t="s">
        <v>1755</v>
      </c>
      <c r="BQ132" s="521"/>
      <c r="BT132" s="394" t="s">
        <v>1761</v>
      </c>
      <c r="BU132" s="17" t="s">
        <v>1764</v>
      </c>
    </row>
    <row r="133" spans="1:87" ht="20.100000000000001" customHeight="1">
      <c r="A133" s="55"/>
      <c r="B133" s="222"/>
      <c r="C133" s="222"/>
      <c r="D133" s="222"/>
      <c r="E133" s="222"/>
      <c r="F133" s="29"/>
      <c r="G133" s="29"/>
      <c r="H133" s="222"/>
      <c r="I133" s="1517" t="s">
        <v>1452</v>
      </c>
      <c r="J133" s="1517"/>
      <c r="K133" s="276"/>
      <c r="L133" s="222"/>
      <c r="M133" s="222"/>
      <c r="N133" s="222"/>
      <c r="O133" s="222"/>
      <c r="P133" s="222"/>
      <c r="Q133" s="222"/>
      <c r="R133" s="222"/>
      <c r="S133" s="222"/>
      <c r="T133" s="222"/>
      <c r="U133" s="222"/>
      <c r="V133" s="222"/>
      <c r="W133" s="222"/>
      <c r="X133" s="222"/>
      <c r="Y133" s="222"/>
      <c r="Z133" s="222"/>
      <c r="AA133" s="222"/>
      <c r="AB133" s="222"/>
      <c r="AC133" s="222"/>
      <c r="AD133" s="222"/>
      <c r="AE133" s="222"/>
      <c r="AF133" s="1502"/>
      <c r="AG133" s="1513" t="s">
        <v>1229</v>
      </c>
      <c r="AH133" s="1514"/>
      <c r="AI133" s="1514"/>
      <c r="AJ133" s="1515"/>
      <c r="AK133" s="491">
        <v>0</v>
      </c>
      <c r="AL133" s="220">
        <f>IF((AL$131-2021)=START!$C$2,BUILDINGS!$B16,(100-INDEX('DEFAULT DATA'!$VO$9:$VQ$41,START!$C$3,1)+INDEX('DEFAULT DATA'!$WP$9:$WR$41,START!$C$3,1))/100*AK133)</f>
        <v>0</v>
      </c>
      <c r="AM133" s="220">
        <f>IF((AM$131-2021)=START!$C$2,BUILDINGS!$B16,(100-INDEX('DEFAULT DATA'!$VO$9:$VQ$41,START!$C$3,1)+INDEX('DEFAULT DATA'!$WP$9:$WR$41,START!$C$3,1))/100*AL133)</f>
        <v>31619</v>
      </c>
      <c r="AN133" s="220">
        <f>IF((AN$131-2021)=START!$C$2,BUILDINGS!$B16,(100-INDEX('DEFAULT DATA'!$VO$9:$VQ$41,START!$C$3,1)+INDEX('DEFAULT DATA'!$WP$9:$WR$41,START!$C$3,1))/100*AM133)</f>
        <v>31619</v>
      </c>
      <c r="AO133" s="220">
        <f>IF((AO$131-2021)=START!$C$2,BUILDINGS!$B16,(100-INDEX('DEFAULT DATA'!$VO$9:$VQ$41,START!$C$3,1)+INDEX('DEFAULT DATA'!$WP$9:$WR$41,START!$C$3,1))/100*AN133)</f>
        <v>31619</v>
      </c>
      <c r="AP133" s="220">
        <f>IF((AP$131-2021)=START!$C$2,BUILDINGS!$B16,(100-INDEX('DEFAULT DATA'!$VO$9:$VQ$41,START!$C$3,1)+INDEX('DEFAULT DATA'!$WP$9:$WR$41,START!$C$3,1))/100*AO133)</f>
        <v>31619</v>
      </c>
      <c r="AQ133" s="220">
        <f>IF((AQ$131-2021)=START!$C$2,BUILDINGS!$B16,(100-INDEX('DEFAULT DATA'!$VO$9:$VQ$41,START!$C$3,1)+INDEX('DEFAULT DATA'!$WP$9:$WR$41,START!$C$3,1))/100*AP133)</f>
        <v>31619</v>
      </c>
      <c r="AR133" s="220">
        <f>IF((AR$131-2021)=START!$C$2,BUILDINGS!$B16,(100-INDEX('DEFAULT DATA'!$VO$9:$VQ$41,START!$C$3,1)+INDEX('DEFAULT DATA'!$WP$9:$WR$41,START!$C$3,1))/100*AQ133)</f>
        <v>31619</v>
      </c>
      <c r="AS133" s="220">
        <f>IF((AS$131-2021)=START!$C$2,BUILDINGS!$B16,(100-INDEX('DEFAULT DATA'!$VO$9:$VQ$41,START!$C$3,1)+INDEX('DEFAULT DATA'!$WP$9:$WR$41,START!$C$3,1))/100*AR133)</f>
        <v>31619</v>
      </c>
      <c r="AT133" s="220">
        <f>IF((AT$131-2021)=START!$C$2,BUILDINGS!$B16,(100-INDEX('DEFAULT DATA'!$VO$9:$VQ$41,START!$C$3,1)+INDEX('DEFAULT DATA'!$WP$9:$WR$41,START!$C$3,1))/100*AS133)</f>
        <v>31619</v>
      </c>
      <c r="AU133" s="220">
        <f>IF((AU$131-2021)=START!$C$2,BUILDINGS!$B16,(100-INDEX('DEFAULT DATA'!$VO$9:$VQ$41,START!$C$3,1)+INDEX('DEFAULT DATA'!$WP$9:$WR$41,START!$C$3,1))/100*AT133)</f>
        <v>31619</v>
      </c>
      <c r="AV133" s="220">
        <f>IF((AV$131-2021)=START!$C$2,BUILDINGS!$B16,(100-INDEX('DEFAULT DATA'!$VO$9:$VQ$41,START!$C$3,1)+INDEX('DEFAULT DATA'!$WP$9:$WR$41,START!$C$3,1))/100*AU133)</f>
        <v>31619</v>
      </c>
      <c r="AW133" s="220">
        <f>IF((AW$131-2021)=START!$C$2,BUILDINGS!$B16,(100-INDEX('DEFAULT DATA'!$VO$9:$VQ$41,START!$C$3,1)+INDEX('DEFAULT DATA'!$WP$9:$WR$41,START!$C$3,1))/100*AV133)</f>
        <v>31619</v>
      </c>
      <c r="AX133" s="220">
        <f>IF((AX$131-2021)=START!$C$2,BUILDINGS!$B16,(100-INDEX('DEFAULT DATA'!$VO$9:$VQ$41,START!$C$3,1)+INDEX('DEFAULT DATA'!$WP$9:$WR$41,START!$C$3,1))/100*AW133)</f>
        <v>31619</v>
      </c>
      <c r="AY133" s="220">
        <f>IF((AY$131-2021)=START!$C$2,BUILDINGS!$B16,(100-INDEX('DEFAULT DATA'!$VO$9:$VQ$41,START!$C$3,1)+INDEX('DEFAULT DATA'!$WP$9:$WR$41,START!$C$3,1))/100*AX133)</f>
        <v>31619</v>
      </c>
      <c r="AZ133" s="220">
        <f>IF((AZ$131-2021)=START!$C$2,BUILDINGS!$B16,(100-INDEX('DEFAULT DATA'!$VO$9:$VQ$41,START!$C$3,1)+INDEX('DEFAULT DATA'!$WP$9:$WR$41,START!$C$3,1))/100*AY133)</f>
        <v>31619</v>
      </c>
      <c r="BA133" s="220">
        <f>IF((BA$131-2021)=START!$C$2,BUILDINGS!$B16,(100-INDEX('DEFAULT DATA'!$VO$9:$VQ$41,START!$C$3,1)+INDEX('DEFAULT DATA'!$WP$9:$WR$41,START!$C$3,1))/100*AZ133)</f>
        <v>31619</v>
      </c>
      <c r="BB133" s="220">
        <f>IF((BB$131-2021)=START!$C$2,BUILDINGS!$B16,(100-INDEX('DEFAULT DATA'!$VO$9:$VQ$41,START!$C$3,1)+INDEX('DEFAULT DATA'!$WP$9:$WR$41,START!$C$3,1))/100*BA133)</f>
        <v>31619</v>
      </c>
      <c r="BC133" s="220">
        <f>IF((BC$131-2021)=START!$C$2,BUILDINGS!$B16,(100-INDEX('DEFAULT DATA'!$VO$9:$VQ$41,START!$C$3,1)+INDEX('DEFAULT DATA'!$WP$9:$WR$41,START!$C$3,1))/100*BB133)</f>
        <v>31619</v>
      </c>
      <c r="BD133" s="220">
        <f>IF((BD$131-2021)=START!$C$2,BUILDINGS!$B16,(100-INDEX('DEFAULT DATA'!$VO$9:$VQ$41,START!$C$3,1)+INDEX('DEFAULT DATA'!$WP$9:$WR$41,START!$C$3,1))/100*BC133)</f>
        <v>31619</v>
      </c>
      <c r="BE133" s="220">
        <f>IF((BE$131-2021)=START!$C$2,BUILDINGS!$B16,(100-INDEX('DEFAULT DATA'!$VO$9:$VQ$41,START!$C$3,1)+INDEX('DEFAULT DATA'!$WP$9:$WR$41,START!$C$3,1))/100*BD133)</f>
        <v>31619</v>
      </c>
      <c r="BF133" s="220">
        <f>IF((BF$131-2021)=START!$C$2,BUILDINGS!$B16,(100-INDEX('DEFAULT DATA'!$VO$9:$VQ$41,START!$C$3,1)+INDEX('DEFAULT DATA'!$WP$9:$WR$41,START!$C$3,1))/100*BE133)</f>
        <v>31619</v>
      </c>
      <c r="BG133" s="220">
        <f>IF((BG$131-2021)=START!$C$2,BUILDINGS!$B16,(100-INDEX('DEFAULT DATA'!$VO$9:$VQ$41,START!$C$3,1)+INDEX('DEFAULT DATA'!$WP$9:$WR$41,START!$C$3,1))/100*BF133)</f>
        <v>31619</v>
      </c>
      <c r="BH133" s="220">
        <f>IF((BH$131-2021)=START!$C$2,BUILDINGS!$B16,(100-INDEX('DEFAULT DATA'!$VO$9:$VQ$41,START!$C$3,1)+INDEX('DEFAULT DATA'!$WP$9:$WR$41,START!$C$3,1))/100*BG133)</f>
        <v>31619</v>
      </c>
      <c r="BI133" s="220">
        <f>IF((BI$131-2021)=START!$C$2,BUILDINGS!$B16,(100-INDEX('DEFAULT DATA'!$VO$9:$VQ$41,START!$C$3,1)+INDEX('DEFAULT DATA'!$WP$9:$WR$41,START!$C$3,1))/100*BH133)</f>
        <v>31619</v>
      </c>
      <c r="BJ133" s="220">
        <f>IF((BJ$131-2021)=START!$C$2,BUILDINGS!$B16,(100-INDEX('DEFAULT DATA'!$VO$9:$VQ$41,START!$C$3,1)+INDEX('DEFAULT DATA'!$WP$9:$WR$41,START!$C$3,1))/100*BI133)</f>
        <v>31619</v>
      </c>
      <c r="BK133" s="220">
        <f>IF((BK$131-2021)=START!$C$2,BUILDINGS!$B16,(100-INDEX('DEFAULT DATA'!$VO$9:$VQ$41,START!$C$3,1)+INDEX('DEFAULT DATA'!$WP$9:$WR$41,START!$C$3,1))/100*BJ133)</f>
        <v>31619</v>
      </c>
      <c r="BL133" s="220">
        <f>IF((BL$131-2021)=START!$C$2,BUILDINGS!$B16,(100-INDEX('DEFAULT DATA'!$VO$9:$VQ$41,START!$C$3,1)+INDEX('DEFAULT DATA'!$WP$9:$WR$41,START!$C$3,1))/100*BK133)</f>
        <v>31619</v>
      </c>
      <c r="BM133" s="220">
        <f>IF((BM$131-2021)=START!$C$2,BUILDINGS!$B16,(100-INDEX('DEFAULT DATA'!$VO$9:$VQ$41,START!$C$3,1)+INDEX('DEFAULT DATA'!$WP$9:$WR$41,START!$C$3,1))/100*BL133)</f>
        <v>31619</v>
      </c>
      <c r="BN133" s="220">
        <f>IF((BN$131-2021)=START!$C$2,BUILDINGS!$B16,(100-INDEX('DEFAULT DATA'!$VO$9:$VQ$41,START!$C$3,1)+INDEX('DEFAULT DATA'!$WP$9:$WR$41,START!$C$3,1))/100*BM133)</f>
        <v>31619</v>
      </c>
      <c r="BP133" s="524" t="s">
        <v>1756</v>
      </c>
      <c r="BQ133" s="521"/>
      <c r="BT133" s="394" t="s">
        <v>1762</v>
      </c>
      <c r="BU133" s="17" t="s">
        <v>1765</v>
      </c>
    </row>
    <row r="134" spans="1:87" ht="20.100000000000001" customHeight="1">
      <c r="A134" s="283" t="s">
        <v>1436</v>
      </c>
      <c r="B134" s="222"/>
      <c r="C134" s="381" t="s">
        <v>1437</v>
      </c>
      <c r="D134" s="222"/>
      <c r="E134" s="381" t="s">
        <v>1443</v>
      </c>
      <c r="F134" s="29"/>
      <c r="G134" s="29"/>
      <c r="H134" s="222"/>
      <c r="I134" s="1420"/>
      <c r="J134" s="1420"/>
      <c r="K134" s="276"/>
      <c r="L134" s="222"/>
      <c r="M134" s="222"/>
      <c r="N134" s="222"/>
      <c r="O134" s="222"/>
      <c r="P134" s="222"/>
      <c r="Q134" s="222"/>
      <c r="R134" s="222"/>
      <c r="S134" s="222"/>
      <c r="T134" s="222"/>
      <c r="U134" s="222"/>
      <c r="V134" s="222"/>
      <c r="W134" s="222"/>
      <c r="X134" s="222"/>
      <c r="Y134" s="222"/>
      <c r="Z134" s="222"/>
      <c r="AA134" s="222"/>
      <c r="AB134" s="222"/>
      <c r="AC134" s="222"/>
      <c r="AD134" s="222"/>
      <c r="AE134" s="222"/>
      <c r="AF134" s="1502"/>
      <c r="AG134" s="1513" t="s">
        <v>1230</v>
      </c>
      <c r="AH134" s="1514"/>
      <c r="AI134" s="1514"/>
      <c r="AJ134" s="1515"/>
      <c r="AK134" s="491">
        <v>0</v>
      </c>
      <c r="AL134" s="220">
        <f>IF((AL$131-2021)=START!$C$2,BUILDINGS!$B17,(100-INDEX('DEFAULT DATA'!$VO$9:$VQ$41,START!$C$3,1)+INDEX('DEFAULT DATA'!$WP$9:$WR$41,START!$C$3,1))/100*AK134)</f>
        <v>0</v>
      </c>
      <c r="AM134" s="220">
        <f>IF((AM$131-2021)=START!$C$2,BUILDINGS!$B17,(100-INDEX('DEFAULT DATA'!$VO$9:$VQ$41,START!$C$3,1)+INDEX('DEFAULT DATA'!$WP$9:$WR$41,START!$C$3,1))/100*AL134)</f>
        <v>317908</v>
      </c>
      <c r="AN134" s="220">
        <f>IF((AN$131-2021)=START!$C$2,BUILDINGS!$B17,(100-INDEX('DEFAULT DATA'!$VO$9:$VQ$41,START!$C$3,1)+INDEX('DEFAULT DATA'!$WP$9:$WR$41,START!$C$3,1))/100*AM134)</f>
        <v>317908</v>
      </c>
      <c r="AO134" s="220">
        <f>IF((AO$131-2021)=START!$C$2,BUILDINGS!$B17,(100-INDEX('DEFAULT DATA'!$VO$9:$VQ$41,START!$C$3,1)+INDEX('DEFAULT DATA'!$WP$9:$WR$41,START!$C$3,1))/100*AN134)</f>
        <v>317908</v>
      </c>
      <c r="AP134" s="220">
        <f>IF((AP$131-2021)=START!$C$2,BUILDINGS!$B17,(100-INDEX('DEFAULT DATA'!$VO$9:$VQ$41,START!$C$3,1)+INDEX('DEFAULT DATA'!$WP$9:$WR$41,START!$C$3,1))/100*AO134)</f>
        <v>317908</v>
      </c>
      <c r="AQ134" s="220">
        <f>IF((AQ$131-2021)=START!$C$2,BUILDINGS!$B17,(100-INDEX('DEFAULT DATA'!$VO$9:$VQ$41,START!$C$3,1)+INDEX('DEFAULT DATA'!$WP$9:$WR$41,START!$C$3,1))/100*AP134)</f>
        <v>317908</v>
      </c>
      <c r="AR134" s="220">
        <f>IF((AR$131-2021)=START!$C$2,BUILDINGS!$B17,(100-INDEX('DEFAULT DATA'!$VO$9:$VQ$41,START!$C$3,1)+INDEX('DEFAULT DATA'!$WP$9:$WR$41,START!$C$3,1))/100*AQ134)</f>
        <v>317908</v>
      </c>
      <c r="AS134" s="220">
        <f>IF((AS$131-2021)=START!$C$2,BUILDINGS!$B17,(100-INDEX('DEFAULT DATA'!$VO$9:$VQ$41,START!$C$3,1)+INDEX('DEFAULT DATA'!$WP$9:$WR$41,START!$C$3,1))/100*AR134)</f>
        <v>317908</v>
      </c>
      <c r="AT134" s="220">
        <f>IF((AT$131-2021)=START!$C$2,BUILDINGS!$B17,(100-INDEX('DEFAULT DATA'!$VO$9:$VQ$41,START!$C$3,1)+INDEX('DEFAULT DATA'!$WP$9:$WR$41,START!$C$3,1))/100*AS134)</f>
        <v>317908</v>
      </c>
      <c r="AU134" s="220">
        <f>IF((AU$131-2021)=START!$C$2,BUILDINGS!$B17,(100-INDEX('DEFAULT DATA'!$VO$9:$VQ$41,START!$C$3,1)+INDEX('DEFAULT DATA'!$WP$9:$WR$41,START!$C$3,1))/100*AT134)</f>
        <v>317908</v>
      </c>
      <c r="AV134" s="220">
        <f>IF((AV$131-2021)=START!$C$2,BUILDINGS!$B17,(100-INDEX('DEFAULT DATA'!$VO$9:$VQ$41,START!$C$3,1)+INDEX('DEFAULT DATA'!$WP$9:$WR$41,START!$C$3,1))/100*AU134)</f>
        <v>317908</v>
      </c>
      <c r="AW134" s="220">
        <f>IF((AW$131-2021)=START!$C$2,BUILDINGS!$B17,(100-INDEX('DEFAULT DATA'!$VO$9:$VQ$41,START!$C$3,1)+INDEX('DEFAULT DATA'!$WP$9:$WR$41,START!$C$3,1))/100*AV134)</f>
        <v>317908</v>
      </c>
      <c r="AX134" s="220">
        <f>IF((AX$131-2021)=START!$C$2,BUILDINGS!$B17,(100-INDEX('DEFAULT DATA'!$VO$9:$VQ$41,START!$C$3,1)+INDEX('DEFAULT DATA'!$WP$9:$WR$41,START!$C$3,1))/100*AW134)</f>
        <v>317908</v>
      </c>
      <c r="AY134" s="220">
        <f>IF((AY$131-2021)=START!$C$2,BUILDINGS!$B17,(100-INDEX('DEFAULT DATA'!$VO$9:$VQ$41,START!$C$3,1)+INDEX('DEFAULT DATA'!$WP$9:$WR$41,START!$C$3,1))/100*AX134)</f>
        <v>317908</v>
      </c>
      <c r="AZ134" s="220">
        <f>IF((AZ$131-2021)=START!$C$2,BUILDINGS!$B17,(100-INDEX('DEFAULT DATA'!$VO$9:$VQ$41,START!$C$3,1)+INDEX('DEFAULT DATA'!$WP$9:$WR$41,START!$C$3,1))/100*AY134)</f>
        <v>317908</v>
      </c>
      <c r="BA134" s="220">
        <f>IF((BA$131-2021)=START!$C$2,BUILDINGS!$B17,(100-INDEX('DEFAULT DATA'!$VO$9:$VQ$41,START!$C$3,1)+INDEX('DEFAULT DATA'!$WP$9:$WR$41,START!$C$3,1))/100*AZ134)</f>
        <v>317908</v>
      </c>
      <c r="BB134" s="220">
        <f>IF((BB$131-2021)=START!$C$2,BUILDINGS!$B17,(100-INDEX('DEFAULT DATA'!$VO$9:$VQ$41,START!$C$3,1)+INDEX('DEFAULT DATA'!$WP$9:$WR$41,START!$C$3,1))/100*BA134)</f>
        <v>317908</v>
      </c>
      <c r="BC134" s="220">
        <f>IF((BC$131-2021)=START!$C$2,BUILDINGS!$B17,(100-INDEX('DEFAULT DATA'!$VO$9:$VQ$41,START!$C$3,1)+INDEX('DEFAULT DATA'!$WP$9:$WR$41,START!$C$3,1))/100*BB134)</f>
        <v>317908</v>
      </c>
      <c r="BD134" s="220">
        <f>IF((BD$131-2021)=START!$C$2,BUILDINGS!$B17,(100-INDEX('DEFAULT DATA'!$VO$9:$VQ$41,START!$C$3,1)+INDEX('DEFAULT DATA'!$WP$9:$WR$41,START!$C$3,1))/100*BC134)</f>
        <v>317908</v>
      </c>
      <c r="BE134" s="220">
        <f>IF((BE$131-2021)=START!$C$2,BUILDINGS!$B17,(100-INDEX('DEFAULT DATA'!$VO$9:$VQ$41,START!$C$3,1)+INDEX('DEFAULT DATA'!$WP$9:$WR$41,START!$C$3,1))/100*BD134)</f>
        <v>317908</v>
      </c>
      <c r="BF134" s="220">
        <f>IF((BF$131-2021)=START!$C$2,BUILDINGS!$B17,(100-INDEX('DEFAULT DATA'!$VO$9:$VQ$41,START!$C$3,1)+INDEX('DEFAULT DATA'!$WP$9:$WR$41,START!$C$3,1))/100*BE134)</f>
        <v>317908</v>
      </c>
      <c r="BG134" s="220">
        <f>IF((BG$131-2021)=START!$C$2,BUILDINGS!$B17,(100-INDEX('DEFAULT DATA'!$VO$9:$VQ$41,START!$C$3,1)+INDEX('DEFAULT DATA'!$WP$9:$WR$41,START!$C$3,1))/100*BF134)</f>
        <v>317908</v>
      </c>
      <c r="BH134" s="220">
        <f>IF((BH$131-2021)=START!$C$2,BUILDINGS!$B17,(100-INDEX('DEFAULT DATA'!$VO$9:$VQ$41,START!$C$3,1)+INDEX('DEFAULT DATA'!$WP$9:$WR$41,START!$C$3,1))/100*BG134)</f>
        <v>317908</v>
      </c>
      <c r="BI134" s="220">
        <f>IF((BI$131-2021)=START!$C$2,BUILDINGS!$B17,(100-INDEX('DEFAULT DATA'!$VO$9:$VQ$41,START!$C$3,1)+INDEX('DEFAULT DATA'!$WP$9:$WR$41,START!$C$3,1))/100*BH134)</f>
        <v>317908</v>
      </c>
      <c r="BJ134" s="220">
        <f>IF((BJ$131-2021)=START!$C$2,BUILDINGS!$B17,(100-INDEX('DEFAULT DATA'!$VO$9:$VQ$41,START!$C$3,1)+INDEX('DEFAULT DATA'!$WP$9:$WR$41,START!$C$3,1))/100*BI134)</f>
        <v>317908</v>
      </c>
      <c r="BK134" s="220">
        <f>IF((BK$131-2021)=START!$C$2,BUILDINGS!$B17,(100-INDEX('DEFAULT DATA'!$VO$9:$VQ$41,START!$C$3,1)+INDEX('DEFAULT DATA'!$WP$9:$WR$41,START!$C$3,1))/100*BJ134)</f>
        <v>317908</v>
      </c>
      <c r="BL134" s="220">
        <f>IF((BL$131-2021)=START!$C$2,BUILDINGS!$B17,(100-INDEX('DEFAULT DATA'!$VO$9:$VQ$41,START!$C$3,1)+INDEX('DEFAULT DATA'!$WP$9:$WR$41,START!$C$3,1))/100*BK134)</f>
        <v>317908</v>
      </c>
      <c r="BM134" s="220">
        <f>IF((BM$131-2021)=START!$C$2,BUILDINGS!$B17,(100-INDEX('DEFAULT DATA'!$VO$9:$VQ$41,START!$C$3,1)+INDEX('DEFAULT DATA'!$WP$9:$WR$41,START!$C$3,1))/100*BL134)</f>
        <v>317908</v>
      </c>
      <c r="BN134" s="220">
        <f>IF((BN$131-2021)=START!$C$2,BUILDINGS!$B17,(100-INDEX('DEFAULT DATA'!$VO$9:$VQ$41,START!$C$3,1)+INDEX('DEFAULT DATA'!$WP$9:$WR$41,START!$C$3,1))/100*BM134)</f>
        <v>317908</v>
      </c>
      <c r="BP134" s="524" t="s">
        <v>1757</v>
      </c>
      <c r="BQ134" s="521"/>
      <c r="BT134" s="394" t="s">
        <v>1763</v>
      </c>
      <c r="BU134" s="17" t="s">
        <v>1766</v>
      </c>
    </row>
    <row r="135" spans="1:87" ht="20.100000000000001" customHeight="1">
      <c r="A135" s="55">
        <v>9</v>
      </c>
      <c r="B135" s="222"/>
      <c r="C135" s="222">
        <v>1</v>
      </c>
      <c r="D135" s="222"/>
      <c r="E135" s="282">
        <v>0</v>
      </c>
      <c r="F135" s="29"/>
      <c r="G135" s="29"/>
      <c r="H135" s="222"/>
      <c r="I135" s="222">
        <v>14</v>
      </c>
      <c r="J135" s="351">
        <v>14</v>
      </c>
      <c r="K135" s="276"/>
      <c r="L135" s="222"/>
      <c r="M135" s="222"/>
      <c r="N135" s="222"/>
      <c r="O135" s="222"/>
      <c r="P135" s="222"/>
      <c r="Q135" s="222"/>
      <c r="R135" s="222"/>
      <c r="S135" s="222"/>
      <c r="T135" s="222"/>
      <c r="U135" s="222"/>
      <c r="V135" s="222"/>
      <c r="W135" s="222"/>
      <c r="X135" s="222"/>
      <c r="Y135" s="222"/>
      <c r="Z135" s="222"/>
      <c r="AA135" s="222"/>
      <c r="AB135" s="222"/>
      <c r="AC135" s="222"/>
      <c r="AD135" s="222"/>
      <c r="AE135" s="222"/>
      <c r="AF135" s="1502"/>
      <c r="AG135" s="1513" t="s">
        <v>1231</v>
      </c>
      <c r="AH135" s="1514"/>
      <c r="AI135" s="1514"/>
      <c r="AJ135" s="1515"/>
      <c r="AK135" s="491">
        <v>0</v>
      </c>
      <c r="AL135" s="220">
        <f>IF((AL$131-2021)=START!$C$2,BUILDINGS!$B18,(100-INDEX('DEFAULT DATA'!$VO$9:$VQ$41,START!$C$3,1)+INDEX('DEFAULT DATA'!$WP$9:$WR$41,START!$C$3,1))/100*AK135)</f>
        <v>0</v>
      </c>
      <c r="AM135" s="220">
        <f>IF((AM$131-2021)=START!$C$2,BUILDINGS!$B18,(100-INDEX('DEFAULT DATA'!$VO$9:$VQ$41,START!$C$3,1)+INDEX('DEFAULT DATA'!$WP$9:$WR$41,START!$C$3,1))/100*AL135)</f>
        <v>136770</v>
      </c>
      <c r="AN135" s="220">
        <f>IF((AN$131-2021)=START!$C$2,BUILDINGS!$B18,(100-INDEX('DEFAULT DATA'!$VO$9:$VQ$41,START!$C$3,1)+INDEX('DEFAULT DATA'!$WP$9:$WR$41,START!$C$3,1))/100*AM135)</f>
        <v>136770</v>
      </c>
      <c r="AO135" s="220">
        <f>IF((AO$131-2021)=START!$C$2,BUILDINGS!$B18,(100-INDEX('DEFAULT DATA'!$VO$9:$VQ$41,START!$C$3,1)+INDEX('DEFAULT DATA'!$WP$9:$WR$41,START!$C$3,1))/100*AN135)</f>
        <v>136770</v>
      </c>
      <c r="AP135" s="220">
        <f>IF((AP$131-2021)=START!$C$2,BUILDINGS!$B18,(100-INDEX('DEFAULT DATA'!$VO$9:$VQ$41,START!$C$3,1)+INDEX('DEFAULT DATA'!$WP$9:$WR$41,START!$C$3,1))/100*AO135)</f>
        <v>136770</v>
      </c>
      <c r="AQ135" s="220">
        <f>IF((AQ$131-2021)=START!$C$2,BUILDINGS!$B18,(100-INDEX('DEFAULT DATA'!$VO$9:$VQ$41,START!$C$3,1)+INDEX('DEFAULT DATA'!$WP$9:$WR$41,START!$C$3,1))/100*AP135)</f>
        <v>136770</v>
      </c>
      <c r="AR135" s="220">
        <f>IF((AR$131-2021)=START!$C$2,BUILDINGS!$B18,(100-INDEX('DEFAULT DATA'!$VO$9:$VQ$41,START!$C$3,1)+INDEX('DEFAULT DATA'!$WP$9:$WR$41,START!$C$3,1))/100*AQ135)</f>
        <v>136770</v>
      </c>
      <c r="AS135" s="220">
        <f>IF((AS$131-2021)=START!$C$2,BUILDINGS!$B18,(100-INDEX('DEFAULT DATA'!$VO$9:$VQ$41,START!$C$3,1)+INDEX('DEFAULT DATA'!$WP$9:$WR$41,START!$C$3,1))/100*AR135)</f>
        <v>136770</v>
      </c>
      <c r="AT135" s="220">
        <f>IF((AT$131-2021)=START!$C$2,BUILDINGS!$B18,(100-INDEX('DEFAULT DATA'!$VO$9:$VQ$41,START!$C$3,1)+INDEX('DEFAULT DATA'!$WP$9:$WR$41,START!$C$3,1))/100*AS135)</f>
        <v>136770</v>
      </c>
      <c r="AU135" s="220">
        <f>IF((AU$131-2021)=START!$C$2,BUILDINGS!$B18,(100-INDEX('DEFAULT DATA'!$VO$9:$VQ$41,START!$C$3,1)+INDEX('DEFAULT DATA'!$WP$9:$WR$41,START!$C$3,1))/100*AT135)</f>
        <v>136770</v>
      </c>
      <c r="AV135" s="220">
        <f>IF((AV$131-2021)=START!$C$2,BUILDINGS!$B18,(100-INDEX('DEFAULT DATA'!$VO$9:$VQ$41,START!$C$3,1)+INDEX('DEFAULT DATA'!$WP$9:$WR$41,START!$C$3,1))/100*AU135)</f>
        <v>136770</v>
      </c>
      <c r="AW135" s="220">
        <f>IF((AW$131-2021)=START!$C$2,BUILDINGS!$B18,(100-INDEX('DEFAULT DATA'!$VO$9:$VQ$41,START!$C$3,1)+INDEX('DEFAULT DATA'!$WP$9:$WR$41,START!$C$3,1))/100*AV135)</f>
        <v>136770</v>
      </c>
      <c r="AX135" s="220">
        <f>IF((AX$131-2021)=START!$C$2,BUILDINGS!$B18,(100-INDEX('DEFAULT DATA'!$VO$9:$VQ$41,START!$C$3,1)+INDEX('DEFAULT DATA'!$WP$9:$WR$41,START!$C$3,1))/100*AW135)</f>
        <v>136770</v>
      </c>
      <c r="AY135" s="220">
        <f>IF((AY$131-2021)=START!$C$2,BUILDINGS!$B18,(100-INDEX('DEFAULT DATA'!$VO$9:$VQ$41,START!$C$3,1)+INDEX('DEFAULT DATA'!$WP$9:$WR$41,START!$C$3,1))/100*AX135)</f>
        <v>136770</v>
      </c>
      <c r="AZ135" s="220">
        <f>IF((AZ$131-2021)=START!$C$2,BUILDINGS!$B18,(100-INDEX('DEFAULT DATA'!$VO$9:$VQ$41,START!$C$3,1)+INDEX('DEFAULT DATA'!$WP$9:$WR$41,START!$C$3,1))/100*AY135)</f>
        <v>136770</v>
      </c>
      <c r="BA135" s="220">
        <f>IF((BA$131-2021)=START!$C$2,BUILDINGS!$B18,(100-INDEX('DEFAULT DATA'!$VO$9:$VQ$41,START!$C$3,1)+INDEX('DEFAULT DATA'!$WP$9:$WR$41,START!$C$3,1))/100*AZ135)</f>
        <v>136770</v>
      </c>
      <c r="BB135" s="220">
        <f>IF((BB$131-2021)=START!$C$2,BUILDINGS!$B18,(100-INDEX('DEFAULT DATA'!$VO$9:$VQ$41,START!$C$3,1)+INDEX('DEFAULT DATA'!$WP$9:$WR$41,START!$C$3,1))/100*BA135)</f>
        <v>136770</v>
      </c>
      <c r="BC135" s="220">
        <f>IF((BC$131-2021)=START!$C$2,BUILDINGS!$B18,(100-INDEX('DEFAULT DATA'!$VO$9:$VQ$41,START!$C$3,1)+INDEX('DEFAULT DATA'!$WP$9:$WR$41,START!$C$3,1))/100*BB135)</f>
        <v>136770</v>
      </c>
      <c r="BD135" s="220">
        <f>IF((BD$131-2021)=START!$C$2,BUILDINGS!$B18,(100-INDEX('DEFAULT DATA'!$VO$9:$VQ$41,START!$C$3,1)+INDEX('DEFAULT DATA'!$WP$9:$WR$41,START!$C$3,1))/100*BC135)</f>
        <v>136770</v>
      </c>
      <c r="BE135" s="220">
        <f>IF((BE$131-2021)=START!$C$2,BUILDINGS!$B18,(100-INDEX('DEFAULT DATA'!$VO$9:$VQ$41,START!$C$3,1)+INDEX('DEFAULT DATA'!$WP$9:$WR$41,START!$C$3,1))/100*BD135)</f>
        <v>136770</v>
      </c>
      <c r="BF135" s="220">
        <f>IF((BF$131-2021)=START!$C$2,BUILDINGS!$B18,(100-INDEX('DEFAULT DATA'!$VO$9:$VQ$41,START!$C$3,1)+INDEX('DEFAULT DATA'!$WP$9:$WR$41,START!$C$3,1))/100*BE135)</f>
        <v>136770</v>
      </c>
      <c r="BG135" s="220">
        <f>IF((BG$131-2021)=START!$C$2,BUILDINGS!$B18,(100-INDEX('DEFAULT DATA'!$VO$9:$VQ$41,START!$C$3,1)+INDEX('DEFAULT DATA'!$WP$9:$WR$41,START!$C$3,1))/100*BF135)</f>
        <v>136770</v>
      </c>
      <c r="BH135" s="220">
        <f>IF((BH$131-2021)=START!$C$2,BUILDINGS!$B18,(100-INDEX('DEFAULT DATA'!$VO$9:$VQ$41,START!$C$3,1)+INDEX('DEFAULT DATA'!$WP$9:$WR$41,START!$C$3,1))/100*BG135)</f>
        <v>136770</v>
      </c>
      <c r="BI135" s="220">
        <f>IF((BI$131-2021)=START!$C$2,BUILDINGS!$B18,(100-INDEX('DEFAULT DATA'!$VO$9:$VQ$41,START!$C$3,1)+INDEX('DEFAULT DATA'!$WP$9:$WR$41,START!$C$3,1))/100*BH135)</f>
        <v>136770</v>
      </c>
      <c r="BJ135" s="220">
        <f>IF((BJ$131-2021)=START!$C$2,BUILDINGS!$B18,(100-INDEX('DEFAULT DATA'!$VO$9:$VQ$41,START!$C$3,1)+INDEX('DEFAULT DATA'!$WP$9:$WR$41,START!$C$3,1))/100*BI135)</f>
        <v>136770</v>
      </c>
      <c r="BK135" s="220">
        <f>IF((BK$131-2021)=START!$C$2,BUILDINGS!$B18,(100-INDEX('DEFAULT DATA'!$VO$9:$VQ$41,START!$C$3,1)+INDEX('DEFAULT DATA'!$WP$9:$WR$41,START!$C$3,1))/100*BJ135)</f>
        <v>136770</v>
      </c>
      <c r="BL135" s="220">
        <f>IF((BL$131-2021)=START!$C$2,BUILDINGS!$B18,(100-INDEX('DEFAULT DATA'!$VO$9:$VQ$41,START!$C$3,1)+INDEX('DEFAULT DATA'!$WP$9:$WR$41,START!$C$3,1))/100*BK135)</f>
        <v>136770</v>
      </c>
      <c r="BM135" s="220">
        <f>IF((BM$131-2021)=START!$C$2,BUILDINGS!$B18,(100-INDEX('DEFAULT DATA'!$VO$9:$VQ$41,START!$C$3,1)+INDEX('DEFAULT DATA'!$WP$9:$WR$41,START!$C$3,1))/100*BL135)</f>
        <v>136770</v>
      </c>
      <c r="BN135" s="220">
        <f>IF((BN$131-2021)=START!$C$2,BUILDINGS!$B18,(100-INDEX('DEFAULT DATA'!$VO$9:$VQ$41,START!$C$3,1)+INDEX('DEFAULT DATA'!$WP$9:$WR$41,START!$C$3,1))/100*BM135)</f>
        <v>136770</v>
      </c>
      <c r="BP135" s="524" t="s">
        <v>1758</v>
      </c>
      <c r="BQ135" s="521"/>
      <c r="BU135" s="17" t="s">
        <v>1872</v>
      </c>
    </row>
    <row r="136" spans="1:87" ht="20.100000000000001" customHeight="1">
      <c r="A136" s="55">
        <v>1</v>
      </c>
      <c r="B136" s="222"/>
      <c r="C136" s="222">
        <v>2</v>
      </c>
      <c r="D136" s="222"/>
      <c r="E136" s="282">
        <v>0</v>
      </c>
      <c r="F136" s="29"/>
      <c r="G136" s="29"/>
      <c r="H136" s="222"/>
      <c r="I136" s="222">
        <v>3</v>
      </c>
      <c r="J136" s="351">
        <v>3</v>
      </c>
      <c r="K136" s="276"/>
      <c r="L136" s="222"/>
      <c r="M136" s="222"/>
      <c r="N136" s="222"/>
      <c r="O136" s="222"/>
      <c r="P136" s="222"/>
      <c r="Q136" s="222"/>
      <c r="R136" s="222"/>
      <c r="S136" s="222"/>
      <c r="T136" s="222"/>
      <c r="U136" s="222"/>
      <c r="V136" s="222"/>
      <c r="W136" s="222"/>
      <c r="X136" s="222"/>
      <c r="Y136" s="222"/>
      <c r="Z136" s="222"/>
      <c r="AA136" s="222"/>
      <c r="AB136" s="222"/>
      <c r="AC136" s="222"/>
      <c r="AD136" s="222"/>
      <c r="AE136" s="222"/>
      <c r="AF136" s="1502"/>
      <c r="AG136" s="1513" t="s">
        <v>1232</v>
      </c>
      <c r="AH136" s="1514"/>
      <c r="AI136" s="1514"/>
      <c r="AJ136" s="1515"/>
      <c r="AK136" s="491">
        <v>0</v>
      </c>
      <c r="AL136" s="220">
        <f>IF((AL$131-2021)=START!$C$2,BUILDINGS!$B19,(100-INDEX('DEFAULT DATA'!$VO$9:$VQ$41,START!$C$3,1)+INDEX('DEFAULT DATA'!$WP$9:$WR$41,START!$C$3,1))/100*AK136)</f>
        <v>0</v>
      </c>
      <c r="AM136" s="220">
        <f>IF((AM$131-2021)=START!$C$2,BUILDINGS!$B19,(100-INDEX('DEFAULT DATA'!$VO$9:$VQ$41,START!$C$3,1)+INDEX('DEFAULT DATA'!$WP$9:$WR$41,START!$C$3,1))/100*AL136)</f>
        <v>1508421</v>
      </c>
      <c r="AN136" s="220">
        <f>IF((AN$131-2021)=START!$C$2,BUILDINGS!$B19,(100-INDEX('DEFAULT DATA'!$VO$9:$VQ$41,START!$C$3,1)+INDEX('DEFAULT DATA'!$WP$9:$WR$41,START!$C$3,1))/100*AM136)</f>
        <v>1508421</v>
      </c>
      <c r="AO136" s="220">
        <f>IF((AO$131-2021)=START!$C$2,BUILDINGS!$B19,(100-INDEX('DEFAULT DATA'!$VO$9:$VQ$41,START!$C$3,1)+INDEX('DEFAULT DATA'!$WP$9:$WR$41,START!$C$3,1))/100*AN136)</f>
        <v>1508421</v>
      </c>
      <c r="AP136" s="220">
        <f>IF((AP$131-2021)=START!$C$2,BUILDINGS!$B19,(100-INDEX('DEFAULT DATA'!$VO$9:$VQ$41,START!$C$3,1)+INDEX('DEFAULT DATA'!$WP$9:$WR$41,START!$C$3,1))/100*AO136)</f>
        <v>1508421</v>
      </c>
      <c r="AQ136" s="220">
        <f>IF((AQ$131-2021)=START!$C$2,BUILDINGS!$B19,(100-INDEX('DEFAULT DATA'!$VO$9:$VQ$41,START!$C$3,1)+INDEX('DEFAULT DATA'!$WP$9:$WR$41,START!$C$3,1))/100*AP136)</f>
        <v>1508421</v>
      </c>
      <c r="AR136" s="220">
        <f>IF((AR$131-2021)=START!$C$2,BUILDINGS!$B19,(100-INDEX('DEFAULT DATA'!$VO$9:$VQ$41,START!$C$3,1)+INDEX('DEFAULT DATA'!$WP$9:$WR$41,START!$C$3,1))/100*AQ136)</f>
        <v>1508421</v>
      </c>
      <c r="AS136" s="220">
        <f>IF((AS$131-2021)=START!$C$2,BUILDINGS!$B19,(100-INDEX('DEFAULT DATA'!$VO$9:$VQ$41,START!$C$3,1)+INDEX('DEFAULT DATA'!$WP$9:$WR$41,START!$C$3,1))/100*AR136)</f>
        <v>1508421</v>
      </c>
      <c r="AT136" s="220">
        <f>IF((AT$131-2021)=START!$C$2,BUILDINGS!$B19,(100-INDEX('DEFAULT DATA'!$VO$9:$VQ$41,START!$C$3,1)+INDEX('DEFAULT DATA'!$WP$9:$WR$41,START!$C$3,1))/100*AS136)</f>
        <v>1508421</v>
      </c>
      <c r="AU136" s="220">
        <f>IF((AU$131-2021)=START!$C$2,BUILDINGS!$B19,(100-INDEX('DEFAULT DATA'!$VO$9:$VQ$41,START!$C$3,1)+INDEX('DEFAULT DATA'!$WP$9:$WR$41,START!$C$3,1))/100*AT136)</f>
        <v>1508421</v>
      </c>
      <c r="AV136" s="220">
        <f>IF((AV$131-2021)=START!$C$2,BUILDINGS!$B19,(100-INDEX('DEFAULT DATA'!$VO$9:$VQ$41,START!$C$3,1)+INDEX('DEFAULT DATA'!$WP$9:$WR$41,START!$C$3,1))/100*AU136)</f>
        <v>1508421</v>
      </c>
      <c r="AW136" s="220">
        <f>IF((AW$131-2021)=START!$C$2,BUILDINGS!$B19,(100-INDEX('DEFAULT DATA'!$VO$9:$VQ$41,START!$C$3,1)+INDEX('DEFAULT DATA'!$WP$9:$WR$41,START!$C$3,1))/100*AV136)</f>
        <v>1508421</v>
      </c>
      <c r="AX136" s="220">
        <f>IF((AX$131-2021)=START!$C$2,BUILDINGS!$B19,(100-INDEX('DEFAULT DATA'!$VO$9:$VQ$41,START!$C$3,1)+INDEX('DEFAULT DATA'!$WP$9:$WR$41,START!$C$3,1))/100*AW136)</f>
        <v>1508421</v>
      </c>
      <c r="AY136" s="220">
        <f>IF((AY$131-2021)=START!$C$2,BUILDINGS!$B19,(100-INDEX('DEFAULT DATA'!$VO$9:$VQ$41,START!$C$3,1)+INDEX('DEFAULT DATA'!$WP$9:$WR$41,START!$C$3,1))/100*AX136)</f>
        <v>1508421</v>
      </c>
      <c r="AZ136" s="220">
        <f>IF((AZ$131-2021)=START!$C$2,BUILDINGS!$B19,(100-INDEX('DEFAULT DATA'!$VO$9:$VQ$41,START!$C$3,1)+INDEX('DEFAULT DATA'!$WP$9:$WR$41,START!$C$3,1))/100*AY136)</f>
        <v>1508421</v>
      </c>
      <c r="BA136" s="220">
        <f>IF((BA$131-2021)=START!$C$2,BUILDINGS!$B19,(100-INDEX('DEFAULT DATA'!$VO$9:$VQ$41,START!$C$3,1)+INDEX('DEFAULT DATA'!$WP$9:$WR$41,START!$C$3,1))/100*AZ136)</f>
        <v>1508421</v>
      </c>
      <c r="BB136" s="220">
        <f>IF((BB$131-2021)=START!$C$2,BUILDINGS!$B19,(100-INDEX('DEFAULT DATA'!$VO$9:$VQ$41,START!$C$3,1)+INDEX('DEFAULT DATA'!$WP$9:$WR$41,START!$C$3,1))/100*BA136)</f>
        <v>1508421</v>
      </c>
      <c r="BC136" s="220">
        <f>IF((BC$131-2021)=START!$C$2,BUILDINGS!$B19,(100-INDEX('DEFAULT DATA'!$VO$9:$VQ$41,START!$C$3,1)+INDEX('DEFAULT DATA'!$WP$9:$WR$41,START!$C$3,1))/100*BB136)</f>
        <v>1508421</v>
      </c>
      <c r="BD136" s="220">
        <f>IF((BD$131-2021)=START!$C$2,BUILDINGS!$B19,(100-INDEX('DEFAULT DATA'!$VO$9:$VQ$41,START!$C$3,1)+INDEX('DEFAULT DATA'!$WP$9:$WR$41,START!$C$3,1))/100*BC136)</f>
        <v>1508421</v>
      </c>
      <c r="BE136" s="220">
        <f>IF((BE$131-2021)=START!$C$2,BUILDINGS!$B19,(100-INDEX('DEFAULT DATA'!$VO$9:$VQ$41,START!$C$3,1)+INDEX('DEFAULT DATA'!$WP$9:$WR$41,START!$C$3,1))/100*BD136)</f>
        <v>1508421</v>
      </c>
      <c r="BF136" s="220">
        <f>IF((BF$131-2021)=START!$C$2,BUILDINGS!$B19,(100-INDEX('DEFAULT DATA'!$VO$9:$VQ$41,START!$C$3,1)+INDEX('DEFAULT DATA'!$WP$9:$WR$41,START!$C$3,1))/100*BE136)</f>
        <v>1508421</v>
      </c>
      <c r="BG136" s="220">
        <f>IF((BG$131-2021)=START!$C$2,BUILDINGS!$B19,(100-INDEX('DEFAULT DATA'!$VO$9:$VQ$41,START!$C$3,1)+INDEX('DEFAULT DATA'!$WP$9:$WR$41,START!$C$3,1))/100*BF136)</f>
        <v>1508421</v>
      </c>
      <c r="BH136" s="220">
        <f>IF((BH$131-2021)=START!$C$2,BUILDINGS!$B19,(100-INDEX('DEFAULT DATA'!$VO$9:$VQ$41,START!$C$3,1)+INDEX('DEFAULT DATA'!$WP$9:$WR$41,START!$C$3,1))/100*BG136)</f>
        <v>1508421</v>
      </c>
      <c r="BI136" s="220">
        <f>IF((BI$131-2021)=START!$C$2,BUILDINGS!$B19,(100-INDEX('DEFAULT DATA'!$VO$9:$VQ$41,START!$C$3,1)+INDEX('DEFAULT DATA'!$WP$9:$WR$41,START!$C$3,1))/100*BH136)</f>
        <v>1508421</v>
      </c>
      <c r="BJ136" s="220">
        <f>IF((BJ$131-2021)=START!$C$2,BUILDINGS!$B19,(100-INDEX('DEFAULT DATA'!$VO$9:$VQ$41,START!$C$3,1)+INDEX('DEFAULT DATA'!$WP$9:$WR$41,START!$C$3,1))/100*BI136)</f>
        <v>1508421</v>
      </c>
      <c r="BK136" s="220">
        <f>IF((BK$131-2021)=START!$C$2,BUILDINGS!$B19,(100-INDEX('DEFAULT DATA'!$VO$9:$VQ$41,START!$C$3,1)+INDEX('DEFAULT DATA'!$WP$9:$WR$41,START!$C$3,1))/100*BJ136)</f>
        <v>1508421</v>
      </c>
      <c r="BL136" s="220">
        <f>IF((BL$131-2021)=START!$C$2,BUILDINGS!$B19,(100-INDEX('DEFAULT DATA'!$VO$9:$VQ$41,START!$C$3,1)+INDEX('DEFAULT DATA'!$WP$9:$WR$41,START!$C$3,1))/100*BK136)</f>
        <v>1508421</v>
      </c>
      <c r="BM136" s="220">
        <f>IF((BM$131-2021)=START!$C$2,BUILDINGS!$B19,(100-INDEX('DEFAULT DATA'!$VO$9:$VQ$41,START!$C$3,1)+INDEX('DEFAULT DATA'!$WP$9:$WR$41,START!$C$3,1))/100*BL136)</f>
        <v>1508421</v>
      </c>
      <c r="BN136" s="220">
        <f>IF((BN$131-2021)=START!$C$2,BUILDINGS!$B19,(100-INDEX('DEFAULT DATA'!$VO$9:$VQ$41,START!$C$3,1)+INDEX('DEFAULT DATA'!$WP$9:$WR$41,START!$C$3,1))/100*BM136)</f>
        <v>1508421</v>
      </c>
      <c r="BP136" s="524" t="s">
        <v>1759</v>
      </c>
      <c r="BQ136" s="521"/>
      <c r="BU136" s="17" t="s">
        <v>1873</v>
      </c>
    </row>
    <row r="137" spans="1:87" ht="20.100000000000001" customHeight="1" thickBot="1">
      <c r="A137" s="55">
        <v>1</v>
      </c>
      <c r="B137" s="222"/>
      <c r="C137" s="222">
        <v>3</v>
      </c>
      <c r="D137" s="222"/>
      <c r="E137" s="282">
        <v>0</v>
      </c>
      <c r="F137" s="29"/>
      <c r="G137" s="29"/>
      <c r="H137" s="222"/>
      <c r="I137" s="222">
        <v>2</v>
      </c>
      <c r="J137" s="351">
        <v>3</v>
      </c>
      <c r="K137" s="276"/>
      <c r="L137" s="222"/>
      <c r="M137" s="222"/>
      <c r="N137" s="222"/>
      <c r="O137" s="222"/>
      <c r="P137" s="222"/>
      <c r="Q137" s="222"/>
      <c r="R137" s="222"/>
      <c r="S137" s="222"/>
      <c r="T137" s="222"/>
      <c r="U137" s="222"/>
      <c r="V137" s="222"/>
      <c r="W137" s="222"/>
      <c r="X137" s="222"/>
      <c r="Y137" s="222"/>
      <c r="Z137" s="222"/>
      <c r="AA137" s="222"/>
      <c r="AB137" s="222"/>
      <c r="AC137" s="222"/>
      <c r="AD137" s="222"/>
      <c r="AE137" s="222"/>
      <c r="AF137" s="1503"/>
      <c r="AG137" s="1477" t="s">
        <v>1233</v>
      </c>
      <c r="AH137" s="1527"/>
      <c r="AI137" s="1527"/>
      <c r="AJ137" s="1478"/>
      <c r="AK137" s="538">
        <v>0</v>
      </c>
      <c r="AL137" s="320">
        <f>IF((AL$131-2021)=START!$C$2,BUILDINGS!$B20,(100-INDEX('DEFAULT DATA'!$VO$9:$VQ$41,START!$C$3,1)+INDEX('DEFAULT DATA'!$WP$9:$WR$41,START!$C$3,1))/100*AK137)</f>
        <v>0</v>
      </c>
      <c r="AM137" s="320">
        <f>IF((AM$131-2021)=START!$C$2,BUILDINGS!$B20,(100-INDEX('DEFAULT DATA'!$VO$9:$VQ$41,START!$C$3,1)+INDEX('DEFAULT DATA'!$WP$9:$WR$41,START!$C$3,1))/100*AL137)</f>
        <v>61143</v>
      </c>
      <c r="AN137" s="320">
        <f>IF((AN$131-2021)=START!$C$2,BUILDINGS!$B20,(100-INDEX('DEFAULT DATA'!$VO$9:$VQ$41,START!$C$3,1)+INDEX('DEFAULT DATA'!$WP$9:$WR$41,START!$C$3,1))/100*AM137)</f>
        <v>61143</v>
      </c>
      <c r="AO137" s="320">
        <f>IF((AO$131-2021)=START!$C$2,BUILDINGS!$B20,(100-INDEX('DEFAULT DATA'!$VO$9:$VQ$41,START!$C$3,1)+INDEX('DEFAULT DATA'!$WP$9:$WR$41,START!$C$3,1))/100*AN137)</f>
        <v>61143</v>
      </c>
      <c r="AP137" s="320">
        <f>IF((AP$131-2021)=START!$C$2,BUILDINGS!$B20,(100-INDEX('DEFAULT DATA'!$VO$9:$VQ$41,START!$C$3,1)+INDEX('DEFAULT DATA'!$WP$9:$WR$41,START!$C$3,1))/100*AO137)</f>
        <v>61143</v>
      </c>
      <c r="AQ137" s="320">
        <f>IF((AQ$131-2021)=START!$C$2,BUILDINGS!$B20,(100-INDEX('DEFAULT DATA'!$VO$9:$VQ$41,START!$C$3,1)+INDEX('DEFAULT DATA'!$WP$9:$WR$41,START!$C$3,1))/100*AP137)</f>
        <v>61143</v>
      </c>
      <c r="AR137" s="320">
        <f>IF((AR$131-2021)=START!$C$2,BUILDINGS!$B20,(100-INDEX('DEFAULT DATA'!$VO$9:$VQ$41,START!$C$3,1)+INDEX('DEFAULT DATA'!$WP$9:$WR$41,START!$C$3,1))/100*AQ137)</f>
        <v>61143</v>
      </c>
      <c r="AS137" s="320">
        <f>IF((AS$131-2021)=START!$C$2,BUILDINGS!$B20,(100-INDEX('DEFAULT DATA'!$VO$9:$VQ$41,START!$C$3,1)+INDEX('DEFAULT DATA'!$WP$9:$WR$41,START!$C$3,1))/100*AR137)</f>
        <v>61143</v>
      </c>
      <c r="AT137" s="320">
        <f>IF((AT$131-2021)=START!$C$2,BUILDINGS!$B20,(100-INDEX('DEFAULT DATA'!$VO$9:$VQ$41,START!$C$3,1)+INDEX('DEFAULT DATA'!$WP$9:$WR$41,START!$C$3,1))/100*AS137)</f>
        <v>61143</v>
      </c>
      <c r="AU137" s="320">
        <f>IF((AU$131-2021)=START!$C$2,BUILDINGS!$B20,(100-INDEX('DEFAULT DATA'!$VO$9:$VQ$41,START!$C$3,1)+INDEX('DEFAULT DATA'!$WP$9:$WR$41,START!$C$3,1))/100*AT137)</f>
        <v>61143</v>
      </c>
      <c r="AV137" s="320">
        <f>IF((AV$131-2021)=START!$C$2,BUILDINGS!$B20,(100-INDEX('DEFAULT DATA'!$VO$9:$VQ$41,START!$C$3,1)+INDEX('DEFAULT DATA'!$WP$9:$WR$41,START!$C$3,1))/100*AU137)</f>
        <v>61143</v>
      </c>
      <c r="AW137" s="320">
        <f>IF((AW$131-2021)=START!$C$2,BUILDINGS!$B20,(100-INDEX('DEFAULT DATA'!$VO$9:$VQ$41,START!$C$3,1)+INDEX('DEFAULT DATA'!$WP$9:$WR$41,START!$C$3,1))/100*AV137)</f>
        <v>61143</v>
      </c>
      <c r="AX137" s="320">
        <f>IF((AX$131-2021)=START!$C$2,BUILDINGS!$B20,(100-INDEX('DEFAULT DATA'!$VO$9:$VQ$41,START!$C$3,1)+INDEX('DEFAULT DATA'!$WP$9:$WR$41,START!$C$3,1))/100*AW137)</f>
        <v>61143</v>
      </c>
      <c r="AY137" s="320">
        <f>IF((AY$131-2021)=START!$C$2,BUILDINGS!$B20,(100-INDEX('DEFAULT DATA'!$VO$9:$VQ$41,START!$C$3,1)+INDEX('DEFAULT DATA'!$WP$9:$WR$41,START!$C$3,1))/100*AX137)</f>
        <v>61143</v>
      </c>
      <c r="AZ137" s="320">
        <f>IF((AZ$131-2021)=START!$C$2,BUILDINGS!$B20,(100-INDEX('DEFAULT DATA'!$VO$9:$VQ$41,START!$C$3,1)+INDEX('DEFAULT DATA'!$WP$9:$WR$41,START!$C$3,1))/100*AY137)</f>
        <v>61143</v>
      </c>
      <c r="BA137" s="320">
        <f>IF((BA$131-2021)=START!$C$2,BUILDINGS!$B20,(100-INDEX('DEFAULT DATA'!$VO$9:$VQ$41,START!$C$3,1)+INDEX('DEFAULT DATA'!$WP$9:$WR$41,START!$C$3,1))/100*AZ137)</f>
        <v>61143</v>
      </c>
      <c r="BB137" s="320">
        <f>IF((BB$131-2021)=START!$C$2,BUILDINGS!$B20,(100-INDEX('DEFAULT DATA'!$VO$9:$VQ$41,START!$C$3,1)+INDEX('DEFAULT DATA'!$WP$9:$WR$41,START!$C$3,1))/100*BA137)</f>
        <v>61143</v>
      </c>
      <c r="BC137" s="320">
        <f>IF((BC$131-2021)=START!$C$2,BUILDINGS!$B20,(100-INDEX('DEFAULT DATA'!$VO$9:$VQ$41,START!$C$3,1)+INDEX('DEFAULT DATA'!$WP$9:$WR$41,START!$C$3,1))/100*BB137)</f>
        <v>61143</v>
      </c>
      <c r="BD137" s="320">
        <f>IF((BD$131-2021)=START!$C$2,BUILDINGS!$B20,(100-INDEX('DEFAULT DATA'!$VO$9:$VQ$41,START!$C$3,1)+INDEX('DEFAULT DATA'!$WP$9:$WR$41,START!$C$3,1))/100*BC137)</f>
        <v>61143</v>
      </c>
      <c r="BE137" s="320">
        <f>IF((BE$131-2021)=START!$C$2,BUILDINGS!$B20,(100-INDEX('DEFAULT DATA'!$VO$9:$VQ$41,START!$C$3,1)+INDEX('DEFAULT DATA'!$WP$9:$WR$41,START!$C$3,1))/100*BD137)</f>
        <v>61143</v>
      </c>
      <c r="BF137" s="320">
        <f>IF((BF$131-2021)=START!$C$2,BUILDINGS!$B20,(100-INDEX('DEFAULT DATA'!$VO$9:$VQ$41,START!$C$3,1)+INDEX('DEFAULT DATA'!$WP$9:$WR$41,START!$C$3,1))/100*BE137)</f>
        <v>61143</v>
      </c>
      <c r="BG137" s="320">
        <f>IF((BG$131-2021)=START!$C$2,BUILDINGS!$B20,(100-INDEX('DEFAULT DATA'!$VO$9:$VQ$41,START!$C$3,1)+INDEX('DEFAULT DATA'!$WP$9:$WR$41,START!$C$3,1))/100*BF137)</f>
        <v>61143</v>
      </c>
      <c r="BH137" s="320">
        <f>IF((BH$131-2021)=START!$C$2,BUILDINGS!$B20,(100-INDEX('DEFAULT DATA'!$VO$9:$VQ$41,START!$C$3,1)+INDEX('DEFAULT DATA'!$WP$9:$WR$41,START!$C$3,1))/100*BG137)</f>
        <v>61143</v>
      </c>
      <c r="BI137" s="320">
        <f>IF((BI$131-2021)=START!$C$2,BUILDINGS!$B20,(100-INDEX('DEFAULT DATA'!$VO$9:$VQ$41,START!$C$3,1)+INDEX('DEFAULT DATA'!$WP$9:$WR$41,START!$C$3,1))/100*BH137)</f>
        <v>61143</v>
      </c>
      <c r="BJ137" s="320">
        <f>IF((BJ$131-2021)=START!$C$2,BUILDINGS!$B20,(100-INDEX('DEFAULT DATA'!$VO$9:$VQ$41,START!$C$3,1)+INDEX('DEFAULT DATA'!$WP$9:$WR$41,START!$C$3,1))/100*BI137)</f>
        <v>61143</v>
      </c>
      <c r="BK137" s="320">
        <f>IF((BK$131-2021)=START!$C$2,BUILDINGS!$B20,(100-INDEX('DEFAULT DATA'!$VO$9:$VQ$41,START!$C$3,1)+INDEX('DEFAULT DATA'!$WP$9:$WR$41,START!$C$3,1))/100*BJ137)</f>
        <v>61143</v>
      </c>
      <c r="BL137" s="320">
        <f>IF((BL$131-2021)=START!$C$2,BUILDINGS!$B20,(100-INDEX('DEFAULT DATA'!$VO$9:$VQ$41,START!$C$3,1)+INDEX('DEFAULT DATA'!$WP$9:$WR$41,START!$C$3,1))/100*BK137)</f>
        <v>61143</v>
      </c>
      <c r="BM137" s="320">
        <f>IF((BM$131-2021)=START!$C$2,BUILDINGS!$B20,(100-INDEX('DEFAULT DATA'!$VO$9:$VQ$41,START!$C$3,1)+INDEX('DEFAULT DATA'!$WP$9:$WR$41,START!$C$3,1))/100*BL137)</f>
        <v>61143</v>
      </c>
      <c r="BN137" s="320">
        <f>IF((BN$131-2021)=START!$C$2,BUILDINGS!$B20,(100-INDEX('DEFAULT DATA'!$VO$9:$VQ$41,START!$C$3,1)+INDEX('DEFAULT DATA'!$WP$9:$WR$41,START!$C$3,1))/100*BM137)</f>
        <v>61143</v>
      </c>
      <c r="BP137" s="525" t="s">
        <v>1760</v>
      </c>
      <c r="BQ137" s="521"/>
    </row>
    <row r="138" spans="1:87" ht="20.100000000000001" customHeight="1">
      <c r="A138" s="55">
        <v>1</v>
      </c>
      <c r="B138" s="222"/>
      <c r="C138" s="222">
        <v>4</v>
      </c>
      <c r="D138" s="222"/>
      <c r="E138" s="282">
        <v>0</v>
      </c>
      <c r="F138" s="29"/>
      <c r="G138" s="29"/>
      <c r="H138" s="222"/>
      <c r="I138" s="222">
        <v>2</v>
      </c>
      <c r="J138" s="351">
        <v>3</v>
      </c>
      <c r="K138" s="276"/>
      <c r="L138" s="222"/>
      <c r="M138" s="222"/>
      <c r="N138" s="222"/>
      <c r="O138" s="222"/>
      <c r="P138" s="222"/>
      <c r="Q138" s="222"/>
      <c r="R138" s="222"/>
      <c r="S138" s="222"/>
      <c r="T138" s="222"/>
      <c r="U138" s="222"/>
      <c r="V138" s="222"/>
      <c r="W138" s="222"/>
      <c r="X138" s="222"/>
      <c r="Y138" s="222"/>
      <c r="Z138" s="222"/>
      <c r="AA138" s="222"/>
      <c r="AB138" s="222"/>
      <c r="AC138" s="222"/>
      <c r="AD138" s="222"/>
      <c r="AE138" s="222"/>
      <c r="AF138" s="332"/>
      <c r="AG138" s="1548" t="s">
        <v>1405</v>
      </c>
      <c r="AH138" s="1549"/>
      <c r="AI138" s="1549"/>
      <c r="AJ138" s="1550"/>
      <c r="AK138" s="495">
        <f>SUM(AK132:AK137)</f>
        <v>0</v>
      </c>
      <c r="AL138" s="495">
        <f t="shared" ref="AL138" si="33">SUM(AL132:AL137)</f>
        <v>0</v>
      </c>
      <c r="AM138" s="495">
        <f t="shared" ref="AM138" si="34">SUM(AM132:AM137)</f>
        <v>2318575</v>
      </c>
      <c r="AN138" s="495">
        <f t="shared" ref="AN138" si="35">SUM(AN132:AN137)</f>
        <v>2318575</v>
      </c>
      <c r="AO138" s="495">
        <f t="shared" ref="AO138" si="36">SUM(AO132:AO137)</f>
        <v>2318575</v>
      </c>
      <c r="AP138" s="495">
        <f t="shared" ref="AP138" si="37">SUM(AP132:AP137)</f>
        <v>2318575</v>
      </c>
      <c r="AQ138" s="495">
        <f t="shared" ref="AQ138" si="38">SUM(AQ132:AQ137)</f>
        <v>2318575</v>
      </c>
      <c r="AR138" s="495">
        <f t="shared" ref="AR138" si="39">SUM(AR132:AR137)</f>
        <v>2318575</v>
      </c>
      <c r="AS138" s="495">
        <f t="shared" ref="AS138" si="40">SUM(AS132:AS137)</f>
        <v>2318575</v>
      </c>
      <c r="AT138" s="495">
        <f t="shared" ref="AT138" si="41">SUM(AT132:AT137)</f>
        <v>2318575</v>
      </c>
      <c r="AU138" s="495">
        <f t="shared" ref="AU138" si="42">SUM(AU132:AU137)</f>
        <v>2318575</v>
      </c>
      <c r="AV138" s="495">
        <f t="shared" ref="AV138" si="43">SUM(AV132:AV137)</f>
        <v>2318575</v>
      </c>
      <c r="AW138" s="495">
        <f t="shared" ref="AW138" si="44">SUM(AW132:AW137)</f>
        <v>2318575</v>
      </c>
      <c r="AX138" s="495">
        <f t="shared" ref="AX138" si="45">SUM(AX132:AX137)</f>
        <v>2318575</v>
      </c>
      <c r="AY138" s="495">
        <f t="shared" ref="AY138" si="46">SUM(AY132:AY137)</f>
        <v>2318575</v>
      </c>
      <c r="AZ138" s="495">
        <f t="shared" ref="AZ138" si="47">SUM(AZ132:AZ137)</f>
        <v>2318575</v>
      </c>
      <c r="BA138" s="495">
        <f t="shared" ref="BA138" si="48">SUM(BA132:BA137)</f>
        <v>2318575</v>
      </c>
      <c r="BB138" s="495">
        <f t="shared" ref="BB138" si="49">SUM(BB132:BB137)</f>
        <v>2318575</v>
      </c>
      <c r="BC138" s="495">
        <f t="shared" ref="BC138" si="50">SUM(BC132:BC137)</f>
        <v>2318575</v>
      </c>
      <c r="BD138" s="495">
        <f t="shared" ref="BD138" si="51">SUM(BD132:BD137)</f>
        <v>2318575</v>
      </c>
      <c r="BE138" s="495">
        <f t="shared" ref="BE138" si="52">SUM(BE132:BE137)</f>
        <v>2318575</v>
      </c>
      <c r="BF138" s="495">
        <f t="shared" ref="BF138" si="53">SUM(BF132:BF137)</f>
        <v>2318575</v>
      </c>
      <c r="BG138" s="495">
        <f t="shared" ref="BG138" si="54">SUM(BG132:BG137)</f>
        <v>2318575</v>
      </c>
      <c r="BH138" s="495">
        <f t="shared" ref="BH138" si="55">SUM(BH132:BH137)</f>
        <v>2318575</v>
      </c>
      <c r="BI138" s="495">
        <f t="shared" ref="BI138" si="56">SUM(BI132:BI137)</f>
        <v>2318575</v>
      </c>
      <c r="BJ138" s="495">
        <f t="shared" ref="BJ138" si="57">SUM(BJ132:BJ137)</f>
        <v>2318575</v>
      </c>
      <c r="BK138" s="495">
        <f t="shared" ref="BK138" si="58">SUM(BK132:BK137)</f>
        <v>2318575</v>
      </c>
      <c r="BL138" s="495">
        <f t="shared" ref="BL138" si="59">SUM(BL132:BL137)</f>
        <v>2318575</v>
      </c>
      <c r="BM138" s="495">
        <f t="shared" ref="BM138" si="60">SUM(BM132:BM137)</f>
        <v>2318575</v>
      </c>
      <c r="BN138" s="495">
        <f t="shared" ref="BN138" si="61">SUM(BN132:BN137)</f>
        <v>2318575</v>
      </c>
    </row>
    <row r="139" spans="1:87" ht="20.100000000000001" customHeight="1">
      <c r="A139" s="55">
        <v>1</v>
      </c>
      <c r="B139" s="222"/>
      <c r="C139" s="222">
        <v>5</v>
      </c>
      <c r="D139" s="222"/>
      <c r="E139" s="282">
        <v>0</v>
      </c>
      <c r="F139" s="29"/>
      <c r="G139" s="29"/>
      <c r="H139" s="222"/>
      <c r="I139" s="222">
        <v>2</v>
      </c>
      <c r="J139" s="351">
        <v>3</v>
      </c>
      <c r="K139" s="276"/>
      <c r="L139" s="222"/>
      <c r="M139" s="222"/>
      <c r="N139" s="222"/>
      <c r="O139" s="222"/>
      <c r="P139" s="222"/>
      <c r="Q139" s="222"/>
      <c r="R139" s="222"/>
      <c r="S139" s="222"/>
      <c r="T139" s="222"/>
      <c r="U139" s="222"/>
      <c r="V139" s="222"/>
      <c r="W139" s="222"/>
      <c r="X139" s="222"/>
      <c r="Y139" s="222"/>
      <c r="Z139" s="222"/>
      <c r="AA139" s="222"/>
      <c r="AB139" s="222"/>
      <c r="AC139" s="222"/>
      <c r="AD139" s="222"/>
      <c r="AE139" s="222"/>
    </row>
    <row r="140" spans="1:87" ht="20.100000000000001" customHeight="1">
      <c r="A140" s="55">
        <v>1</v>
      </c>
      <c r="B140" s="222"/>
      <c r="C140" s="222">
        <v>6</v>
      </c>
      <c r="D140" s="222"/>
      <c r="E140" s="282">
        <v>0</v>
      </c>
      <c r="F140" s="29"/>
      <c r="G140" s="29"/>
      <c r="H140" s="222"/>
      <c r="I140" s="222">
        <v>2</v>
      </c>
      <c r="J140" s="351">
        <v>3</v>
      </c>
      <c r="K140" s="276"/>
      <c r="L140" s="222"/>
      <c r="M140" s="222"/>
      <c r="N140" s="222"/>
      <c r="O140" s="222"/>
      <c r="P140" s="222"/>
      <c r="Q140" s="222"/>
      <c r="R140" s="222"/>
      <c r="S140" s="222"/>
      <c r="T140" s="222"/>
      <c r="U140" s="222"/>
      <c r="V140" s="222"/>
      <c r="W140" s="222"/>
      <c r="X140" s="222"/>
      <c r="Y140" s="222"/>
      <c r="Z140" s="222"/>
      <c r="AA140" s="222"/>
      <c r="AB140" s="222"/>
      <c r="AC140" s="222"/>
      <c r="AD140" s="222"/>
      <c r="AE140" s="222"/>
      <c r="CH140" s="1560" t="s">
        <v>1767</v>
      </c>
      <c r="CI140" s="392"/>
    </row>
    <row r="141" spans="1:87" ht="20.100000000000001" customHeight="1">
      <c r="A141" s="55"/>
      <c r="B141" s="222"/>
      <c r="C141" s="222"/>
      <c r="D141" s="222"/>
      <c r="E141" s="222"/>
      <c r="F141" s="222"/>
      <c r="G141" s="222"/>
      <c r="H141" s="222"/>
      <c r="I141" s="222"/>
      <c r="J141" s="222"/>
      <c r="K141" s="276"/>
      <c r="L141" s="222"/>
      <c r="M141" s="222"/>
      <c r="N141" s="222"/>
      <c r="O141" s="222"/>
      <c r="P141" s="222"/>
      <c r="Q141" s="222"/>
      <c r="R141" s="222"/>
      <c r="S141" s="222"/>
      <c r="T141" s="222"/>
      <c r="U141" s="222"/>
      <c r="V141" s="222"/>
      <c r="W141" s="222"/>
      <c r="X141" s="222"/>
      <c r="Y141" s="222"/>
      <c r="Z141" s="222"/>
      <c r="AA141" s="222"/>
      <c r="AB141" s="222"/>
      <c r="AC141" s="222"/>
      <c r="AD141" s="222"/>
      <c r="AE141" s="222"/>
      <c r="AF141" s="271" t="s">
        <v>1406</v>
      </c>
      <c r="AL141" s="378"/>
      <c r="BQ141" s="17"/>
      <c r="CH141" s="1560"/>
      <c r="CI141" s="392"/>
    </row>
    <row r="142" spans="1:87" ht="20.100000000000001" customHeight="1" thickBot="1">
      <c r="A142" s="223"/>
      <c r="B142" s="353"/>
      <c r="C142" s="353"/>
      <c r="D142" s="353"/>
      <c r="E142" s="353"/>
      <c r="F142" s="353"/>
      <c r="G142" s="353"/>
      <c r="H142" s="353"/>
      <c r="I142" s="353"/>
      <c r="J142" s="353"/>
      <c r="K142" s="354"/>
      <c r="L142" s="222"/>
      <c r="M142" s="222"/>
      <c r="N142" s="222"/>
      <c r="O142" s="222"/>
      <c r="P142" s="222"/>
      <c r="Q142" s="222"/>
      <c r="R142" s="222"/>
      <c r="S142" s="222"/>
      <c r="T142" s="222"/>
      <c r="U142" s="222"/>
      <c r="V142" s="222"/>
      <c r="W142" s="222"/>
      <c r="X142" s="222"/>
      <c r="Y142" s="222"/>
      <c r="Z142" s="222"/>
      <c r="AA142" s="222"/>
      <c r="AB142" s="222"/>
      <c r="AC142" s="222"/>
      <c r="AD142" s="222"/>
      <c r="AE142" s="222"/>
      <c r="AF142" s="269" t="s">
        <v>1380</v>
      </c>
      <c r="AG142" s="1513" t="s">
        <v>1363</v>
      </c>
      <c r="AH142" s="1514"/>
      <c r="AI142" s="1514"/>
      <c r="AJ142" s="1515"/>
      <c r="AK142" s="262">
        <v>2021</v>
      </c>
      <c r="AL142" s="262">
        <f>AK142+1</f>
        <v>2022</v>
      </c>
      <c r="AM142" s="262">
        <f t="shared" ref="AM142:BN142" si="62">AL142+1</f>
        <v>2023</v>
      </c>
      <c r="AN142" s="262">
        <f t="shared" si="62"/>
        <v>2024</v>
      </c>
      <c r="AO142" s="262">
        <f t="shared" si="62"/>
        <v>2025</v>
      </c>
      <c r="AP142" s="262">
        <f t="shared" si="62"/>
        <v>2026</v>
      </c>
      <c r="AQ142" s="262">
        <f t="shared" si="62"/>
        <v>2027</v>
      </c>
      <c r="AR142" s="262">
        <f t="shared" si="62"/>
        <v>2028</v>
      </c>
      <c r="AS142" s="262">
        <f t="shared" si="62"/>
        <v>2029</v>
      </c>
      <c r="AT142" s="262">
        <f t="shared" si="62"/>
        <v>2030</v>
      </c>
      <c r="AU142" s="262">
        <f t="shared" si="62"/>
        <v>2031</v>
      </c>
      <c r="AV142" s="262">
        <f t="shared" si="62"/>
        <v>2032</v>
      </c>
      <c r="AW142" s="262">
        <f t="shared" si="62"/>
        <v>2033</v>
      </c>
      <c r="AX142" s="262">
        <f t="shared" si="62"/>
        <v>2034</v>
      </c>
      <c r="AY142" s="262">
        <f t="shared" si="62"/>
        <v>2035</v>
      </c>
      <c r="AZ142" s="262">
        <f t="shared" si="62"/>
        <v>2036</v>
      </c>
      <c r="BA142" s="262">
        <f t="shared" si="62"/>
        <v>2037</v>
      </c>
      <c r="BB142" s="262">
        <f t="shared" si="62"/>
        <v>2038</v>
      </c>
      <c r="BC142" s="262">
        <f t="shared" si="62"/>
        <v>2039</v>
      </c>
      <c r="BD142" s="262">
        <f t="shared" si="62"/>
        <v>2040</v>
      </c>
      <c r="BE142" s="262">
        <f t="shared" si="62"/>
        <v>2041</v>
      </c>
      <c r="BF142" s="262">
        <f t="shared" si="62"/>
        <v>2042</v>
      </c>
      <c r="BG142" s="262">
        <f t="shared" si="62"/>
        <v>2043</v>
      </c>
      <c r="BH142" s="262">
        <f t="shared" si="62"/>
        <v>2044</v>
      </c>
      <c r="BI142" s="262">
        <f t="shared" si="62"/>
        <v>2045</v>
      </c>
      <c r="BJ142" s="262">
        <f t="shared" si="62"/>
        <v>2046</v>
      </c>
      <c r="BK142" s="262">
        <f t="shared" si="62"/>
        <v>2047</v>
      </c>
      <c r="BL142" s="262">
        <f t="shared" si="62"/>
        <v>2048</v>
      </c>
      <c r="BM142" s="262">
        <f t="shared" si="62"/>
        <v>2049</v>
      </c>
      <c r="BN142" s="262">
        <f t="shared" si="62"/>
        <v>2050</v>
      </c>
      <c r="BP142" s="17" t="s">
        <v>1768</v>
      </c>
      <c r="BQ142" s="17"/>
      <c r="CH142" s="395" t="s">
        <v>1769</v>
      </c>
      <c r="CI142" s="392" t="s">
        <v>1598</v>
      </c>
    </row>
    <row r="143" spans="1:87" ht="20.100000000000001" customHeight="1">
      <c r="A143" s="159"/>
      <c r="B143" s="57"/>
      <c r="C143" s="57"/>
      <c r="D143" s="57"/>
      <c r="E143" s="57"/>
      <c r="F143" s="57"/>
      <c r="G143" s="57"/>
      <c r="H143" s="57"/>
      <c r="I143" s="57"/>
      <c r="J143" s="57"/>
      <c r="K143" s="58"/>
      <c r="L143" s="29"/>
      <c r="M143" s="968"/>
      <c r="N143" s="971"/>
      <c r="O143" s="971"/>
      <c r="P143" s="971"/>
      <c r="Q143" s="971"/>
      <c r="R143" s="971"/>
      <c r="S143" s="971"/>
      <c r="T143" s="971"/>
      <c r="U143" s="971"/>
      <c r="V143" s="971"/>
      <c r="W143" s="971"/>
      <c r="X143" s="971"/>
      <c r="Y143" s="971"/>
      <c r="Z143" s="971"/>
      <c r="AA143" s="971"/>
      <c r="AB143" s="971"/>
      <c r="AC143" s="971"/>
      <c r="AD143" s="971"/>
      <c r="AE143" s="971"/>
      <c r="AF143" s="1501" t="s">
        <v>1228</v>
      </c>
      <c r="AG143" s="1513" t="s">
        <v>933</v>
      </c>
      <c r="AH143" s="1514"/>
      <c r="AI143" s="1514"/>
      <c r="AJ143" s="1515"/>
      <c r="AK143" s="262">
        <v>0</v>
      </c>
      <c r="AL143" s="272">
        <f>AL$132*INDEX('DEFAULT DATA'!$AGY$9:$AHF$41,START!$C$3,1)*BUILDINGS!AL5/1000000</f>
        <v>0</v>
      </c>
      <c r="AM143" s="272">
        <f>AM$132*INDEX('DEFAULT DATA'!$AGY$9:$AHF$41,START!$C$3,1)*BUILDINGS!AM5/1000000</f>
        <v>0</v>
      </c>
      <c r="AN143" s="272">
        <f>AN$132*INDEX('DEFAULT DATA'!$AGY$9:$AHF$41,START!$C$3,1)*BUILDINGS!AN5/1000000</f>
        <v>0</v>
      </c>
      <c r="AO143" s="272">
        <f>AO$132*INDEX('DEFAULT DATA'!$AGY$9:$AHF$41,START!$C$3,1)*BUILDINGS!AO5/1000000</f>
        <v>0</v>
      </c>
      <c r="AP143" s="272">
        <f>AP$132*INDEX('DEFAULT DATA'!$AGY$9:$AHF$41,START!$C$3,1)*BUILDINGS!AP5/1000000</f>
        <v>0</v>
      </c>
      <c r="AQ143" s="272">
        <f>AQ$132*INDEX('DEFAULT DATA'!$AGY$9:$AHF$41,START!$C$3,1)*BUILDINGS!AQ5/1000000</f>
        <v>0</v>
      </c>
      <c r="AR143" s="272">
        <f>AR$132*INDEX('DEFAULT DATA'!$AGY$9:$AHF$41,START!$C$3,1)*BUILDINGS!AR5/1000000</f>
        <v>0</v>
      </c>
      <c r="AS143" s="272">
        <f>AS$132*INDEX('DEFAULT DATA'!$AGY$9:$AHF$41,START!$C$3,1)*BUILDINGS!AS5/1000000</f>
        <v>0</v>
      </c>
      <c r="AT143" s="272">
        <f>AT$132*INDEX('DEFAULT DATA'!$AGY$9:$AHF$41,START!$C$3,1)*BUILDINGS!AT5/1000000</f>
        <v>0</v>
      </c>
      <c r="AU143" s="272">
        <f>AU$132*INDEX('DEFAULT DATA'!$AGY$9:$AHF$41,START!$C$3,1)*BUILDINGS!AU5/1000000</f>
        <v>0</v>
      </c>
      <c r="AV143" s="272">
        <f>AV$132*INDEX('DEFAULT DATA'!$AGY$9:$AHF$41,START!$C$3,1)*BUILDINGS!AV5/1000000</f>
        <v>0</v>
      </c>
      <c r="AW143" s="272">
        <f>AW$132*INDEX('DEFAULT DATA'!$AGY$9:$AHF$41,START!$C$3,1)*BUILDINGS!AW5/1000000</f>
        <v>0</v>
      </c>
      <c r="AX143" s="272">
        <f>AX$132*INDEX('DEFAULT DATA'!$AGY$9:$AHF$41,START!$C$3,1)*BUILDINGS!AX5/1000000</f>
        <v>0</v>
      </c>
      <c r="AY143" s="272">
        <f>AY$132*INDEX('DEFAULT DATA'!$AGY$9:$AHF$41,START!$C$3,1)*BUILDINGS!AY5/1000000</f>
        <v>0</v>
      </c>
      <c r="AZ143" s="272">
        <f>AZ$132*INDEX('DEFAULT DATA'!$AGY$9:$AHF$41,START!$C$3,1)*BUILDINGS!AZ5/1000000</f>
        <v>0</v>
      </c>
      <c r="BA143" s="272">
        <f>BA$132*INDEX('DEFAULT DATA'!$AGY$9:$AHF$41,START!$C$3,1)*BUILDINGS!BA5/1000000</f>
        <v>0</v>
      </c>
      <c r="BB143" s="272">
        <f>BB$132*INDEX('DEFAULT DATA'!$AGY$9:$AHF$41,START!$C$3,1)*BUILDINGS!BB5/1000000</f>
        <v>0</v>
      </c>
      <c r="BC143" s="272">
        <f>BC$132*INDEX('DEFAULT DATA'!$AGY$9:$AHF$41,START!$C$3,1)*BUILDINGS!BC5/1000000</f>
        <v>0</v>
      </c>
      <c r="BD143" s="272">
        <f>BD$132*INDEX('DEFAULT DATA'!$AGY$9:$AHF$41,START!$C$3,1)*BUILDINGS!BD5/1000000</f>
        <v>0</v>
      </c>
      <c r="BE143" s="272">
        <f>BE$132*INDEX('DEFAULT DATA'!$AGY$9:$AHF$41,START!$C$3,1)*BUILDINGS!BE5/1000000</f>
        <v>0</v>
      </c>
      <c r="BF143" s="272">
        <f>BF$132*INDEX('DEFAULT DATA'!$AGY$9:$AHF$41,START!$C$3,1)*BUILDINGS!BF5/1000000</f>
        <v>0</v>
      </c>
      <c r="BG143" s="272">
        <f>BG$132*INDEX('DEFAULT DATA'!$AGY$9:$AHF$41,START!$C$3,1)*BUILDINGS!BG5/1000000</f>
        <v>0</v>
      </c>
      <c r="BH143" s="272">
        <f>BH$132*INDEX('DEFAULT DATA'!$AGY$9:$AHF$41,START!$C$3,1)*BUILDINGS!BH5/1000000</f>
        <v>0</v>
      </c>
      <c r="BI143" s="272">
        <f>BI$132*INDEX('DEFAULT DATA'!$AGY$9:$AHF$41,START!$C$3,1)*BUILDINGS!BI5/1000000</f>
        <v>0</v>
      </c>
      <c r="BJ143" s="272">
        <f>BJ$132*INDEX('DEFAULT DATA'!$AGY$9:$AHF$41,START!$C$3,1)*BUILDINGS!BJ5/1000000</f>
        <v>0</v>
      </c>
      <c r="BK143" s="272">
        <f>BK$132*INDEX('DEFAULT DATA'!$AGY$9:$AHF$41,START!$C$3,1)*BUILDINGS!BK5/1000000</f>
        <v>0</v>
      </c>
      <c r="BL143" s="272">
        <f>BL$132*INDEX('DEFAULT DATA'!$AGY$9:$AHF$41,START!$C$3,1)*BUILDINGS!BL5/1000000</f>
        <v>0</v>
      </c>
      <c r="BM143" s="272">
        <f>BM$132*INDEX('DEFAULT DATA'!$AGY$9:$AHF$41,START!$C$3,1)*BUILDINGS!BM5/1000000</f>
        <v>0</v>
      </c>
      <c r="BN143" s="272">
        <f>BN$132*INDEX('DEFAULT DATA'!$AGY$9:$AHF$41,START!$C$3,1)*BUILDINGS!BN5/1000000</f>
        <v>0</v>
      </c>
      <c r="BP143" s="522" t="str">
        <f>AG143</f>
        <v>Electricity</v>
      </c>
      <c r="BQ143" s="526" t="s">
        <v>1866</v>
      </c>
      <c r="BR143" s="527"/>
      <c r="BS143" s="527"/>
      <c r="BT143" s="527"/>
      <c r="BU143" s="527"/>
      <c r="BV143" s="527"/>
      <c r="BW143" s="527"/>
      <c r="BX143" s="527"/>
      <c r="BY143" s="527"/>
      <c r="BZ143" s="527"/>
      <c r="CA143" s="527"/>
      <c r="CB143" s="527"/>
      <c r="CC143" s="527"/>
      <c r="CD143" s="527"/>
      <c r="CE143" s="527"/>
      <c r="CF143" s="527"/>
      <c r="CG143" s="528"/>
      <c r="CH143" s="529" t="s">
        <v>1770</v>
      </c>
      <c r="CI143" s="529" t="s">
        <v>1865</v>
      </c>
    </row>
    <row r="144" spans="1:87" ht="20.100000000000001" customHeight="1" thickBot="1">
      <c r="A144" s="233" t="s">
        <v>1517</v>
      </c>
      <c r="B144" s="234"/>
      <c r="C144" s="234"/>
      <c r="D144" s="234"/>
      <c r="E144" s="234"/>
      <c r="F144" s="234"/>
      <c r="G144" s="234"/>
      <c r="H144" s="235"/>
      <c r="I144" s="235"/>
      <c r="J144" s="235"/>
      <c r="K144" s="236"/>
      <c r="L144" s="384"/>
      <c r="M144" s="384"/>
      <c r="N144" s="384"/>
      <c r="O144" s="384"/>
      <c r="P144" s="384"/>
      <c r="Q144" s="384"/>
      <c r="R144" s="384"/>
      <c r="S144" s="384"/>
      <c r="T144" s="384"/>
      <c r="U144" s="384"/>
      <c r="V144" s="384"/>
      <c r="W144" s="384"/>
      <c r="X144" s="384"/>
      <c r="Y144" s="384"/>
      <c r="Z144" s="384"/>
      <c r="AA144" s="384"/>
      <c r="AB144" s="384"/>
      <c r="AC144" s="384"/>
      <c r="AD144" s="384"/>
      <c r="AE144" s="384"/>
      <c r="AF144" s="1502"/>
      <c r="AG144" s="1513" t="s">
        <v>1220</v>
      </c>
      <c r="AH144" s="1514"/>
      <c r="AI144" s="1514"/>
      <c r="AJ144" s="1515"/>
      <c r="AK144" s="262">
        <v>0</v>
      </c>
      <c r="AL144" s="272">
        <f>AL$132*INDEX('DEFAULT DATA'!$AGY$9:$AHF$41,START!$C$3,2)*INDEX('DEFAULT DATA'!$VD$9:$VJ$41,START!$C$3,2)/1000000</f>
        <v>0</v>
      </c>
      <c r="AM144" s="272">
        <f>AM$132*INDEX('DEFAULT DATA'!$AGY$9:$AHF$41,START!$C$3,2)*INDEX('DEFAULT DATA'!$VD$9:$VJ$41,START!$C$3,2)/1000000</f>
        <v>0</v>
      </c>
      <c r="AN144" s="272">
        <f>AN$132*INDEX('DEFAULT DATA'!$AGY$9:$AHF$41,START!$C$3,2)*INDEX('DEFAULT DATA'!$VD$9:$VJ$41,START!$C$3,2)/1000000</f>
        <v>0</v>
      </c>
      <c r="AO144" s="272">
        <f>AO$132*INDEX('DEFAULT DATA'!$AGY$9:$AHF$41,START!$C$3,2)*INDEX('DEFAULT DATA'!$VD$9:$VJ$41,START!$C$3,2)/1000000</f>
        <v>0</v>
      </c>
      <c r="AP144" s="272">
        <f>AP$132*INDEX('DEFAULT DATA'!$AGY$9:$AHF$41,START!$C$3,2)*INDEX('DEFAULT DATA'!$VD$9:$VJ$41,START!$C$3,2)/1000000</f>
        <v>0</v>
      </c>
      <c r="AQ144" s="272">
        <f>AQ$132*INDEX('DEFAULT DATA'!$AGY$9:$AHF$41,START!$C$3,2)*INDEX('DEFAULT DATA'!$VD$9:$VJ$41,START!$C$3,2)/1000000</f>
        <v>0</v>
      </c>
      <c r="AR144" s="272">
        <f>AR$132*INDEX('DEFAULT DATA'!$AGY$9:$AHF$41,START!$C$3,2)*INDEX('DEFAULT DATA'!$VD$9:$VJ$41,START!$C$3,2)/1000000</f>
        <v>0</v>
      </c>
      <c r="AS144" s="272">
        <f>AS$132*INDEX('DEFAULT DATA'!$AGY$9:$AHF$41,START!$C$3,2)*INDEX('DEFAULT DATA'!$VD$9:$VJ$41,START!$C$3,2)/1000000</f>
        <v>0</v>
      </c>
      <c r="AT144" s="272">
        <f>AT$132*INDEX('DEFAULT DATA'!$AGY$9:$AHF$41,START!$C$3,2)*INDEX('DEFAULT DATA'!$VD$9:$VJ$41,START!$C$3,2)/1000000</f>
        <v>0</v>
      </c>
      <c r="AU144" s="272">
        <f>AU$132*INDEX('DEFAULT DATA'!$AGY$9:$AHF$41,START!$C$3,2)*INDEX('DEFAULT DATA'!$VD$9:$VJ$41,START!$C$3,2)/1000000</f>
        <v>0</v>
      </c>
      <c r="AV144" s="272">
        <f>AV$132*INDEX('DEFAULT DATA'!$AGY$9:$AHF$41,START!$C$3,2)*INDEX('DEFAULT DATA'!$VD$9:$VJ$41,START!$C$3,2)/1000000</f>
        <v>0</v>
      </c>
      <c r="AW144" s="272">
        <f>AW$132*INDEX('DEFAULT DATA'!$AGY$9:$AHF$41,START!$C$3,2)*INDEX('DEFAULT DATA'!$VD$9:$VJ$41,START!$C$3,2)/1000000</f>
        <v>0</v>
      </c>
      <c r="AX144" s="272">
        <f>AX$132*INDEX('DEFAULT DATA'!$AGY$9:$AHF$41,START!$C$3,2)*INDEX('DEFAULT DATA'!$VD$9:$VJ$41,START!$C$3,2)/1000000</f>
        <v>0</v>
      </c>
      <c r="AY144" s="272">
        <f>AY$132*INDEX('DEFAULT DATA'!$AGY$9:$AHF$41,START!$C$3,2)*INDEX('DEFAULT DATA'!$VD$9:$VJ$41,START!$C$3,2)/1000000</f>
        <v>0</v>
      </c>
      <c r="AZ144" s="272">
        <f>AZ$132*INDEX('DEFAULT DATA'!$AGY$9:$AHF$41,START!$C$3,2)*INDEX('DEFAULT DATA'!$VD$9:$VJ$41,START!$C$3,2)/1000000</f>
        <v>0</v>
      </c>
      <c r="BA144" s="272">
        <f>BA$132*INDEX('DEFAULT DATA'!$AGY$9:$AHF$41,START!$C$3,2)*INDEX('DEFAULT DATA'!$VD$9:$VJ$41,START!$C$3,2)/1000000</f>
        <v>0</v>
      </c>
      <c r="BB144" s="272">
        <f>BB$132*INDEX('DEFAULT DATA'!$AGY$9:$AHF$41,START!$C$3,2)*INDEX('DEFAULT DATA'!$VD$9:$VJ$41,START!$C$3,2)/1000000</f>
        <v>0</v>
      </c>
      <c r="BC144" s="272">
        <f>BC$132*INDEX('DEFAULT DATA'!$AGY$9:$AHF$41,START!$C$3,2)*INDEX('DEFAULT DATA'!$VD$9:$VJ$41,START!$C$3,2)/1000000</f>
        <v>0</v>
      </c>
      <c r="BD144" s="272">
        <f>BD$132*INDEX('DEFAULT DATA'!$AGY$9:$AHF$41,START!$C$3,2)*INDEX('DEFAULT DATA'!$VD$9:$VJ$41,START!$C$3,2)/1000000</f>
        <v>0</v>
      </c>
      <c r="BE144" s="272">
        <f>BE$132*INDEX('DEFAULT DATA'!$AGY$9:$AHF$41,START!$C$3,2)*INDEX('DEFAULT DATA'!$VD$9:$VJ$41,START!$C$3,2)/1000000</f>
        <v>0</v>
      </c>
      <c r="BF144" s="272">
        <f>BF$132*INDEX('DEFAULT DATA'!$AGY$9:$AHF$41,START!$C$3,2)*INDEX('DEFAULT DATA'!$VD$9:$VJ$41,START!$C$3,2)/1000000</f>
        <v>0</v>
      </c>
      <c r="BG144" s="272">
        <f>BG$132*INDEX('DEFAULT DATA'!$AGY$9:$AHF$41,START!$C$3,2)*INDEX('DEFAULT DATA'!$VD$9:$VJ$41,START!$C$3,2)/1000000</f>
        <v>0</v>
      </c>
      <c r="BH144" s="272">
        <f>BH$132*INDEX('DEFAULT DATA'!$AGY$9:$AHF$41,START!$C$3,2)*INDEX('DEFAULT DATA'!$VD$9:$VJ$41,START!$C$3,2)/1000000</f>
        <v>0</v>
      </c>
      <c r="BI144" s="272">
        <f>BI$132*INDEX('DEFAULT DATA'!$AGY$9:$AHF$41,START!$C$3,2)*INDEX('DEFAULT DATA'!$VD$9:$VJ$41,START!$C$3,2)/1000000</f>
        <v>0</v>
      </c>
      <c r="BJ144" s="272">
        <f>BJ$132*INDEX('DEFAULT DATA'!$AGY$9:$AHF$41,START!$C$3,2)*INDEX('DEFAULT DATA'!$VD$9:$VJ$41,START!$C$3,2)/1000000</f>
        <v>0</v>
      </c>
      <c r="BK144" s="272">
        <f>BK$132*INDEX('DEFAULT DATA'!$AGY$9:$AHF$41,START!$C$3,2)*INDEX('DEFAULT DATA'!$VD$9:$VJ$41,START!$C$3,2)/1000000</f>
        <v>0</v>
      </c>
      <c r="BL144" s="272">
        <f>BL$132*INDEX('DEFAULT DATA'!$AGY$9:$AHF$41,START!$C$3,2)*INDEX('DEFAULT DATA'!$VD$9:$VJ$41,START!$C$3,2)/1000000</f>
        <v>0</v>
      </c>
      <c r="BM144" s="272">
        <f>BM$132*INDEX('DEFAULT DATA'!$AGY$9:$AHF$41,START!$C$3,2)*INDEX('DEFAULT DATA'!$VD$9:$VJ$41,START!$C$3,2)/1000000</f>
        <v>0</v>
      </c>
      <c r="BN144" s="272">
        <f>BN$132*INDEX('DEFAULT DATA'!$AGY$9:$AHF$41,START!$C$3,2)*INDEX('DEFAULT DATA'!$VD$9:$VJ$41,START!$C$3,2)/1000000</f>
        <v>0</v>
      </c>
      <c r="BP144" s="524" t="str">
        <f t="shared" ref="BP144:BP150" si="63">AG144</f>
        <v>Gas</v>
      </c>
      <c r="BQ144" s="530" t="s">
        <v>1823</v>
      </c>
      <c r="BR144" s="531"/>
      <c r="BS144" s="531"/>
      <c r="BT144" s="531"/>
      <c r="BU144" s="531"/>
      <c r="BV144" s="531"/>
      <c r="BW144" s="531"/>
      <c r="BX144" s="531"/>
      <c r="BY144" s="531"/>
      <c r="BZ144" s="531"/>
      <c r="CA144" s="531"/>
      <c r="CB144" s="531"/>
      <c r="CC144" s="531"/>
      <c r="CD144" s="531"/>
      <c r="CE144" s="531"/>
      <c r="CF144" s="531"/>
      <c r="CG144" s="532"/>
      <c r="CH144" s="529" t="s">
        <v>1771</v>
      </c>
      <c r="CI144" s="529" t="s">
        <v>1248</v>
      </c>
    </row>
    <row r="145" spans="1:87" ht="20.100000000000001" customHeight="1">
      <c r="A145" s="237" t="s">
        <v>1518</v>
      </c>
      <c r="B145" s="261">
        <f>2021+START!C2</f>
        <v>2023</v>
      </c>
      <c r="C145" s="238"/>
      <c r="D145" s="238"/>
      <c r="E145" s="238"/>
      <c r="F145" s="238"/>
      <c r="G145" s="238"/>
      <c r="H145" s="238"/>
      <c r="I145" s="238"/>
      <c r="J145" s="239"/>
      <c r="K145" s="240"/>
      <c r="L145" s="384"/>
      <c r="M145" s="384"/>
      <c r="N145" s="384"/>
      <c r="O145" s="384"/>
      <c r="P145" s="384"/>
      <c r="Q145" s="384"/>
      <c r="R145" s="384"/>
      <c r="S145" s="384"/>
      <c r="T145" s="384"/>
      <c r="U145" s="384"/>
      <c r="V145" s="384"/>
      <c r="W145" s="384"/>
      <c r="X145" s="384"/>
      <c r="Y145" s="384"/>
      <c r="Z145" s="384"/>
      <c r="AA145" s="384"/>
      <c r="AB145" s="384"/>
      <c r="AC145" s="384"/>
      <c r="AD145" s="384"/>
      <c r="AE145" s="384"/>
      <c r="AF145" s="1502"/>
      <c r="AG145" s="1513" t="s">
        <v>1221</v>
      </c>
      <c r="AH145" s="1514"/>
      <c r="AI145" s="1514"/>
      <c r="AJ145" s="1515"/>
      <c r="AK145" s="262">
        <v>0</v>
      </c>
      <c r="AL145" s="272">
        <f>AL$132*INDEX('DEFAULT DATA'!$AGY$9:$AHF$41,START!$C$3,3)*INDEX('DEFAULT DATA'!$VD$9:$VJ$41,START!$C$3,3)/1000000</f>
        <v>0</v>
      </c>
      <c r="AM145" s="272">
        <f>AM$132*INDEX('DEFAULT DATA'!$AGY$9:$AHF$41,START!$C$3,3)*INDEX('DEFAULT DATA'!$VD$9:$VJ$41,START!$C$3,3)/1000000</f>
        <v>0</v>
      </c>
      <c r="AN145" s="272">
        <f>AN$132*INDEX('DEFAULT DATA'!$AGY$9:$AHF$41,START!$C$3,3)*INDEX('DEFAULT DATA'!$VD$9:$VJ$41,START!$C$3,3)/1000000</f>
        <v>0</v>
      </c>
      <c r="AO145" s="272">
        <f>AO$132*INDEX('DEFAULT DATA'!$AGY$9:$AHF$41,START!$C$3,3)*INDEX('DEFAULT DATA'!$VD$9:$VJ$41,START!$C$3,3)/1000000</f>
        <v>0</v>
      </c>
      <c r="AP145" s="272">
        <f>AP$132*INDEX('DEFAULT DATA'!$AGY$9:$AHF$41,START!$C$3,3)*INDEX('DEFAULT DATA'!$VD$9:$VJ$41,START!$C$3,3)/1000000</f>
        <v>0</v>
      </c>
      <c r="AQ145" s="272">
        <f>AQ$132*INDEX('DEFAULT DATA'!$AGY$9:$AHF$41,START!$C$3,3)*INDEX('DEFAULT DATA'!$VD$9:$VJ$41,START!$C$3,3)/1000000</f>
        <v>0</v>
      </c>
      <c r="AR145" s="272">
        <f>AR$132*INDEX('DEFAULT DATA'!$AGY$9:$AHF$41,START!$C$3,3)*INDEX('DEFAULT DATA'!$VD$9:$VJ$41,START!$C$3,3)/1000000</f>
        <v>0</v>
      </c>
      <c r="AS145" s="272">
        <f>AS$132*INDEX('DEFAULT DATA'!$AGY$9:$AHF$41,START!$C$3,3)*INDEX('DEFAULT DATA'!$VD$9:$VJ$41,START!$C$3,3)/1000000</f>
        <v>0</v>
      </c>
      <c r="AT145" s="272">
        <f>AT$132*INDEX('DEFAULT DATA'!$AGY$9:$AHF$41,START!$C$3,3)*INDEX('DEFAULT DATA'!$VD$9:$VJ$41,START!$C$3,3)/1000000</f>
        <v>0</v>
      </c>
      <c r="AU145" s="272">
        <f>AU$132*INDEX('DEFAULT DATA'!$AGY$9:$AHF$41,START!$C$3,3)*INDEX('DEFAULT DATA'!$VD$9:$VJ$41,START!$C$3,3)/1000000</f>
        <v>0</v>
      </c>
      <c r="AV145" s="272">
        <f>AV$132*INDEX('DEFAULT DATA'!$AGY$9:$AHF$41,START!$C$3,3)*INDEX('DEFAULT DATA'!$VD$9:$VJ$41,START!$C$3,3)/1000000</f>
        <v>0</v>
      </c>
      <c r="AW145" s="272">
        <f>AW$132*INDEX('DEFAULT DATA'!$AGY$9:$AHF$41,START!$C$3,3)*INDEX('DEFAULT DATA'!$VD$9:$VJ$41,START!$C$3,3)/1000000</f>
        <v>0</v>
      </c>
      <c r="AX145" s="272">
        <f>AX$132*INDEX('DEFAULT DATA'!$AGY$9:$AHF$41,START!$C$3,3)*INDEX('DEFAULT DATA'!$VD$9:$VJ$41,START!$C$3,3)/1000000</f>
        <v>0</v>
      </c>
      <c r="AY145" s="272">
        <f>AY$132*INDEX('DEFAULT DATA'!$AGY$9:$AHF$41,START!$C$3,3)*INDEX('DEFAULT DATA'!$VD$9:$VJ$41,START!$C$3,3)/1000000</f>
        <v>0</v>
      </c>
      <c r="AZ145" s="272">
        <f>AZ$132*INDEX('DEFAULT DATA'!$AGY$9:$AHF$41,START!$C$3,3)*INDEX('DEFAULT DATA'!$VD$9:$VJ$41,START!$C$3,3)/1000000</f>
        <v>0</v>
      </c>
      <c r="BA145" s="272">
        <f>BA$132*INDEX('DEFAULT DATA'!$AGY$9:$AHF$41,START!$C$3,3)*INDEX('DEFAULT DATA'!$VD$9:$VJ$41,START!$C$3,3)/1000000</f>
        <v>0</v>
      </c>
      <c r="BB145" s="272">
        <f>BB$132*INDEX('DEFAULT DATA'!$AGY$9:$AHF$41,START!$C$3,3)*INDEX('DEFAULT DATA'!$VD$9:$VJ$41,START!$C$3,3)/1000000</f>
        <v>0</v>
      </c>
      <c r="BC145" s="272">
        <f>BC$132*INDEX('DEFAULT DATA'!$AGY$9:$AHF$41,START!$C$3,3)*INDEX('DEFAULT DATA'!$VD$9:$VJ$41,START!$C$3,3)/1000000</f>
        <v>0</v>
      </c>
      <c r="BD145" s="272">
        <f>BD$132*INDEX('DEFAULT DATA'!$AGY$9:$AHF$41,START!$C$3,3)*INDEX('DEFAULT DATA'!$VD$9:$VJ$41,START!$C$3,3)/1000000</f>
        <v>0</v>
      </c>
      <c r="BE145" s="272">
        <f>BE$132*INDEX('DEFAULT DATA'!$AGY$9:$AHF$41,START!$C$3,3)*INDEX('DEFAULT DATA'!$VD$9:$VJ$41,START!$C$3,3)/1000000</f>
        <v>0</v>
      </c>
      <c r="BF145" s="272">
        <f>BF$132*INDEX('DEFAULT DATA'!$AGY$9:$AHF$41,START!$C$3,3)*INDEX('DEFAULT DATA'!$VD$9:$VJ$41,START!$C$3,3)/1000000</f>
        <v>0</v>
      </c>
      <c r="BG145" s="272">
        <f>BG$132*INDEX('DEFAULT DATA'!$AGY$9:$AHF$41,START!$C$3,3)*INDEX('DEFAULT DATA'!$VD$9:$VJ$41,START!$C$3,3)/1000000</f>
        <v>0</v>
      </c>
      <c r="BH145" s="272">
        <f>BH$132*INDEX('DEFAULT DATA'!$AGY$9:$AHF$41,START!$C$3,3)*INDEX('DEFAULT DATA'!$VD$9:$VJ$41,START!$C$3,3)/1000000</f>
        <v>0</v>
      </c>
      <c r="BI145" s="272">
        <f>BI$132*INDEX('DEFAULT DATA'!$AGY$9:$AHF$41,START!$C$3,3)*INDEX('DEFAULT DATA'!$VD$9:$VJ$41,START!$C$3,3)/1000000</f>
        <v>0</v>
      </c>
      <c r="BJ145" s="272">
        <f>BJ$132*INDEX('DEFAULT DATA'!$AGY$9:$AHF$41,START!$C$3,3)*INDEX('DEFAULT DATA'!$VD$9:$VJ$41,START!$C$3,3)/1000000</f>
        <v>0</v>
      </c>
      <c r="BK145" s="272">
        <f>BK$132*INDEX('DEFAULT DATA'!$AGY$9:$AHF$41,START!$C$3,3)*INDEX('DEFAULT DATA'!$VD$9:$VJ$41,START!$C$3,3)/1000000</f>
        <v>0</v>
      </c>
      <c r="BL145" s="272">
        <f>BL$132*INDEX('DEFAULT DATA'!$AGY$9:$AHF$41,START!$C$3,3)*INDEX('DEFAULT DATA'!$VD$9:$VJ$41,START!$C$3,3)/1000000</f>
        <v>0</v>
      </c>
      <c r="BM145" s="272">
        <f>BM$132*INDEX('DEFAULT DATA'!$AGY$9:$AHF$41,START!$C$3,3)*INDEX('DEFAULT DATA'!$VD$9:$VJ$41,START!$C$3,3)/1000000</f>
        <v>0</v>
      </c>
      <c r="BN145" s="272">
        <f>BN$132*INDEX('DEFAULT DATA'!$AGY$9:$AHF$41,START!$C$3,3)*INDEX('DEFAULT DATA'!$VD$9:$VJ$41,START!$C$3,3)/1000000</f>
        <v>0</v>
      </c>
      <c r="BP145" s="524" t="str">
        <f t="shared" si="63"/>
        <v>Oil</v>
      </c>
      <c r="BQ145" s="530" t="s">
        <v>1824</v>
      </c>
      <c r="BR145" s="531"/>
      <c r="BS145" s="531"/>
      <c r="BT145" s="531"/>
      <c r="BU145" s="531"/>
      <c r="BV145" s="531"/>
      <c r="BW145" s="531"/>
      <c r="BX145" s="531"/>
      <c r="BY145" s="531"/>
      <c r="BZ145" s="531"/>
      <c r="CA145" s="531"/>
      <c r="CB145" s="531"/>
      <c r="CC145" s="531"/>
      <c r="CD145" s="531"/>
      <c r="CE145" s="531"/>
      <c r="CF145" s="531"/>
      <c r="CG145" s="532"/>
      <c r="CH145" s="529" t="s">
        <v>1772</v>
      </c>
      <c r="CI145" s="529" t="s">
        <v>1621</v>
      </c>
    </row>
    <row r="146" spans="1:87" ht="20.100000000000001" customHeight="1">
      <c r="A146" s="230" t="s">
        <v>2551</v>
      </c>
      <c r="B146" s="218"/>
      <c r="C146" s="218"/>
      <c r="D146" s="218"/>
      <c r="E146" s="218"/>
      <c r="F146" s="218"/>
      <c r="G146" s="218"/>
      <c r="H146" s="217"/>
      <c r="I146" s="217"/>
      <c r="J146" s="217"/>
      <c r="K146" s="229"/>
      <c r="L146" s="29"/>
      <c r="M146" s="968"/>
      <c r="N146" s="971"/>
      <c r="O146" s="971"/>
      <c r="P146" s="971"/>
      <c r="Q146" s="971"/>
      <c r="R146" s="971"/>
      <c r="S146" s="971"/>
      <c r="T146" s="971"/>
      <c r="U146" s="971"/>
      <c r="V146" s="971"/>
      <c r="W146" s="971"/>
      <c r="X146" s="971"/>
      <c r="Y146" s="971"/>
      <c r="Z146" s="971"/>
      <c r="AA146" s="971"/>
      <c r="AB146" s="971"/>
      <c r="AC146" s="971"/>
      <c r="AD146" s="971"/>
      <c r="AE146" s="971"/>
      <c r="AF146" s="1502"/>
      <c r="AG146" s="1513" t="s">
        <v>1222</v>
      </c>
      <c r="AH146" s="1514"/>
      <c r="AI146" s="1514"/>
      <c r="AJ146" s="1515"/>
      <c r="AK146" s="262">
        <v>0</v>
      </c>
      <c r="AL146" s="272">
        <f>AL$132*INDEX('DEFAULT DATA'!$AGY$9:$AHF$41,START!$C$3,4)*INDEX('DEFAULT DATA'!$VD$9:$VJ$41,START!$C$3,4)/1000000</f>
        <v>0</v>
      </c>
      <c r="AM146" s="272">
        <f>AM$132*INDEX('DEFAULT DATA'!$AGY$9:$AHF$41,START!$C$3,4)*INDEX('DEFAULT DATA'!$VD$9:$VJ$41,START!$C$3,4)/1000000</f>
        <v>0</v>
      </c>
      <c r="AN146" s="272">
        <f>AN$132*INDEX('DEFAULT DATA'!$AGY$9:$AHF$41,START!$C$3,4)*INDEX('DEFAULT DATA'!$VD$9:$VJ$41,START!$C$3,4)/1000000</f>
        <v>0</v>
      </c>
      <c r="AO146" s="272">
        <f>AO$132*INDEX('DEFAULT DATA'!$AGY$9:$AHF$41,START!$C$3,4)*INDEX('DEFAULT DATA'!$VD$9:$VJ$41,START!$C$3,4)/1000000</f>
        <v>0</v>
      </c>
      <c r="AP146" s="272">
        <f>AP$132*INDEX('DEFAULT DATA'!$AGY$9:$AHF$41,START!$C$3,4)*INDEX('DEFAULT DATA'!$VD$9:$VJ$41,START!$C$3,4)/1000000</f>
        <v>0</v>
      </c>
      <c r="AQ146" s="272">
        <f>AQ$132*INDEX('DEFAULT DATA'!$AGY$9:$AHF$41,START!$C$3,4)*INDEX('DEFAULT DATA'!$VD$9:$VJ$41,START!$C$3,4)/1000000</f>
        <v>0</v>
      </c>
      <c r="AR146" s="272">
        <f>AR$132*INDEX('DEFAULT DATA'!$AGY$9:$AHF$41,START!$C$3,4)*INDEX('DEFAULT DATA'!$VD$9:$VJ$41,START!$C$3,4)/1000000</f>
        <v>0</v>
      </c>
      <c r="AS146" s="272">
        <f>AS$132*INDEX('DEFAULT DATA'!$AGY$9:$AHF$41,START!$C$3,4)*INDEX('DEFAULT DATA'!$VD$9:$VJ$41,START!$C$3,4)/1000000</f>
        <v>0</v>
      </c>
      <c r="AT146" s="272">
        <f>AT$132*INDEX('DEFAULT DATA'!$AGY$9:$AHF$41,START!$C$3,4)*INDEX('DEFAULT DATA'!$VD$9:$VJ$41,START!$C$3,4)/1000000</f>
        <v>0</v>
      </c>
      <c r="AU146" s="272">
        <f>AU$132*INDEX('DEFAULT DATA'!$AGY$9:$AHF$41,START!$C$3,4)*INDEX('DEFAULT DATA'!$VD$9:$VJ$41,START!$C$3,4)/1000000</f>
        <v>0</v>
      </c>
      <c r="AV146" s="272">
        <f>AV$132*INDEX('DEFAULT DATA'!$AGY$9:$AHF$41,START!$C$3,4)*INDEX('DEFAULT DATA'!$VD$9:$VJ$41,START!$C$3,4)/1000000</f>
        <v>0</v>
      </c>
      <c r="AW146" s="272">
        <f>AW$132*INDEX('DEFAULT DATA'!$AGY$9:$AHF$41,START!$C$3,4)*INDEX('DEFAULT DATA'!$VD$9:$VJ$41,START!$C$3,4)/1000000</f>
        <v>0</v>
      </c>
      <c r="AX146" s="272">
        <f>AX$132*INDEX('DEFAULT DATA'!$AGY$9:$AHF$41,START!$C$3,4)*INDEX('DEFAULT DATA'!$VD$9:$VJ$41,START!$C$3,4)/1000000</f>
        <v>0</v>
      </c>
      <c r="AY146" s="272">
        <f>AY$132*INDEX('DEFAULT DATA'!$AGY$9:$AHF$41,START!$C$3,4)*INDEX('DEFAULT DATA'!$VD$9:$VJ$41,START!$C$3,4)/1000000</f>
        <v>0</v>
      </c>
      <c r="AZ146" s="272">
        <f>AZ$132*INDEX('DEFAULT DATA'!$AGY$9:$AHF$41,START!$C$3,4)*INDEX('DEFAULT DATA'!$VD$9:$VJ$41,START!$C$3,4)/1000000</f>
        <v>0</v>
      </c>
      <c r="BA146" s="272">
        <f>BA$132*INDEX('DEFAULT DATA'!$AGY$9:$AHF$41,START!$C$3,4)*INDEX('DEFAULT DATA'!$VD$9:$VJ$41,START!$C$3,4)/1000000</f>
        <v>0</v>
      </c>
      <c r="BB146" s="272">
        <f>BB$132*INDEX('DEFAULT DATA'!$AGY$9:$AHF$41,START!$C$3,4)*INDEX('DEFAULT DATA'!$VD$9:$VJ$41,START!$C$3,4)/1000000</f>
        <v>0</v>
      </c>
      <c r="BC146" s="272">
        <f>BC$132*INDEX('DEFAULT DATA'!$AGY$9:$AHF$41,START!$C$3,4)*INDEX('DEFAULT DATA'!$VD$9:$VJ$41,START!$C$3,4)/1000000</f>
        <v>0</v>
      </c>
      <c r="BD146" s="272">
        <f>BD$132*INDEX('DEFAULT DATA'!$AGY$9:$AHF$41,START!$C$3,4)*INDEX('DEFAULT DATA'!$VD$9:$VJ$41,START!$C$3,4)/1000000</f>
        <v>0</v>
      </c>
      <c r="BE146" s="272">
        <f>BE$132*INDEX('DEFAULT DATA'!$AGY$9:$AHF$41,START!$C$3,4)*INDEX('DEFAULT DATA'!$VD$9:$VJ$41,START!$C$3,4)/1000000</f>
        <v>0</v>
      </c>
      <c r="BF146" s="272">
        <f>BF$132*INDEX('DEFAULT DATA'!$AGY$9:$AHF$41,START!$C$3,4)*INDEX('DEFAULT DATA'!$VD$9:$VJ$41,START!$C$3,4)/1000000</f>
        <v>0</v>
      </c>
      <c r="BG146" s="272">
        <f>BG$132*INDEX('DEFAULT DATA'!$AGY$9:$AHF$41,START!$C$3,4)*INDEX('DEFAULT DATA'!$VD$9:$VJ$41,START!$C$3,4)/1000000</f>
        <v>0</v>
      </c>
      <c r="BH146" s="272">
        <f>BH$132*INDEX('DEFAULT DATA'!$AGY$9:$AHF$41,START!$C$3,4)*INDEX('DEFAULT DATA'!$VD$9:$VJ$41,START!$C$3,4)/1000000</f>
        <v>0</v>
      </c>
      <c r="BI146" s="272">
        <f>BI$132*INDEX('DEFAULT DATA'!$AGY$9:$AHF$41,START!$C$3,4)*INDEX('DEFAULT DATA'!$VD$9:$VJ$41,START!$C$3,4)/1000000</f>
        <v>0</v>
      </c>
      <c r="BJ146" s="272">
        <f>BJ$132*INDEX('DEFAULT DATA'!$AGY$9:$AHF$41,START!$C$3,4)*INDEX('DEFAULT DATA'!$VD$9:$VJ$41,START!$C$3,4)/1000000</f>
        <v>0</v>
      </c>
      <c r="BK146" s="272">
        <f>BK$132*INDEX('DEFAULT DATA'!$AGY$9:$AHF$41,START!$C$3,4)*INDEX('DEFAULT DATA'!$VD$9:$VJ$41,START!$C$3,4)/1000000</f>
        <v>0</v>
      </c>
      <c r="BL146" s="272">
        <f>BL$132*INDEX('DEFAULT DATA'!$AGY$9:$AHF$41,START!$C$3,4)*INDEX('DEFAULT DATA'!$VD$9:$VJ$41,START!$C$3,4)/1000000</f>
        <v>0</v>
      </c>
      <c r="BM146" s="272">
        <f>BM$132*INDEX('DEFAULT DATA'!$AGY$9:$AHF$41,START!$C$3,4)*INDEX('DEFAULT DATA'!$VD$9:$VJ$41,START!$C$3,4)/1000000</f>
        <v>0</v>
      </c>
      <c r="BN146" s="272">
        <f>BN$132*INDEX('DEFAULT DATA'!$AGY$9:$AHF$41,START!$C$3,4)*INDEX('DEFAULT DATA'!$VD$9:$VJ$41,START!$C$3,4)/1000000</f>
        <v>0</v>
      </c>
      <c r="BP146" s="524" t="str">
        <f t="shared" si="63"/>
        <v>Coal</v>
      </c>
      <c r="BQ146" s="530" t="s">
        <v>1825</v>
      </c>
      <c r="BR146" s="531"/>
      <c r="BS146" s="531"/>
      <c r="BT146" s="531"/>
      <c r="BU146" s="531"/>
      <c r="BV146" s="531"/>
      <c r="BW146" s="531"/>
      <c r="BX146" s="531"/>
      <c r="BY146" s="531"/>
      <c r="BZ146" s="531"/>
      <c r="CA146" s="531"/>
      <c r="CB146" s="531"/>
      <c r="CC146" s="531"/>
      <c r="CD146" s="531"/>
      <c r="CE146" s="531"/>
      <c r="CF146" s="531"/>
      <c r="CG146" s="532"/>
      <c r="CH146" s="529" t="s">
        <v>1773</v>
      </c>
      <c r="CI146" s="529" t="s">
        <v>1622</v>
      </c>
    </row>
    <row r="147" spans="1:87" ht="20.100000000000001" customHeight="1">
      <c r="A147" s="974" t="s">
        <v>1432</v>
      </c>
      <c r="B147" s="975" t="s">
        <v>933</v>
      </c>
      <c r="C147" s="975" t="s">
        <v>1220</v>
      </c>
      <c r="D147" s="975" t="s">
        <v>1221</v>
      </c>
      <c r="E147" s="975" t="s">
        <v>1222</v>
      </c>
      <c r="F147" s="975" t="s">
        <v>1223</v>
      </c>
      <c r="G147" s="975" t="s">
        <v>1224</v>
      </c>
      <c r="H147" s="975" t="s">
        <v>1225</v>
      </c>
      <c r="I147" s="975" t="s">
        <v>1226</v>
      </c>
      <c r="J147" s="975" t="s">
        <v>170</v>
      </c>
      <c r="K147" s="41"/>
      <c r="L147" s="29"/>
      <c r="M147" s="968"/>
      <c r="N147" s="971"/>
      <c r="O147" s="971"/>
      <c r="P147" s="971"/>
      <c r="Q147" s="971"/>
      <c r="R147" s="971"/>
      <c r="S147" s="971"/>
      <c r="T147" s="971"/>
      <c r="U147" s="971"/>
      <c r="V147" s="971"/>
      <c r="W147" s="971"/>
      <c r="X147" s="971"/>
      <c r="Y147" s="971"/>
      <c r="Z147" s="971"/>
      <c r="AA147" s="971"/>
      <c r="AB147" s="971"/>
      <c r="AC147" s="971"/>
      <c r="AD147" s="971"/>
      <c r="AE147" s="971"/>
      <c r="AF147" s="1502"/>
      <c r="AG147" s="1513" t="s">
        <v>1223</v>
      </c>
      <c r="AH147" s="1514"/>
      <c r="AI147" s="1514"/>
      <c r="AJ147" s="1515"/>
      <c r="AK147" s="262">
        <v>0</v>
      </c>
      <c r="AL147" s="272">
        <f>AL$132*INDEX('DEFAULT DATA'!$AGY$9:$AHF$41,START!$C$3,5)*INDEX('DEFAULT DATA'!$VD$9:$VJ$41,START!$C$3,5)/1000000</f>
        <v>0</v>
      </c>
      <c r="AM147" s="272">
        <f>AM$132*INDEX('DEFAULT DATA'!$AGY$9:$AHF$41,START!$C$3,5)*INDEX('DEFAULT DATA'!$VD$9:$VJ$41,START!$C$3,5)/1000000</f>
        <v>0</v>
      </c>
      <c r="AN147" s="272">
        <f>AN$132*INDEX('DEFAULT DATA'!$AGY$9:$AHF$41,START!$C$3,5)*INDEX('DEFAULT DATA'!$VD$9:$VJ$41,START!$C$3,5)/1000000</f>
        <v>0</v>
      </c>
      <c r="AO147" s="272">
        <f>AO$132*INDEX('DEFAULT DATA'!$AGY$9:$AHF$41,START!$C$3,5)*INDEX('DEFAULT DATA'!$VD$9:$VJ$41,START!$C$3,5)/1000000</f>
        <v>0</v>
      </c>
      <c r="AP147" s="272">
        <f>AP$132*INDEX('DEFAULT DATA'!$AGY$9:$AHF$41,START!$C$3,5)*INDEX('DEFAULT DATA'!$VD$9:$VJ$41,START!$C$3,5)/1000000</f>
        <v>0</v>
      </c>
      <c r="AQ147" s="272">
        <f>AQ$132*INDEX('DEFAULT DATA'!$AGY$9:$AHF$41,START!$C$3,5)*INDEX('DEFAULT DATA'!$VD$9:$VJ$41,START!$C$3,5)/1000000</f>
        <v>0</v>
      </c>
      <c r="AR147" s="272">
        <f>AR$132*INDEX('DEFAULT DATA'!$AGY$9:$AHF$41,START!$C$3,5)*INDEX('DEFAULT DATA'!$VD$9:$VJ$41,START!$C$3,5)/1000000</f>
        <v>0</v>
      </c>
      <c r="AS147" s="272">
        <f>AS$132*INDEX('DEFAULT DATA'!$AGY$9:$AHF$41,START!$C$3,5)*INDEX('DEFAULT DATA'!$VD$9:$VJ$41,START!$C$3,5)/1000000</f>
        <v>0</v>
      </c>
      <c r="AT147" s="272">
        <f>AT$132*INDEX('DEFAULT DATA'!$AGY$9:$AHF$41,START!$C$3,5)*INDEX('DEFAULT DATA'!$VD$9:$VJ$41,START!$C$3,5)/1000000</f>
        <v>0</v>
      </c>
      <c r="AU147" s="272">
        <f>AU$132*INDEX('DEFAULT DATA'!$AGY$9:$AHF$41,START!$C$3,5)*INDEX('DEFAULT DATA'!$VD$9:$VJ$41,START!$C$3,5)/1000000</f>
        <v>0</v>
      </c>
      <c r="AV147" s="272">
        <f>AV$132*INDEX('DEFAULT DATA'!$AGY$9:$AHF$41,START!$C$3,5)*INDEX('DEFAULT DATA'!$VD$9:$VJ$41,START!$C$3,5)/1000000</f>
        <v>0</v>
      </c>
      <c r="AW147" s="272">
        <f>AW$132*INDEX('DEFAULT DATA'!$AGY$9:$AHF$41,START!$C$3,5)*INDEX('DEFAULT DATA'!$VD$9:$VJ$41,START!$C$3,5)/1000000</f>
        <v>0</v>
      </c>
      <c r="AX147" s="272">
        <f>AX$132*INDEX('DEFAULT DATA'!$AGY$9:$AHF$41,START!$C$3,5)*INDEX('DEFAULT DATA'!$VD$9:$VJ$41,START!$C$3,5)/1000000</f>
        <v>0</v>
      </c>
      <c r="AY147" s="272">
        <f>AY$132*INDEX('DEFAULT DATA'!$AGY$9:$AHF$41,START!$C$3,5)*INDEX('DEFAULT DATA'!$VD$9:$VJ$41,START!$C$3,5)/1000000</f>
        <v>0</v>
      </c>
      <c r="AZ147" s="272">
        <f>AZ$132*INDEX('DEFAULT DATA'!$AGY$9:$AHF$41,START!$C$3,5)*INDEX('DEFAULT DATA'!$VD$9:$VJ$41,START!$C$3,5)/1000000</f>
        <v>0</v>
      </c>
      <c r="BA147" s="272">
        <f>BA$132*INDEX('DEFAULT DATA'!$AGY$9:$AHF$41,START!$C$3,5)*INDEX('DEFAULT DATA'!$VD$9:$VJ$41,START!$C$3,5)/1000000</f>
        <v>0</v>
      </c>
      <c r="BB147" s="272">
        <f>BB$132*INDEX('DEFAULT DATA'!$AGY$9:$AHF$41,START!$C$3,5)*INDEX('DEFAULT DATA'!$VD$9:$VJ$41,START!$C$3,5)/1000000</f>
        <v>0</v>
      </c>
      <c r="BC147" s="272">
        <f>BC$132*INDEX('DEFAULT DATA'!$AGY$9:$AHF$41,START!$C$3,5)*INDEX('DEFAULT DATA'!$VD$9:$VJ$41,START!$C$3,5)/1000000</f>
        <v>0</v>
      </c>
      <c r="BD147" s="272">
        <f>BD$132*INDEX('DEFAULT DATA'!$AGY$9:$AHF$41,START!$C$3,5)*INDEX('DEFAULT DATA'!$VD$9:$VJ$41,START!$C$3,5)/1000000</f>
        <v>0</v>
      </c>
      <c r="BE147" s="272">
        <f>BE$132*INDEX('DEFAULT DATA'!$AGY$9:$AHF$41,START!$C$3,5)*INDEX('DEFAULT DATA'!$VD$9:$VJ$41,START!$C$3,5)/1000000</f>
        <v>0</v>
      </c>
      <c r="BF147" s="272">
        <f>BF$132*INDEX('DEFAULT DATA'!$AGY$9:$AHF$41,START!$C$3,5)*INDEX('DEFAULT DATA'!$VD$9:$VJ$41,START!$C$3,5)/1000000</f>
        <v>0</v>
      </c>
      <c r="BG147" s="272">
        <f>BG$132*INDEX('DEFAULT DATA'!$AGY$9:$AHF$41,START!$C$3,5)*INDEX('DEFAULT DATA'!$VD$9:$VJ$41,START!$C$3,5)/1000000</f>
        <v>0</v>
      </c>
      <c r="BH147" s="272">
        <f>BH$132*INDEX('DEFAULT DATA'!$AGY$9:$AHF$41,START!$C$3,5)*INDEX('DEFAULT DATA'!$VD$9:$VJ$41,START!$C$3,5)/1000000</f>
        <v>0</v>
      </c>
      <c r="BI147" s="272">
        <f>BI$132*INDEX('DEFAULT DATA'!$AGY$9:$AHF$41,START!$C$3,5)*INDEX('DEFAULT DATA'!$VD$9:$VJ$41,START!$C$3,5)/1000000</f>
        <v>0</v>
      </c>
      <c r="BJ147" s="272">
        <f>BJ$132*INDEX('DEFAULT DATA'!$AGY$9:$AHF$41,START!$C$3,5)*INDEX('DEFAULT DATA'!$VD$9:$VJ$41,START!$C$3,5)/1000000</f>
        <v>0</v>
      </c>
      <c r="BK147" s="272">
        <f>BK$132*INDEX('DEFAULT DATA'!$AGY$9:$AHF$41,START!$C$3,5)*INDEX('DEFAULT DATA'!$VD$9:$VJ$41,START!$C$3,5)/1000000</f>
        <v>0</v>
      </c>
      <c r="BL147" s="272">
        <f>BL$132*INDEX('DEFAULT DATA'!$AGY$9:$AHF$41,START!$C$3,5)*INDEX('DEFAULT DATA'!$VD$9:$VJ$41,START!$C$3,5)/1000000</f>
        <v>0</v>
      </c>
      <c r="BM147" s="272">
        <f>BM$132*INDEX('DEFAULT DATA'!$AGY$9:$AHF$41,START!$C$3,5)*INDEX('DEFAULT DATA'!$VD$9:$VJ$41,START!$C$3,5)/1000000</f>
        <v>0</v>
      </c>
      <c r="BN147" s="272">
        <f>BN$132*INDEX('DEFAULT DATA'!$AGY$9:$AHF$41,START!$C$3,5)*INDEX('DEFAULT DATA'!$VD$9:$VJ$41,START!$C$3,5)/1000000</f>
        <v>0</v>
      </c>
      <c r="BP147" s="524" t="str">
        <f t="shared" si="63"/>
        <v>Peat</v>
      </c>
      <c r="BQ147" s="530" t="s">
        <v>1826</v>
      </c>
      <c r="BR147" s="531"/>
      <c r="BS147" s="531"/>
      <c r="BT147" s="531"/>
      <c r="BU147" s="531"/>
      <c r="BV147" s="531"/>
      <c r="BW147" s="531"/>
      <c r="BX147" s="531"/>
      <c r="BY147" s="531"/>
      <c r="BZ147" s="531"/>
      <c r="CA147" s="531"/>
      <c r="CB147" s="531"/>
      <c r="CC147" s="531"/>
      <c r="CD147" s="531"/>
      <c r="CE147" s="531"/>
      <c r="CF147" s="531"/>
      <c r="CG147" s="532"/>
      <c r="CH147" s="529" t="s">
        <v>1774</v>
      </c>
      <c r="CI147" s="529" t="s">
        <v>1623</v>
      </c>
    </row>
    <row r="148" spans="1:87" ht="20.100000000000001" customHeight="1">
      <c r="A148" s="974" t="s">
        <v>1216</v>
      </c>
      <c r="B148" s="976">
        <f>INDEX($AL$43:$BN$50,1,START!$C$2)</f>
        <v>2562.9471291100717</v>
      </c>
      <c r="C148" s="976">
        <f>INDEX($AL$43:$BN$50,2,START!$C$2)</f>
        <v>146.64775581009226</v>
      </c>
      <c r="D148" s="976">
        <f>INDEX($AL$43:$BN$50,3,START!$C$2)</f>
        <v>1620.3851038026037</v>
      </c>
      <c r="E148" s="976">
        <f>INDEX($AL$43:$BN$50,4,START!$C$2)</f>
        <v>0</v>
      </c>
      <c r="F148" s="976">
        <f>INDEX($AL$43:$BN$50,5,START!$C$2)</f>
        <v>0</v>
      </c>
      <c r="G148" s="976">
        <f>INDEX($AL$43:$BN$50,6,START!$C$2)</f>
        <v>0</v>
      </c>
      <c r="H148" s="976">
        <f>INDEX($AL$43:$BN$50,7,START!$C$2)</f>
        <v>0</v>
      </c>
      <c r="I148" s="976">
        <f>INDEX($AL$43:$BN$50,8,START!$C$2)</f>
        <v>7622.7793861681639</v>
      </c>
      <c r="J148" s="976">
        <f>SUM(B148:I148)</f>
        <v>11952.759374890931</v>
      </c>
      <c r="K148" s="41"/>
      <c r="L148" s="29"/>
      <c r="M148" s="968"/>
      <c r="N148" s="971"/>
      <c r="O148" s="971"/>
      <c r="P148" s="971"/>
      <c r="Q148" s="971"/>
      <c r="R148" s="971"/>
      <c r="S148" s="971"/>
      <c r="T148" s="971"/>
      <c r="U148" s="971"/>
      <c r="V148" s="971"/>
      <c r="W148" s="971"/>
      <c r="X148" s="971"/>
      <c r="Y148" s="971"/>
      <c r="Z148" s="971"/>
      <c r="AA148" s="971"/>
      <c r="AB148" s="971"/>
      <c r="AC148" s="971"/>
      <c r="AD148" s="971"/>
      <c r="AE148" s="971"/>
      <c r="AF148" s="1502"/>
      <c r="AG148" s="1513" t="s">
        <v>1224</v>
      </c>
      <c r="AH148" s="1514"/>
      <c r="AI148" s="1514"/>
      <c r="AJ148" s="1515"/>
      <c r="AK148" s="262">
        <v>0</v>
      </c>
      <c r="AL148" s="272">
        <f>AL$132*INDEX('DEFAULT DATA'!$AGY$9:$AHF$41,START!$C$3,6)*INDEX('DEFAULT DATA'!$VD$9:$VJ$41,START!$C$3,6)/1000000</f>
        <v>0</v>
      </c>
      <c r="AM148" s="272">
        <f>AM$132*INDEX('DEFAULT DATA'!$AGY$9:$AHF$41,START!$C$3,6)*INDEX('DEFAULT DATA'!$VD$9:$VJ$41,START!$C$3,6)/1000000</f>
        <v>0</v>
      </c>
      <c r="AN148" s="272">
        <f>AN$132*INDEX('DEFAULT DATA'!$AGY$9:$AHF$41,START!$C$3,6)*INDEX('DEFAULT DATA'!$VD$9:$VJ$41,START!$C$3,6)/1000000</f>
        <v>0</v>
      </c>
      <c r="AO148" s="272">
        <f>AO$132*INDEX('DEFAULT DATA'!$AGY$9:$AHF$41,START!$C$3,6)*INDEX('DEFAULT DATA'!$VD$9:$VJ$41,START!$C$3,6)/1000000</f>
        <v>0</v>
      </c>
      <c r="AP148" s="272">
        <f>AP$132*INDEX('DEFAULT DATA'!$AGY$9:$AHF$41,START!$C$3,6)*INDEX('DEFAULT DATA'!$VD$9:$VJ$41,START!$C$3,6)/1000000</f>
        <v>0</v>
      </c>
      <c r="AQ148" s="272">
        <f>AQ$132*INDEX('DEFAULT DATA'!$AGY$9:$AHF$41,START!$C$3,6)*INDEX('DEFAULT DATA'!$VD$9:$VJ$41,START!$C$3,6)/1000000</f>
        <v>0</v>
      </c>
      <c r="AR148" s="272">
        <f>AR$132*INDEX('DEFAULT DATA'!$AGY$9:$AHF$41,START!$C$3,6)*INDEX('DEFAULT DATA'!$VD$9:$VJ$41,START!$C$3,6)/1000000</f>
        <v>0</v>
      </c>
      <c r="AS148" s="272">
        <f>AS$132*INDEX('DEFAULT DATA'!$AGY$9:$AHF$41,START!$C$3,6)*INDEX('DEFAULT DATA'!$VD$9:$VJ$41,START!$C$3,6)/1000000</f>
        <v>0</v>
      </c>
      <c r="AT148" s="272">
        <f>AT$132*INDEX('DEFAULT DATA'!$AGY$9:$AHF$41,START!$C$3,6)*INDEX('DEFAULT DATA'!$VD$9:$VJ$41,START!$C$3,6)/1000000</f>
        <v>0</v>
      </c>
      <c r="AU148" s="272">
        <f>AU$132*INDEX('DEFAULT DATA'!$AGY$9:$AHF$41,START!$C$3,6)*INDEX('DEFAULT DATA'!$VD$9:$VJ$41,START!$C$3,6)/1000000</f>
        <v>0</v>
      </c>
      <c r="AV148" s="272">
        <f>AV$132*INDEX('DEFAULT DATA'!$AGY$9:$AHF$41,START!$C$3,6)*INDEX('DEFAULT DATA'!$VD$9:$VJ$41,START!$C$3,6)/1000000</f>
        <v>0</v>
      </c>
      <c r="AW148" s="272">
        <f>AW$132*INDEX('DEFAULT DATA'!$AGY$9:$AHF$41,START!$C$3,6)*INDEX('DEFAULT DATA'!$VD$9:$VJ$41,START!$C$3,6)/1000000</f>
        <v>0</v>
      </c>
      <c r="AX148" s="272">
        <f>AX$132*INDEX('DEFAULT DATA'!$AGY$9:$AHF$41,START!$C$3,6)*INDEX('DEFAULT DATA'!$VD$9:$VJ$41,START!$C$3,6)/1000000</f>
        <v>0</v>
      </c>
      <c r="AY148" s="272">
        <f>AY$132*INDEX('DEFAULT DATA'!$AGY$9:$AHF$41,START!$C$3,6)*INDEX('DEFAULT DATA'!$VD$9:$VJ$41,START!$C$3,6)/1000000</f>
        <v>0</v>
      </c>
      <c r="AZ148" s="272">
        <f>AZ$132*INDEX('DEFAULT DATA'!$AGY$9:$AHF$41,START!$C$3,6)*INDEX('DEFAULT DATA'!$VD$9:$VJ$41,START!$C$3,6)/1000000</f>
        <v>0</v>
      </c>
      <c r="BA148" s="272">
        <f>BA$132*INDEX('DEFAULT DATA'!$AGY$9:$AHF$41,START!$C$3,6)*INDEX('DEFAULT DATA'!$VD$9:$VJ$41,START!$C$3,6)/1000000</f>
        <v>0</v>
      </c>
      <c r="BB148" s="272">
        <f>BB$132*INDEX('DEFAULT DATA'!$AGY$9:$AHF$41,START!$C$3,6)*INDEX('DEFAULT DATA'!$VD$9:$VJ$41,START!$C$3,6)/1000000</f>
        <v>0</v>
      </c>
      <c r="BC148" s="272">
        <f>BC$132*INDEX('DEFAULT DATA'!$AGY$9:$AHF$41,START!$C$3,6)*INDEX('DEFAULT DATA'!$VD$9:$VJ$41,START!$C$3,6)/1000000</f>
        <v>0</v>
      </c>
      <c r="BD148" s="272">
        <f>BD$132*INDEX('DEFAULT DATA'!$AGY$9:$AHF$41,START!$C$3,6)*INDEX('DEFAULT DATA'!$VD$9:$VJ$41,START!$C$3,6)/1000000</f>
        <v>0</v>
      </c>
      <c r="BE148" s="272">
        <f>BE$132*INDEX('DEFAULT DATA'!$AGY$9:$AHF$41,START!$C$3,6)*INDEX('DEFAULT DATA'!$VD$9:$VJ$41,START!$C$3,6)/1000000</f>
        <v>0</v>
      </c>
      <c r="BF148" s="272">
        <f>BF$132*INDEX('DEFAULT DATA'!$AGY$9:$AHF$41,START!$C$3,6)*INDEX('DEFAULT DATA'!$VD$9:$VJ$41,START!$C$3,6)/1000000</f>
        <v>0</v>
      </c>
      <c r="BG148" s="272">
        <f>BG$132*INDEX('DEFAULT DATA'!$AGY$9:$AHF$41,START!$C$3,6)*INDEX('DEFAULT DATA'!$VD$9:$VJ$41,START!$C$3,6)/1000000</f>
        <v>0</v>
      </c>
      <c r="BH148" s="272">
        <f>BH$132*INDEX('DEFAULT DATA'!$AGY$9:$AHF$41,START!$C$3,6)*INDEX('DEFAULT DATA'!$VD$9:$VJ$41,START!$C$3,6)/1000000</f>
        <v>0</v>
      </c>
      <c r="BI148" s="272">
        <f>BI$132*INDEX('DEFAULT DATA'!$AGY$9:$AHF$41,START!$C$3,6)*INDEX('DEFAULT DATA'!$VD$9:$VJ$41,START!$C$3,6)/1000000</f>
        <v>0</v>
      </c>
      <c r="BJ148" s="272">
        <f>BJ$132*INDEX('DEFAULT DATA'!$AGY$9:$AHF$41,START!$C$3,6)*INDEX('DEFAULT DATA'!$VD$9:$VJ$41,START!$C$3,6)/1000000</f>
        <v>0</v>
      </c>
      <c r="BK148" s="272">
        <f>BK$132*INDEX('DEFAULT DATA'!$AGY$9:$AHF$41,START!$C$3,6)*INDEX('DEFAULT DATA'!$VD$9:$VJ$41,START!$C$3,6)/1000000</f>
        <v>0</v>
      </c>
      <c r="BL148" s="272">
        <f>BL$132*INDEX('DEFAULT DATA'!$AGY$9:$AHF$41,START!$C$3,6)*INDEX('DEFAULT DATA'!$VD$9:$VJ$41,START!$C$3,6)/1000000</f>
        <v>0</v>
      </c>
      <c r="BM148" s="272">
        <f>BM$132*INDEX('DEFAULT DATA'!$AGY$9:$AHF$41,START!$C$3,6)*INDEX('DEFAULT DATA'!$VD$9:$VJ$41,START!$C$3,6)/1000000</f>
        <v>0</v>
      </c>
      <c r="BN148" s="272">
        <f>BN$132*INDEX('DEFAULT DATA'!$AGY$9:$AHF$41,START!$C$3,6)*INDEX('DEFAULT DATA'!$VD$9:$VJ$41,START!$C$3,6)/1000000</f>
        <v>0</v>
      </c>
      <c r="BP148" s="524" t="str">
        <f t="shared" si="63"/>
        <v>Wood</v>
      </c>
      <c r="BQ148" s="530" t="s">
        <v>1827</v>
      </c>
      <c r="BR148" s="531"/>
      <c r="BS148" s="531"/>
      <c r="BT148" s="531"/>
      <c r="BU148" s="531"/>
      <c r="BV148" s="531"/>
      <c r="BW148" s="531"/>
      <c r="BX148" s="531"/>
      <c r="BY148" s="531"/>
      <c r="BZ148" s="531"/>
      <c r="CA148" s="531"/>
      <c r="CB148" s="531"/>
      <c r="CC148" s="531"/>
      <c r="CD148" s="531"/>
      <c r="CE148" s="531"/>
      <c r="CF148" s="531"/>
      <c r="CG148" s="532"/>
      <c r="CH148" s="529" t="s">
        <v>1775</v>
      </c>
      <c r="CI148" s="529" t="s">
        <v>1624</v>
      </c>
    </row>
    <row r="149" spans="1:87" ht="20.100000000000001" customHeight="1">
      <c r="A149" s="974" t="s">
        <v>1219</v>
      </c>
      <c r="B149" s="976">
        <f>INDEX($AL$61:$BN$68,1,START!$C$2)</f>
        <v>3967.8641411381814</v>
      </c>
      <c r="C149" s="976">
        <f>INDEX($AL$61:$BN$68,2,START!$C$2)</f>
        <v>227.03487131991611</v>
      </c>
      <c r="D149" s="976">
        <f>INDEX($AL$61:$BN$68,3,START!$C$2)</f>
        <v>2508.6229345844195</v>
      </c>
      <c r="E149" s="976">
        <f>INDEX($AL$61:$BN$68,4,START!$C$2)</f>
        <v>0</v>
      </c>
      <c r="F149" s="976">
        <f>INDEX($AL$61:$BN$68,5,START!$C$2)</f>
        <v>0</v>
      </c>
      <c r="G149" s="976">
        <f>INDEX($AL$61:$BN$68,6,START!$C$2)</f>
        <v>0</v>
      </c>
      <c r="H149" s="976">
        <f>INDEX($AL$61:$BN$68,7,START!$C$2)</f>
        <v>0</v>
      </c>
      <c r="I149" s="976">
        <f>INDEX($AL$61:$BN$68,8,START!$C$2)</f>
        <v>11801.3175686095</v>
      </c>
      <c r="J149" s="976">
        <f t="shared" ref="J149:J152" si="64">SUM(B149:I149)</f>
        <v>18504.839515652016</v>
      </c>
      <c r="K149" s="41"/>
      <c r="L149" s="29"/>
      <c r="M149" s="968"/>
      <c r="N149" s="971"/>
      <c r="O149" s="971"/>
      <c r="P149" s="971"/>
      <c r="Q149" s="971"/>
      <c r="R149" s="971"/>
      <c r="S149" s="971"/>
      <c r="T149" s="971"/>
      <c r="U149" s="971"/>
      <c r="V149" s="971"/>
      <c r="W149" s="971"/>
      <c r="X149" s="971"/>
      <c r="Y149" s="971"/>
      <c r="Z149" s="971"/>
      <c r="AA149" s="971"/>
      <c r="AB149" s="971"/>
      <c r="AC149" s="971"/>
      <c r="AD149" s="971"/>
      <c r="AE149" s="971"/>
      <c r="AF149" s="1502"/>
      <c r="AG149" s="1513" t="s">
        <v>1225</v>
      </c>
      <c r="AH149" s="1514"/>
      <c r="AI149" s="1514"/>
      <c r="AJ149" s="1515"/>
      <c r="AK149" s="262">
        <v>0</v>
      </c>
      <c r="AL149" s="272">
        <f>AL$132*INDEX('DEFAULT DATA'!$AGY$9:$AHF$41,START!$C$3,7)*INDEX('DEFAULT DATA'!$VD$9:$VJ$41,START!$C$3,7)/1000000</f>
        <v>0</v>
      </c>
      <c r="AM149" s="272">
        <f>AM$132*INDEX('DEFAULT DATA'!$AGY$9:$AHF$41,START!$C$3,7)*INDEX('DEFAULT DATA'!$VD$9:$VJ$41,START!$C$3,7)/1000000</f>
        <v>0</v>
      </c>
      <c r="AN149" s="272">
        <f>AN$132*INDEX('DEFAULT DATA'!$AGY$9:$AHF$41,START!$C$3,7)*INDEX('DEFAULT DATA'!$VD$9:$VJ$41,START!$C$3,7)/1000000</f>
        <v>0</v>
      </c>
      <c r="AO149" s="272">
        <f>AO$132*INDEX('DEFAULT DATA'!$AGY$9:$AHF$41,START!$C$3,7)*INDEX('DEFAULT DATA'!$VD$9:$VJ$41,START!$C$3,7)/1000000</f>
        <v>0</v>
      </c>
      <c r="AP149" s="272">
        <f>AP$132*INDEX('DEFAULT DATA'!$AGY$9:$AHF$41,START!$C$3,7)*INDEX('DEFAULT DATA'!$VD$9:$VJ$41,START!$C$3,7)/1000000</f>
        <v>0</v>
      </c>
      <c r="AQ149" s="272">
        <f>AQ$132*INDEX('DEFAULT DATA'!$AGY$9:$AHF$41,START!$C$3,7)*INDEX('DEFAULT DATA'!$VD$9:$VJ$41,START!$C$3,7)/1000000</f>
        <v>0</v>
      </c>
      <c r="AR149" s="272">
        <f>AR$132*INDEX('DEFAULT DATA'!$AGY$9:$AHF$41,START!$C$3,7)*INDEX('DEFAULT DATA'!$VD$9:$VJ$41,START!$C$3,7)/1000000</f>
        <v>0</v>
      </c>
      <c r="AS149" s="272">
        <f>AS$132*INDEX('DEFAULT DATA'!$AGY$9:$AHF$41,START!$C$3,7)*INDEX('DEFAULT DATA'!$VD$9:$VJ$41,START!$C$3,7)/1000000</f>
        <v>0</v>
      </c>
      <c r="AT149" s="272">
        <f>AT$132*INDEX('DEFAULT DATA'!$AGY$9:$AHF$41,START!$C$3,7)*INDEX('DEFAULT DATA'!$VD$9:$VJ$41,START!$C$3,7)/1000000</f>
        <v>0</v>
      </c>
      <c r="AU149" s="272">
        <f>AU$132*INDEX('DEFAULT DATA'!$AGY$9:$AHF$41,START!$C$3,7)*INDEX('DEFAULT DATA'!$VD$9:$VJ$41,START!$C$3,7)/1000000</f>
        <v>0</v>
      </c>
      <c r="AV149" s="272">
        <f>AV$132*INDEX('DEFAULT DATA'!$AGY$9:$AHF$41,START!$C$3,7)*INDEX('DEFAULT DATA'!$VD$9:$VJ$41,START!$C$3,7)/1000000</f>
        <v>0</v>
      </c>
      <c r="AW149" s="272">
        <f>AW$132*INDEX('DEFAULT DATA'!$AGY$9:$AHF$41,START!$C$3,7)*INDEX('DEFAULT DATA'!$VD$9:$VJ$41,START!$C$3,7)/1000000</f>
        <v>0</v>
      </c>
      <c r="AX149" s="272">
        <f>AX$132*INDEX('DEFAULT DATA'!$AGY$9:$AHF$41,START!$C$3,7)*INDEX('DEFAULT DATA'!$VD$9:$VJ$41,START!$C$3,7)/1000000</f>
        <v>0</v>
      </c>
      <c r="AY149" s="272">
        <f>AY$132*INDEX('DEFAULT DATA'!$AGY$9:$AHF$41,START!$C$3,7)*INDEX('DEFAULT DATA'!$VD$9:$VJ$41,START!$C$3,7)/1000000</f>
        <v>0</v>
      </c>
      <c r="AZ149" s="272">
        <f>AZ$132*INDEX('DEFAULT DATA'!$AGY$9:$AHF$41,START!$C$3,7)*INDEX('DEFAULT DATA'!$VD$9:$VJ$41,START!$C$3,7)/1000000</f>
        <v>0</v>
      </c>
      <c r="BA149" s="272">
        <f>BA$132*INDEX('DEFAULT DATA'!$AGY$9:$AHF$41,START!$C$3,7)*INDEX('DEFAULT DATA'!$VD$9:$VJ$41,START!$C$3,7)/1000000</f>
        <v>0</v>
      </c>
      <c r="BB149" s="272">
        <f>BB$132*INDEX('DEFAULT DATA'!$AGY$9:$AHF$41,START!$C$3,7)*INDEX('DEFAULT DATA'!$VD$9:$VJ$41,START!$C$3,7)/1000000</f>
        <v>0</v>
      </c>
      <c r="BC149" s="272">
        <f>BC$132*INDEX('DEFAULT DATA'!$AGY$9:$AHF$41,START!$C$3,7)*INDEX('DEFAULT DATA'!$VD$9:$VJ$41,START!$C$3,7)/1000000</f>
        <v>0</v>
      </c>
      <c r="BD149" s="272">
        <f>BD$132*INDEX('DEFAULT DATA'!$AGY$9:$AHF$41,START!$C$3,7)*INDEX('DEFAULT DATA'!$VD$9:$VJ$41,START!$C$3,7)/1000000</f>
        <v>0</v>
      </c>
      <c r="BE149" s="272">
        <f>BE$132*INDEX('DEFAULT DATA'!$AGY$9:$AHF$41,START!$C$3,7)*INDEX('DEFAULT DATA'!$VD$9:$VJ$41,START!$C$3,7)/1000000</f>
        <v>0</v>
      </c>
      <c r="BF149" s="272">
        <f>BF$132*INDEX('DEFAULT DATA'!$AGY$9:$AHF$41,START!$C$3,7)*INDEX('DEFAULT DATA'!$VD$9:$VJ$41,START!$C$3,7)/1000000</f>
        <v>0</v>
      </c>
      <c r="BG149" s="272">
        <f>BG$132*INDEX('DEFAULT DATA'!$AGY$9:$AHF$41,START!$C$3,7)*INDEX('DEFAULT DATA'!$VD$9:$VJ$41,START!$C$3,7)/1000000</f>
        <v>0</v>
      </c>
      <c r="BH149" s="272">
        <f>BH$132*INDEX('DEFAULT DATA'!$AGY$9:$AHF$41,START!$C$3,7)*INDEX('DEFAULT DATA'!$VD$9:$VJ$41,START!$C$3,7)/1000000</f>
        <v>0</v>
      </c>
      <c r="BI149" s="272">
        <f>BI$132*INDEX('DEFAULT DATA'!$AGY$9:$AHF$41,START!$C$3,7)*INDEX('DEFAULT DATA'!$VD$9:$VJ$41,START!$C$3,7)/1000000</f>
        <v>0</v>
      </c>
      <c r="BJ149" s="272">
        <f>BJ$132*INDEX('DEFAULT DATA'!$AGY$9:$AHF$41,START!$C$3,7)*INDEX('DEFAULT DATA'!$VD$9:$VJ$41,START!$C$3,7)/1000000</f>
        <v>0</v>
      </c>
      <c r="BK149" s="272">
        <f>BK$132*INDEX('DEFAULT DATA'!$AGY$9:$AHF$41,START!$C$3,7)*INDEX('DEFAULT DATA'!$VD$9:$VJ$41,START!$C$3,7)/1000000</f>
        <v>0</v>
      </c>
      <c r="BL149" s="272">
        <f>BL$132*INDEX('DEFAULT DATA'!$AGY$9:$AHF$41,START!$C$3,7)*INDEX('DEFAULT DATA'!$VD$9:$VJ$41,START!$C$3,7)/1000000</f>
        <v>0</v>
      </c>
      <c r="BM149" s="272">
        <f>BM$132*INDEX('DEFAULT DATA'!$AGY$9:$AHF$41,START!$C$3,7)*INDEX('DEFAULT DATA'!$VD$9:$VJ$41,START!$C$3,7)/1000000</f>
        <v>0</v>
      </c>
      <c r="BN149" s="272">
        <f>BN$132*INDEX('DEFAULT DATA'!$AGY$9:$AHF$41,START!$C$3,7)*INDEX('DEFAULT DATA'!$VD$9:$VJ$41,START!$C$3,7)/1000000</f>
        <v>0</v>
      </c>
      <c r="BP149" s="524" t="str">
        <f t="shared" si="63"/>
        <v>Renewable</v>
      </c>
      <c r="BQ149" s="530" t="s">
        <v>1828</v>
      </c>
      <c r="BR149" s="531"/>
      <c r="BS149" s="531"/>
      <c r="BT149" s="531"/>
      <c r="BU149" s="531"/>
      <c r="BV149" s="531"/>
      <c r="BW149" s="531"/>
      <c r="BX149" s="531"/>
      <c r="BY149" s="531"/>
      <c r="BZ149" s="531"/>
      <c r="CA149" s="531"/>
      <c r="CB149" s="531"/>
      <c r="CC149" s="531"/>
      <c r="CD149" s="531"/>
      <c r="CE149" s="531"/>
      <c r="CF149" s="531"/>
      <c r="CG149" s="532"/>
      <c r="CH149" s="529" t="s">
        <v>1776</v>
      </c>
      <c r="CI149" s="529" t="s">
        <v>1625</v>
      </c>
    </row>
    <row r="150" spans="1:87" ht="20.100000000000001" customHeight="1" thickBot="1">
      <c r="A150" s="974" t="s">
        <v>1218</v>
      </c>
      <c r="B150" s="976">
        <f>INDEX($AL$79:$BN$86,1,START!$C$2)</f>
        <v>16702.065463761457</v>
      </c>
      <c r="C150" s="976">
        <f>INDEX($AL$79:$BN$86,2,START!$C$2)</f>
        <v>955.66560458246352</v>
      </c>
      <c r="D150" s="976">
        <f>INDEX($AL$79:$BN$86,3,START!$C$2)</f>
        <v>10559.631828851774</v>
      </c>
      <c r="E150" s="976">
        <f>INDEX($AL$79:$BN$86,4,START!$C$2)</f>
        <v>0</v>
      </c>
      <c r="F150" s="976">
        <f>INDEX($AL$79:$BN$86,5,START!$C$2)</f>
        <v>0</v>
      </c>
      <c r="G150" s="976">
        <f>INDEX($AL$79:$BN$86,6,START!$C$2)</f>
        <v>0</v>
      </c>
      <c r="H150" s="976">
        <f>INDEX($AL$79:$BN$86,7,START!$C$2)</f>
        <v>0</v>
      </c>
      <c r="I150" s="976">
        <f>INDEX($AL$79:$BN$86,8,START!$C$2)</f>
        <v>49675.687366910235</v>
      </c>
      <c r="J150" s="976">
        <f t="shared" si="64"/>
        <v>77893.050264105928</v>
      </c>
      <c r="K150" s="41"/>
      <c r="L150" s="29"/>
      <c r="M150" s="968"/>
      <c r="N150" s="971"/>
      <c r="O150" s="971"/>
      <c r="P150" s="971"/>
      <c r="Q150" s="971"/>
      <c r="R150" s="971"/>
      <c r="S150" s="971"/>
      <c r="T150" s="971"/>
      <c r="U150" s="971"/>
      <c r="V150" s="971"/>
      <c r="W150" s="971"/>
      <c r="X150" s="971"/>
      <c r="Y150" s="971"/>
      <c r="Z150" s="971"/>
      <c r="AA150" s="971"/>
      <c r="AB150" s="971"/>
      <c r="AC150" s="971"/>
      <c r="AD150" s="971"/>
      <c r="AE150" s="971"/>
      <c r="AF150" s="1503"/>
      <c r="AG150" s="1477" t="s">
        <v>1226</v>
      </c>
      <c r="AH150" s="1527"/>
      <c r="AI150" s="1527"/>
      <c r="AJ150" s="1478"/>
      <c r="AK150" s="335">
        <v>0</v>
      </c>
      <c r="AL150" s="325">
        <f>AL$132*INDEX('DEFAULT DATA'!$AGY$9:$AHF$41,START!$C$3,8)*BUILDINGS!AL6/1000000</f>
        <v>0</v>
      </c>
      <c r="AM150" s="325">
        <f>AM$132*INDEX('DEFAULT DATA'!$AGY$9:$AHF$41,START!$C$3,8)*BUILDINGS!AM6/1000000</f>
        <v>0</v>
      </c>
      <c r="AN150" s="325">
        <f>AN$132*INDEX('DEFAULT DATA'!$AGY$9:$AHF$41,START!$C$3,8)*BUILDINGS!AN6/1000000</f>
        <v>0</v>
      </c>
      <c r="AO150" s="325">
        <f>AO$132*INDEX('DEFAULT DATA'!$AGY$9:$AHF$41,START!$C$3,8)*BUILDINGS!AO6/1000000</f>
        <v>0</v>
      </c>
      <c r="AP150" s="325">
        <f>AP$132*INDEX('DEFAULT DATA'!$AGY$9:$AHF$41,START!$C$3,8)*BUILDINGS!AP6/1000000</f>
        <v>0</v>
      </c>
      <c r="AQ150" s="325">
        <f>AQ$132*INDEX('DEFAULT DATA'!$AGY$9:$AHF$41,START!$C$3,8)*BUILDINGS!AQ6/1000000</f>
        <v>0</v>
      </c>
      <c r="AR150" s="325">
        <f>AR$132*INDEX('DEFAULT DATA'!$AGY$9:$AHF$41,START!$C$3,8)*BUILDINGS!AR6/1000000</f>
        <v>0</v>
      </c>
      <c r="AS150" s="325">
        <f>AS$132*INDEX('DEFAULT DATA'!$AGY$9:$AHF$41,START!$C$3,8)*BUILDINGS!AS6/1000000</f>
        <v>0</v>
      </c>
      <c r="AT150" s="325">
        <f>AT$132*INDEX('DEFAULT DATA'!$AGY$9:$AHF$41,START!$C$3,8)*BUILDINGS!AT6/1000000</f>
        <v>0</v>
      </c>
      <c r="AU150" s="325">
        <f>AU$132*INDEX('DEFAULT DATA'!$AGY$9:$AHF$41,START!$C$3,8)*BUILDINGS!AU6/1000000</f>
        <v>0</v>
      </c>
      <c r="AV150" s="325">
        <f>AV$132*INDEX('DEFAULT DATA'!$AGY$9:$AHF$41,START!$C$3,8)*BUILDINGS!AV6/1000000</f>
        <v>0</v>
      </c>
      <c r="AW150" s="325">
        <f>AW$132*INDEX('DEFAULT DATA'!$AGY$9:$AHF$41,START!$C$3,8)*BUILDINGS!AW6/1000000</f>
        <v>0</v>
      </c>
      <c r="AX150" s="325">
        <f>AX$132*INDEX('DEFAULT DATA'!$AGY$9:$AHF$41,START!$C$3,8)*BUILDINGS!AX6/1000000</f>
        <v>0</v>
      </c>
      <c r="AY150" s="325">
        <f>AY$132*INDEX('DEFAULT DATA'!$AGY$9:$AHF$41,START!$C$3,8)*BUILDINGS!AY6/1000000</f>
        <v>0</v>
      </c>
      <c r="AZ150" s="325">
        <f>AZ$132*INDEX('DEFAULT DATA'!$AGY$9:$AHF$41,START!$C$3,8)*BUILDINGS!AZ6/1000000</f>
        <v>0</v>
      </c>
      <c r="BA150" s="325">
        <f>BA$132*INDEX('DEFAULT DATA'!$AGY$9:$AHF$41,START!$C$3,8)*BUILDINGS!BA6/1000000</f>
        <v>0</v>
      </c>
      <c r="BB150" s="325">
        <f>BB$132*INDEX('DEFAULT DATA'!$AGY$9:$AHF$41,START!$C$3,8)*BUILDINGS!BB6/1000000</f>
        <v>0</v>
      </c>
      <c r="BC150" s="325">
        <f>BC$132*INDEX('DEFAULT DATA'!$AGY$9:$AHF$41,START!$C$3,8)*BUILDINGS!BC6/1000000</f>
        <v>0</v>
      </c>
      <c r="BD150" s="325">
        <f>BD$132*INDEX('DEFAULT DATA'!$AGY$9:$AHF$41,START!$C$3,8)*BUILDINGS!BD6/1000000</f>
        <v>0</v>
      </c>
      <c r="BE150" s="325">
        <f>BE$132*INDEX('DEFAULT DATA'!$AGY$9:$AHF$41,START!$C$3,8)*BUILDINGS!BE6/1000000</f>
        <v>0</v>
      </c>
      <c r="BF150" s="325">
        <f>BF$132*INDEX('DEFAULT DATA'!$AGY$9:$AHF$41,START!$C$3,8)*BUILDINGS!BF6/1000000</f>
        <v>0</v>
      </c>
      <c r="BG150" s="325">
        <f>BG$132*INDEX('DEFAULT DATA'!$AGY$9:$AHF$41,START!$C$3,8)*BUILDINGS!BG6/1000000</f>
        <v>0</v>
      </c>
      <c r="BH150" s="325">
        <f>BH$132*INDEX('DEFAULT DATA'!$AGY$9:$AHF$41,START!$C$3,8)*BUILDINGS!BH6/1000000</f>
        <v>0</v>
      </c>
      <c r="BI150" s="325">
        <f>BI$132*INDEX('DEFAULT DATA'!$AGY$9:$AHF$41,START!$C$3,8)*BUILDINGS!BI6/1000000</f>
        <v>0</v>
      </c>
      <c r="BJ150" s="325">
        <f>BJ$132*INDEX('DEFAULT DATA'!$AGY$9:$AHF$41,START!$C$3,8)*BUILDINGS!BJ6/1000000</f>
        <v>0</v>
      </c>
      <c r="BK150" s="325">
        <f>BK$132*INDEX('DEFAULT DATA'!$AGY$9:$AHF$41,START!$C$3,8)*BUILDINGS!BK6/1000000</f>
        <v>0</v>
      </c>
      <c r="BL150" s="325">
        <f>BL$132*INDEX('DEFAULT DATA'!$AGY$9:$AHF$41,START!$C$3,8)*BUILDINGS!BL6/1000000</f>
        <v>0</v>
      </c>
      <c r="BM150" s="325">
        <f>BM$132*INDEX('DEFAULT DATA'!$AGY$9:$AHF$41,START!$C$3,8)*BUILDINGS!BM6/1000000</f>
        <v>0</v>
      </c>
      <c r="BN150" s="325">
        <f>BN$132*INDEX('DEFAULT DATA'!$AGY$9:$AHF$41,START!$C$3,8)*BUILDINGS!BN6/1000000</f>
        <v>0</v>
      </c>
      <c r="BP150" s="525" t="str">
        <f t="shared" si="63"/>
        <v>Heat</v>
      </c>
      <c r="BQ150" s="533" t="s">
        <v>1829</v>
      </c>
      <c r="BR150" s="534"/>
      <c r="BS150" s="534"/>
      <c r="BT150" s="534"/>
      <c r="BU150" s="534"/>
      <c r="BV150" s="534"/>
      <c r="BW150" s="534"/>
      <c r="BX150" s="534"/>
      <c r="BY150" s="534"/>
      <c r="BZ150" s="534"/>
      <c r="CA150" s="534"/>
      <c r="CB150" s="534"/>
      <c r="CC150" s="534"/>
      <c r="CD150" s="534"/>
      <c r="CE150" s="534"/>
      <c r="CF150" s="534"/>
      <c r="CG150" s="535"/>
      <c r="CH150" s="529" t="s">
        <v>1777</v>
      </c>
      <c r="CI150" s="529" t="s">
        <v>1626</v>
      </c>
    </row>
    <row r="151" spans="1:87" ht="20.100000000000001" customHeight="1">
      <c r="A151" s="974" t="s">
        <v>1217</v>
      </c>
      <c r="B151" s="976">
        <f>INDEX($AL$99:$BN$106,1,START!$C$2)</f>
        <v>35479.159099870543</v>
      </c>
      <c r="C151" s="976">
        <f>INDEX($AL$99:$BN$106,2,START!$C$2)</f>
        <v>2030.0610187896607</v>
      </c>
      <c r="D151" s="976">
        <f>INDEX($AL$99:$BN$106,3,START!$C$2)</f>
        <v>22431.169276923378</v>
      </c>
      <c r="E151" s="976">
        <f>INDEX($AL$99:$BN$106,4,START!$C$2)</f>
        <v>0</v>
      </c>
      <c r="F151" s="976">
        <f>INDEX($AL$99:$BN$106,5,START!$C$2)</f>
        <v>0</v>
      </c>
      <c r="G151" s="976">
        <f>INDEX($AL$99:$BN$106,6,START!$C$2)</f>
        <v>0</v>
      </c>
      <c r="H151" s="976">
        <f>INDEX($AL$99:$BN$106,7,START!$C$2)</f>
        <v>0</v>
      </c>
      <c r="I151" s="976">
        <f>INDEX($AL$99:$BN$106,8,START!$C$2)</f>
        <v>59317.647965395925</v>
      </c>
      <c r="J151" s="976">
        <f t="shared" si="64"/>
        <v>119258.03736097951</v>
      </c>
      <c r="K151" s="41"/>
      <c r="L151" s="29"/>
      <c r="M151" s="968"/>
      <c r="N151" s="971"/>
      <c r="O151" s="971"/>
      <c r="P151" s="971"/>
      <c r="Q151" s="971"/>
      <c r="R151" s="971"/>
      <c r="S151" s="971"/>
      <c r="T151" s="971"/>
      <c r="U151" s="971"/>
      <c r="V151" s="971"/>
      <c r="W151" s="971"/>
      <c r="X151" s="971"/>
      <c r="Y151" s="971"/>
      <c r="Z151" s="971"/>
      <c r="AA151" s="971"/>
      <c r="AB151" s="971"/>
      <c r="AC151" s="971"/>
      <c r="AD151" s="971"/>
      <c r="AE151" s="971"/>
      <c r="AF151" s="332"/>
      <c r="AG151" s="1429" t="s">
        <v>310</v>
      </c>
      <c r="AH151" s="1430"/>
      <c r="AI151" s="1430"/>
      <c r="AJ151" s="1516"/>
      <c r="AK151" s="497">
        <f>SUM(AK143:AK150)</f>
        <v>0</v>
      </c>
      <c r="AL151" s="327">
        <f t="shared" ref="AL151:BN151" si="65">SUM(AL143:AL150)</f>
        <v>0</v>
      </c>
      <c r="AM151" s="327">
        <f t="shared" si="65"/>
        <v>0</v>
      </c>
      <c r="AN151" s="327">
        <f t="shared" si="65"/>
        <v>0</v>
      </c>
      <c r="AO151" s="327">
        <f t="shared" si="65"/>
        <v>0</v>
      </c>
      <c r="AP151" s="327">
        <f t="shared" si="65"/>
        <v>0</v>
      </c>
      <c r="AQ151" s="327">
        <f t="shared" si="65"/>
        <v>0</v>
      </c>
      <c r="AR151" s="327">
        <f t="shared" si="65"/>
        <v>0</v>
      </c>
      <c r="AS151" s="327">
        <f t="shared" si="65"/>
        <v>0</v>
      </c>
      <c r="AT151" s="327">
        <f t="shared" si="65"/>
        <v>0</v>
      </c>
      <c r="AU151" s="327">
        <f t="shared" si="65"/>
        <v>0</v>
      </c>
      <c r="AV151" s="327">
        <f t="shared" si="65"/>
        <v>0</v>
      </c>
      <c r="AW151" s="327">
        <f t="shared" si="65"/>
        <v>0</v>
      </c>
      <c r="AX151" s="327">
        <f t="shared" si="65"/>
        <v>0</v>
      </c>
      <c r="AY151" s="327">
        <f t="shared" si="65"/>
        <v>0</v>
      </c>
      <c r="AZ151" s="327">
        <f t="shared" si="65"/>
        <v>0</v>
      </c>
      <c r="BA151" s="327">
        <f t="shared" si="65"/>
        <v>0</v>
      </c>
      <c r="BB151" s="327">
        <f t="shared" si="65"/>
        <v>0</v>
      </c>
      <c r="BC151" s="327">
        <f t="shared" si="65"/>
        <v>0</v>
      </c>
      <c r="BD151" s="327">
        <f t="shared" si="65"/>
        <v>0</v>
      </c>
      <c r="BE151" s="327">
        <f t="shared" si="65"/>
        <v>0</v>
      </c>
      <c r="BF151" s="327">
        <f t="shared" si="65"/>
        <v>0</v>
      </c>
      <c r="BG151" s="327">
        <f t="shared" si="65"/>
        <v>0</v>
      </c>
      <c r="BH151" s="327">
        <f t="shared" si="65"/>
        <v>0</v>
      </c>
      <c r="BI151" s="327">
        <f t="shared" si="65"/>
        <v>0</v>
      </c>
      <c r="BJ151" s="327">
        <f t="shared" si="65"/>
        <v>0</v>
      </c>
      <c r="BK151" s="327">
        <f t="shared" si="65"/>
        <v>0</v>
      </c>
      <c r="BL151" s="327">
        <f t="shared" si="65"/>
        <v>0</v>
      </c>
      <c r="BM151" s="327">
        <f t="shared" si="65"/>
        <v>0</v>
      </c>
      <c r="BN151" s="327">
        <f t="shared" si="65"/>
        <v>0</v>
      </c>
      <c r="BQ151" s="17"/>
    </row>
    <row r="152" spans="1:87" ht="20.100000000000001" customHeight="1">
      <c r="A152" s="974" t="s">
        <v>1228</v>
      </c>
      <c r="B152" s="976">
        <f>INDEX($AL$143:$BN$150,1,START!$C$2)</f>
        <v>0</v>
      </c>
      <c r="C152" s="976">
        <f>INDEX($AL$143:$BN$150,2,START!$C$2)</f>
        <v>0</v>
      </c>
      <c r="D152" s="976">
        <f>INDEX($AL$143:$BN$150,3,START!$C$2)</f>
        <v>0</v>
      </c>
      <c r="E152" s="976">
        <f>INDEX($AL$143:$BN$150,4,START!$C$2)</f>
        <v>0</v>
      </c>
      <c r="F152" s="976">
        <f>INDEX($AL$143:$BN$150,5,START!$C$2)</f>
        <v>0</v>
      </c>
      <c r="G152" s="976">
        <f>INDEX($AL$143:$BN$150,6,START!$C$2)</f>
        <v>0</v>
      </c>
      <c r="H152" s="976">
        <f>INDEX($AL$143:$BN$150,7,START!$C$2)</f>
        <v>0</v>
      </c>
      <c r="I152" s="976">
        <f>INDEX($AL$143:$BN$150,8,START!$C$2)</f>
        <v>0</v>
      </c>
      <c r="J152" s="976">
        <f t="shared" si="64"/>
        <v>0</v>
      </c>
      <c r="K152" s="41"/>
      <c r="L152" s="29"/>
      <c r="M152" s="968"/>
      <c r="N152" s="971"/>
      <c r="O152" s="971"/>
      <c r="P152" s="971"/>
      <c r="Q152" s="971"/>
      <c r="R152" s="971"/>
      <c r="S152" s="971"/>
      <c r="T152" s="971"/>
      <c r="U152" s="971"/>
      <c r="V152" s="971"/>
      <c r="W152" s="971"/>
      <c r="X152" s="971"/>
      <c r="Y152" s="971"/>
      <c r="Z152" s="971"/>
      <c r="AA152" s="971"/>
      <c r="AB152" s="971"/>
      <c r="AC152" s="971"/>
      <c r="AD152" s="971"/>
      <c r="AE152" s="971"/>
      <c r="BQ152" s="17"/>
    </row>
    <row r="153" spans="1:87" ht="20.100000000000001" customHeight="1">
      <c r="A153" s="974" t="s">
        <v>1229</v>
      </c>
      <c r="B153" s="976">
        <f>INDEX($AL$156:$BN$163,1,START!$C$2)</f>
        <v>0</v>
      </c>
      <c r="C153" s="976">
        <f>INDEX($AL$156:$BN$163,2,START!$C$2)</f>
        <v>0</v>
      </c>
      <c r="D153" s="976">
        <f>INDEX($AL$156:$BN$163,3,START!$C$2)</f>
        <v>0</v>
      </c>
      <c r="E153" s="976">
        <f>INDEX($AL$156:$BN$163,4,START!$C$2)</f>
        <v>0</v>
      </c>
      <c r="F153" s="976">
        <f>INDEX($AL$156:$BN$163,5,START!$C$2)</f>
        <v>0</v>
      </c>
      <c r="G153" s="976">
        <f>INDEX($AL$156:$BN$163,6,START!$C$2)</f>
        <v>0</v>
      </c>
      <c r="H153" s="976">
        <f>INDEX($AL$156:$BN$163,7,START!$C$2)</f>
        <v>0</v>
      </c>
      <c r="I153" s="976">
        <f>INDEX($AL$156:$BN$163,8,START!$C$2)</f>
        <v>0</v>
      </c>
      <c r="J153" s="976">
        <f>INDEX($AL$156:$BN$163,1,START!$C$2)</f>
        <v>0</v>
      </c>
      <c r="K153" s="41"/>
      <c r="L153" s="29"/>
      <c r="M153" s="968"/>
      <c r="N153" s="971"/>
      <c r="O153" s="971"/>
      <c r="P153" s="971"/>
      <c r="Q153" s="971"/>
      <c r="R153" s="971"/>
      <c r="S153" s="971"/>
      <c r="T153" s="971"/>
      <c r="U153" s="971"/>
      <c r="V153" s="971"/>
      <c r="W153" s="971"/>
      <c r="X153" s="971"/>
      <c r="Y153" s="971"/>
      <c r="Z153" s="971"/>
      <c r="AA153" s="971"/>
      <c r="AB153" s="971"/>
      <c r="AC153" s="971"/>
      <c r="AD153" s="971"/>
      <c r="AE153" s="971"/>
      <c r="BQ153" s="17"/>
      <c r="CH153" s="1560" t="s">
        <v>1767</v>
      </c>
      <c r="CI153" s="392"/>
    </row>
    <row r="154" spans="1:87" ht="20.100000000000001" customHeight="1">
      <c r="A154" s="974" t="s">
        <v>1230</v>
      </c>
      <c r="B154" s="976">
        <f>INDEX($AL$169:$BN$176,1,START!$C$2)</f>
        <v>0</v>
      </c>
      <c r="C154" s="976">
        <f>INDEX($AL$169:$BN$176,2,START!$C$2)</f>
        <v>0</v>
      </c>
      <c r="D154" s="976">
        <f>INDEX($AL$169:$BN$176,3,START!$C$2)</f>
        <v>0</v>
      </c>
      <c r="E154" s="976">
        <f>INDEX($AL$169:$BN$176,4,START!$C$2)</f>
        <v>0</v>
      </c>
      <c r="F154" s="976">
        <f>INDEX($AL$169:$BN$176,5,START!$C$2)</f>
        <v>0</v>
      </c>
      <c r="G154" s="976">
        <f>INDEX($AL$169:$BN$176,6,START!$C$2)</f>
        <v>0</v>
      </c>
      <c r="H154" s="976">
        <f>INDEX($AL$169:$BN$176,7,START!$C$2)</f>
        <v>0</v>
      </c>
      <c r="I154" s="976">
        <f>INDEX($AL$169:$BN$176,8,START!$C$2)</f>
        <v>0</v>
      </c>
      <c r="J154" s="976">
        <f>INDEX($AL$169:$BN$176,1,START!$C$2)</f>
        <v>0</v>
      </c>
      <c r="K154" s="41"/>
      <c r="L154" s="29"/>
      <c r="M154" s="968"/>
      <c r="N154" s="971"/>
      <c r="O154" s="971"/>
      <c r="P154" s="971"/>
      <c r="Q154" s="971"/>
      <c r="R154" s="971"/>
      <c r="S154" s="971"/>
      <c r="T154" s="971"/>
      <c r="U154" s="971"/>
      <c r="V154" s="971"/>
      <c r="W154" s="971"/>
      <c r="X154" s="971"/>
      <c r="Y154" s="971"/>
      <c r="Z154" s="971"/>
      <c r="AA154" s="971"/>
      <c r="AB154" s="971"/>
      <c r="AC154" s="971"/>
      <c r="AD154" s="971"/>
      <c r="AE154" s="971"/>
      <c r="AF154" s="271"/>
      <c r="BQ154" s="17"/>
      <c r="CH154" s="1560"/>
      <c r="CI154" s="392"/>
    </row>
    <row r="155" spans="1:87" ht="20.100000000000001" customHeight="1">
      <c r="A155" s="974" t="s">
        <v>1231</v>
      </c>
      <c r="B155" s="976">
        <f>INDEX($AL$182:$BN$189,1,START!$C$2)</f>
        <v>0</v>
      </c>
      <c r="C155" s="976">
        <f>INDEX($AL$182:$BN$189,2,START!$C$2)</f>
        <v>0</v>
      </c>
      <c r="D155" s="976">
        <f>INDEX($AL$182:$BN$189,3,START!$C$2)</f>
        <v>0</v>
      </c>
      <c r="E155" s="976">
        <f>INDEX($AL$182:$BN$189,4,START!$C$2)</f>
        <v>0</v>
      </c>
      <c r="F155" s="976">
        <f>INDEX($AL$182:$BN$189,5,START!$C$2)</f>
        <v>0</v>
      </c>
      <c r="G155" s="976">
        <f>INDEX($AL$182:$BN$189,6,START!$C$2)</f>
        <v>0</v>
      </c>
      <c r="H155" s="976">
        <f>INDEX($AL$182:$BN$189,7,START!$C$2)</f>
        <v>0</v>
      </c>
      <c r="I155" s="976">
        <f>INDEX($AL$182:$BN$189,8,START!$C$2)</f>
        <v>0</v>
      </c>
      <c r="J155" s="976">
        <f>INDEX($AL$182:$BN$189,1,START!$C$2)</f>
        <v>0</v>
      </c>
      <c r="K155" s="41"/>
      <c r="L155" s="29"/>
      <c r="M155" s="968"/>
      <c r="N155" s="971"/>
      <c r="O155" s="971"/>
      <c r="P155" s="971"/>
      <c r="Q155" s="971"/>
      <c r="R155" s="971"/>
      <c r="S155" s="971"/>
      <c r="T155" s="971"/>
      <c r="U155" s="971"/>
      <c r="V155" s="971"/>
      <c r="W155" s="971"/>
      <c r="X155" s="971"/>
      <c r="Y155" s="971"/>
      <c r="Z155" s="971"/>
      <c r="AA155" s="971"/>
      <c r="AB155" s="971"/>
      <c r="AC155" s="971"/>
      <c r="AD155" s="971"/>
      <c r="AE155" s="971"/>
      <c r="AF155" s="269" t="s">
        <v>1380</v>
      </c>
      <c r="AG155" s="508" t="s">
        <v>1363</v>
      </c>
      <c r="AH155" s="486"/>
      <c r="AI155" s="486"/>
      <c r="AJ155" s="487"/>
      <c r="AK155" s="262">
        <v>2021</v>
      </c>
      <c r="AL155" s="262">
        <f>AK155+1</f>
        <v>2022</v>
      </c>
      <c r="AM155" s="262">
        <f t="shared" ref="AM155:BN155" si="66">AL155+1</f>
        <v>2023</v>
      </c>
      <c r="AN155" s="262">
        <f t="shared" si="66"/>
        <v>2024</v>
      </c>
      <c r="AO155" s="262">
        <f t="shared" si="66"/>
        <v>2025</v>
      </c>
      <c r="AP155" s="262">
        <f t="shared" si="66"/>
        <v>2026</v>
      </c>
      <c r="AQ155" s="262">
        <f t="shared" si="66"/>
        <v>2027</v>
      </c>
      <c r="AR155" s="262">
        <f t="shared" si="66"/>
        <v>2028</v>
      </c>
      <c r="AS155" s="262">
        <f t="shared" si="66"/>
        <v>2029</v>
      </c>
      <c r="AT155" s="262">
        <f t="shared" si="66"/>
        <v>2030</v>
      </c>
      <c r="AU155" s="262">
        <f t="shared" si="66"/>
        <v>2031</v>
      </c>
      <c r="AV155" s="262">
        <f t="shared" si="66"/>
        <v>2032</v>
      </c>
      <c r="AW155" s="262">
        <f t="shared" si="66"/>
        <v>2033</v>
      </c>
      <c r="AX155" s="262">
        <f t="shared" si="66"/>
        <v>2034</v>
      </c>
      <c r="AY155" s="262">
        <f t="shared" si="66"/>
        <v>2035</v>
      </c>
      <c r="AZ155" s="262">
        <f t="shared" si="66"/>
        <v>2036</v>
      </c>
      <c r="BA155" s="262">
        <f t="shared" si="66"/>
        <v>2037</v>
      </c>
      <c r="BB155" s="262">
        <f t="shared" si="66"/>
        <v>2038</v>
      </c>
      <c r="BC155" s="262">
        <f t="shared" si="66"/>
        <v>2039</v>
      </c>
      <c r="BD155" s="262">
        <f t="shared" si="66"/>
        <v>2040</v>
      </c>
      <c r="BE155" s="262">
        <f t="shared" si="66"/>
        <v>2041</v>
      </c>
      <c r="BF155" s="262">
        <f t="shared" si="66"/>
        <v>2042</v>
      </c>
      <c r="BG155" s="262">
        <f t="shared" si="66"/>
        <v>2043</v>
      </c>
      <c r="BH155" s="262">
        <f t="shared" si="66"/>
        <v>2044</v>
      </c>
      <c r="BI155" s="262">
        <f t="shared" si="66"/>
        <v>2045</v>
      </c>
      <c r="BJ155" s="262">
        <f t="shared" si="66"/>
        <v>2046</v>
      </c>
      <c r="BK155" s="262">
        <f t="shared" si="66"/>
        <v>2047</v>
      </c>
      <c r="BL155" s="262">
        <f t="shared" si="66"/>
        <v>2048</v>
      </c>
      <c r="BM155" s="262">
        <f t="shared" si="66"/>
        <v>2049</v>
      </c>
      <c r="BN155" s="262">
        <f t="shared" si="66"/>
        <v>2050</v>
      </c>
      <c r="BP155" s="17" t="s">
        <v>1779</v>
      </c>
      <c r="BQ155" s="17"/>
      <c r="CH155" s="395" t="s">
        <v>1769</v>
      </c>
      <c r="CI155" s="392" t="s">
        <v>1598</v>
      </c>
    </row>
    <row r="156" spans="1:87" ht="20.100000000000001" customHeight="1">
      <c r="A156" s="974" t="s">
        <v>1232</v>
      </c>
      <c r="B156" s="976">
        <f>INDEX($AL$195:$BN$202,1,START!$C$2)</f>
        <v>0</v>
      </c>
      <c r="C156" s="976">
        <f>INDEX($AL$195:$BN$202,2,START!$C$2)</f>
        <v>0</v>
      </c>
      <c r="D156" s="976">
        <f>INDEX($AL$195:$BN$202,3,START!$C$2)</f>
        <v>0</v>
      </c>
      <c r="E156" s="976">
        <f>INDEX($AL$195:$BN$202,4,START!$C$2)</f>
        <v>0</v>
      </c>
      <c r="F156" s="976">
        <f>INDEX($AL$195:$BN$202,5,START!$C$2)</f>
        <v>0</v>
      </c>
      <c r="G156" s="976">
        <f>INDEX($AL$195:$BN$202,6,START!$C$2)</f>
        <v>0</v>
      </c>
      <c r="H156" s="976">
        <f>INDEX($AL$195:$BN$202,7,START!$C$2)</f>
        <v>0</v>
      </c>
      <c r="I156" s="976">
        <f>INDEX($AL$195:$BN$202,8,START!$C$2)</f>
        <v>0</v>
      </c>
      <c r="J156" s="976">
        <f>INDEX($AL$195:$BN$202,1,START!$C$2)</f>
        <v>0</v>
      </c>
      <c r="K156" s="41"/>
      <c r="L156" s="29"/>
      <c r="M156" s="968"/>
      <c r="N156" s="971"/>
      <c r="O156" s="971"/>
      <c r="P156" s="971"/>
      <c r="Q156" s="971"/>
      <c r="R156" s="971"/>
      <c r="S156" s="971"/>
      <c r="T156" s="971"/>
      <c r="U156" s="971"/>
      <c r="V156" s="971"/>
      <c r="W156" s="971"/>
      <c r="X156" s="971"/>
      <c r="Y156" s="971"/>
      <c r="Z156" s="971"/>
      <c r="AA156" s="971"/>
      <c r="AB156" s="971"/>
      <c r="AC156" s="971"/>
      <c r="AD156" s="971"/>
      <c r="AE156" s="971"/>
      <c r="AF156" s="1501" t="s">
        <v>1229</v>
      </c>
      <c r="AG156" s="508" t="s">
        <v>933</v>
      </c>
      <c r="AH156" s="486"/>
      <c r="AI156" s="486"/>
      <c r="AJ156" s="487"/>
      <c r="AK156" s="262">
        <v>0</v>
      </c>
      <c r="AL156" s="272">
        <f>AL$133*INDEX('DEFAULT DATA'!$AHG$9:$AHN$41,START!$C$3,1)*BUILDINGS!AL5/1000000</f>
        <v>0</v>
      </c>
      <c r="AM156" s="272">
        <f>AM$133*INDEX('DEFAULT DATA'!$AHG$9:$AHN$41,START!$C$3,1)*BUILDINGS!AM5/1000000</f>
        <v>0</v>
      </c>
      <c r="AN156" s="272">
        <f>AN$133*INDEX('DEFAULT DATA'!$AHG$9:$AHN$41,START!$C$3,1)*BUILDINGS!AN5/1000000</f>
        <v>0</v>
      </c>
      <c r="AO156" s="272">
        <f>AO$133*INDEX('DEFAULT DATA'!$AHG$9:$AHN$41,START!$C$3,1)*BUILDINGS!AO5/1000000</f>
        <v>0</v>
      </c>
      <c r="AP156" s="272">
        <f>AP$133*INDEX('DEFAULT DATA'!$AHG$9:$AHN$41,START!$C$3,1)*BUILDINGS!AP5/1000000</f>
        <v>0</v>
      </c>
      <c r="AQ156" s="272">
        <f>AQ$133*INDEX('DEFAULT DATA'!$AHG$9:$AHN$41,START!$C$3,1)*BUILDINGS!AQ5/1000000</f>
        <v>0</v>
      </c>
      <c r="AR156" s="272">
        <f>AR$133*INDEX('DEFAULT DATA'!$AHG$9:$AHN$41,START!$C$3,1)*BUILDINGS!AR5/1000000</f>
        <v>0</v>
      </c>
      <c r="AS156" s="272">
        <f>AS$133*INDEX('DEFAULT DATA'!$AHG$9:$AHN$41,START!$C$3,1)*BUILDINGS!AS5/1000000</f>
        <v>0</v>
      </c>
      <c r="AT156" s="272">
        <f>AT$133*INDEX('DEFAULT DATA'!$AHG$9:$AHN$41,START!$C$3,1)*BUILDINGS!AT5/1000000</f>
        <v>0</v>
      </c>
      <c r="AU156" s="272">
        <f>AU$133*INDEX('DEFAULT DATA'!$AHG$9:$AHN$41,START!$C$3,1)*BUILDINGS!AU5/1000000</f>
        <v>0</v>
      </c>
      <c r="AV156" s="272">
        <f>AV$133*INDEX('DEFAULT DATA'!$AHG$9:$AHN$41,START!$C$3,1)*BUILDINGS!AV5/1000000</f>
        <v>0</v>
      </c>
      <c r="AW156" s="272">
        <f>AW$133*INDEX('DEFAULT DATA'!$AHG$9:$AHN$41,START!$C$3,1)*BUILDINGS!AW5/1000000</f>
        <v>0</v>
      </c>
      <c r="AX156" s="272">
        <f>AX$133*INDEX('DEFAULT DATA'!$AHG$9:$AHN$41,START!$C$3,1)*BUILDINGS!AX5/1000000</f>
        <v>0</v>
      </c>
      <c r="AY156" s="272">
        <f>AY$133*INDEX('DEFAULT DATA'!$AHG$9:$AHN$41,START!$C$3,1)*BUILDINGS!AY5/1000000</f>
        <v>0</v>
      </c>
      <c r="AZ156" s="272">
        <f>AZ$133*INDEX('DEFAULT DATA'!$AHG$9:$AHN$41,START!$C$3,1)*BUILDINGS!AZ5/1000000</f>
        <v>0</v>
      </c>
      <c r="BA156" s="272">
        <f>BA$133*INDEX('DEFAULT DATA'!$AHG$9:$AHN$41,START!$C$3,1)*BUILDINGS!BA5/1000000</f>
        <v>0</v>
      </c>
      <c r="BB156" s="272">
        <f>BB$133*INDEX('DEFAULT DATA'!$AHG$9:$AHN$41,START!$C$3,1)*BUILDINGS!BB5/1000000</f>
        <v>0</v>
      </c>
      <c r="BC156" s="272">
        <f>BC$133*INDEX('DEFAULT DATA'!$AHG$9:$AHN$41,START!$C$3,1)*BUILDINGS!BC5/1000000</f>
        <v>0</v>
      </c>
      <c r="BD156" s="272">
        <f>BD$133*INDEX('DEFAULT DATA'!$AHG$9:$AHN$41,START!$C$3,1)*BUILDINGS!BD5/1000000</f>
        <v>0</v>
      </c>
      <c r="BE156" s="272">
        <f>BE$133*INDEX('DEFAULT DATA'!$AHG$9:$AHN$41,START!$C$3,1)*BUILDINGS!BE5/1000000</f>
        <v>0</v>
      </c>
      <c r="BF156" s="272">
        <f>BF$133*INDEX('DEFAULT DATA'!$AHG$9:$AHN$41,START!$C$3,1)*BUILDINGS!BF5/1000000</f>
        <v>0</v>
      </c>
      <c r="BG156" s="272">
        <f>BG$133*INDEX('DEFAULT DATA'!$AHG$9:$AHN$41,START!$C$3,1)*BUILDINGS!BG5/1000000</f>
        <v>0</v>
      </c>
      <c r="BH156" s="272">
        <f>BH$133*INDEX('DEFAULT DATA'!$AHG$9:$AHN$41,START!$C$3,1)*BUILDINGS!BH5/1000000</f>
        <v>0</v>
      </c>
      <c r="BI156" s="272">
        <f>BI$133*INDEX('DEFAULT DATA'!$AHG$9:$AHN$41,START!$C$3,1)*BUILDINGS!BI5/1000000</f>
        <v>0</v>
      </c>
      <c r="BJ156" s="272">
        <f>BJ$133*INDEX('DEFAULT DATA'!$AHG$9:$AHN$41,START!$C$3,1)*BUILDINGS!BJ5/1000000</f>
        <v>0</v>
      </c>
      <c r="BK156" s="272">
        <f>BK$133*INDEX('DEFAULT DATA'!$AHG$9:$AHN$41,START!$C$3,1)*BUILDINGS!BK5/1000000</f>
        <v>0</v>
      </c>
      <c r="BL156" s="272">
        <f>BL$133*INDEX('DEFAULT DATA'!$AHG$9:$AHN$41,START!$C$3,1)*BUILDINGS!BL5/1000000</f>
        <v>0</v>
      </c>
      <c r="BM156" s="272">
        <f>BM$133*INDEX('DEFAULT DATA'!$AHG$9:$AHN$41,START!$C$3,1)*BUILDINGS!BM5/1000000</f>
        <v>0</v>
      </c>
      <c r="BN156" s="272">
        <f>BN$133*INDEX('DEFAULT DATA'!$AHG$9:$AHN$41,START!$C$3,1)*BUILDINGS!BN5/1000000</f>
        <v>0</v>
      </c>
      <c r="BP156" s="539" t="str">
        <f>AG156</f>
        <v>Electricity</v>
      </c>
      <c r="BQ156" s="540" t="s">
        <v>1867</v>
      </c>
      <c r="BR156" s="541"/>
      <c r="BS156" s="541"/>
      <c r="BT156" s="541"/>
      <c r="BU156" s="541"/>
      <c r="BV156" s="541"/>
      <c r="BW156" s="541"/>
      <c r="BX156" s="541"/>
      <c r="BY156" s="541"/>
      <c r="BZ156" s="541"/>
      <c r="CA156" s="541"/>
      <c r="CB156" s="541" t="s">
        <v>1874</v>
      </c>
      <c r="CC156" s="541"/>
      <c r="CD156" s="541"/>
      <c r="CE156" s="541"/>
      <c r="CF156" s="541"/>
      <c r="CG156" s="542"/>
      <c r="CH156" s="543" t="s">
        <v>1783</v>
      </c>
      <c r="CI156" s="543" t="s">
        <v>1599</v>
      </c>
    </row>
    <row r="157" spans="1:87" ht="20.100000000000001" customHeight="1">
      <c r="A157" s="974" t="s">
        <v>1233</v>
      </c>
      <c r="B157" s="976">
        <f>INDEX($AL$208:$BN$215,1,START!$C$2)</f>
        <v>0</v>
      </c>
      <c r="C157" s="976">
        <f>INDEX($AL$208:$BN$215,2,START!$C$2)</f>
        <v>0</v>
      </c>
      <c r="D157" s="976">
        <f>INDEX($AL$208:$BN$215,3,START!$C$2)</f>
        <v>0</v>
      </c>
      <c r="E157" s="976">
        <f>INDEX($AL$208:$BN$215,4,START!$C$2)</f>
        <v>0</v>
      </c>
      <c r="F157" s="976">
        <f>INDEX($AL$208:$BN$215,5,START!$C$2)</f>
        <v>0</v>
      </c>
      <c r="G157" s="976">
        <f>INDEX($AL$208:$BN$215,6,START!$C$2)</f>
        <v>0</v>
      </c>
      <c r="H157" s="976">
        <f>INDEX($AL$208:$BN$215,7,START!$C$2)</f>
        <v>0</v>
      </c>
      <c r="I157" s="976">
        <f>INDEX($AL$208:$BN$215,8,START!$C$2)</f>
        <v>0</v>
      </c>
      <c r="J157" s="976">
        <f>INDEX($AL$208:$BN$215,1,START!$C$2)</f>
        <v>0</v>
      </c>
      <c r="K157" s="41"/>
      <c r="L157" s="29"/>
      <c r="M157" s="968"/>
      <c r="N157" s="971"/>
      <c r="O157" s="971"/>
      <c r="P157" s="971"/>
      <c r="Q157" s="971"/>
      <c r="R157" s="971"/>
      <c r="S157" s="971"/>
      <c r="T157" s="971"/>
      <c r="U157" s="971"/>
      <c r="V157" s="971"/>
      <c r="W157" s="971"/>
      <c r="X157" s="971"/>
      <c r="Y157" s="971"/>
      <c r="Z157" s="971"/>
      <c r="AA157" s="971"/>
      <c r="AB157" s="971"/>
      <c r="AC157" s="971"/>
      <c r="AD157" s="971"/>
      <c r="AE157" s="971"/>
      <c r="AF157" s="1502"/>
      <c r="AG157" s="508" t="s">
        <v>1220</v>
      </c>
      <c r="AH157" s="486"/>
      <c r="AI157" s="486"/>
      <c r="AJ157" s="487"/>
      <c r="AK157" s="262">
        <v>0</v>
      </c>
      <c r="AL157" s="272">
        <f>AL$133*INDEX('DEFAULT DATA'!$AHG$9:$AHN$41,START!$C$3,2)*INDEX('DEFAULT DATA'!$VD$9:$VJ$41,START!$C$3,2)/1000000</f>
        <v>0</v>
      </c>
      <c r="AM157" s="272">
        <f>AM$133*INDEX('DEFAULT DATA'!$AHG$9:$AHN$41,START!$C$3,2)*INDEX('DEFAULT DATA'!$VD$9:$VJ$41,START!$C$3,2)/1000000</f>
        <v>0</v>
      </c>
      <c r="AN157" s="272">
        <f>AN$133*INDEX('DEFAULT DATA'!$AHG$9:$AHN$41,START!$C$3,2)*INDEX('DEFAULT DATA'!$VD$9:$VJ$41,START!$C$3,2)/1000000</f>
        <v>0</v>
      </c>
      <c r="AO157" s="272">
        <f>AO$133*INDEX('DEFAULT DATA'!$AHG$9:$AHN$41,START!$C$3,2)*INDEX('DEFAULT DATA'!$VD$9:$VJ$41,START!$C$3,2)/1000000</f>
        <v>0</v>
      </c>
      <c r="AP157" s="272">
        <f>AP$133*INDEX('DEFAULT DATA'!$AHG$9:$AHN$41,START!$C$3,2)*INDEX('DEFAULT DATA'!$VD$9:$VJ$41,START!$C$3,2)/1000000</f>
        <v>0</v>
      </c>
      <c r="AQ157" s="272">
        <f>AQ$133*INDEX('DEFAULT DATA'!$AHG$9:$AHN$41,START!$C$3,2)*INDEX('DEFAULT DATA'!$VD$9:$VJ$41,START!$C$3,2)/1000000</f>
        <v>0</v>
      </c>
      <c r="AR157" s="272">
        <f>AR$133*INDEX('DEFAULT DATA'!$AHG$9:$AHN$41,START!$C$3,2)*INDEX('DEFAULT DATA'!$VD$9:$VJ$41,START!$C$3,2)/1000000</f>
        <v>0</v>
      </c>
      <c r="AS157" s="272">
        <f>AS$133*INDEX('DEFAULT DATA'!$AHG$9:$AHN$41,START!$C$3,2)*INDEX('DEFAULT DATA'!$VD$9:$VJ$41,START!$C$3,2)/1000000</f>
        <v>0</v>
      </c>
      <c r="AT157" s="272">
        <f>AT$133*INDEX('DEFAULT DATA'!$AHG$9:$AHN$41,START!$C$3,2)*INDEX('DEFAULT DATA'!$VD$9:$VJ$41,START!$C$3,2)/1000000</f>
        <v>0</v>
      </c>
      <c r="AU157" s="272">
        <f>AU$133*INDEX('DEFAULT DATA'!$AHG$9:$AHN$41,START!$C$3,2)*INDEX('DEFAULT DATA'!$VD$9:$VJ$41,START!$C$3,2)/1000000</f>
        <v>0</v>
      </c>
      <c r="AV157" s="272">
        <f>AV$133*INDEX('DEFAULT DATA'!$AHG$9:$AHN$41,START!$C$3,2)*INDEX('DEFAULT DATA'!$VD$9:$VJ$41,START!$C$3,2)/1000000</f>
        <v>0</v>
      </c>
      <c r="AW157" s="272">
        <f>AW$133*INDEX('DEFAULT DATA'!$AHG$9:$AHN$41,START!$C$3,2)*INDEX('DEFAULT DATA'!$VD$9:$VJ$41,START!$C$3,2)/1000000</f>
        <v>0</v>
      </c>
      <c r="AX157" s="272">
        <f>AX$133*INDEX('DEFAULT DATA'!$AHG$9:$AHN$41,START!$C$3,2)*INDEX('DEFAULT DATA'!$VD$9:$VJ$41,START!$C$3,2)/1000000</f>
        <v>0</v>
      </c>
      <c r="AY157" s="272">
        <f>AY$133*INDEX('DEFAULT DATA'!$AHG$9:$AHN$41,START!$C$3,2)*INDEX('DEFAULT DATA'!$VD$9:$VJ$41,START!$C$3,2)/1000000</f>
        <v>0</v>
      </c>
      <c r="AZ157" s="272">
        <f>AZ$133*INDEX('DEFAULT DATA'!$AHG$9:$AHN$41,START!$C$3,2)*INDEX('DEFAULT DATA'!$VD$9:$VJ$41,START!$C$3,2)/1000000</f>
        <v>0</v>
      </c>
      <c r="BA157" s="272">
        <f>BA$133*INDEX('DEFAULT DATA'!$AHG$9:$AHN$41,START!$C$3,2)*INDEX('DEFAULT DATA'!$VD$9:$VJ$41,START!$C$3,2)/1000000</f>
        <v>0</v>
      </c>
      <c r="BB157" s="272">
        <f>BB$133*INDEX('DEFAULT DATA'!$AHG$9:$AHN$41,START!$C$3,2)*INDEX('DEFAULT DATA'!$VD$9:$VJ$41,START!$C$3,2)/1000000</f>
        <v>0</v>
      </c>
      <c r="BC157" s="272">
        <f>BC$133*INDEX('DEFAULT DATA'!$AHG$9:$AHN$41,START!$C$3,2)*INDEX('DEFAULT DATA'!$VD$9:$VJ$41,START!$C$3,2)/1000000</f>
        <v>0</v>
      </c>
      <c r="BD157" s="272">
        <f>BD$133*INDEX('DEFAULT DATA'!$AHG$9:$AHN$41,START!$C$3,2)*INDEX('DEFAULT DATA'!$VD$9:$VJ$41,START!$C$3,2)/1000000</f>
        <v>0</v>
      </c>
      <c r="BE157" s="272">
        <f>BE$133*INDEX('DEFAULT DATA'!$AHG$9:$AHN$41,START!$C$3,2)*INDEX('DEFAULT DATA'!$VD$9:$VJ$41,START!$C$3,2)/1000000</f>
        <v>0</v>
      </c>
      <c r="BF157" s="272">
        <f>BF$133*INDEX('DEFAULT DATA'!$AHG$9:$AHN$41,START!$C$3,2)*INDEX('DEFAULT DATA'!$VD$9:$VJ$41,START!$C$3,2)/1000000</f>
        <v>0</v>
      </c>
      <c r="BG157" s="272">
        <f>BG$133*INDEX('DEFAULT DATA'!$AHG$9:$AHN$41,START!$C$3,2)*INDEX('DEFAULT DATA'!$VD$9:$VJ$41,START!$C$3,2)/1000000</f>
        <v>0</v>
      </c>
      <c r="BH157" s="272">
        <f>BH$133*INDEX('DEFAULT DATA'!$AHG$9:$AHN$41,START!$C$3,2)*INDEX('DEFAULT DATA'!$VD$9:$VJ$41,START!$C$3,2)/1000000</f>
        <v>0</v>
      </c>
      <c r="BI157" s="272">
        <f>BI$133*INDEX('DEFAULT DATA'!$AHG$9:$AHN$41,START!$C$3,2)*INDEX('DEFAULT DATA'!$VD$9:$VJ$41,START!$C$3,2)/1000000</f>
        <v>0</v>
      </c>
      <c r="BJ157" s="272">
        <f>BJ$133*INDEX('DEFAULT DATA'!$AHG$9:$AHN$41,START!$C$3,2)*INDEX('DEFAULT DATA'!$VD$9:$VJ$41,START!$C$3,2)/1000000</f>
        <v>0</v>
      </c>
      <c r="BK157" s="272">
        <f>BK$133*INDEX('DEFAULT DATA'!$AHG$9:$AHN$41,START!$C$3,2)*INDEX('DEFAULT DATA'!$VD$9:$VJ$41,START!$C$3,2)/1000000</f>
        <v>0</v>
      </c>
      <c r="BL157" s="272">
        <f>BL$133*INDEX('DEFAULT DATA'!$AHG$9:$AHN$41,START!$C$3,2)*INDEX('DEFAULT DATA'!$VD$9:$VJ$41,START!$C$3,2)/1000000</f>
        <v>0</v>
      </c>
      <c r="BM157" s="272">
        <f>BM$133*INDEX('DEFAULT DATA'!$AHG$9:$AHN$41,START!$C$3,2)*INDEX('DEFAULT DATA'!$VD$9:$VJ$41,START!$C$3,2)/1000000</f>
        <v>0</v>
      </c>
      <c r="BN157" s="272">
        <f>BN$133*INDEX('DEFAULT DATA'!$AHG$9:$AHN$41,START!$C$3,2)*INDEX('DEFAULT DATA'!$VD$9:$VJ$41,START!$C$3,2)/1000000</f>
        <v>0</v>
      </c>
      <c r="BP157" s="544" t="str">
        <f t="shared" ref="BP157:BP163" si="67">AG157</f>
        <v>Gas</v>
      </c>
      <c r="BQ157" s="545" t="s">
        <v>1830</v>
      </c>
      <c r="BR157" s="546"/>
      <c r="BS157" s="546"/>
      <c r="BT157" s="546"/>
      <c r="BU157" s="546"/>
      <c r="BV157" s="546"/>
      <c r="BW157" s="546"/>
      <c r="BX157" s="546"/>
      <c r="BY157" s="546"/>
      <c r="BZ157" s="546"/>
      <c r="CA157" s="546"/>
      <c r="CB157" s="546"/>
      <c r="CC157" s="546"/>
      <c r="CD157" s="546"/>
      <c r="CE157" s="546"/>
      <c r="CF157" s="546"/>
      <c r="CG157" s="547"/>
      <c r="CH157" s="543" t="s">
        <v>1784</v>
      </c>
      <c r="CI157" s="543" t="s">
        <v>1248</v>
      </c>
    </row>
    <row r="158" spans="1:87" ht="20.100000000000001" customHeight="1">
      <c r="A158" s="226" t="s">
        <v>1395</v>
      </c>
      <c r="B158" s="197"/>
      <c r="C158" s="197"/>
      <c r="D158" s="197"/>
      <c r="E158" s="197"/>
      <c r="F158" s="197"/>
      <c r="G158" s="197"/>
      <c r="H158" s="34"/>
      <c r="I158" s="34"/>
      <c r="J158" s="265">
        <f>SUM(J148:J157)</f>
        <v>227608.68651562839</v>
      </c>
      <c r="K158" s="41"/>
      <c r="L158" s="29"/>
      <c r="M158" s="968"/>
      <c r="N158" s="971"/>
      <c r="O158" s="971"/>
      <c r="P158" s="971"/>
      <c r="Q158" s="971"/>
      <c r="R158" s="971"/>
      <c r="S158" s="971"/>
      <c r="T158" s="971"/>
      <c r="U158" s="971"/>
      <c r="V158" s="971"/>
      <c r="W158" s="971"/>
      <c r="X158" s="971"/>
      <c r="Y158" s="971"/>
      <c r="Z158" s="971"/>
      <c r="AA158" s="971"/>
      <c r="AB158" s="971"/>
      <c r="AC158" s="971"/>
      <c r="AD158" s="971"/>
      <c r="AE158" s="971"/>
      <c r="AF158" s="1502"/>
      <c r="AG158" s="508" t="s">
        <v>1221</v>
      </c>
      <c r="AH158" s="486"/>
      <c r="AI158" s="486"/>
      <c r="AJ158" s="487"/>
      <c r="AK158" s="262">
        <v>0</v>
      </c>
      <c r="AL158" s="272">
        <f>AL$133*INDEX('DEFAULT DATA'!$AHG$9:$AHN$41,START!$C$3,3)*INDEX('DEFAULT DATA'!$VD$9:$VJ$41,START!$C$3,3)/1000000</f>
        <v>0</v>
      </c>
      <c r="AM158" s="272">
        <f>AM$133*INDEX('DEFAULT DATA'!$AHG$9:$AHN$41,START!$C$3,3)*INDEX('DEFAULT DATA'!$VD$9:$VJ$41,START!$C$3,3)/1000000</f>
        <v>0</v>
      </c>
      <c r="AN158" s="272">
        <f>AN$133*INDEX('DEFAULT DATA'!$AHG$9:$AHN$41,START!$C$3,3)*INDEX('DEFAULT DATA'!$VD$9:$VJ$41,START!$C$3,3)/1000000</f>
        <v>0</v>
      </c>
      <c r="AO158" s="272">
        <f>AO$133*INDEX('DEFAULT DATA'!$AHG$9:$AHN$41,START!$C$3,3)*INDEX('DEFAULT DATA'!$VD$9:$VJ$41,START!$C$3,3)/1000000</f>
        <v>0</v>
      </c>
      <c r="AP158" s="272">
        <f>AP$133*INDEX('DEFAULT DATA'!$AHG$9:$AHN$41,START!$C$3,3)*INDEX('DEFAULT DATA'!$VD$9:$VJ$41,START!$C$3,3)/1000000</f>
        <v>0</v>
      </c>
      <c r="AQ158" s="272">
        <f>AQ$133*INDEX('DEFAULT DATA'!$AHG$9:$AHN$41,START!$C$3,3)*INDEX('DEFAULT DATA'!$VD$9:$VJ$41,START!$C$3,3)/1000000</f>
        <v>0</v>
      </c>
      <c r="AR158" s="272">
        <f>AR$133*INDEX('DEFAULT DATA'!$AHG$9:$AHN$41,START!$C$3,3)*INDEX('DEFAULT DATA'!$VD$9:$VJ$41,START!$C$3,3)/1000000</f>
        <v>0</v>
      </c>
      <c r="AS158" s="272">
        <f>AS$133*INDEX('DEFAULT DATA'!$AHG$9:$AHN$41,START!$C$3,3)*INDEX('DEFAULT DATA'!$VD$9:$VJ$41,START!$C$3,3)/1000000</f>
        <v>0</v>
      </c>
      <c r="AT158" s="272">
        <f>AT$133*INDEX('DEFAULT DATA'!$AHG$9:$AHN$41,START!$C$3,3)*INDEX('DEFAULT DATA'!$VD$9:$VJ$41,START!$C$3,3)/1000000</f>
        <v>0</v>
      </c>
      <c r="AU158" s="272">
        <f>AU$133*INDEX('DEFAULT DATA'!$AHG$9:$AHN$41,START!$C$3,3)*INDEX('DEFAULT DATA'!$VD$9:$VJ$41,START!$C$3,3)/1000000</f>
        <v>0</v>
      </c>
      <c r="AV158" s="272">
        <f>AV$133*INDEX('DEFAULT DATA'!$AHG$9:$AHN$41,START!$C$3,3)*INDEX('DEFAULT DATA'!$VD$9:$VJ$41,START!$C$3,3)/1000000</f>
        <v>0</v>
      </c>
      <c r="AW158" s="272">
        <f>AW$133*INDEX('DEFAULT DATA'!$AHG$9:$AHN$41,START!$C$3,3)*INDEX('DEFAULT DATA'!$VD$9:$VJ$41,START!$C$3,3)/1000000</f>
        <v>0</v>
      </c>
      <c r="AX158" s="272">
        <f>AX$133*INDEX('DEFAULT DATA'!$AHG$9:$AHN$41,START!$C$3,3)*INDEX('DEFAULT DATA'!$VD$9:$VJ$41,START!$C$3,3)/1000000</f>
        <v>0</v>
      </c>
      <c r="AY158" s="272">
        <f>AY$133*INDEX('DEFAULT DATA'!$AHG$9:$AHN$41,START!$C$3,3)*INDEX('DEFAULT DATA'!$VD$9:$VJ$41,START!$C$3,3)/1000000</f>
        <v>0</v>
      </c>
      <c r="AZ158" s="272">
        <f>AZ$133*INDEX('DEFAULT DATA'!$AHG$9:$AHN$41,START!$C$3,3)*INDEX('DEFAULT DATA'!$VD$9:$VJ$41,START!$C$3,3)/1000000</f>
        <v>0</v>
      </c>
      <c r="BA158" s="272">
        <f>BA$133*INDEX('DEFAULT DATA'!$AHG$9:$AHN$41,START!$C$3,3)*INDEX('DEFAULT DATA'!$VD$9:$VJ$41,START!$C$3,3)/1000000</f>
        <v>0</v>
      </c>
      <c r="BB158" s="272">
        <f>BB$133*INDEX('DEFAULT DATA'!$AHG$9:$AHN$41,START!$C$3,3)*INDEX('DEFAULT DATA'!$VD$9:$VJ$41,START!$C$3,3)/1000000</f>
        <v>0</v>
      </c>
      <c r="BC158" s="272">
        <f>BC$133*INDEX('DEFAULT DATA'!$AHG$9:$AHN$41,START!$C$3,3)*INDEX('DEFAULT DATA'!$VD$9:$VJ$41,START!$C$3,3)/1000000</f>
        <v>0</v>
      </c>
      <c r="BD158" s="272">
        <f>BD$133*INDEX('DEFAULT DATA'!$AHG$9:$AHN$41,START!$C$3,3)*INDEX('DEFAULT DATA'!$VD$9:$VJ$41,START!$C$3,3)/1000000</f>
        <v>0</v>
      </c>
      <c r="BE158" s="272">
        <f>BE$133*INDEX('DEFAULT DATA'!$AHG$9:$AHN$41,START!$C$3,3)*INDEX('DEFAULT DATA'!$VD$9:$VJ$41,START!$C$3,3)/1000000</f>
        <v>0</v>
      </c>
      <c r="BF158" s="272">
        <f>BF$133*INDEX('DEFAULT DATA'!$AHG$9:$AHN$41,START!$C$3,3)*INDEX('DEFAULT DATA'!$VD$9:$VJ$41,START!$C$3,3)/1000000</f>
        <v>0</v>
      </c>
      <c r="BG158" s="272">
        <f>BG$133*INDEX('DEFAULT DATA'!$AHG$9:$AHN$41,START!$C$3,3)*INDEX('DEFAULT DATA'!$VD$9:$VJ$41,START!$C$3,3)/1000000</f>
        <v>0</v>
      </c>
      <c r="BH158" s="272">
        <f>BH$133*INDEX('DEFAULT DATA'!$AHG$9:$AHN$41,START!$C$3,3)*INDEX('DEFAULT DATA'!$VD$9:$VJ$41,START!$C$3,3)/1000000</f>
        <v>0</v>
      </c>
      <c r="BI158" s="272">
        <f>BI$133*INDEX('DEFAULT DATA'!$AHG$9:$AHN$41,START!$C$3,3)*INDEX('DEFAULT DATA'!$VD$9:$VJ$41,START!$C$3,3)/1000000</f>
        <v>0</v>
      </c>
      <c r="BJ158" s="272">
        <f>BJ$133*INDEX('DEFAULT DATA'!$AHG$9:$AHN$41,START!$C$3,3)*INDEX('DEFAULT DATA'!$VD$9:$VJ$41,START!$C$3,3)/1000000</f>
        <v>0</v>
      </c>
      <c r="BK158" s="272">
        <f>BK$133*INDEX('DEFAULT DATA'!$AHG$9:$AHN$41,START!$C$3,3)*INDEX('DEFAULT DATA'!$VD$9:$VJ$41,START!$C$3,3)/1000000</f>
        <v>0</v>
      </c>
      <c r="BL158" s="272">
        <f>BL$133*INDEX('DEFAULT DATA'!$AHG$9:$AHN$41,START!$C$3,3)*INDEX('DEFAULT DATA'!$VD$9:$VJ$41,START!$C$3,3)/1000000</f>
        <v>0</v>
      </c>
      <c r="BM158" s="272">
        <f>BM$133*INDEX('DEFAULT DATA'!$AHG$9:$AHN$41,START!$C$3,3)*INDEX('DEFAULT DATA'!$VD$9:$VJ$41,START!$C$3,3)/1000000</f>
        <v>0</v>
      </c>
      <c r="BN158" s="272">
        <f>BN$133*INDEX('DEFAULT DATA'!$AHG$9:$AHN$41,START!$C$3,3)*INDEX('DEFAULT DATA'!$VD$9:$VJ$41,START!$C$3,3)/1000000</f>
        <v>0</v>
      </c>
      <c r="BP158" s="544" t="str">
        <f t="shared" si="67"/>
        <v>Oil</v>
      </c>
      <c r="BQ158" s="545" t="s">
        <v>1831</v>
      </c>
      <c r="BR158" s="546"/>
      <c r="BS158" s="546"/>
      <c r="BT158" s="546"/>
      <c r="BU158" s="546"/>
      <c r="BV158" s="546"/>
      <c r="BW158" s="546"/>
      <c r="BX158" s="546"/>
      <c r="BY158" s="546"/>
      <c r="BZ158" s="546"/>
      <c r="CA158" s="546"/>
      <c r="CB158" s="546"/>
      <c r="CC158" s="546"/>
      <c r="CD158" s="546"/>
      <c r="CE158" s="546"/>
      <c r="CF158" s="546"/>
      <c r="CG158" s="547"/>
      <c r="CH158" s="543" t="s">
        <v>1785</v>
      </c>
      <c r="CI158" s="543" t="s">
        <v>1621</v>
      </c>
    </row>
    <row r="159" spans="1:87" ht="20.100000000000001" customHeight="1">
      <c r="A159" s="40"/>
      <c r="B159" s="34"/>
      <c r="C159" s="34"/>
      <c r="D159" s="34"/>
      <c r="E159" s="34"/>
      <c r="F159" s="34"/>
      <c r="G159" s="34"/>
      <c r="H159" s="34"/>
      <c r="I159" s="34"/>
      <c r="J159" s="34"/>
      <c r="K159" s="41"/>
      <c r="L159" s="29"/>
      <c r="M159" s="968"/>
      <c r="N159" s="971"/>
      <c r="O159" s="971"/>
      <c r="P159" s="971"/>
      <c r="Q159" s="971"/>
      <c r="R159" s="971"/>
      <c r="S159" s="971"/>
      <c r="T159" s="971"/>
      <c r="U159" s="971"/>
      <c r="V159" s="971"/>
      <c r="W159" s="971"/>
      <c r="X159" s="971"/>
      <c r="Y159" s="971"/>
      <c r="Z159" s="971"/>
      <c r="AA159" s="971"/>
      <c r="AB159" s="971"/>
      <c r="AC159" s="971"/>
      <c r="AD159" s="971"/>
      <c r="AE159" s="971"/>
      <c r="AF159" s="1502"/>
      <c r="AG159" s="508" t="s">
        <v>1222</v>
      </c>
      <c r="AH159" s="486"/>
      <c r="AI159" s="486"/>
      <c r="AJ159" s="487"/>
      <c r="AK159" s="262">
        <v>0</v>
      </c>
      <c r="AL159" s="272">
        <f>AL$133*INDEX('DEFAULT DATA'!$AHG$9:$AHN$41,START!$C$3,4)*INDEX('DEFAULT DATA'!$VD$9:$VJ$41,START!$C$3,4)/1000000</f>
        <v>0</v>
      </c>
      <c r="AM159" s="272">
        <f>AM$133*INDEX('DEFAULT DATA'!$AHG$9:$AHN$41,START!$C$3,4)*INDEX('DEFAULT DATA'!$VD$9:$VJ$41,START!$C$3,4)/1000000</f>
        <v>0</v>
      </c>
      <c r="AN159" s="272">
        <f>AN$133*INDEX('DEFAULT DATA'!$AHG$9:$AHN$41,START!$C$3,4)*INDEX('DEFAULT DATA'!$VD$9:$VJ$41,START!$C$3,4)/1000000</f>
        <v>0</v>
      </c>
      <c r="AO159" s="272">
        <f>AO$133*INDEX('DEFAULT DATA'!$AHG$9:$AHN$41,START!$C$3,4)*INDEX('DEFAULT DATA'!$VD$9:$VJ$41,START!$C$3,4)/1000000</f>
        <v>0</v>
      </c>
      <c r="AP159" s="272">
        <f>AP$133*INDEX('DEFAULT DATA'!$AHG$9:$AHN$41,START!$C$3,4)*INDEX('DEFAULT DATA'!$VD$9:$VJ$41,START!$C$3,4)/1000000</f>
        <v>0</v>
      </c>
      <c r="AQ159" s="272">
        <f>AQ$133*INDEX('DEFAULT DATA'!$AHG$9:$AHN$41,START!$C$3,4)*INDEX('DEFAULT DATA'!$VD$9:$VJ$41,START!$C$3,4)/1000000</f>
        <v>0</v>
      </c>
      <c r="AR159" s="272">
        <f>AR$133*INDEX('DEFAULT DATA'!$AHG$9:$AHN$41,START!$C$3,4)*INDEX('DEFAULT DATA'!$VD$9:$VJ$41,START!$C$3,4)/1000000</f>
        <v>0</v>
      </c>
      <c r="AS159" s="272">
        <f>AS$133*INDEX('DEFAULT DATA'!$AHG$9:$AHN$41,START!$C$3,4)*INDEX('DEFAULT DATA'!$VD$9:$VJ$41,START!$C$3,4)/1000000</f>
        <v>0</v>
      </c>
      <c r="AT159" s="272">
        <f>AT$133*INDEX('DEFAULT DATA'!$AHG$9:$AHN$41,START!$C$3,4)*INDEX('DEFAULT DATA'!$VD$9:$VJ$41,START!$C$3,4)/1000000</f>
        <v>0</v>
      </c>
      <c r="AU159" s="272">
        <f>AU$133*INDEX('DEFAULT DATA'!$AHG$9:$AHN$41,START!$C$3,4)*INDEX('DEFAULT DATA'!$VD$9:$VJ$41,START!$C$3,4)/1000000</f>
        <v>0</v>
      </c>
      <c r="AV159" s="272">
        <f>AV$133*INDEX('DEFAULT DATA'!$AHG$9:$AHN$41,START!$C$3,4)*INDEX('DEFAULT DATA'!$VD$9:$VJ$41,START!$C$3,4)/1000000</f>
        <v>0</v>
      </c>
      <c r="AW159" s="272">
        <f>AW$133*INDEX('DEFAULT DATA'!$AHG$9:$AHN$41,START!$C$3,4)*INDEX('DEFAULT DATA'!$VD$9:$VJ$41,START!$C$3,4)/1000000</f>
        <v>0</v>
      </c>
      <c r="AX159" s="272">
        <f>AX$133*INDEX('DEFAULT DATA'!$AHG$9:$AHN$41,START!$C$3,4)*INDEX('DEFAULT DATA'!$VD$9:$VJ$41,START!$C$3,4)/1000000</f>
        <v>0</v>
      </c>
      <c r="AY159" s="272">
        <f>AY$133*INDEX('DEFAULT DATA'!$AHG$9:$AHN$41,START!$C$3,4)*INDEX('DEFAULT DATA'!$VD$9:$VJ$41,START!$C$3,4)/1000000</f>
        <v>0</v>
      </c>
      <c r="AZ159" s="272">
        <f>AZ$133*INDEX('DEFAULT DATA'!$AHG$9:$AHN$41,START!$C$3,4)*INDEX('DEFAULT DATA'!$VD$9:$VJ$41,START!$C$3,4)/1000000</f>
        <v>0</v>
      </c>
      <c r="BA159" s="272">
        <f>BA$133*INDEX('DEFAULT DATA'!$AHG$9:$AHN$41,START!$C$3,4)*INDEX('DEFAULT DATA'!$VD$9:$VJ$41,START!$C$3,4)/1000000</f>
        <v>0</v>
      </c>
      <c r="BB159" s="272">
        <f>BB$133*INDEX('DEFAULT DATA'!$AHG$9:$AHN$41,START!$C$3,4)*INDEX('DEFAULT DATA'!$VD$9:$VJ$41,START!$C$3,4)/1000000</f>
        <v>0</v>
      </c>
      <c r="BC159" s="272">
        <f>BC$133*INDEX('DEFAULT DATA'!$AHG$9:$AHN$41,START!$C$3,4)*INDEX('DEFAULT DATA'!$VD$9:$VJ$41,START!$C$3,4)/1000000</f>
        <v>0</v>
      </c>
      <c r="BD159" s="272">
        <f>BD$133*INDEX('DEFAULT DATA'!$AHG$9:$AHN$41,START!$C$3,4)*INDEX('DEFAULT DATA'!$VD$9:$VJ$41,START!$C$3,4)/1000000</f>
        <v>0</v>
      </c>
      <c r="BE159" s="272">
        <f>BE$133*INDEX('DEFAULT DATA'!$AHG$9:$AHN$41,START!$C$3,4)*INDEX('DEFAULT DATA'!$VD$9:$VJ$41,START!$C$3,4)/1000000</f>
        <v>0</v>
      </c>
      <c r="BF159" s="272">
        <f>BF$133*INDEX('DEFAULT DATA'!$AHG$9:$AHN$41,START!$C$3,4)*INDEX('DEFAULT DATA'!$VD$9:$VJ$41,START!$C$3,4)/1000000</f>
        <v>0</v>
      </c>
      <c r="BG159" s="272">
        <f>BG$133*INDEX('DEFAULT DATA'!$AHG$9:$AHN$41,START!$C$3,4)*INDEX('DEFAULT DATA'!$VD$9:$VJ$41,START!$C$3,4)/1000000</f>
        <v>0</v>
      </c>
      <c r="BH159" s="272">
        <f>BH$133*INDEX('DEFAULT DATA'!$AHG$9:$AHN$41,START!$C$3,4)*INDEX('DEFAULT DATA'!$VD$9:$VJ$41,START!$C$3,4)/1000000</f>
        <v>0</v>
      </c>
      <c r="BI159" s="272">
        <f>BI$133*INDEX('DEFAULT DATA'!$AHG$9:$AHN$41,START!$C$3,4)*INDEX('DEFAULT DATA'!$VD$9:$VJ$41,START!$C$3,4)/1000000</f>
        <v>0</v>
      </c>
      <c r="BJ159" s="272">
        <f>BJ$133*INDEX('DEFAULT DATA'!$AHG$9:$AHN$41,START!$C$3,4)*INDEX('DEFAULT DATA'!$VD$9:$VJ$41,START!$C$3,4)/1000000</f>
        <v>0</v>
      </c>
      <c r="BK159" s="272">
        <f>BK$133*INDEX('DEFAULT DATA'!$AHG$9:$AHN$41,START!$C$3,4)*INDEX('DEFAULT DATA'!$VD$9:$VJ$41,START!$C$3,4)/1000000</f>
        <v>0</v>
      </c>
      <c r="BL159" s="272">
        <f>BL$133*INDEX('DEFAULT DATA'!$AHG$9:$AHN$41,START!$C$3,4)*INDEX('DEFAULT DATA'!$VD$9:$VJ$41,START!$C$3,4)/1000000</f>
        <v>0</v>
      </c>
      <c r="BM159" s="272">
        <f>BM$133*INDEX('DEFAULT DATA'!$AHG$9:$AHN$41,START!$C$3,4)*INDEX('DEFAULT DATA'!$VD$9:$VJ$41,START!$C$3,4)/1000000</f>
        <v>0</v>
      </c>
      <c r="BN159" s="272">
        <f>BN$133*INDEX('DEFAULT DATA'!$AHG$9:$AHN$41,START!$C$3,4)*INDEX('DEFAULT DATA'!$VD$9:$VJ$41,START!$C$3,4)/1000000</f>
        <v>0</v>
      </c>
      <c r="BP159" s="544" t="str">
        <f t="shared" si="67"/>
        <v>Coal</v>
      </c>
      <c r="BQ159" s="545" t="s">
        <v>1832</v>
      </c>
      <c r="BR159" s="546"/>
      <c r="BS159" s="546"/>
      <c r="BT159" s="546"/>
      <c r="BU159" s="546"/>
      <c r="BV159" s="546"/>
      <c r="BW159" s="546"/>
      <c r="BX159" s="546"/>
      <c r="BY159" s="546"/>
      <c r="BZ159" s="546"/>
      <c r="CA159" s="546"/>
      <c r="CB159" s="546"/>
      <c r="CC159" s="546"/>
      <c r="CD159" s="546"/>
      <c r="CE159" s="546"/>
      <c r="CF159" s="546"/>
      <c r="CG159" s="547"/>
      <c r="CH159" s="543" t="s">
        <v>1786</v>
      </c>
      <c r="CI159" s="543" t="s">
        <v>1622</v>
      </c>
    </row>
    <row r="160" spans="1:87" ht="20.100000000000001" customHeight="1">
      <c r="A160" s="40"/>
      <c r="B160" s="34"/>
      <c r="C160" s="34"/>
      <c r="D160" s="34"/>
      <c r="E160" s="34"/>
      <c r="F160" s="34"/>
      <c r="G160" s="34"/>
      <c r="H160" s="34"/>
      <c r="I160" s="34"/>
      <c r="J160" s="34"/>
      <c r="K160" s="41"/>
      <c r="L160" s="29"/>
      <c r="M160" s="968"/>
      <c r="N160" s="971"/>
      <c r="O160" s="971"/>
      <c r="P160" s="971"/>
      <c r="Q160" s="971"/>
      <c r="R160" s="971"/>
      <c r="S160" s="971"/>
      <c r="T160" s="971"/>
      <c r="U160" s="971"/>
      <c r="V160" s="971"/>
      <c r="W160" s="971"/>
      <c r="X160" s="971"/>
      <c r="Y160" s="971"/>
      <c r="Z160" s="971"/>
      <c r="AA160" s="971"/>
      <c r="AB160" s="971"/>
      <c r="AC160" s="971"/>
      <c r="AD160" s="971"/>
      <c r="AE160" s="971"/>
      <c r="AF160" s="1502"/>
      <c r="AG160" s="508" t="s">
        <v>1223</v>
      </c>
      <c r="AH160" s="486"/>
      <c r="AI160" s="486"/>
      <c r="AJ160" s="487"/>
      <c r="AK160" s="262">
        <v>0</v>
      </c>
      <c r="AL160" s="272">
        <f>AL$133*INDEX('DEFAULT DATA'!$AHG$9:$AHN$41,START!$C$3,5)*INDEX('DEFAULT DATA'!$VD$9:$VJ$41,START!$C$3,5)/1000000</f>
        <v>0</v>
      </c>
      <c r="AM160" s="272">
        <f>AM$133*INDEX('DEFAULT DATA'!$AHG$9:$AHN$41,START!$C$3,5)*INDEX('DEFAULT DATA'!$VD$9:$VJ$41,START!$C$3,5)/1000000</f>
        <v>0</v>
      </c>
      <c r="AN160" s="272">
        <f>AN$133*INDEX('DEFAULT DATA'!$AHG$9:$AHN$41,START!$C$3,5)*INDEX('DEFAULT DATA'!$VD$9:$VJ$41,START!$C$3,5)/1000000</f>
        <v>0</v>
      </c>
      <c r="AO160" s="272">
        <f>AO$133*INDEX('DEFAULT DATA'!$AHG$9:$AHN$41,START!$C$3,5)*INDEX('DEFAULT DATA'!$VD$9:$VJ$41,START!$C$3,5)/1000000</f>
        <v>0</v>
      </c>
      <c r="AP160" s="272">
        <f>AP$133*INDEX('DEFAULT DATA'!$AHG$9:$AHN$41,START!$C$3,5)*INDEX('DEFAULT DATA'!$VD$9:$VJ$41,START!$C$3,5)/1000000</f>
        <v>0</v>
      </c>
      <c r="AQ160" s="272">
        <f>AQ$133*INDEX('DEFAULT DATA'!$AHG$9:$AHN$41,START!$C$3,5)*INDEX('DEFAULT DATA'!$VD$9:$VJ$41,START!$C$3,5)/1000000</f>
        <v>0</v>
      </c>
      <c r="AR160" s="272">
        <f>AR$133*INDEX('DEFAULT DATA'!$AHG$9:$AHN$41,START!$C$3,5)*INDEX('DEFAULT DATA'!$VD$9:$VJ$41,START!$C$3,5)/1000000</f>
        <v>0</v>
      </c>
      <c r="AS160" s="272">
        <f>AS$133*INDEX('DEFAULT DATA'!$AHG$9:$AHN$41,START!$C$3,5)*INDEX('DEFAULT DATA'!$VD$9:$VJ$41,START!$C$3,5)/1000000</f>
        <v>0</v>
      </c>
      <c r="AT160" s="272">
        <f>AT$133*INDEX('DEFAULT DATA'!$AHG$9:$AHN$41,START!$C$3,5)*INDEX('DEFAULT DATA'!$VD$9:$VJ$41,START!$C$3,5)/1000000</f>
        <v>0</v>
      </c>
      <c r="AU160" s="272">
        <f>AU$133*INDEX('DEFAULT DATA'!$AHG$9:$AHN$41,START!$C$3,5)*INDEX('DEFAULT DATA'!$VD$9:$VJ$41,START!$C$3,5)/1000000</f>
        <v>0</v>
      </c>
      <c r="AV160" s="272">
        <f>AV$133*INDEX('DEFAULT DATA'!$AHG$9:$AHN$41,START!$C$3,5)*INDEX('DEFAULT DATA'!$VD$9:$VJ$41,START!$C$3,5)/1000000</f>
        <v>0</v>
      </c>
      <c r="AW160" s="272">
        <f>AW$133*INDEX('DEFAULT DATA'!$AHG$9:$AHN$41,START!$C$3,5)*INDEX('DEFAULT DATA'!$VD$9:$VJ$41,START!$C$3,5)/1000000</f>
        <v>0</v>
      </c>
      <c r="AX160" s="272">
        <f>AX$133*INDEX('DEFAULT DATA'!$AHG$9:$AHN$41,START!$C$3,5)*INDEX('DEFAULT DATA'!$VD$9:$VJ$41,START!$C$3,5)/1000000</f>
        <v>0</v>
      </c>
      <c r="AY160" s="272">
        <f>AY$133*INDEX('DEFAULT DATA'!$AHG$9:$AHN$41,START!$C$3,5)*INDEX('DEFAULT DATA'!$VD$9:$VJ$41,START!$C$3,5)/1000000</f>
        <v>0</v>
      </c>
      <c r="AZ160" s="272">
        <f>AZ$133*INDEX('DEFAULT DATA'!$AHG$9:$AHN$41,START!$C$3,5)*INDEX('DEFAULT DATA'!$VD$9:$VJ$41,START!$C$3,5)/1000000</f>
        <v>0</v>
      </c>
      <c r="BA160" s="272">
        <f>BA$133*INDEX('DEFAULT DATA'!$AHG$9:$AHN$41,START!$C$3,5)*INDEX('DEFAULT DATA'!$VD$9:$VJ$41,START!$C$3,5)/1000000</f>
        <v>0</v>
      </c>
      <c r="BB160" s="272">
        <f>BB$133*INDEX('DEFAULT DATA'!$AHG$9:$AHN$41,START!$C$3,5)*INDEX('DEFAULT DATA'!$VD$9:$VJ$41,START!$C$3,5)/1000000</f>
        <v>0</v>
      </c>
      <c r="BC160" s="272">
        <f>BC$133*INDEX('DEFAULT DATA'!$AHG$9:$AHN$41,START!$C$3,5)*INDEX('DEFAULT DATA'!$VD$9:$VJ$41,START!$C$3,5)/1000000</f>
        <v>0</v>
      </c>
      <c r="BD160" s="272">
        <f>BD$133*INDEX('DEFAULT DATA'!$AHG$9:$AHN$41,START!$C$3,5)*INDEX('DEFAULT DATA'!$VD$9:$VJ$41,START!$C$3,5)/1000000</f>
        <v>0</v>
      </c>
      <c r="BE160" s="272">
        <f>BE$133*INDEX('DEFAULT DATA'!$AHG$9:$AHN$41,START!$C$3,5)*INDEX('DEFAULT DATA'!$VD$9:$VJ$41,START!$C$3,5)/1000000</f>
        <v>0</v>
      </c>
      <c r="BF160" s="272">
        <f>BF$133*INDEX('DEFAULT DATA'!$AHG$9:$AHN$41,START!$C$3,5)*INDEX('DEFAULT DATA'!$VD$9:$VJ$41,START!$C$3,5)/1000000</f>
        <v>0</v>
      </c>
      <c r="BG160" s="272">
        <f>BG$133*INDEX('DEFAULT DATA'!$AHG$9:$AHN$41,START!$C$3,5)*INDEX('DEFAULT DATA'!$VD$9:$VJ$41,START!$C$3,5)/1000000</f>
        <v>0</v>
      </c>
      <c r="BH160" s="272">
        <f>BH$133*INDEX('DEFAULT DATA'!$AHG$9:$AHN$41,START!$C$3,5)*INDEX('DEFAULT DATA'!$VD$9:$VJ$41,START!$C$3,5)/1000000</f>
        <v>0</v>
      </c>
      <c r="BI160" s="272">
        <f>BI$133*INDEX('DEFAULT DATA'!$AHG$9:$AHN$41,START!$C$3,5)*INDEX('DEFAULT DATA'!$VD$9:$VJ$41,START!$C$3,5)/1000000</f>
        <v>0</v>
      </c>
      <c r="BJ160" s="272">
        <f>BJ$133*INDEX('DEFAULT DATA'!$AHG$9:$AHN$41,START!$C$3,5)*INDEX('DEFAULT DATA'!$VD$9:$VJ$41,START!$C$3,5)/1000000</f>
        <v>0</v>
      </c>
      <c r="BK160" s="272">
        <f>BK$133*INDEX('DEFAULT DATA'!$AHG$9:$AHN$41,START!$C$3,5)*INDEX('DEFAULT DATA'!$VD$9:$VJ$41,START!$C$3,5)/1000000</f>
        <v>0</v>
      </c>
      <c r="BL160" s="272">
        <f>BL$133*INDEX('DEFAULT DATA'!$AHG$9:$AHN$41,START!$C$3,5)*INDEX('DEFAULT DATA'!$VD$9:$VJ$41,START!$C$3,5)/1000000</f>
        <v>0</v>
      </c>
      <c r="BM160" s="272">
        <f>BM$133*INDEX('DEFAULT DATA'!$AHG$9:$AHN$41,START!$C$3,5)*INDEX('DEFAULT DATA'!$VD$9:$VJ$41,START!$C$3,5)/1000000</f>
        <v>0</v>
      </c>
      <c r="BN160" s="272">
        <f>BN$133*INDEX('DEFAULT DATA'!$AHG$9:$AHN$41,START!$C$3,5)*INDEX('DEFAULT DATA'!$VD$9:$VJ$41,START!$C$3,5)/1000000</f>
        <v>0</v>
      </c>
      <c r="BP160" s="544" t="str">
        <f t="shared" si="67"/>
        <v>Peat</v>
      </c>
      <c r="BQ160" s="545" t="s">
        <v>1833</v>
      </c>
      <c r="BR160" s="546"/>
      <c r="BS160" s="546"/>
      <c r="BT160" s="546"/>
      <c r="BU160" s="546"/>
      <c r="BV160" s="546"/>
      <c r="BW160" s="546"/>
      <c r="BX160" s="546"/>
      <c r="BY160" s="546"/>
      <c r="BZ160" s="546"/>
      <c r="CA160" s="546"/>
      <c r="CB160" s="546"/>
      <c r="CC160" s="546"/>
      <c r="CD160" s="546"/>
      <c r="CE160" s="546"/>
      <c r="CF160" s="546"/>
      <c r="CG160" s="547"/>
      <c r="CH160" s="543" t="s">
        <v>1787</v>
      </c>
      <c r="CI160" s="543" t="s">
        <v>1623</v>
      </c>
    </row>
    <row r="161" spans="1:87" ht="20.100000000000001" customHeight="1">
      <c r="A161" s="40"/>
      <c r="B161" s="34"/>
      <c r="C161" s="34"/>
      <c r="D161" s="34"/>
      <c r="E161" s="34"/>
      <c r="F161" s="34"/>
      <c r="G161" s="34"/>
      <c r="H161" s="34"/>
      <c r="I161" s="34"/>
      <c r="J161" s="34"/>
      <c r="K161" s="41"/>
      <c r="L161" s="29"/>
      <c r="M161" s="968"/>
      <c r="N161" s="971"/>
      <c r="O161" s="971"/>
      <c r="P161" s="971"/>
      <c r="Q161" s="971"/>
      <c r="R161" s="971"/>
      <c r="S161" s="971"/>
      <c r="T161" s="971"/>
      <c r="U161" s="971"/>
      <c r="V161" s="971"/>
      <c r="W161" s="971"/>
      <c r="X161" s="971"/>
      <c r="Y161" s="971"/>
      <c r="Z161" s="971"/>
      <c r="AA161" s="971"/>
      <c r="AB161" s="971"/>
      <c r="AC161" s="971"/>
      <c r="AD161" s="971"/>
      <c r="AE161" s="971"/>
      <c r="AF161" s="1502"/>
      <c r="AG161" s="508" t="s">
        <v>1224</v>
      </c>
      <c r="AH161" s="486"/>
      <c r="AI161" s="486"/>
      <c r="AJ161" s="487"/>
      <c r="AK161" s="262">
        <v>0</v>
      </c>
      <c r="AL161" s="272">
        <f>AL$133*INDEX('DEFAULT DATA'!$AHG$9:$AHN$41,START!$C$3,6)*INDEX('DEFAULT DATA'!$VD$9:$VJ$41,START!$C$3,6)/1000000</f>
        <v>0</v>
      </c>
      <c r="AM161" s="272">
        <f>AM$133*INDEX('DEFAULT DATA'!$AHG$9:$AHN$41,START!$C$3,6)*INDEX('DEFAULT DATA'!$VD$9:$VJ$41,START!$C$3,6)/1000000</f>
        <v>0</v>
      </c>
      <c r="AN161" s="272">
        <f>AN$133*INDEX('DEFAULT DATA'!$AHG$9:$AHN$41,START!$C$3,6)*INDEX('DEFAULT DATA'!$VD$9:$VJ$41,START!$C$3,6)/1000000</f>
        <v>0</v>
      </c>
      <c r="AO161" s="272">
        <f>AO$133*INDEX('DEFAULT DATA'!$AHG$9:$AHN$41,START!$C$3,6)*INDEX('DEFAULT DATA'!$VD$9:$VJ$41,START!$C$3,6)/1000000</f>
        <v>0</v>
      </c>
      <c r="AP161" s="272">
        <f>AP$133*INDEX('DEFAULT DATA'!$AHG$9:$AHN$41,START!$C$3,6)*INDEX('DEFAULT DATA'!$VD$9:$VJ$41,START!$C$3,6)/1000000</f>
        <v>0</v>
      </c>
      <c r="AQ161" s="272">
        <f>AQ$133*INDEX('DEFAULT DATA'!$AHG$9:$AHN$41,START!$C$3,6)*INDEX('DEFAULT DATA'!$VD$9:$VJ$41,START!$C$3,6)/1000000</f>
        <v>0</v>
      </c>
      <c r="AR161" s="272">
        <f>AR$133*INDEX('DEFAULT DATA'!$AHG$9:$AHN$41,START!$C$3,6)*INDEX('DEFAULT DATA'!$VD$9:$VJ$41,START!$C$3,6)/1000000</f>
        <v>0</v>
      </c>
      <c r="AS161" s="272">
        <f>AS$133*INDEX('DEFAULT DATA'!$AHG$9:$AHN$41,START!$C$3,6)*INDEX('DEFAULT DATA'!$VD$9:$VJ$41,START!$C$3,6)/1000000</f>
        <v>0</v>
      </c>
      <c r="AT161" s="272">
        <f>AT$133*INDEX('DEFAULT DATA'!$AHG$9:$AHN$41,START!$C$3,6)*INDEX('DEFAULT DATA'!$VD$9:$VJ$41,START!$C$3,6)/1000000</f>
        <v>0</v>
      </c>
      <c r="AU161" s="272">
        <f>AU$133*INDEX('DEFAULT DATA'!$AHG$9:$AHN$41,START!$C$3,6)*INDEX('DEFAULT DATA'!$VD$9:$VJ$41,START!$C$3,6)/1000000</f>
        <v>0</v>
      </c>
      <c r="AV161" s="272">
        <f>AV$133*INDEX('DEFAULT DATA'!$AHG$9:$AHN$41,START!$C$3,6)*INDEX('DEFAULT DATA'!$VD$9:$VJ$41,START!$C$3,6)/1000000</f>
        <v>0</v>
      </c>
      <c r="AW161" s="272">
        <f>AW$133*INDEX('DEFAULT DATA'!$AHG$9:$AHN$41,START!$C$3,6)*INDEX('DEFAULT DATA'!$VD$9:$VJ$41,START!$C$3,6)/1000000</f>
        <v>0</v>
      </c>
      <c r="AX161" s="272">
        <f>AX$133*INDEX('DEFAULT DATA'!$AHG$9:$AHN$41,START!$C$3,6)*INDEX('DEFAULT DATA'!$VD$9:$VJ$41,START!$C$3,6)/1000000</f>
        <v>0</v>
      </c>
      <c r="AY161" s="272">
        <f>AY$133*INDEX('DEFAULT DATA'!$AHG$9:$AHN$41,START!$C$3,6)*INDEX('DEFAULT DATA'!$VD$9:$VJ$41,START!$C$3,6)/1000000</f>
        <v>0</v>
      </c>
      <c r="AZ161" s="272">
        <f>AZ$133*INDEX('DEFAULT DATA'!$AHG$9:$AHN$41,START!$C$3,6)*INDEX('DEFAULT DATA'!$VD$9:$VJ$41,START!$C$3,6)/1000000</f>
        <v>0</v>
      </c>
      <c r="BA161" s="272">
        <f>BA$133*INDEX('DEFAULT DATA'!$AHG$9:$AHN$41,START!$C$3,6)*INDEX('DEFAULT DATA'!$VD$9:$VJ$41,START!$C$3,6)/1000000</f>
        <v>0</v>
      </c>
      <c r="BB161" s="272">
        <f>BB$133*INDEX('DEFAULT DATA'!$AHG$9:$AHN$41,START!$C$3,6)*INDEX('DEFAULT DATA'!$VD$9:$VJ$41,START!$C$3,6)/1000000</f>
        <v>0</v>
      </c>
      <c r="BC161" s="272">
        <f>BC$133*INDEX('DEFAULT DATA'!$AHG$9:$AHN$41,START!$C$3,6)*INDEX('DEFAULT DATA'!$VD$9:$VJ$41,START!$C$3,6)/1000000</f>
        <v>0</v>
      </c>
      <c r="BD161" s="272">
        <f>BD$133*INDEX('DEFAULT DATA'!$AHG$9:$AHN$41,START!$C$3,6)*INDEX('DEFAULT DATA'!$VD$9:$VJ$41,START!$C$3,6)/1000000</f>
        <v>0</v>
      </c>
      <c r="BE161" s="272">
        <f>BE$133*INDEX('DEFAULT DATA'!$AHG$9:$AHN$41,START!$C$3,6)*INDEX('DEFAULT DATA'!$VD$9:$VJ$41,START!$C$3,6)/1000000</f>
        <v>0</v>
      </c>
      <c r="BF161" s="272">
        <f>BF$133*INDEX('DEFAULT DATA'!$AHG$9:$AHN$41,START!$C$3,6)*INDEX('DEFAULT DATA'!$VD$9:$VJ$41,START!$C$3,6)/1000000</f>
        <v>0</v>
      </c>
      <c r="BG161" s="272">
        <f>BG$133*INDEX('DEFAULT DATA'!$AHG$9:$AHN$41,START!$C$3,6)*INDEX('DEFAULT DATA'!$VD$9:$VJ$41,START!$C$3,6)/1000000</f>
        <v>0</v>
      </c>
      <c r="BH161" s="272">
        <f>BH$133*INDEX('DEFAULT DATA'!$AHG$9:$AHN$41,START!$C$3,6)*INDEX('DEFAULT DATA'!$VD$9:$VJ$41,START!$C$3,6)/1000000</f>
        <v>0</v>
      </c>
      <c r="BI161" s="272">
        <f>BI$133*INDEX('DEFAULT DATA'!$AHG$9:$AHN$41,START!$C$3,6)*INDEX('DEFAULT DATA'!$VD$9:$VJ$41,START!$C$3,6)/1000000</f>
        <v>0</v>
      </c>
      <c r="BJ161" s="272">
        <f>BJ$133*INDEX('DEFAULT DATA'!$AHG$9:$AHN$41,START!$C$3,6)*INDEX('DEFAULT DATA'!$VD$9:$VJ$41,START!$C$3,6)/1000000</f>
        <v>0</v>
      </c>
      <c r="BK161" s="272">
        <f>BK$133*INDEX('DEFAULT DATA'!$AHG$9:$AHN$41,START!$C$3,6)*INDEX('DEFAULT DATA'!$VD$9:$VJ$41,START!$C$3,6)/1000000</f>
        <v>0</v>
      </c>
      <c r="BL161" s="272">
        <f>BL$133*INDEX('DEFAULT DATA'!$AHG$9:$AHN$41,START!$C$3,6)*INDEX('DEFAULT DATA'!$VD$9:$VJ$41,START!$C$3,6)/1000000</f>
        <v>0</v>
      </c>
      <c r="BM161" s="272">
        <f>BM$133*INDEX('DEFAULT DATA'!$AHG$9:$AHN$41,START!$C$3,6)*INDEX('DEFAULT DATA'!$VD$9:$VJ$41,START!$C$3,6)/1000000</f>
        <v>0</v>
      </c>
      <c r="BN161" s="272">
        <f>BN$133*INDEX('DEFAULT DATA'!$AHG$9:$AHN$41,START!$C$3,6)*INDEX('DEFAULT DATA'!$VD$9:$VJ$41,START!$C$3,6)/1000000</f>
        <v>0</v>
      </c>
      <c r="BP161" s="544" t="str">
        <f t="shared" si="67"/>
        <v>Wood</v>
      </c>
      <c r="BQ161" s="545" t="s">
        <v>1834</v>
      </c>
      <c r="BR161" s="546"/>
      <c r="BS161" s="546"/>
      <c r="BT161" s="546"/>
      <c r="BU161" s="546"/>
      <c r="BV161" s="546"/>
      <c r="BW161" s="546"/>
      <c r="BX161" s="546"/>
      <c r="BY161" s="546"/>
      <c r="BZ161" s="546"/>
      <c r="CA161" s="546"/>
      <c r="CB161" s="546"/>
      <c r="CC161" s="546"/>
      <c r="CD161" s="546"/>
      <c r="CE161" s="546"/>
      <c r="CF161" s="546"/>
      <c r="CG161" s="547"/>
      <c r="CH161" s="543" t="s">
        <v>1788</v>
      </c>
      <c r="CI161" s="543" t="s">
        <v>1624</v>
      </c>
    </row>
    <row r="162" spans="1:87" ht="20.100000000000001" customHeight="1">
      <c r="A162" s="40"/>
      <c r="B162" s="34"/>
      <c r="C162" s="34"/>
      <c r="D162" s="34"/>
      <c r="E162" s="34"/>
      <c r="F162" s="34"/>
      <c r="G162" s="34"/>
      <c r="H162" s="34"/>
      <c r="I162" s="34"/>
      <c r="J162" s="34"/>
      <c r="K162" s="41"/>
      <c r="L162" s="29"/>
      <c r="M162" s="968"/>
      <c r="N162" s="971"/>
      <c r="O162" s="971"/>
      <c r="P162" s="971"/>
      <c r="Q162" s="971"/>
      <c r="R162" s="971"/>
      <c r="S162" s="971"/>
      <c r="T162" s="971"/>
      <c r="U162" s="971"/>
      <c r="V162" s="971"/>
      <c r="W162" s="971"/>
      <c r="X162" s="971"/>
      <c r="Y162" s="971"/>
      <c r="Z162" s="971"/>
      <c r="AA162" s="971"/>
      <c r="AB162" s="971"/>
      <c r="AC162" s="971"/>
      <c r="AD162" s="971"/>
      <c r="AE162" s="971"/>
      <c r="AF162" s="1502"/>
      <c r="AG162" s="508" t="s">
        <v>1225</v>
      </c>
      <c r="AH162" s="486"/>
      <c r="AI162" s="486"/>
      <c r="AJ162" s="487"/>
      <c r="AK162" s="262">
        <v>0</v>
      </c>
      <c r="AL162" s="272">
        <f>AL$133*INDEX('DEFAULT DATA'!$AHG$9:$AHN$41,START!$C$3,7)*INDEX('DEFAULT DATA'!$VD$9:$VJ$41,START!$C$3,7)/1000000</f>
        <v>0</v>
      </c>
      <c r="AM162" s="272">
        <f>AM$133*INDEX('DEFAULT DATA'!$AHG$9:$AHN$41,START!$C$3,7)*INDEX('DEFAULT DATA'!$VD$9:$VJ$41,START!$C$3,7)/1000000</f>
        <v>0</v>
      </c>
      <c r="AN162" s="272">
        <f>AN$133*INDEX('DEFAULT DATA'!$AHG$9:$AHN$41,START!$C$3,7)*INDEX('DEFAULT DATA'!$VD$9:$VJ$41,START!$C$3,7)/1000000</f>
        <v>0</v>
      </c>
      <c r="AO162" s="272">
        <f>AO$133*INDEX('DEFAULT DATA'!$AHG$9:$AHN$41,START!$C$3,7)*INDEX('DEFAULT DATA'!$VD$9:$VJ$41,START!$C$3,7)/1000000</f>
        <v>0</v>
      </c>
      <c r="AP162" s="272">
        <f>AP$133*INDEX('DEFAULT DATA'!$AHG$9:$AHN$41,START!$C$3,7)*INDEX('DEFAULT DATA'!$VD$9:$VJ$41,START!$C$3,7)/1000000</f>
        <v>0</v>
      </c>
      <c r="AQ162" s="272">
        <f>AQ$133*INDEX('DEFAULT DATA'!$AHG$9:$AHN$41,START!$C$3,7)*INDEX('DEFAULT DATA'!$VD$9:$VJ$41,START!$C$3,7)/1000000</f>
        <v>0</v>
      </c>
      <c r="AR162" s="272">
        <f>AR$133*INDEX('DEFAULT DATA'!$AHG$9:$AHN$41,START!$C$3,7)*INDEX('DEFAULT DATA'!$VD$9:$VJ$41,START!$C$3,7)/1000000</f>
        <v>0</v>
      </c>
      <c r="AS162" s="272">
        <f>AS$133*INDEX('DEFAULT DATA'!$AHG$9:$AHN$41,START!$C$3,7)*INDEX('DEFAULT DATA'!$VD$9:$VJ$41,START!$C$3,7)/1000000</f>
        <v>0</v>
      </c>
      <c r="AT162" s="272">
        <f>AT$133*INDEX('DEFAULT DATA'!$AHG$9:$AHN$41,START!$C$3,7)*INDEX('DEFAULT DATA'!$VD$9:$VJ$41,START!$C$3,7)/1000000</f>
        <v>0</v>
      </c>
      <c r="AU162" s="272">
        <f>AU$133*INDEX('DEFAULT DATA'!$AHG$9:$AHN$41,START!$C$3,7)*INDEX('DEFAULT DATA'!$VD$9:$VJ$41,START!$C$3,7)/1000000</f>
        <v>0</v>
      </c>
      <c r="AV162" s="272">
        <f>AV$133*INDEX('DEFAULT DATA'!$AHG$9:$AHN$41,START!$C$3,7)*INDEX('DEFAULT DATA'!$VD$9:$VJ$41,START!$C$3,7)/1000000</f>
        <v>0</v>
      </c>
      <c r="AW162" s="272">
        <f>AW$133*INDEX('DEFAULT DATA'!$AHG$9:$AHN$41,START!$C$3,7)*INDEX('DEFAULT DATA'!$VD$9:$VJ$41,START!$C$3,7)/1000000</f>
        <v>0</v>
      </c>
      <c r="AX162" s="272">
        <f>AX$133*INDEX('DEFAULT DATA'!$AHG$9:$AHN$41,START!$C$3,7)*INDEX('DEFAULT DATA'!$VD$9:$VJ$41,START!$C$3,7)/1000000</f>
        <v>0</v>
      </c>
      <c r="AY162" s="272">
        <f>AY$133*INDEX('DEFAULT DATA'!$AHG$9:$AHN$41,START!$C$3,7)*INDEX('DEFAULT DATA'!$VD$9:$VJ$41,START!$C$3,7)/1000000</f>
        <v>0</v>
      </c>
      <c r="AZ162" s="272">
        <f>AZ$133*INDEX('DEFAULT DATA'!$AHG$9:$AHN$41,START!$C$3,7)*INDEX('DEFAULT DATA'!$VD$9:$VJ$41,START!$C$3,7)/1000000</f>
        <v>0</v>
      </c>
      <c r="BA162" s="272">
        <f>BA$133*INDEX('DEFAULT DATA'!$AHG$9:$AHN$41,START!$C$3,7)*INDEX('DEFAULT DATA'!$VD$9:$VJ$41,START!$C$3,7)/1000000</f>
        <v>0</v>
      </c>
      <c r="BB162" s="272">
        <f>BB$133*INDEX('DEFAULT DATA'!$AHG$9:$AHN$41,START!$C$3,7)*INDEX('DEFAULT DATA'!$VD$9:$VJ$41,START!$C$3,7)/1000000</f>
        <v>0</v>
      </c>
      <c r="BC162" s="272">
        <f>BC$133*INDEX('DEFAULT DATA'!$AHG$9:$AHN$41,START!$C$3,7)*INDEX('DEFAULT DATA'!$VD$9:$VJ$41,START!$C$3,7)/1000000</f>
        <v>0</v>
      </c>
      <c r="BD162" s="272">
        <f>BD$133*INDEX('DEFAULT DATA'!$AHG$9:$AHN$41,START!$C$3,7)*INDEX('DEFAULT DATA'!$VD$9:$VJ$41,START!$C$3,7)/1000000</f>
        <v>0</v>
      </c>
      <c r="BE162" s="272">
        <f>BE$133*INDEX('DEFAULT DATA'!$AHG$9:$AHN$41,START!$C$3,7)*INDEX('DEFAULT DATA'!$VD$9:$VJ$41,START!$C$3,7)/1000000</f>
        <v>0</v>
      </c>
      <c r="BF162" s="272">
        <f>BF$133*INDEX('DEFAULT DATA'!$AHG$9:$AHN$41,START!$C$3,7)*INDEX('DEFAULT DATA'!$VD$9:$VJ$41,START!$C$3,7)/1000000</f>
        <v>0</v>
      </c>
      <c r="BG162" s="272">
        <f>BG$133*INDEX('DEFAULT DATA'!$AHG$9:$AHN$41,START!$C$3,7)*INDEX('DEFAULT DATA'!$VD$9:$VJ$41,START!$C$3,7)/1000000</f>
        <v>0</v>
      </c>
      <c r="BH162" s="272">
        <f>BH$133*INDEX('DEFAULT DATA'!$AHG$9:$AHN$41,START!$C$3,7)*INDEX('DEFAULT DATA'!$VD$9:$VJ$41,START!$C$3,7)/1000000</f>
        <v>0</v>
      </c>
      <c r="BI162" s="272">
        <f>BI$133*INDEX('DEFAULT DATA'!$AHG$9:$AHN$41,START!$C$3,7)*INDEX('DEFAULT DATA'!$VD$9:$VJ$41,START!$C$3,7)/1000000</f>
        <v>0</v>
      </c>
      <c r="BJ162" s="272">
        <f>BJ$133*INDEX('DEFAULT DATA'!$AHG$9:$AHN$41,START!$C$3,7)*INDEX('DEFAULT DATA'!$VD$9:$VJ$41,START!$C$3,7)/1000000</f>
        <v>0</v>
      </c>
      <c r="BK162" s="272">
        <f>BK$133*INDEX('DEFAULT DATA'!$AHG$9:$AHN$41,START!$C$3,7)*INDEX('DEFAULT DATA'!$VD$9:$VJ$41,START!$C$3,7)/1000000</f>
        <v>0</v>
      </c>
      <c r="BL162" s="272">
        <f>BL$133*INDEX('DEFAULT DATA'!$AHG$9:$AHN$41,START!$C$3,7)*INDEX('DEFAULT DATA'!$VD$9:$VJ$41,START!$C$3,7)/1000000</f>
        <v>0</v>
      </c>
      <c r="BM162" s="272">
        <f>BM$133*INDEX('DEFAULT DATA'!$AHG$9:$AHN$41,START!$C$3,7)*INDEX('DEFAULT DATA'!$VD$9:$VJ$41,START!$C$3,7)/1000000</f>
        <v>0</v>
      </c>
      <c r="BN162" s="272">
        <f>BN$133*INDEX('DEFAULT DATA'!$AHG$9:$AHN$41,START!$C$3,7)*INDEX('DEFAULT DATA'!$VD$9:$VJ$41,START!$C$3,7)/1000000</f>
        <v>0</v>
      </c>
      <c r="BP162" s="544" t="str">
        <f t="shared" si="67"/>
        <v>Renewable</v>
      </c>
      <c r="BQ162" s="545" t="s">
        <v>1835</v>
      </c>
      <c r="BR162" s="546"/>
      <c r="BS162" s="546"/>
      <c r="BT162" s="546"/>
      <c r="BU162" s="546"/>
      <c r="BV162" s="546"/>
      <c r="BW162" s="546"/>
      <c r="BX162" s="546"/>
      <c r="BY162" s="546"/>
      <c r="BZ162" s="546"/>
      <c r="CA162" s="546"/>
      <c r="CB162" s="546"/>
      <c r="CC162" s="546"/>
      <c r="CD162" s="546"/>
      <c r="CE162" s="546"/>
      <c r="CF162" s="546"/>
      <c r="CG162" s="547"/>
      <c r="CH162" s="543" t="s">
        <v>1789</v>
      </c>
      <c r="CI162" s="543" t="s">
        <v>1625</v>
      </c>
    </row>
    <row r="163" spans="1:87" ht="20.100000000000001" customHeight="1" thickBot="1">
      <c r="A163" s="40"/>
      <c r="B163" s="34"/>
      <c r="C163" s="34"/>
      <c r="D163" s="34"/>
      <c r="E163" s="34"/>
      <c r="F163" s="34"/>
      <c r="G163" s="34"/>
      <c r="H163" s="34"/>
      <c r="I163" s="34"/>
      <c r="J163" s="34"/>
      <c r="K163" s="41"/>
      <c r="AF163" s="1503"/>
      <c r="AG163" s="498" t="s">
        <v>1226</v>
      </c>
      <c r="AH163" s="499"/>
      <c r="AI163" s="499"/>
      <c r="AJ163" s="340"/>
      <c r="AK163" s="335">
        <v>0</v>
      </c>
      <c r="AL163" s="325">
        <f>AL$133*INDEX('DEFAULT DATA'!$AHG$9:$AHN$41,START!$C$3,8)*BUILDINGS!AL6/1000000</f>
        <v>0</v>
      </c>
      <c r="AM163" s="325">
        <f>AM$133*INDEX('DEFAULT DATA'!$AHG$9:$AHN$41,START!$C$3,8)*BUILDINGS!AM6/1000000</f>
        <v>0</v>
      </c>
      <c r="AN163" s="325">
        <f>AN$133*INDEX('DEFAULT DATA'!$AHG$9:$AHN$41,START!$C$3,8)*BUILDINGS!AN6/1000000</f>
        <v>0</v>
      </c>
      <c r="AO163" s="325">
        <f>AO$133*INDEX('DEFAULT DATA'!$AHG$9:$AHN$41,START!$C$3,8)*BUILDINGS!AO6/1000000</f>
        <v>0</v>
      </c>
      <c r="AP163" s="325">
        <f>AP$133*INDEX('DEFAULT DATA'!$AHG$9:$AHN$41,START!$C$3,8)*BUILDINGS!AP6/1000000</f>
        <v>0</v>
      </c>
      <c r="AQ163" s="325">
        <f>AQ$133*INDEX('DEFAULT DATA'!$AHG$9:$AHN$41,START!$C$3,8)*BUILDINGS!AQ6/1000000</f>
        <v>0</v>
      </c>
      <c r="AR163" s="325">
        <f>AR$133*INDEX('DEFAULT DATA'!$AHG$9:$AHN$41,START!$C$3,8)*BUILDINGS!AR6/1000000</f>
        <v>0</v>
      </c>
      <c r="AS163" s="325">
        <f>AS$133*INDEX('DEFAULT DATA'!$AHG$9:$AHN$41,START!$C$3,8)*BUILDINGS!AS6/1000000</f>
        <v>0</v>
      </c>
      <c r="AT163" s="325">
        <f>AT$133*INDEX('DEFAULT DATA'!$AHG$9:$AHN$41,START!$C$3,8)*BUILDINGS!AT6/1000000</f>
        <v>0</v>
      </c>
      <c r="AU163" s="325">
        <f>AU$133*INDEX('DEFAULT DATA'!$AHG$9:$AHN$41,START!$C$3,8)*BUILDINGS!AU6/1000000</f>
        <v>0</v>
      </c>
      <c r="AV163" s="325">
        <f>AV$133*INDEX('DEFAULT DATA'!$AHG$9:$AHN$41,START!$C$3,8)*BUILDINGS!AV6/1000000</f>
        <v>0</v>
      </c>
      <c r="AW163" s="325">
        <f>AW$133*INDEX('DEFAULT DATA'!$AHG$9:$AHN$41,START!$C$3,8)*BUILDINGS!AW6/1000000</f>
        <v>0</v>
      </c>
      <c r="AX163" s="325">
        <f>AX$133*INDEX('DEFAULT DATA'!$AHG$9:$AHN$41,START!$C$3,8)*BUILDINGS!AX6/1000000</f>
        <v>0</v>
      </c>
      <c r="AY163" s="325">
        <f>AY$133*INDEX('DEFAULT DATA'!$AHG$9:$AHN$41,START!$C$3,8)*BUILDINGS!AY6/1000000</f>
        <v>0</v>
      </c>
      <c r="AZ163" s="325">
        <f>AZ$133*INDEX('DEFAULT DATA'!$AHG$9:$AHN$41,START!$C$3,8)*BUILDINGS!AZ6/1000000</f>
        <v>0</v>
      </c>
      <c r="BA163" s="325">
        <f>BA$133*INDEX('DEFAULT DATA'!$AHG$9:$AHN$41,START!$C$3,8)*BUILDINGS!BA6/1000000</f>
        <v>0</v>
      </c>
      <c r="BB163" s="325">
        <f>BB$133*INDEX('DEFAULT DATA'!$AHG$9:$AHN$41,START!$C$3,8)*BUILDINGS!BB6/1000000</f>
        <v>0</v>
      </c>
      <c r="BC163" s="325">
        <f>BC$133*INDEX('DEFAULT DATA'!$AHG$9:$AHN$41,START!$C$3,8)*BUILDINGS!BC6/1000000</f>
        <v>0</v>
      </c>
      <c r="BD163" s="325">
        <f>BD$133*INDEX('DEFAULT DATA'!$AHG$9:$AHN$41,START!$C$3,8)*BUILDINGS!BD6/1000000</f>
        <v>0</v>
      </c>
      <c r="BE163" s="325">
        <f>BE$133*INDEX('DEFAULT DATA'!$AHG$9:$AHN$41,START!$C$3,8)*BUILDINGS!BE6/1000000</f>
        <v>0</v>
      </c>
      <c r="BF163" s="325">
        <f>BF$133*INDEX('DEFAULT DATA'!$AHG$9:$AHN$41,START!$C$3,8)*BUILDINGS!BF6/1000000</f>
        <v>0</v>
      </c>
      <c r="BG163" s="325">
        <f>BG$133*INDEX('DEFAULT DATA'!$AHG$9:$AHN$41,START!$C$3,8)*BUILDINGS!BG6/1000000</f>
        <v>0</v>
      </c>
      <c r="BH163" s="325">
        <f>BH$133*INDEX('DEFAULT DATA'!$AHG$9:$AHN$41,START!$C$3,8)*BUILDINGS!BH6/1000000</f>
        <v>0</v>
      </c>
      <c r="BI163" s="325">
        <f>BI$133*INDEX('DEFAULT DATA'!$AHG$9:$AHN$41,START!$C$3,8)*BUILDINGS!BI6/1000000</f>
        <v>0</v>
      </c>
      <c r="BJ163" s="325">
        <f>BJ$133*INDEX('DEFAULT DATA'!$AHG$9:$AHN$41,START!$C$3,8)*BUILDINGS!BJ6/1000000</f>
        <v>0</v>
      </c>
      <c r="BK163" s="325">
        <f>BK$133*INDEX('DEFAULT DATA'!$AHG$9:$AHN$41,START!$C$3,8)*BUILDINGS!BK6/1000000</f>
        <v>0</v>
      </c>
      <c r="BL163" s="325">
        <f>BL$133*INDEX('DEFAULT DATA'!$AHG$9:$AHN$41,START!$C$3,8)*BUILDINGS!BL6/1000000</f>
        <v>0</v>
      </c>
      <c r="BM163" s="325">
        <f>BM$133*INDEX('DEFAULT DATA'!$AHG$9:$AHN$41,START!$C$3,8)*BUILDINGS!BM6/1000000</f>
        <v>0</v>
      </c>
      <c r="BN163" s="325">
        <f>BN$133*INDEX('DEFAULT DATA'!$AHG$9:$AHN$41,START!$C$3,8)*BUILDINGS!BN6/1000000</f>
        <v>0</v>
      </c>
      <c r="BP163" s="548" t="str">
        <f t="shared" si="67"/>
        <v>Heat</v>
      </c>
      <c r="BQ163" s="549" t="s">
        <v>1836</v>
      </c>
      <c r="BR163" s="550"/>
      <c r="BS163" s="550"/>
      <c r="BT163" s="550"/>
      <c r="BU163" s="550"/>
      <c r="BV163" s="550"/>
      <c r="BW163" s="550"/>
      <c r="BX163" s="550"/>
      <c r="BY163" s="550"/>
      <c r="BZ163" s="550"/>
      <c r="CA163" s="550"/>
      <c r="CB163" s="550"/>
      <c r="CC163" s="550"/>
      <c r="CD163" s="550"/>
      <c r="CE163" s="550"/>
      <c r="CF163" s="550"/>
      <c r="CG163" s="551"/>
      <c r="CH163" s="543" t="s">
        <v>1790</v>
      </c>
      <c r="CI163" s="543" t="s">
        <v>1626</v>
      </c>
    </row>
    <row r="164" spans="1:87" ht="20.100000000000001" customHeight="1">
      <c r="A164" s="40"/>
      <c r="B164" s="34"/>
      <c r="C164" s="34"/>
      <c r="D164" s="34"/>
      <c r="E164" s="34"/>
      <c r="F164" s="34"/>
      <c r="G164" s="34"/>
      <c r="H164" s="34"/>
      <c r="I164" s="34"/>
      <c r="J164" s="34"/>
      <c r="K164" s="41"/>
      <c r="L164" s="29"/>
      <c r="M164" s="968"/>
      <c r="N164" s="971"/>
      <c r="O164" s="971"/>
      <c r="P164" s="971"/>
      <c r="Q164" s="971"/>
      <c r="R164" s="971"/>
      <c r="S164" s="971"/>
      <c r="T164" s="971"/>
      <c r="U164" s="971"/>
      <c r="V164" s="971"/>
      <c r="W164" s="971"/>
      <c r="X164" s="971"/>
      <c r="Y164" s="971"/>
      <c r="Z164" s="971"/>
      <c r="AA164" s="971"/>
      <c r="AB164" s="971"/>
      <c r="AC164" s="971"/>
      <c r="AD164" s="971"/>
      <c r="AE164" s="971"/>
      <c r="AF164" s="332"/>
      <c r="AG164" s="505" t="s">
        <v>310</v>
      </c>
      <c r="AH164" s="506"/>
      <c r="AI164" s="506"/>
      <c r="AJ164" s="507"/>
      <c r="AK164" s="497">
        <f>SUM(AK156:AK163)</f>
        <v>0</v>
      </c>
      <c r="AL164" s="327">
        <f t="shared" ref="AL164" si="68">SUM(AL156:AL163)</f>
        <v>0</v>
      </c>
      <c r="AM164" s="327">
        <f t="shared" ref="AM164:BN164" si="69">SUM(AM156:AM163)</f>
        <v>0</v>
      </c>
      <c r="AN164" s="327">
        <f t="shared" si="69"/>
        <v>0</v>
      </c>
      <c r="AO164" s="327">
        <f t="shared" si="69"/>
        <v>0</v>
      </c>
      <c r="AP164" s="327">
        <f t="shared" si="69"/>
        <v>0</v>
      </c>
      <c r="AQ164" s="327">
        <f t="shared" si="69"/>
        <v>0</v>
      </c>
      <c r="AR164" s="327">
        <f t="shared" si="69"/>
        <v>0</v>
      </c>
      <c r="AS164" s="327">
        <f t="shared" si="69"/>
        <v>0</v>
      </c>
      <c r="AT164" s="327">
        <f t="shared" si="69"/>
        <v>0</v>
      </c>
      <c r="AU164" s="327">
        <f t="shared" si="69"/>
        <v>0</v>
      </c>
      <c r="AV164" s="327">
        <f t="shared" si="69"/>
        <v>0</v>
      </c>
      <c r="AW164" s="327">
        <f t="shared" si="69"/>
        <v>0</v>
      </c>
      <c r="AX164" s="327">
        <f t="shared" si="69"/>
        <v>0</v>
      </c>
      <c r="AY164" s="327">
        <f t="shared" si="69"/>
        <v>0</v>
      </c>
      <c r="AZ164" s="327">
        <f t="shared" si="69"/>
        <v>0</v>
      </c>
      <c r="BA164" s="327">
        <f t="shared" si="69"/>
        <v>0</v>
      </c>
      <c r="BB164" s="327">
        <f t="shared" si="69"/>
        <v>0</v>
      </c>
      <c r="BC164" s="327">
        <f t="shared" si="69"/>
        <v>0</v>
      </c>
      <c r="BD164" s="327">
        <f t="shared" si="69"/>
        <v>0</v>
      </c>
      <c r="BE164" s="327">
        <f t="shared" si="69"/>
        <v>0</v>
      </c>
      <c r="BF164" s="327">
        <f t="shared" si="69"/>
        <v>0</v>
      </c>
      <c r="BG164" s="327">
        <f t="shared" si="69"/>
        <v>0</v>
      </c>
      <c r="BH164" s="327">
        <f t="shared" si="69"/>
        <v>0</v>
      </c>
      <c r="BI164" s="327">
        <f t="shared" si="69"/>
        <v>0</v>
      </c>
      <c r="BJ164" s="327">
        <f t="shared" si="69"/>
        <v>0</v>
      </c>
      <c r="BK164" s="327">
        <f t="shared" si="69"/>
        <v>0</v>
      </c>
      <c r="BL164" s="327">
        <f t="shared" si="69"/>
        <v>0</v>
      </c>
      <c r="BM164" s="327">
        <f t="shared" si="69"/>
        <v>0</v>
      </c>
      <c r="BN164" s="327">
        <f t="shared" si="69"/>
        <v>0</v>
      </c>
      <c r="BQ164" s="17"/>
    </row>
    <row r="165" spans="1:87" ht="20.100000000000001" customHeight="1">
      <c r="A165" s="40"/>
      <c r="B165" s="34"/>
      <c r="C165" s="34"/>
      <c r="D165" s="34"/>
      <c r="E165" s="34"/>
      <c r="F165" s="34"/>
      <c r="G165" s="34"/>
      <c r="H165" s="34"/>
      <c r="I165" s="34"/>
      <c r="J165" s="34"/>
      <c r="K165" s="41"/>
      <c r="L165" s="29"/>
      <c r="M165" s="968"/>
      <c r="N165" s="971"/>
      <c r="O165" s="971"/>
      <c r="P165" s="971"/>
      <c r="Q165" s="971"/>
      <c r="R165" s="971"/>
      <c r="S165" s="971"/>
      <c r="T165" s="971"/>
      <c r="U165" s="971"/>
      <c r="V165" s="971"/>
      <c r="W165" s="971"/>
      <c r="X165" s="971"/>
      <c r="Y165" s="971"/>
      <c r="Z165" s="971"/>
      <c r="AA165" s="971"/>
      <c r="AB165" s="971"/>
      <c r="AC165" s="971"/>
      <c r="AD165" s="971"/>
      <c r="AE165" s="971"/>
      <c r="BQ165" s="17"/>
    </row>
    <row r="166" spans="1:87" ht="20.100000000000001" customHeight="1">
      <c r="A166" s="28"/>
      <c r="B166" s="34"/>
      <c r="C166" s="34"/>
      <c r="D166" s="34"/>
      <c r="E166" s="34"/>
      <c r="F166" s="34"/>
      <c r="G166" s="197"/>
      <c r="H166" s="197"/>
      <c r="I166" s="197"/>
      <c r="J166" s="197"/>
      <c r="K166" s="41"/>
      <c r="L166" s="29"/>
      <c r="M166" s="968"/>
      <c r="N166" s="971"/>
      <c r="O166" s="971"/>
      <c r="P166" s="971"/>
      <c r="Q166" s="971"/>
      <c r="R166" s="971"/>
      <c r="S166" s="971"/>
      <c r="T166" s="971"/>
      <c r="U166" s="971"/>
      <c r="V166" s="971"/>
      <c r="W166" s="971"/>
      <c r="X166" s="971"/>
      <c r="Y166" s="971"/>
      <c r="Z166" s="971"/>
      <c r="AA166" s="971"/>
      <c r="AB166" s="971"/>
      <c r="AC166" s="971"/>
      <c r="AD166" s="971"/>
      <c r="AE166" s="971"/>
      <c r="BQ166" s="17"/>
      <c r="CH166" s="1560" t="s">
        <v>1767</v>
      </c>
      <c r="CI166" s="392"/>
    </row>
    <row r="167" spans="1:87" ht="20.100000000000001" customHeight="1">
      <c r="A167" s="40"/>
      <c r="B167" s="34"/>
      <c r="C167" s="34"/>
      <c r="D167" s="34"/>
      <c r="E167" s="34"/>
      <c r="F167" s="34"/>
      <c r="G167" s="197"/>
      <c r="H167" s="197"/>
      <c r="I167" s="197"/>
      <c r="J167" s="197"/>
      <c r="K167" s="41"/>
      <c r="L167" s="29"/>
      <c r="M167" s="968"/>
      <c r="N167" s="971"/>
      <c r="O167" s="971"/>
      <c r="P167" s="971"/>
      <c r="Q167" s="971"/>
      <c r="R167" s="971"/>
      <c r="S167" s="971"/>
      <c r="T167" s="971"/>
      <c r="U167" s="971"/>
      <c r="V167" s="971"/>
      <c r="W167" s="971"/>
      <c r="X167" s="971"/>
      <c r="Y167" s="971"/>
      <c r="Z167" s="971"/>
      <c r="AA167" s="971"/>
      <c r="AB167" s="971"/>
      <c r="AC167" s="971"/>
      <c r="AD167" s="971"/>
      <c r="AE167" s="971"/>
      <c r="AF167" s="271" t="s">
        <v>1407</v>
      </c>
      <c r="BQ167" s="17"/>
      <c r="CH167" s="1560"/>
      <c r="CI167" s="392"/>
    </row>
    <row r="168" spans="1:87" ht="20.100000000000001" customHeight="1">
      <c r="A168" s="40"/>
      <c r="B168" s="34"/>
      <c r="C168" s="34"/>
      <c r="D168" s="34"/>
      <c r="E168" s="34"/>
      <c r="F168" s="34"/>
      <c r="G168" s="197"/>
      <c r="H168" s="197"/>
      <c r="I168" s="197"/>
      <c r="J168" s="197"/>
      <c r="K168" s="41"/>
      <c r="L168" s="29"/>
      <c r="M168" s="968"/>
      <c r="N168" s="971"/>
      <c r="O168" s="971"/>
      <c r="P168" s="971"/>
      <c r="Q168" s="971"/>
      <c r="R168" s="971"/>
      <c r="S168" s="971"/>
      <c r="T168" s="971"/>
      <c r="U168" s="971"/>
      <c r="V168" s="971"/>
      <c r="W168" s="971"/>
      <c r="X168" s="971"/>
      <c r="Y168" s="971"/>
      <c r="Z168" s="971"/>
      <c r="AA168" s="971"/>
      <c r="AB168" s="971"/>
      <c r="AC168" s="971"/>
      <c r="AD168" s="971"/>
      <c r="AE168" s="971"/>
      <c r="AF168" s="269" t="s">
        <v>1380</v>
      </c>
      <c r="AG168" s="508" t="s">
        <v>1363</v>
      </c>
      <c r="AH168" s="486"/>
      <c r="AI168" s="486"/>
      <c r="AJ168" s="487"/>
      <c r="AK168" s="262">
        <v>2021</v>
      </c>
      <c r="AL168" s="262">
        <f>AK168+1</f>
        <v>2022</v>
      </c>
      <c r="AM168" s="262">
        <f t="shared" ref="AM168:BN168" si="70">AL168+1</f>
        <v>2023</v>
      </c>
      <c r="AN168" s="262">
        <f t="shared" si="70"/>
        <v>2024</v>
      </c>
      <c r="AO168" s="262">
        <f t="shared" si="70"/>
        <v>2025</v>
      </c>
      <c r="AP168" s="262">
        <f t="shared" si="70"/>
        <v>2026</v>
      </c>
      <c r="AQ168" s="262">
        <f t="shared" si="70"/>
        <v>2027</v>
      </c>
      <c r="AR168" s="262">
        <f t="shared" si="70"/>
        <v>2028</v>
      </c>
      <c r="AS168" s="262">
        <f t="shared" si="70"/>
        <v>2029</v>
      </c>
      <c r="AT168" s="262">
        <f t="shared" si="70"/>
        <v>2030</v>
      </c>
      <c r="AU168" s="262">
        <f t="shared" si="70"/>
        <v>2031</v>
      </c>
      <c r="AV168" s="262">
        <f t="shared" si="70"/>
        <v>2032</v>
      </c>
      <c r="AW168" s="262">
        <f t="shared" si="70"/>
        <v>2033</v>
      </c>
      <c r="AX168" s="262">
        <f t="shared" si="70"/>
        <v>2034</v>
      </c>
      <c r="AY168" s="262">
        <f t="shared" si="70"/>
        <v>2035</v>
      </c>
      <c r="AZ168" s="262">
        <f t="shared" si="70"/>
        <v>2036</v>
      </c>
      <c r="BA168" s="262">
        <f t="shared" si="70"/>
        <v>2037</v>
      </c>
      <c r="BB168" s="262">
        <f t="shared" si="70"/>
        <v>2038</v>
      </c>
      <c r="BC168" s="262">
        <f t="shared" si="70"/>
        <v>2039</v>
      </c>
      <c r="BD168" s="262">
        <f t="shared" si="70"/>
        <v>2040</v>
      </c>
      <c r="BE168" s="262">
        <f t="shared" si="70"/>
        <v>2041</v>
      </c>
      <c r="BF168" s="262">
        <f t="shared" si="70"/>
        <v>2042</v>
      </c>
      <c r="BG168" s="262">
        <f t="shared" si="70"/>
        <v>2043</v>
      </c>
      <c r="BH168" s="262">
        <f t="shared" si="70"/>
        <v>2044</v>
      </c>
      <c r="BI168" s="262">
        <f t="shared" si="70"/>
        <v>2045</v>
      </c>
      <c r="BJ168" s="262">
        <f t="shared" si="70"/>
        <v>2046</v>
      </c>
      <c r="BK168" s="262">
        <f t="shared" si="70"/>
        <v>2047</v>
      </c>
      <c r="BL168" s="262">
        <f t="shared" si="70"/>
        <v>2048</v>
      </c>
      <c r="BM168" s="262">
        <f t="shared" si="70"/>
        <v>2049</v>
      </c>
      <c r="BN168" s="262">
        <f t="shared" si="70"/>
        <v>2050</v>
      </c>
      <c r="BP168" s="17" t="s">
        <v>1780</v>
      </c>
      <c r="BQ168" s="17"/>
      <c r="CH168" s="395" t="s">
        <v>1769</v>
      </c>
      <c r="CI168" s="392" t="s">
        <v>1598</v>
      </c>
    </row>
    <row r="169" spans="1:87" ht="20.100000000000001" customHeight="1">
      <c r="A169" s="40"/>
      <c r="B169" s="34"/>
      <c r="C169" s="34"/>
      <c r="D169" s="34"/>
      <c r="E169" s="34"/>
      <c r="F169" s="34"/>
      <c r="G169" s="231"/>
      <c r="H169" s="231"/>
      <c r="I169" s="231"/>
      <c r="J169" s="231"/>
      <c r="K169" s="41"/>
      <c r="L169" s="29"/>
      <c r="M169" s="968"/>
      <c r="N169" s="971"/>
      <c r="O169" s="971"/>
      <c r="P169" s="971"/>
      <c r="Q169" s="971"/>
      <c r="R169" s="971"/>
      <c r="S169" s="971"/>
      <c r="T169" s="971"/>
      <c r="U169" s="971"/>
      <c r="V169" s="971"/>
      <c r="W169" s="971"/>
      <c r="X169" s="971"/>
      <c r="Y169" s="971"/>
      <c r="Z169" s="971"/>
      <c r="AA169" s="971"/>
      <c r="AB169" s="971"/>
      <c r="AC169" s="971"/>
      <c r="AD169" s="971"/>
      <c r="AE169" s="971"/>
      <c r="AF169" s="1501" t="s">
        <v>1230</v>
      </c>
      <c r="AG169" s="508" t="s">
        <v>933</v>
      </c>
      <c r="AH169" s="486"/>
      <c r="AI169" s="486"/>
      <c r="AJ169" s="487"/>
      <c r="AK169" s="220">
        <v>0</v>
      </c>
      <c r="AL169" s="272">
        <f>AL$134*INDEX('DEFAULT DATA'!$AHO$9:$AHV$41,START!$C$3,1)*BUILDINGS!AL5/1000000</f>
        <v>0</v>
      </c>
      <c r="AM169" s="272">
        <f>AM$134*INDEX('DEFAULT DATA'!$AHO$9:$AHV$41,START!$C$3,1)*BUILDINGS!AM5/1000000</f>
        <v>0</v>
      </c>
      <c r="AN169" s="272">
        <f>AN$134*INDEX('DEFAULT DATA'!$AHO$9:$AHV$41,START!$C$3,1)*BUILDINGS!AN5/1000000</f>
        <v>0</v>
      </c>
      <c r="AO169" s="272">
        <f>AO$134*INDEX('DEFAULT DATA'!$AHO$9:$AHV$41,START!$C$3,1)*BUILDINGS!AO5/1000000</f>
        <v>0</v>
      </c>
      <c r="AP169" s="272">
        <f>AP$134*INDEX('DEFAULT DATA'!$AHO$9:$AHV$41,START!$C$3,1)*BUILDINGS!AP5/1000000</f>
        <v>0</v>
      </c>
      <c r="AQ169" s="272">
        <f>AQ$134*INDEX('DEFAULT DATA'!$AHO$9:$AHV$41,START!$C$3,1)*BUILDINGS!AQ5/1000000</f>
        <v>0</v>
      </c>
      <c r="AR169" s="272">
        <f>AR$134*INDEX('DEFAULT DATA'!$AHO$9:$AHV$41,START!$C$3,1)*BUILDINGS!AR5/1000000</f>
        <v>0</v>
      </c>
      <c r="AS169" s="272">
        <f>AS$134*INDEX('DEFAULT DATA'!$AHO$9:$AHV$41,START!$C$3,1)*BUILDINGS!AS5/1000000</f>
        <v>0</v>
      </c>
      <c r="AT169" s="272">
        <f>AT$134*INDEX('DEFAULT DATA'!$AHO$9:$AHV$41,START!$C$3,1)*BUILDINGS!AT5/1000000</f>
        <v>0</v>
      </c>
      <c r="AU169" s="272">
        <f>AU$134*INDEX('DEFAULT DATA'!$AHO$9:$AHV$41,START!$C$3,1)*BUILDINGS!AU5/1000000</f>
        <v>0</v>
      </c>
      <c r="AV169" s="272">
        <f>AV$134*INDEX('DEFAULT DATA'!$AHO$9:$AHV$41,START!$C$3,1)*BUILDINGS!AV5/1000000</f>
        <v>0</v>
      </c>
      <c r="AW169" s="272">
        <f>AW$134*INDEX('DEFAULT DATA'!$AHO$9:$AHV$41,START!$C$3,1)*BUILDINGS!AW5/1000000</f>
        <v>0</v>
      </c>
      <c r="AX169" s="272">
        <f>AX$134*INDEX('DEFAULT DATA'!$AHO$9:$AHV$41,START!$C$3,1)*BUILDINGS!AX5/1000000</f>
        <v>0</v>
      </c>
      <c r="AY169" s="272">
        <f>AY$134*INDEX('DEFAULT DATA'!$AHO$9:$AHV$41,START!$C$3,1)*BUILDINGS!AY5/1000000</f>
        <v>0</v>
      </c>
      <c r="AZ169" s="272">
        <f>AZ$134*INDEX('DEFAULT DATA'!$AHO$9:$AHV$41,START!$C$3,1)*BUILDINGS!AZ5/1000000</f>
        <v>0</v>
      </c>
      <c r="BA169" s="272">
        <f>BA$134*INDEX('DEFAULT DATA'!$AHO$9:$AHV$41,START!$C$3,1)*BUILDINGS!BA5/1000000</f>
        <v>0</v>
      </c>
      <c r="BB169" s="272">
        <f>BB$134*INDEX('DEFAULT DATA'!$AHO$9:$AHV$41,START!$C$3,1)*BUILDINGS!BB5/1000000</f>
        <v>0</v>
      </c>
      <c r="BC169" s="272">
        <f>BC$134*INDEX('DEFAULT DATA'!$AHO$9:$AHV$41,START!$C$3,1)*BUILDINGS!BC5/1000000</f>
        <v>0</v>
      </c>
      <c r="BD169" s="272">
        <f>BD$134*INDEX('DEFAULT DATA'!$AHO$9:$AHV$41,START!$C$3,1)*BUILDINGS!BD5/1000000</f>
        <v>0</v>
      </c>
      <c r="BE169" s="272">
        <f>BE$134*INDEX('DEFAULT DATA'!$AHO$9:$AHV$41,START!$C$3,1)*BUILDINGS!BE5/1000000</f>
        <v>0</v>
      </c>
      <c r="BF169" s="272">
        <f>BF$134*INDEX('DEFAULT DATA'!$AHO$9:$AHV$41,START!$C$3,1)*BUILDINGS!BF5/1000000</f>
        <v>0</v>
      </c>
      <c r="BG169" s="272">
        <f>BG$134*INDEX('DEFAULT DATA'!$AHO$9:$AHV$41,START!$C$3,1)*BUILDINGS!BG5/1000000</f>
        <v>0</v>
      </c>
      <c r="BH169" s="272">
        <f>BH$134*INDEX('DEFAULT DATA'!$AHO$9:$AHV$41,START!$C$3,1)*BUILDINGS!BH5/1000000</f>
        <v>0</v>
      </c>
      <c r="BI169" s="272">
        <f>BI$134*INDEX('DEFAULT DATA'!$AHO$9:$AHV$41,START!$C$3,1)*BUILDINGS!BI5/1000000</f>
        <v>0</v>
      </c>
      <c r="BJ169" s="272">
        <f>BJ$134*INDEX('DEFAULT DATA'!$AHO$9:$AHV$41,START!$C$3,1)*BUILDINGS!BJ5/1000000</f>
        <v>0</v>
      </c>
      <c r="BK169" s="272">
        <f>BK$134*INDEX('DEFAULT DATA'!$AHO$9:$AHV$41,START!$C$3,1)*BUILDINGS!BK5/1000000</f>
        <v>0</v>
      </c>
      <c r="BL169" s="272">
        <f>BL$134*INDEX('DEFAULT DATA'!$AHO$9:$AHV$41,START!$C$3,1)*BUILDINGS!BL5/1000000</f>
        <v>0</v>
      </c>
      <c r="BM169" s="272">
        <f>BM$134*INDEX('DEFAULT DATA'!$AHO$9:$AHV$41,START!$C$3,1)*BUILDINGS!BM5/1000000</f>
        <v>0</v>
      </c>
      <c r="BN169" s="272">
        <f>BN$134*INDEX('DEFAULT DATA'!$AHO$9:$AHV$41,START!$C$3,1)*BUILDINGS!BN5/1000000</f>
        <v>0</v>
      </c>
      <c r="BP169" s="539" t="str">
        <f>AG169</f>
        <v>Electricity</v>
      </c>
      <c r="BQ169" s="540" t="s">
        <v>1868</v>
      </c>
      <c r="BR169" s="541"/>
      <c r="BS169" s="541"/>
      <c r="BT169" s="541"/>
      <c r="BU169" s="541"/>
      <c r="BV169" s="541"/>
      <c r="BW169" s="541"/>
      <c r="BX169" s="541"/>
      <c r="BY169" s="541"/>
      <c r="BZ169" s="541"/>
      <c r="CA169" s="541"/>
      <c r="CB169" s="541"/>
      <c r="CC169" s="541"/>
      <c r="CD169" s="541"/>
      <c r="CE169" s="541"/>
      <c r="CF169" s="541"/>
      <c r="CG169" s="542"/>
      <c r="CH169" s="543" t="s">
        <v>1791</v>
      </c>
      <c r="CI169" s="543" t="s">
        <v>1599</v>
      </c>
    </row>
    <row r="170" spans="1:87" ht="20.100000000000001" customHeight="1">
      <c r="A170" s="40"/>
      <c r="B170" s="34"/>
      <c r="C170" s="34"/>
      <c r="D170" s="34"/>
      <c r="E170" s="34"/>
      <c r="F170" s="34"/>
      <c r="G170" s="34"/>
      <c r="H170" s="34"/>
      <c r="I170" s="34"/>
      <c r="J170" s="34"/>
      <c r="K170" s="41"/>
      <c r="L170" s="29"/>
      <c r="M170" s="968"/>
      <c r="N170" s="971"/>
      <c r="O170" s="971"/>
      <c r="P170" s="971"/>
      <c r="Q170" s="971"/>
      <c r="R170" s="971"/>
      <c r="S170" s="971"/>
      <c r="T170" s="971"/>
      <c r="U170" s="971"/>
      <c r="V170" s="971"/>
      <c r="W170" s="971"/>
      <c r="X170" s="971"/>
      <c r="Y170" s="971"/>
      <c r="Z170" s="971"/>
      <c r="AA170" s="971"/>
      <c r="AB170" s="971"/>
      <c r="AC170" s="971"/>
      <c r="AD170" s="971"/>
      <c r="AE170" s="971"/>
      <c r="AF170" s="1502"/>
      <c r="AG170" s="508" t="s">
        <v>1220</v>
      </c>
      <c r="AH170" s="486"/>
      <c r="AI170" s="486"/>
      <c r="AJ170" s="487"/>
      <c r="AK170" s="220">
        <v>0</v>
      </c>
      <c r="AL170" s="272">
        <f>AL$134*INDEX('DEFAULT DATA'!$AHO$9:$AHV$41,START!$C$3,2)*INDEX('DEFAULT DATA'!$VD$9:$VJ$41,START!$C$3,2)/1000000</f>
        <v>0</v>
      </c>
      <c r="AM170" s="272">
        <f>AM$134*INDEX('DEFAULT DATA'!$AHO$9:$AHV$41,START!$C$3,2)*INDEX('DEFAULT DATA'!$VD$9:$VJ$41,START!$C$3,2)/1000000</f>
        <v>0</v>
      </c>
      <c r="AN170" s="272">
        <f>AN$134*INDEX('DEFAULT DATA'!$AHO$9:$AHV$41,START!$C$3,2)*INDEX('DEFAULT DATA'!$VD$9:$VJ$41,START!$C$3,2)/1000000</f>
        <v>0</v>
      </c>
      <c r="AO170" s="272">
        <f>AO$134*INDEX('DEFAULT DATA'!$AHO$9:$AHV$41,START!$C$3,2)*INDEX('DEFAULT DATA'!$VD$9:$VJ$41,START!$C$3,2)/1000000</f>
        <v>0</v>
      </c>
      <c r="AP170" s="272">
        <f>AP$134*INDEX('DEFAULT DATA'!$AHO$9:$AHV$41,START!$C$3,2)*INDEX('DEFAULT DATA'!$VD$9:$VJ$41,START!$C$3,2)/1000000</f>
        <v>0</v>
      </c>
      <c r="AQ170" s="272">
        <f>AQ$134*INDEX('DEFAULT DATA'!$AHO$9:$AHV$41,START!$C$3,2)*INDEX('DEFAULT DATA'!$VD$9:$VJ$41,START!$C$3,2)/1000000</f>
        <v>0</v>
      </c>
      <c r="AR170" s="272">
        <f>AR$134*INDEX('DEFAULT DATA'!$AHO$9:$AHV$41,START!$C$3,2)*INDEX('DEFAULT DATA'!$VD$9:$VJ$41,START!$C$3,2)/1000000</f>
        <v>0</v>
      </c>
      <c r="AS170" s="272">
        <f>AS$134*INDEX('DEFAULT DATA'!$AHO$9:$AHV$41,START!$C$3,2)*INDEX('DEFAULT DATA'!$VD$9:$VJ$41,START!$C$3,2)/1000000</f>
        <v>0</v>
      </c>
      <c r="AT170" s="272">
        <f>AT$134*INDEX('DEFAULT DATA'!$AHO$9:$AHV$41,START!$C$3,2)*INDEX('DEFAULT DATA'!$VD$9:$VJ$41,START!$C$3,2)/1000000</f>
        <v>0</v>
      </c>
      <c r="AU170" s="272">
        <f>AU$134*INDEX('DEFAULT DATA'!$AHO$9:$AHV$41,START!$C$3,2)*INDEX('DEFAULT DATA'!$VD$9:$VJ$41,START!$C$3,2)/1000000</f>
        <v>0</v>
      </c>
      <c r="AV170" s="272">
        <f>AV$134*INDEX('DEFAULT DATA'!$AHO$9:$AHV$41,START!$C$3,2)*INDEX('DEFAULT DATA'!$VD$9:$VJ$41,START!$C$3,2)/1000000</f>
        <v>0</v>
      </c>
      <c r="AW170" s="272">
        <f>AW$134*INDEX('DEFAULT DATA'!$AHO$9:$AHV$41,START!$C$3,2)*INDEX('DEFAULT DATA'!$VD$9:$VJ$41,START!$C$3,2)/1000000</f>
        <v>0</v>
      </c>
      <c r="AX170" s="272">
        <f>AX$134*INDEX('DEFAULT DATA'!$AHO$9:$AHV$41,START!$C$3,2)*INDEX('DEFAULT DATA'!$VD$9:$VJ$41,START!$C$3,2)/1000000</f>
        <v>0</v>
      </c>
      <c r="AY170" s="272">
        <f>AY$134*INDEX('DEFAULT DATA'!$AHO$9:$AHV$41,START!$C$3,2)*INDEX('DEFAULT DATA'!$VD$9:$VJ$41,START!$C$3,2)/1000000</f>
        <v>0</v>
      </c>
      <c r="AZ170" s="272">
        <f>AZ$134*INDEX('DEFAULT DATA'!$AHO$9:$AHV$41,START!$C$3,2)*INDEX('DEFAULT DATA'!$VD$9:$VJ$41,START!$C$3,2)/1000000</f>
        <v>0</v>
      </c>
      <c r="BA170" s="272">
        <f>BA$134*INDEX('DEFAULT DATA'!$AHO$9:$AHV$41,START!$C$3,2)*INDEX('DEFAULT DATA'!$VD$9:$VJ$41,START!$C$3,2)/1000000</f>
        <v>0</v>
      </c>
      <c r="BB170" s="272">
        <f>BB$134*INDEX('DEFAULT DATA'!$AHO$9:$AHV$41,START!$C$3,2)*INDEX('DEFAULT DATA'!$VD$9:$VJ$41,START!$C$3,2)/1000000</f>
        <v>0</v>
      </c>
      <c r="BC170" s="272">
        <f>BC$134*INDEX('DEFAULT DATA'!$AHO$9:$AHV$41,START!$C$3,2)*INDEX('DEFAULT DATA'!$VD$9:$VJ$41,START!$C$3,2)/1000000</f>
        <v>0</v>
      </c>
      <c r="BD170" s="272">
        <f>BD$134*INDEX('DEFAULT DATA'!$AHO$9:$AHV$41,START!$C$3,2)*INDEX('DEFAULT DATA'!$VD$9:$VJ$41,START!$C$3,2)/1000000</f>
        <v>0</v>
      </c>
      <c r="BE170" s="272">
        <f>BE$134*INDEX('DEFAULT DATA'!$AHO$9:$AHV$41,START!$C$3,2)*INDEX('DEFAULT DATA'!$VD$9:$VJ$41,START!$C$3,2)/1000000</f>
        <v>0</v>
      </c>
      <c r="BF170" s="272">
        <f>BF$134*INDEX('DEFAULT DATA'!$AHO$9:$AHV$41,START!$C$3,2)*INDEX('DEFAULT DATA'!$VD$9:$VJ$41,START!$C$3,2)/1000000</f>
        <v>0</v>
      </c>
      <c r="BG170" s="272">
        <f>BG$134*INDEX('DEFAULT DATA'!$AHO$9:$AHV$41,START!$C$3,2)*INDEX('DEFAULT DATA'!$VD$9:$VJ$41,START!$C$3,2)/1000000</f>
        <v>0</v>
      </c>
      <c r="BH170" s="272">
        <f>BH$134*INDEX('DEFAULT DATA'!$AHO$9:$AHV$41,START!$C$3,2)*INDEX('DEFAULT DATA'!$VD$9:$VJ$41,START!$C$3,2)/1000000</f>
        <v>0</v>
      </c>
      <c r="BI170" s="272">
        <f>BI$134*INDEX('DEFAULT DATA'!$AHO$9:$AHV$41,START!$C$3,2)*INDEX('DEFAULT DATA'!$VD$9:$VJ$41,START!$C$3,2)/1000000</f>
        <v>0</v>
      </c>
      <c r="BJ170" s="272">
        <f>BJ$134*INDEX('DEFAULT DATA'!$AHO$9:$AHV$41,START!$C$3,2)*INDEX('DEFAULT DATA'!$VD$9:$VJ$41,START!$C$3,2)/1000000</f>
        <v>0</v>
      </c>
      <c r="BK170" s="272">
        <f>BK$134*INDEX('DEFAULT DATA'!$AHO$9:$AHV$41,START!$C$3,2)*INDEX('DEFAULT DATA'!$VD$9:$VJ$41,START!$C$3,2)/1000000</f>
        <v>0</v>
      </c>
      <c r="BL170" s="272">
        <f>BL$134*INDEX('DEFAULT DATA'!$AHO$9:$AHV$41,START!$C$3,2)*INDEX('DEFAULT DATA'!$VD$9:$VJ$41,START!$C$3,2)/1000000</f>
        <v>0</v>
      </c>
      <c r="BM170" s="272">
        <f>BM$134*INDEX('DEFAULT DATA'!$AHO$9:$AHV$41,START!$C$3,2)*INDEX('DEFAULT DATA'!$VD$9:$VJ$41,START!$C$3,2)/1000000</f>
        <v>0</v>
      </c>
      <c r="BN170" s="272">
        <f>BN$134*INDEX('DEFAULT DATA'!$AHO$9:$AHV$41,START!$C$3,2)*INDEX('DEFAULT DATA'!$VD$9:$VJ$41,START!$C$3,2)/1000000</f>
        <v>0</v>
      </c>
      <c r="BP170" s="544" t="str">
        <f t="shared" ref="BP170:BP176" si="71">AG170</f>
        <v>Gas</v>
      </c>
      <c r="BQ170" s="545" t="s">
        <v>1837</v>
      </c>
      <c r="BR170" s="546"/>
      <c r="BS170" s="546"/>
      <c r="BT170" s="546"/>
      <c r="BU170" s="546"/>
      <c r="BV170" s="546"/>
      <c r="BW170" s="546"/>
      <c r="BX170" s="546"/>
      <c r="BY170" s="546"/>
      <c r="BZ170" s="546"/>
      <c r="CA170" s="546"/>
      <c r="CB170" s="546"/>
      <c r="CC170" s="546"/>
      <c r="CD170" s="546"/>
      <c r="CE170" s="546"/>
      <c r="CF170" s="546"/>
      <c r="CG170" s="547"/>
      <c r="CH170" s="543" t="s">
        <v>1792</v>
      </c>
      <c r="CI170" s="543" t="s">
        <v>1248</v>
      </c>
    </row>
    <row r="171" spans="1:87" ht="20.100000000000001" customHeight="1">
      <c r="A171" s="40"/>
      <c r="B171" s="34"/>
      <c r="C171" s="34"/>
      <c r="D171" s="34"/>
      <c r="E171" s="34"/>
      <c r="F171" s="34"/>
      <c r="G171" s="34"/>
      <c r="H171" s="34"/>
      <c r="I171" s="34"/>
      <c r="J171" s="34"/>
      <c r="K171" s="41"/>
      <c r="L171" s="29"/>
      <c r="M171" s="968"/>
      <c r="N171" s="971"/>
      <c r="O171" s="971"/>
      <c r="P171" s="971"/>
      <c r="Q171" s="971"/>
      <c r="R171" s="971"/>
      <c r="S171" s="971"/>
      <c r="T171" s="971"/>
      <c r="U171" s="971"/>
      <c r="V171" s="971"/>
      <c r="W171" s="971"/>
      <c r="X171" s="971"/>
      <c r="Y171" s="971"/>
      <c r="Z171" s="971"/>
      <c r="AA171" s="971"/>
      <c r="AB171" s="971"/>
      <c r="AC171" s="971"/>
      <c r="AD171" s="971"/>
      <c r="AE171" s="971"/>
      <c r="AF171" s="1502"/>
      <c r="AG171" s="508" t="s">
        <v>1221</v>
      </c>
      <c r="AH171" s="486"/>
      <c r="AI171" s="486"/>
      <c r="AJ171" s="487"/>
      <c r="AK171" s="220">
        <v>0</v>
      </c>
      <c r="AL171" s="272">
        <f>AL$134*INDEX('DEFAULT DATA'!$AHO$9:$AHV$41,START!$C$3,3)*INDEX('DEFAULT DATA'!$VD$9:$VJ$41,START!$C$3,3)/1000000</f>
        <v>0</v>
      </c>
      <c r="AM171" s="272">
        <f>AM$134*INDEX('DEFAULT DATA'!$AHO$9:$AHV$41,START!$C$3,3)*INDEX('DEFAULT DATA'!$VD$9:$VJ$41,START!$C$3,3)/1000000</f>
        <v>0</v>
      </c>
      <c r="AN171" s="272">
        <f>AN$134*INDEX('DEFAULT DATA'!$AHO$9:$AHV$41,START!$C$3,3)*INDEX('DEFAULT DATA'!$VD$9:$VJ$41,START!$C$3,3)/1000000</f>
        <v>0</v>
      </c>
      <c r="AO171" s="272">
        <f>AO$134*INDEX('DEFAULT DATA'!$AHO$9:$AHV$41,START!$C$3,3)*INDEX('DEFAULT DATA'!$VD$9:$VJ$41,START!$C$3,3)/1000000</f>
        <v>0</v>
      </c>
      <c r="AP171" s="272">
        <f>AP$134*INDEX('DEFAULT DATA'!$AHO$9:$AHV$41,START!$C$3,3)*INDEX('DEFAULT DATA'!$VD$9:$VJ$41,START!$C$3,3)/1000000</f>
        <v>0</v>
      </c>
      <c r="AQ171" s="272">
        <f>AQ$134*INDEX('DEFAULT DATA'!$AHO$9:$AHV$41,START!$C$3,3)*INDEX('DEFAULT DATA'!$VD$9:$VJ$41,START!$C$3,3)/1000000</f>
        <v>0</v>
      </c>
      <c r="AR171" s="272">
        <f>AR$134*INDEX('DEFAULT DATA'!$AHO$9:$AHV$41,START!$C$3,3)*INDEX('DEFAULT DATA'!$VD$9:$VJ$41,START!$C$3,3)/1000000</f>
        <v>0</v>
      </c>
      <c r="AS171" s="272">
        <f>AS$134*INDEX('DEFAULT DATA'!$AHO$9:$AHV$41,START!$C$3,3)*INDEX('DEFAULT DATA'!$VD$9:$VJ$41,START!$C$3,3)/1000000</f>
        <v>0</v>
      </c>
      <c r="AT171" s="272">
        <f>AT$134*INDEX('DEFAULT DATA'!$AHO$9:$AHV$41,START!$C$3,3)*INDEX('DEFAULT DATA'!$VD$9:$VJ$41,START!$C$3,3)/1000000</f>
        <v>0</v>
      </c>
      <c r="AU171" s="272">
        <f>AU$134*INDEX('DEFAULT DATA'!$AHO$9:$AHV$41,START!$C$3,3)*INDEX('DEFAULT DATA'!$VD$9:$VJ$41,START!$C$3,3)/1000000</f>
        <v>0</v>
      </c>
      <c r="AV171" s="272">
        <f>AV$134*INDEX('DEFAULT DATA'!$AHO$9:$AHV$41,START!$C$3,3)*INDEX('DEFAULT DATA'!$VD$9:$VJ$41,START!$C$3,3)/1000000</f>
        <v>0</v>
      </c>
      <c r="AW171" s="272">
        <f>AW$134*INDEX('DEFAULT DATA'!$AHO$9:$AHV$41,START!$C$3,3)*INDEX('DEFAULT DATA'!$VD$9:$VJ$41,START!$C$3,3)/1000000</f>
        <v>0</v>
      </c>
      <c r="AX171" s="272">
        <f>AX$134*INDEX('DEFAULT DATA'!$AHO$9:$AHV$41,START!$C$3,3)*INDEX('DEFAULT DATA'!$VD$9:$VJ$41,START!$C$3,3)/1000000</f>
        <v>0</v>
      </c>
      <c r="AY171" s="272">
        <f>AY$134*INDEX('DEFAULT DATA'!$AHO$9:$AHV$41,START!$C$3,3)*INDEX('DEFAULT DATA'!$VD$9:$VJ$41,START!$C$3,3)/1000000</f>
        <v>0</v>
      </c>
      <c r="AZ171" s="272">
        <f>AZ$134*INDEX('DEFAULT DATA'!$AHO$9:$AHV$41,START!$C$3,3)*INDEX('DEFAULT DATA'!$VD$9:$VJ$41,START!$C$3,3)/1000000</f>
        <v>0</v>
      </c>
      <c r="BA171" s="272">
        <f>BA$134*INDEX('DEFAULT DATA'!$AHO$9:$AHV$41,START!$C$3,3)*INDEX('DEFAULT DATA'!$VD$9:$VJ$41,START!$C$3,3)/1000000</f>
        <v>0</v>
      </c>
      <c r="BB171" s="272">
        <f>BB$134*INDEX('DEFAULT DATA'!$AHO$9:$AHV$41,START!$C$3,3)*INDEX('DEFAULT DATA'!$VD$9:$VJ$41,START!$C$3,3)/1000000</f>
        <v>0</v>
      </c>
      <c r="BC171" s="272">
        <f>BC$134*INDEX('DEFAULT DATA'!$AHO$9:$AHV$41,START!$C$3,3)*INDEX('DEFAULT DATA'!$VD$9:$VJ$41,START!$C$3,3)/1000000</f>
        <v>0</v>
      </c>
      <c r="BD171" s="272">
        <f>BD$134*INDEX('DEFAULT DATA'!$AHO$9:$AHV$41,START!$C$3,3)*INDEX('DEFAULT DATA'!$VD$9:$VJ$41,START!$C$3,3)/1000000</f>
        <v>0</v>
      </c>
      <c r="BE171" s="272">
        <f>BE$134*INDEX('DEFAULT DATA'!$AHO$9:$AHV$41,START!$C$3,3)*INDEX('DEFAULT DATA'!$VD$9:$VJ$41,START!$C$3,3)/1000000</f>
        <v>0</v>
      </c>
      <c r="BF171" s="272">
        <f>BF$134*INDEX('DEFAULT DATA'!$AHO$9:$AHV$41,START!$C$3,3)*INDEX('DEFAULT DATA'!$VD$9:$VJ$41,START!$C$3,3)/1000000</f>
        <v>0</v>
      </c>
      <c r="BG171" s="272">
        <f>BG$134*INDEX('DEFAULT DATA'!$AHO$9:$AHV$41,START!$C$3,3)*INDEX('DEFAULT DATA'!$VD$9:$VJ$41,START!$C$3,3)/1000000</f>
        <v>0</v>
      </c>
      <c r="BH171" s="272">
        <f>BH$134*INDEX('DEFAULT DATA'!$AHO$9:$AHV$41,START!$C$3,3)*INDEX('DEFAULT DATA'!$VD$9:$VJ$41,START!$C$3,3)/1000000</f>
        <v>0</v>
      </c>
      <c r="BI171" s="272">
        <f>BI$134*INDEX('DEFAULT DATA'!$AHO$9:$AHV$41,START!$C$3,3)*INDEX('DEFAULT DATA'!$VD$9:$VJ$41,START!$C$3,3)/1000000</f>
        <v>0</v>
      </c>
      <c r="BJ171" s="272">
        <f>BJ$134*INDEX('DEFAULT DATA'!$AHO$9:$AHV$41,START!$C$3,3)*INDEX('DEFAULT DATA'!$VD$9:$VJ$41,START!$C$3,3)/1000000</f>
        <v>0</v>
      </c>
      <c r="BK171" s="272">
        <f>BK$134*INDEX('DEFAULT DATA'!$AHO$9:$AHV$41,START!$C$3,3)*INDEX('DEFAULT DATA'!$VD$9:$VJ$41,START!$C$3,3)/1000000</f>
        <v>0</v>
      </c>
      <c r="BL171" s="272">
        <f>BL$134*INDEX('DEFAULT DATA'!$AHO$9:$AHV$41,START!$C$3,3)*INDEX('DEFAULT DATA'!$VD$9:$VJ$41,START!$C$3,3)/1000000</f>
        <v>0</v>
      </c>
      <c r="BM171" s="272">
        <f>BM$134*INDEX('DEFAULT DATA'!$AHO$9:$AHV$41,START!$C$3,3)*INDEX('DEFAULT DATA'!$VD$9:$VJ$41,START!$C$3,3)/1000000</f>
        <v>0</v>
      </c>
      <c r="BN171" s="272">
        <f>BN$134*INDEX('DEFAULT DATA'!$AHO$9:$AHV$41,START!$C$3,3)*INDEX('DEFAULT DATA'!$VD$9:$VJ$41,START!$C$3,3)/1000000</f>
        <v>0</v>
      </c>
      <c r="BP171" s="544" t="str">
        <f t="shared" si="71"/>
        <v>Oil</v>
      </c>
      <c r="BQ171" s="545" t="s">
        <v>1838</v>
      </c>
      <c r="BR171" s="546"/>
      <c r="BS171" s="546"/>
      <c r="BT171" s="546"/>
      <c r="BU171" s="546"/>
      <c r="BV171" s="546"/>
      <c r="BW171" s="546"/>
      <c r="BX171" s="546"/>
      <c r="BY171" s="546"/>
      <c r="BZ171" s="546"/>
      <c r="CA171" s="546"/>
      <c r="CB171" s="546"/>
      <c r="CC171" s="546"/>
      <c r="CD171" s="546"/>
      <c r="CE171" s="546"/>
      <c r="CF171" s="546"/>
      <c r="CG171" s="547"/>
      <c r="CH171" s="543" t="s">
        <v>1793</v>
      </c>
      <c r="CI171" s="543" t="s">
        <v>1621</v>
      </c>
    </row>
    <row r="172" spans="1:87" ht="20.100000000000001" customHeight="1">
      <c r="A172" s="40"/>
      <c r="B172" s="34"/>
      <c r="C172" s="34"/>
      <c r="D172" s="34"/>
      <c r="E172" s="34"/>
      <c r="F172" s="34"/>
      <c r="G172" s="34"/>
      <c r="H172" s="34"/>
      <c r="I172" s="34"/>
      <c r="J172" s="34"/>
      <c r="K172" s="41"/>
      <c r="L172" s="29"/>
      <c r="M172" s="968"/>
      <c r="N172" s="971"/>
      <c r="O172" s="971"/>
      <c r="P172" s="971"/>
      <c r="Q172" s="971"/>
      <c r="R172" s="971"/>
      <c r="S172" s="971"/>
      <c r="T172" s="971"/>
      <c r="U172" s="971"/>
      <c r="V172" s="971"/>
      <c r="W172" s="971"/>
      <c r="X172" s="971"/>
      <c r="Y172" s="971"/>
      <c r="Z172" s="971"/>
      <c r="AA172" s="971"/>
      <c r="AB172" s="971"/>
      <c r="AC172" s="971"/>
      <c r="AD172" s="971"/>
      <c r="AE172" s="971"/>
      <c r="AF172" s="1502"/>
      <c r="AG172" s="508" t="s">
        <v>1222</v>
      </c>
      <c r="AH172" s="486"/>
      <c r="AI172" s="486"/>
      <c r="AJ172" s="487"/>
      <c r="AK172" s="220">
        <v>0</v>
      </c>
      <c r="AL172" s="272">
        <f>AL$134*INDEX('DEFAULT DATA'!$AHO$9:$AHV$41,START!$C$3,4)*INDEX('DEFAULT DATA'!$VD$9:$VJ$41,START!$C$3,4)/1000000</f>
        <v>0</v>
      </c>
      <c r="AM172" s="272">
        <f>AM$134*INDEX('DEFAULT DATA'!$AHO$9:$AHV$41,START!$C$3,4)*INDEX('DEFAULT DATA'!$VD$9:$VJ$41,START!$C$3,4)/1000000</f>
        <v>0</v>
      </c>
      <c r="AN172" s="272">
        <f>AN$134*INDEX('DEFAULT DATA'!$AHO$9:$AHV$41,START!$C$3,4)*INDEX('DEFAULT DATA'!$VD$9:$VJ$41,START!$C$3,4)/1000000</f>
        <v>0</v>
      </c>
      <c r="AO172" s="272">
        <f>AO$134*INDEX('DEFAULT DATA'!$AHO$9:$AHV$41,START!$C$3,4)*INDEX('DEFAULT DATA'!$VD$9:$VJ$41,START!$C$3,4)/1000000</f>
        <v>0</v>
      </c>
      <c r="AP172" s="272">
        <f>AP$134*INDEX('DEFAULT DATA'!$AHO$9:$AHV$41,START!$C$3,4)*INDEX('DEFAULT DATA'!$VD$9:$VJ$41,START!$C$3,4)/1000000</f>
        <v>0</v>
      </c>
      <c r="AQ172" s="272">
        <f>AQ$134*INDEX('DEFAULT DATA'!$AHO$9:$AHV$41,START!$C$3,4)*INDEX('DEFAULT DATA'!$VD$9:$VJ$41,START!$C$3,4)/1000000</f>
        <v>0</v>
      </c>
      <c r="AR172" s="272">
        <f>AR$134*INDEX('DEFAULT DATA'!$AHO$9:$AHV$41,START!$C$3,4)*INDEX('DEFAULT DATA'!$VD$9:$VJ$41,START!$C$3,4)/1000000</f>
        <v>0</v>
      </c>
      <c r="AS172" s="272">
        <f>AS$134*INDEX('DEFAULT DATA'!$AHO$9:$AHV$41,START!$C$3,4)*INDEX('DEFAULT DATA'!$VD$9:$VJ$41,START!$C$3,4)/1000000</f>
        <v>0</v>
      </c>
      <c r="AT172" s="272">
        <f>AT$134*INDEX('DEFAULT DATA'!$AHO$9:$AHV$41,START!$C$3,4)*INDEX('DEFAULT DATA'!$VD$9:$VJ$41,START!$C$3,4)/1000000</f>
        <v>0</v>
      </c>
      <c r="AU172" s="272">
        <f>AU$134*INDEX('DEFAULT DATA'!$AHO$9:$AHV$41,START!$C$3,4)*INDEX('DEFAULT DATA'!$VD$9:$VJ$41,START!$C$3,4)/1000000</f>
        <v>0</v>
      </c>
      <c r="AV172" s="272">
        <f>AV$134*INDEX('DEFAULT DATA'!$AHO$9:$AHV$41,START!$C$3,4)*INDEX('DEFAULT DATA'!$VD$9:$VJ$41,START!$C$3,4)/1000000</f>
        <v>0</v>
      </c>
      <c r="AW172" s="272">
        <f>AW$134*INDEX('DEFAULT DATA'!$AHO$9:$AHV$41,START!$C$3,4)*INDEX('DEFAULT DATA'!$VD$9:$VJ$41,START!$C$3,4)/1000000</f>
        <v>0</v>
      </c>
      <c r="AX172" s="272">
        <f>AX$134*INDEX('DEFAULT DATA'!$AHO$9:$AHV$41,START!$C$3,4)*INDEX('DEFAULT DATA'!$VD$9:$VJ$41,START!$C$3,4)/1000000</f>
        <v>0</v>
      </c>
      <c r="AY172" s="272">
        <f>AY$134*INDEX('DEFAULT DATA'!$AHO$9:$AHV$41,START!$C$3,4)*INDEX('DEFAULT DATA'!$VD$9:$VJ$41,START!$C$3,4)/1000000</f>
        <v>0</v>
      </c>
      <c r="AZ172" s="272">
        <f>AZ$134*INDEX('DEFAULT DATA'!$AHO$9:$AHV$41,START!$C$3,4)*INDEX('DEFAULT DATA'!$VD$9:$VJ$41,START!$C$3,4)/1000000</f>
        <v>0</v>
      </c>
      <c r="BA172" s="272">
        <f>BA$134*INDEX('DEFAULT DATA'!$AHO$9:$AHV$41,START!$C$3,4)*INDEX('DEFAULT DATA'!$VD$9:$VJ$41,START!$C$3,4)/1000000</f>
        <v>0</v>
      </c>
      <c r="BB172" s="272">
        <f>BB$134*INDEX('DEFAULT DATA'!$AHO$9:$AHV$41,START!$C$3,4)*INDEX('DEFAULT DATA'!$VD$9:$VJ$41,START!$C$3,4)/1000000</f>
        <v>0</v>
      </c>
      <c r="BC172" s="272">
        <f>BC$134*INDEX('DEFAULT DATA'!$AHO$9:$AHV$41,START!$C$3,4)*INDEX('DEFAULT DATA'!$VD$9:$VJ$41,START!$C$3,4)/1000000</f>
        <v>0</v>
      </c>
      <c r="BD172" s="272">
        <f>BD$134*INDEX('DEFAULT DATA'!$AHO$9:$AHV$41,START!$C$3,4)*INDEX('DEFAULT DATA'!$VD$9:$VJ$41,START!$C$3,4)/1000000</f>
        <v>0</v>
      </c>
      <c r="BE172" s="272">
        <f>BE$134*INDEX('DEFAULT DATA'!$AHO$9:$AHV$41,START!$C$3,4)*INDEX('DEFAULT DATA'!$VD$9:$VJ$41,START!$C$3,4)/1000000</f>
        <v>0</v>
      </c>
      <c r="BF172" s="272">
        <f>BF$134*INDEX('DEFAULT DATA'!$AHO$9:$AHV$41,START!$C$3,4)*INDEX('DEFAULT DATA'!$VD$9:$VJ$41,START!$C$3,4)/1000000</f>
        <v>0</v>
      </c>
      <c r="BG172" s="272">
        <f>BG$134*INDEX('DEFAULT DATA'!$AHO$9:$AHV$41,START!$C$3,4)*INDEX('DEFAULT DATA'!$VD$9:$VJ$41,START!$C$3,4)/1000000</f>
        <v>0</v>
      </c>
      <c r="BH172" s="272">
        <f>BH$134*INDEX('DEFAULT DATA'!$AHO$9:$AHV$41,START!$C$3,4)*INDEX('DEFAULT DATA'!$VD$9:$VJ$41,START!$C$3,4)/1000000</f>
        <v>0</v>
      </c>
      <c r="BI172" s="272">
        <f>BI$134*INDEX('DEFAULT DATA'!$AHO$9:$AHV$41,START!$C$3,4)*INDEX('DEFAULT DATA'!$VD$9:$VJ$41,START!$C$3,4)/1000000</f>
        <v>0</v>
      </c>
      <c r="BJ172" s="272">
        <f>BJ$134*INDEX('DEFAULT DATA'!$AHO$9:$AHV$41,START!$C$3,4)*INDEX('DEFAULT DATA'!$VD$9:$VJ$41,START!$C$3,4)/1000000</f>
        <v>0</v>
      </c>
      <c r="BK172" s="272">
        <f>BK$134*INDEX('DEFAULT DATA'!$AHO$9:$AHV$41,START!$C$3,4)*INDEX('DEFAULT DATA'!$VD$9:$VJ$41,START!$C$3,4)/1000000</f>
        <v>0</v>
      </c>
      <c r="BL172" s="272">
        <f>BL$134*INDEX('DEFAULT DATA'!$AHO$9:$AHV$41,START!$C$3,4)*INDEX('DEFAULT DATA'!$VD$9:$VJ$41,START!$C$3,4)/1000000</f>
        <v>0</v>
      </c>
      <c r="BM172" s="272">
        <f>BM$134*INDEX('DEFAULT DATA'!$AHO$9:$AHV$41,START!$C$3,4)*INDEX('DEFAULT DATA'!$VD$9:$VJ$41,START!$C$3,4)/1000000</f>
        <v>0</v>
      </c>
      <c r="BN172" s="272">
        <f>BN$134*INDEX('DEFAULT DATA'!$AHO$9:$AHV$41,START!$C$3,4)*INDEX('DEFAULT DATA'!$VD$9:$VJ$41,START!$C$3,4)/1000000</f>
        <v>0</v>
      </c>
      <c r="BP172" s="544" t="str">
        <f t="shared" si="71"/>
        <v>Coal</v>
      </c>
      <c r="BQ172" s="545" t="s">
        <v>1839</v>
      </c>
      <c r="BR172" s="546"/>
      <c r="BS172" s="546"/>
      <c r="BT172" s="546"/>
      <c r="BU172" s="546"/>
      <c r="BV172" s="546"/>
      <c r="BW172" s="546"/>
      <c r="BX172" s="546"/>
      <c r="BY172" s="546"/>
      <c r="BZ172" s="546"/>
      <c r="CA172" s="546"/>
      <c r="CB172" s="546"/>
      <c r="CC172" s="546"/>
      <c r="CD172" s="546"/>
      <c r="CE172" s="546"/>
      <c r="CF172" s="546"/>
      <c r="CG172" s="547"/>
      <c r="CH172" s="543" t="s">
        <v>1794</v>
      </c>
      <c r="CI172" s="543" t="s">
        <v>1622</v>
      </c>
    </row>
    <row r="173" spans="1:87" ht="20.100000000000001" customHeight="1">
      <c r="A173" s="40"/>
      <c r="B173" s="34"/>
      <c r="C173" s="34"/>
      <c r="D173" s="34"/>
      <c r="E173" s="34"/>
      <c r="F173" s="34"/>
      <c r="G173" s="34"/>
      <c r="H173" s="34"/>
      <c r="I173" s="34"/>
      <c r="J173" s="34"/>
      <c r="K173" s="41"/>
      <c r="L173" s="29"/>
      <c r="M173" s="968"/>
      <c r="N173" s="971"/>
      <c r="O173" s="971"/>
      <c r="P173" s="971"/>
      <c r="Q173" s="971"/>
      <c r="R173" s="971"/>
      <c r="S173" s="971"/>
      <c r="T173" s="971"/>
      <c r="U173" s="971"/>
      <c r="V173" s="971"/>
      <c r="W173" s="971"/>
      <c r="X173" s="971"/>
      <c r="Y173" s="971"/>
      <c r="Z173" s="971"/>
      <c r="AA173" s="971"/>
      <c r="AB173" s="971"/>
      <c r="AC173" s="971"/>
      <c r="AD173" s="971"/>
      <c r="AE173" s="971"/>
      <c r="AF173" s="1502"/>
      <c r="AG173" s="508" t="s">
        <v>1223</v>
      </c>
      <c r="AH173" s="486"/>
      <c r="AI173" s="486"/>
      <c r="AJ173" s="487"/>
      <c r="AK173" s="220">
        <v>0</v>
      </c>
      <c r="AL173" s="272">
        <f>AL$134*INDEX('DEFAULT DATA'!$AHO$9:$AHV$41,START!$C$3,5)*INDEX('DEFAULT DATA'!$VD$9:$VJ$41,START!$C$3,5)/1000000</f>
        <v>0</v>
      </c>
      <c r="AM173" s="272">
        <f>AM$134*INDEX('DEFAULT DATA'!$AHO$9:$AHV$41,START!$C$3,5)*INDEX('DEFAULT DATA'!$VD$9:$VJ$41,START!$C$3,5)/1000000</f>
        <v>0</v>
      </c>
      <c r="AN173" s="272">
        <f>AN$134*INDEX('DEFAULT DATA'!$AHO$9:$AHV$41,START!$C$3,5)*INDEX('DEFAULT DATA'!$VD$9:$VJ$41,START!$C$3,5)/1000000</f>
        <v>0</v>
      </c>
      <c r="AO173" s="272">
        <f>AO$134*INDEX('DEFAULT DATA'!$AHO$9:$AHV$41,START!$C$3,5)*INDEX('DEFAULT DATA'!$VD$9:$VJ$41,START!$C$3,5)/1000000</f>
        <v>0</v>
      </c>
      <c r="AP173" s="272">
        <f>AP$134*INDEX('DEFAULT DATA'!$AHO$9:$AHV$41,START!$C$3,5)*INDEX('DEFAULT DATA'!$VD$9:$VJ$41,START!$C$3,5)/1000000</f>
        <v>0</v>
      </c>
      <c r="AQ173" s="272">
        <f>AQ$134*INDEX('DEFAULT DATA'!$AHO$9:$AHV$41,START!$C$3,5)*INDEX('DEFAULT DATA'!$VD$9:$VJ$41,START!$C$3,5)/1000000</f>
        <v>0</v>
      </c>
      <c r="AR173" s="272">
        <f>AR$134*INDEX('DEFAULT DATA'!$AHO$9:$AHV$41,START!$C$3,5)*INDEX('DEFAULT DATA'!$VD$9:$VJ$41,START!$C$3,5)/1000000</f>
        <v>0</v>
      </c>
      <c r="AS173" s="272">
        <f>AS$134*INDEX('DEFAULT DATA'!$AHO$9:$AHV$41,START!$C$3,5)*INDEX('DEFAULT DATA'!$VD$9:$VJ$41,START!$C$3,5)/1000000</f>
        <v>0</v>
      </c>
      <c r="AT173" s="272">
        <f>AT$134*INDEX('DEFAULT DATA'!$AHO$9:$AHV$41,START!$C$3,5)*INDEX('DEFAULT DATA'!$VD$9:$VJ$41,START!$C$3,5)/1000000</f>
        <v>0</v>
      </c>
      <c r="AU173" s="272">
        <f>AU$134*INDEX('DEFAULT DATA'!$AHO$9:$AHV$41,START!$C$3,5)*INDEX('DEFAULT DATA'!$VD$9:$VJ$41,START!$C$3,5)/1000000</f>
        <v>0</v>
      </c>
      <c r="AV173" s="272">
        <f>AV$134*INDEX('DEFAULT DATA'!$AHO$9:$AHV$41,START!$C$3,5)*INDEX('DEFAULT DATA'!$VD$9:$VJ$41,START!$C$3,5)/1000000</f>
        <v>0</v>
      </c>
      <c r="AW173" s="272">
        <f>AW$134*INDEX('DEFAULT DATA'!$AHO$9:$AHV$41,START!$C$3,5)*INDEX('DEFAULT DATA'!$VD$9:$VJ$41,START!$C$3,5)/1000000</f>
        <v>0</v>
      </c>
      <c r="AX173" s="272">
        <f>AX$134*INDEX('DEFAULT DATA'!$AHO$9:$AHV$41,START!$C$3,5)*INDEX('DEFAULT DATA'!$VD$9:$VJ$41,START!$C$3,5)/1000000</f>
        <v>0</v>
      </c>
      <c r="AY173" s="272">
        <f>AY$134*INDEX('DEFAULT DATA'!$AHO$9:$AHV$41,START!$C$3,5)*INDEX('DEFAULT DATA'!$VD$9:$VJ$41,START!$C$3,5)/1000000</f>
        <v>0</v>
      </c>
      <c r="AZ173" s="272">
        <f>AZ$134*INDEX('DEFAULT DATA'!$AHO$9:$AHV$41,START!$C$3,5)*INDEX('DEFAULT DATA'!$VD$9:$VJ$41,START!$C$3,5)/1000000</f>
        <v>0</v>
      </c>
      <c r="BA173" s="272">
        <f>BA$134*INDEX('DEFAULT DATA'!$AHO$9:$AHV$41,START!$C$3,5)*INDEX('DEFAULT DATA'!$VD$9:$VJ$41,START!$C$3,5)/1000000</f>
        <v>0</v>
      </c>
      <c r="BB173" s="272">
        <f>BB$134*INDEX('DEFAULT DATA'!$AHO$9:$AHV$41,START!$C$3,5)*INDEX('DEFAULT DATA'!$VD$9:$VJ$41,START!$C$3,5)/1000000</f>
        <v>0</v>
      </c>
      <c r="BC173" s="272">
        <f>BC$134*INDEX('DEFAULT DATA'!$AHO$9:$AHV$41,START!$C$3,5)*INDEX('DEFAULT DATA'!$VD$9:$VJ$41,START!$C$3,5)/1000000</f>
        <v>0</v>
      </c>
      <c r="BD173" s="272">
        <f>BD$134*INDEX('DEFAULT DATA'!$AHO$9:$AHV$41,START!$C$3,5)*INDEX('DEFAULT DATA'!$VD$9:$VJ$41,START!$C$3,5)/1000000</f>
        <v>0</v>
      </c>
      <c r="BE173" s="272">
        <f>BE$134*INDEX('DEFAULT DATA'!$AHO$9:$AHV$41,START!$C$3,5)*INDEX('DEFAULT DATA'!$VD$9:$VJ$41,START!$C$3,5)/1000000</f>
        <v>0</v>
      </c>
      <c r="BF173" s="272">
        <f>BF$134*INDEX('DEFAULT DATA'!$AHO$9:$AHV$41,START!$C$3,5)*INDEX('DEFAULT DATA'!$VD$9:$VJ$41,START!$C$3,5)/1000000</f>
        <v>0</v>
      </c>
      <c r="BG173" s="272">
        <f>BG$134*INDEX('DEFAULT DATA'!$AHO$9:$AHV$41,START!$C$3,5)*INDEX('DEFAULT DATA'!$VD$9:$VJ$41,START!$C$3,5)/1000000</f>
        <v>0</v>
      </c>
      <c r="BH173" s="272">
        <f>BH$134*INDEX('DEFAULT DATA'!$AHO$9:$AHV$41,START!$C$3,5)*INDEX('DEFAULT DATA'!$VD$9:$VJ$41,START!$C$3,5)/1000000</f>
        <v>0</v>
      </c>
      <c r="BI173" s="272">
        <f>BI$134*INDEX('DEFAULT DATA'!$AHO$9:$AHV$41,START!$C$3,5)*INDEX('DEFAULT DATA'!$VD$9:$VJ$41,START!$C$3,5)/1000000</f>
        <v>0</v>
      </c>
      <c r="BJ173" s="272">
        <f>BJ$134*INDEX('DEFAULT DATA'!$AHO$9:$AHV$41,START!$C$3,5)*INDEX('DEFAULT DATA'!$VD$9:$VJ$41,START!$C$3,5)/1000000</f>
        <v>0</v>
      </c>
      <c r="BK173" s="272">
        <f>BK$134*INDEX('DEFAULT DATA'!$AHO$9:$AHV$41,START!$C$3,5)*INDEX('DEFAULT DATA'!$VD$9:$VJ$41,START!$C$3,5)/1000000</f>
        <v>0</v>
      </c>
      <c r="BL173" s="272">
        <f>BL$134*INDEX('DEFAULT DATA'!$AHO$9:$AHV$41,START!$C$3,5)*INDEX('DEFAULT DATA'!$VD$9:$VJ$41,START!$C$3,5)/1000000</f>
        <v>0</v>
      </c>
      <c r="BM173" s="272">
        <f>BM$134*INDEX('DEFAULT DATA'!$AHO$9:$AHV$41,START!$C$3,5)*INDEX('DEFAULT DATA'!$VD$9:$VJ$41,START!$C$3,5)/1000000</f>
        <v>0</v>
      </c>
      <c r="BN173" s="272">
        <f>BN$134*INDEX('DEFAULT DATA'!$AHO$9:$AHV$41,START!$C$3,5)*INDEX('DEFAULT DATA'!$VD$9:$VJ$41,START!$C$3,5)/1000000</f>
        <v>0</v>
      </c>
      <c r="BP173" s="544" t="str">
        <f t="shared" si="71"/>
        <v>Peat</v>
      </c>
      <c r="BQ173" s="545" t="s">
        <v>1840</v>
      </c>
      <c r="BR173" s="546"/>
      <c r="BS173" s="546"/>
      <c r="BT173" s="546"/>
      <c r="BU173" s="546"/>
      <c r="BV173" s="546"/>
      <c r="BW173" s="546"/>
      <c r="BX173" s="546"/>
      <c r="BY173" s="546"/>
      <c r="BZ173" s="546"/>
      <c r="CA173" s="546"/>
      <c r="CB173" s="546"/>
      <c r="CC173" s="546"/>
      <c r="CD173" s="546"/>
      <c r="CE173" s="546"/>
      <c r="CF173" s="546"/>
      <c r="CG173" s="547"/>
      <c r="CH173" s="543" t="s">
        <v>1795</v>
      </c>
      <c r="CI173" s="543" t="s">
        <v>1623</v>
      </c>
    </row>
    <row r="174" spans="1:87" ht="20.100000000000001" customHeight="1">
      <c r="A174" s="40"/>
      <c r="B174" s="34"/>
      <c r="C174" s="34"/>
      <c r="D174" s="34"/>
      <c r="E174" s="34"/>
      <c r="F174" s="34"/>
      <c r="G174" s="34"/>
      <c r="H174" s="34"/>
      <c r="I174" s="34"/>
      <c r="J174" s="34"/>
      <c r="K174" s="41"/>
      <c r="L174" s="29"/>
      <c r="M174" s="968"/>
      <c r="N174" s="971"/>
      <c r="O174" s="971"/>
      <c r="P174" s="971"/>
      <c r="Q174" s="971"/>
      <c r="R174" s="971"/>
      <c r="S174" s="971"/>
      <c r="T174" s="971"/>
      <c r="U174" s="971"/>
      <c r="V174" s="971"/>
      <c r="W174" s="971"/>
      <c r="X174" s="971"/>
      <c r="Y174" s="971"/>
      <c r="Z174" s="971"/>
      <c r="AA174" s="971"/>
      <c r="AB174" s="971"/>
      <c r="AC174" s="971"/>
      <c r="AD174" s="971"/>
      <c r="AE174" s="971"/>
      <c r="AF174" s="1502"/>
      <c r="AG174" s="508" t="s">
        <v>1224</v>
      </c>
      <c r="AH174" s="486"/>
      <c r="AI174" s="486"/>
      <c r="AJ174" s="487"/>
      <c r="AK174" s="220">
        <v>0</v>
      </c>
      <c r="AL174" s="272">
        <f>AL$134*INDEX('DEFAULT DATA'!$AHO$9:$AHV$41,START!$C$3,6)*INDEX('DEFAULT DATA'!$VD$9:$VJ$41,START!$C$3,6)/1000000</f>
        <v>0</v>
      </c>
      <c r="AM174" s="272">
        <f>AM$134*INDEX('DEFAULT DATA'!$AHO$9:$AHV$41,START!$C$3,6)*INDEX('DEFAULT DATA'!$VD$9:$VJ$41,START!$C$3,6)/1000000</f>
        <v>0</v>
      </c>
      <c r="AN174" s="272">
        <f>AN$134*INDEX('DEFAULT DATA'!$AHO$9:$AHV$41,START!$C$3,6)*INDEX('DEFAULT DATA'!$VD$9:$VJ$41,START!$C$3,6)/1000000</f>
        <v>0</v>
      </c>
      <c r="AO174" s="272">
        <f>AO$134*INDEX('DEFAULT DATA'!$AHO$9:$AHV$41,START!$C$3,6)*INDEX('DEFAULT DATA'!$VD$9:$VJ$41,START!$C$3,6)/1000000</f>
        <v>0</v>
      </c>
      <c r="AP174" s="272">
        <f>AP$134*INDEX('DEFAULT DATA'!$AHO$9:$AHV$41,START!$C$3,6)*INDEX('DEFAULT DATA'!$VD$9:$VJ$41,START!$C$3,6)/1000000</f>
        <v>0</v>
      </c>
      <c r="AQ174" s="272">
        <f>AQ$134*INDEX('DEFAULT DATA'!$AHO$9:$AHV$41,START!$C$3,6)*INDEX('DEFAULT DATA'!$VD$9:$VJ$41,START!$C$3,6)/1000000</f>
        <v>0</v>
      </c>
      <c r="AR174" s="272">
        <f>AR$134*INDEX('DEFAULT DATA'!$AHO$9:$AHV$41,START!$C$3,6)*INDEX('DEFAULT DATA'!$VD$9:$VJ$41,START!$C$3,6)/1000000</f>
        <v>0</v>
      </c>
      <c r="AS174" s="272">
        <f>AS$134*INDEX('DEFAULT DATA'!$AHO$9:$AHV$41,START!$C$3,6)*INDEX('DEFAULT DATA'!$VD$9:$VJ$41,START!$C$3,6)/1000000</f>
        <v>0</v>
      </c>
      <c r="AT174" s="272">
        <f>AT$134*INDEX('DEFAULT DATA'!$AHO$9:$AHV$41,START!$C$3,6)*INDEX('DEFAULT DATA'!$VD$9:$VJ$41,START!$C$3,6)/1000000</f>
        <v>0</v>
      </c>
      <c r="AU174" s="272">
        <f>AU$134*INDEX('DEFAULT DATA'!$AHO$9:$AHV$41,START!$C$3,6)*INDEX('DEFAULT DATA'!$VD$9:$VJ$41,START!$C$3,6)/1000000</f>
        <v>0</v>
      </c>
      <c r="AV174" s="272">
        <f>AV$134*INDEX('DEFAULT DATA'!$AHO$9:$AHV$41,START!$C$3,6)*INDEX('DEFAULT DATA'!$VD$9:$VJ$41,START!$C$3,6)/1000000</f>
        <v>0</v>
      </c>
      <c r="AW174" s="272">
        <f>AW$134*INDEX('DEFAULT DATA'!$AHO$9:$AHV$41,START!$C$3,6)*INDEX('DEFAULT DATA'!$VD$9:$VJ$41,START!$C$3,6)/1000000</f>
        <v>0</v>
      </c>
      <c r="AX174" s="272">
        <f>AX$134*INDEX('DEFAULT DATA'!$AHO$9:$AHV$41,START!$C$3,6)*INDEX('DEFAULT DATA'!$VD$9:$VJ$41,START!$C$3,6)/1000000</f>
        <v>0</v>
      </c>
      <c r="AY174" s="272">
        <f>AY$134*INDEX('DEFAULT DATA'!$AHO$9:$AHV$41,START!$C$3,6)*INDEX('DEFAULT DATA'!$VD$9:$VJ$41,START!$C$3,6)/1000000</f>
        <v>0</v>
      </c>
      <c r="AZ174" s="272">
        <f>AZ$134*INDEX('DEFAULT DATA'!$AHO$9:$AHV$41,START!$C$3,6)*INDEX('DEFAULT DATA'!$VD$9:$VJ$41,START!$C$3,6)/1000000</f>
        <v>0</v>
      </c>
      <c r="BA174" s="272">
        <f>BA$134*INDEX('DEFAULT DATA'!$AHO$9:$AHV$41,START!$C$3,6)*INDEX('DEFAULT DATA'!$VD$9:$VJ$41,START!$C$3,6)/1000000</f>
        <v>0</v>
      </c>
      <c r="BB174" s="272">
        <f>BB$134*INDEX('DEFAULT DATA'!$AHO$9:$AHV$41,START!$C$3,6)*INDEX('DEFAULT DATA'!$VD$9:$VJ$41,START!$C$3,6)/1000000</f>
        <v>0</v>
      </c>
      <c r="BC174" s="272">
        <f>BC$134*INDEX('DEFAULT DATA'!$AHO$9:$AHV$41,START!$C$3,6)*INDEX('DEFAULT DATA'!$VD$9:$VJ$41,START!$C$3,6)/1000000</f>
        <v>0</v>
      </c>
      <c r="BD174" s="272">
        <f>BD$134*INDEX('DEFAULT DATA'!$AHO$9:$AHV$41,START!$C$3,6)*INDEX('DEFAULT DATA'!$VD$9:$VJ$41,START!$C$3,6)/1000000</f>
        <v>0</v>
      </c>
      <c r="BE174" s="272">
        <f>BE$134*INDEX('DEFAULT DATA'!$AHO$9:$AHV$41,START!$C$3,6)*INDEX('DEFAULT DATA'!$VD$9:$VJ$41,START!$C$3,6)/1000000</f>
        <v>0</v>
      </c>
      <c r="BF174" s="272">
        <f>BF$134*INDEX('DEFAULT DATA'!$AHO$9:$AHV$41,START!$C$3,6)*INDEX('DEFAULT DATA'!$VD$9:$VJ$41,START!$C$3,6)/1000000</f>
        <v>0</v>
      </c>
      <c r="BG174" s="272">
        <f>BG$134*INDEX('DEFAULT DATA'!$AHO$9:$AHV$41,START!$C$3,6)*INDEX('DEFAULT DATA'!$VD$9:$VJ$41,START!$C$3,6)/1000000</f>
        <v>0</v>
      </c>
      <c r="BH174" s="272">
        <f>BH$134*INDEX('DEFAULT DATA'!$AHO$9:$AHV$41,START!$C$3,6)*INDEX('DEFAULT DATA'!$VD$9:$VJ$41,START!$C$3,6)/1000000</f>
        <v>0</v>
      </c>
      <c r="BI174" s="272">
        <f>BI$134*INDEX('DEFAULT DATA'!$AHO$9:$AHV$41,START!$C$3,6)*INDEX('DEFAULT DATA'!$VD$9:$VJ$41,START!$C$3,6)/1000000</f>
        <v>0</v>
      </c>
      <c r="BJ174" s="272">
        <f>BJ$134*INDEX('DEFAULT DATA'!$AHO$9:$AHV$41,START!$C$3,6)*INDEX('DEFAULT DATA'!$VD$9:$VJ$41,START!$C$3,6)/1000000</f>
        <v>0</v>
      </c>
      <c r="BK174" s="272">
        <f>BK$134*INDEX('DEFAULT DATA'!$AHO$9:$AHV$41,START!$C$3,6)*INDEX('DEFAULT DATA'!$VD$9:$VJ$41,START!$C$3,6)/1000000</f>
        <v>0</v>
      </c>
      <c r="BL174" s="272">
        <f>BL$134*INDEX('DEFAULT DATA'!$AHO$9:$AHV$41,START!$C$3,6)*INDEX('DEFAULT DATA'!$VD$9:$VJ$41,START!$C$3,6)/1000000</f>
        <v>0</v>
      </c>
      <c r="BM174" s="272">
        <f>BM$134*INDEX('DEFAULT DATA'!$AHO$9:$AHV$41,START!$C$3,6)*INDEX('DEFAULT DATA'!$VD$9:$VJ$41,START!$C$3,6)/1000000</f>
        <v>0</v>
      </c>
      <c r="BN174" s="272">
        <f>BN$134*INDEX('DEFAULT DATA'!$AHO$9:$AHV$41,START!$C$3,6)*INDEX('DEFAULT DATA'!$VD$9:$VJ$41,START!$C$3,6)/1000000</f>
        <v>0</v>
      </c>
      <c r="BP174" s="544" t="str">
        <f t="shared" si="71"/>
        <v>Wood</v>
      </c>
      <c r="BQ174" s="545" t="s">
        <v>1841</v>
      </c>
      <c r="BR174" s="546"/>
      <c r="BS174" s="546"/>
      <c r="BT174" s="546"/>
      <c r="BU174" s="546"/>
      <c r="BV174" s="546"/>
      <c r="BW174" s="546"/>
      <c r="BX174" s="546"/>
      <c r="BY174" s="546"/>
      <c r="BZ174" s="546"/>
      <c r="CA174" s="546"/>
      <c r="CB174" s="546"/>
      <c r="CC174" s="546"/>
      <c r="CD174" s="546"/>
      <c r="CE174" s="546"/>
      <c r="CF174" s="546"/>
      <c r="CG174" s="547"/>
      <c r="CH174" s="543" t="s">
        <v>1796</v>
      </c>
      <c r="CI174" s="543" t="s">
        <v>1624</v>
      </c>
    </row>
    <row r="175" spans="1:87" ht="20.100000000000001" customHeight="1" thickBot="1">
      <c r="A175" s="40"/>
      <c r="B175" s="34"/>
      <c r="C175" s="34"/>
      <c r="D175" s="34"/>
      <c r="E175" s="34"/>
      <c r="F175" s="34"/>
      <c r="G175" s="34"/>
      <c r="H175" s="34"/>
      <c r="I175" s="34"/>
      <c r="J175" s="34"/>
      <c r="K175" s="41"/>
      <c r="L175" s="29"/>
      <c r="M175" s="968"/>
      <c r="N175" s="971"/>
      <c r="O175" s="971"/>
      <c r="P175" s="971"/>
      <c r="Q175" s="971"/>
      <c r="R175" s="971"/>
      <c r="S175" s="971"/>
      <c r="T175" s="971"/>
      <c r="U175" s="971"/>
      <c r="V175" s="971"/>
      <c r="W175" s="971"/>
      <c r="X175" s="971"/>
      <c r="Y175" s="971"/>
      <c r="Z175" s="971"/>
      <c r="AA175" s="971"/>
      <c r="AB175" s="971"/>
      <c r="AC175" s="971"/>
      <c r="AD175" s="971"/>
      <c r="AE175" s="971"/>
      <c r="AF175" s="1502"/>
      <c r="AG175" s="508" t="s">
        <v>1225</v>
      </c>
      <c r="AH175" s="486"/>
      <c r="AI175" s="486"/>
      <c r="AJ175" s="487"/>
      <c r="AK175" s="220">
        <v>0</v>
      </c>
      <c r="AL175" s="272">
        <f>AL$134*INDEX('DEFAULT DATA'!$AHO$9:$AHV$41,START!$C$3,7)*INDEX('DEFAULT DATA'!$VD$9:$VJ$41,START!$C$3,7)/1000000</f>
        <v>0</v>
      </c>
      <c r="AM175" s="272">
        <f>AM$134*INDEX('DEFAULT DATA'!$AHO$9:$AHV$41,START!$C$3,7)*INDEX('DEFAULT DATA'!$VD$9:$VJ$41,START!$C$3,7)/1000000</f>
        <v>0</v>
      </c>
      <c r="AN175" s="272">
        <f>AN$134*INDEX('DEFAULT DATA'!$AHO$9:$AHV$41,START!$C$3,7)*INDEX('DEFAULT DATA'!$VD$9:$VJ$41,START!$C$3,7)/1000000</f>
        <v>0</v>
      </c>
      <c r="AO175" s="272">
        <f>AO$134*INDEX('DEFAULT DATA'!$AHO$9:$AHV$41,START!$C$3,7)*INDEX('DEFAULT DATA'!$VD$9:$VJ$41,START!$C$3,7)/1000000</f>
        <v>0</v>
      </c>
      <c r="AP175" s="272">
        <f>AP$134*INDEX('DEFAULT DATA'!$AHO$9:$AHV$41,START!$C$3,7)*INDEX('DEFAULT DATA'!$VD$9:$VJ$41,START!$C$3,7)/1000000</f>
        <v>0</v>
      </c>
      <c r="AQ175" s="272">
        <f>AQ$134*INDEX('DEFAULT DATA'!$AHO$9:$AHV$41,START!$C$3,7)*INDEX('DEFAULT DATA'!$VD$9:$VJ$41,START!$C$3,7)/1000000</f>
        <v>0</v>
      </c>
      <c r="AR175" s="272">
        <f>AR$134*INDEX('DEFAULT DATA'!$AHO$9:$AHV$41,START!$C$3,7)*INDEX('DEFAULT DATA'!$VD$9:$VJ$41,START!$C$3,7)/1000000</f>
        <v>0</v>
      </c>
      <c r="AS175" s="272">
        <f>AS$134*INDEX('DEFAULT DATA'!$AHO$9:$AHV$41,START!$C$3,7)*INDEX('DEFAULT DATA'!$VD$9:$VJ$41,START!$C$3,7)/1000000</f>
        <v>0</v>
      </c>
      <c r="AT175" s="272">
        <f>AT$134*INDEX('DEFAULT DATA'!$AHO$9:$AHV$41,START!$C$3,7)*INDEX('DEFAULT DATA'!$VD$9:$VJ$41,START!$C$3,7)/1000000</f>
        <v>0</v>
      </c>
      <c r="AU175" s="272">
        <f>AU$134*INDEX('DEFAULT DATA'!$AHO$9:$AHV$41,START!$C$3,7)*INDEX('DEFAULT DATA'!$VD$9:$VJ$41,START!$C$3,7)/1000000</f>
        <v>0</v>
      </c>
      <c r="AV175" s="272">
        <f>AV$134*INDEX('DEFAULT DATA'!$AHO$9:$AHV$41,START!$C$3,7)*INDEX('DEFAULT DATA'!$VD$9:$VJ$41,START!$C$3,7)/1000000</f>
        <v>0</v>
      </c>
      <c r="AW175" s="272">
        <f>AW$134*INDEX('DEFAULT DATA'!$AHO$9:$AHV$41,START!$C$3,7)*INDEX('DEFAULT DATA'!$VD$9:$VJ$41,START!$C$3,7)/1000000</f>
        <v>0</v>
      </c>
      <c r="AX175" s="272">
        <f>AX$134*INDEX('DEFAULT DATA'!$AHO$9:$AHV$41,START!$C$3,7)*INDEX('DEFAULT DATA'!$VD$9:$VJ$41,START!$C$3,7)/1000000</f>
        <v>0</v>
      </c>
      <c r="AY175" s="272">
        <f>AY$134*INDEX('DEFAULT DATA'!$AHO$9:$AHV$41,START!$C$3,7)*INDEX('DEFAULT DATA'!$VD$9:$VJ$41,START!$C$3,7)/1000000</f>
        <v>0</v>
      </c>
      <c r="AZ175" s="272">
        <f>AZ$134*INDEX('DEFAULT DATA'!$AHO$9:$AHV$41,START!$C$3,7)*INDEX('DEFAULT DATA'!$VD$9:$VJ$41,START!$C$3,7)/1000000</f>
        <v>0</v>
      </c>
      <c r="BA175" s="272">
        <f>BA$134*INDEX('DEFAULT DATA'!$AHO$9:$AHV$41,START!$C$3,7)*INDEX('DEFAULT DATA'!$VD$9:$VJ$41,START!$C$3,7)/1000000</f>
        <v>0</v>
      </c>
      <c r="BB175" s="272">
        <f>BB$134*INDEX('DEFAULT DATA'!$AHO$9:$AHV$41,START!$C$3,7)*INDEX('DEFAULT DATA'!$VD$9:$VJ$41,START!$C$3,7)/1000000</f>
        <v>0</v>
      </c>
      <c r="BC175" s="272">
        <f>BC$134*INDEX('DEFAULT DATA'!$AHO$9:$AHV$41,START!$C$3,7)*INDEX('DEFAULT DATA'!$VD$9:$VJ$41,START!$C$3,7)/1000000</f>
        <v>0</v>
      </c>
      <c r="BD175" s="272">
        <f>BD$134*INDEX('DEFAULT DATA'!$AHO$9:$AHV$41,START!$C$3,7)*INDEX('DEFAULT DATA'!$VD$9:$VJ$41,START!$C$3,7)/1000000</f>
        <v>0</v>
      </c>
      <c r="BE175" s="272">
        <f>BE$134*INDEX('DEFAULT DATA'!$AHO$9:$AHV$41,START!$C$3,7)*INDEX('DEFAULT DATA'!$VD$9:$VJ$41,START!$C$3,7)/1000000</f>
        <v>0</v>
      </c>
      <c r="BF175" s="272">
        <f>BF$134*INDEX('DEFAULT DATA'!$AHO$9:$AHV$41,START!$C$3,7)*INDEX('DEFAULT DATA'!$VD$9:$VJ$41,START!$C$3,7)/1000000</f>
        <v>0</v>
      </c>
      <c r="BG175" s="272">
        <f>BG$134*INDEX('DEFAULT DATA'!$AHO$9:$AHV$41,START!$C$3,7)*INDEX('DEFAULT DATA'!$VD$9:$VJ$41,START!$C$3,7)/1000000</f>
        <v>0</v>
      </c>
      <c r="BH175" s="272">
        <f>BH$134*INDEX('DEFAULT DATA'!$AHO$9:$AHV$41,START!$C$3,7)*INDEX('DEFAULT DATA'!$VD$9:$VJ$41,START!$C$3,7)/1000000</f>
        <v>0</v>
      </c>
      <c r="BI175" s="272">
        <f>BI$134*INDEX('DEFAULT DATA'!$AHO$9:$AHV$41,START!$C$3,7)*INDEX('DEFAULT DATA'!$VD$9:$VJ$41,START!$C$3,7)/1000000</f>
        <v>0</v>
      </c>
      <c r="BJ175" s="272">
        <f>BJ$134*INDEX('DEFAULT DATA'!$AHO$9:$AHV$41,START!$C$3,7)*INDEX('DEFAULT DATA'!$VD$9:$VJ$41,START!$C$3,7)/1000000</f>
        <v>0</v>
      </c>
      <c r="BK175" s="272">
        <f>BK$134*INDEX('DEFAULT DATA'!$AHO$9:$AHV$41,START!$C$3,7)*INDEX('DEFAULT DATA'!$VD$9:$VJ$41,START!$C$3,7)/1000000</f>
        <v>0</v>
      </c>
      <c r="BL175" s="272">
        <f>BL$134*INDEX('DEFAULT DATA'!$AHO$9:$AHV$41,START!$C$3,7)*INDEX('DEFAULT DATA'!$VD$9:$VJ$41,START!$C$3,7)/1000000</f>
        <v>0</v>
      </c>
      <c r="BM175" s="272">
        <f>BM$134*INDEX('DEFAULT DATA'!$AHO$9:$AHV$41,START!$C$3,7)*INDEX('DEFAULT DATA'!$VD$9:$VJ$41,START!$C$3,7)/1000000</f>
        <v>0</v>
      </c>
      <c r="BN175" s="272">
        <f>BN$134*INDEX('DEFAULT DATA'!$AHO$9:$AHV$41,START!$C$3,7)*INDEX('DEFAULT DATA'!$VD$9:$VJ$41,START!$C$3,7)/1000000</f>
        <v>0</v>
      </c>
      <c r="BP175" s="544" t="str">
        <f t="shared" si="71"/>
        <v>Renewable</v>
      </c>
      <c r="BQ175" s="545" t="s">
        <v>1842</v>
      </c>
      <c r="BR175" s="546"/>
      <c r="BS175" s="546"/>
      <c r="BT175" s="546"/>
      <c r="BU175" s="546"/>
      <c r="BV175" s="546"/>
      <c r="BW175" s="546"/>
      <c r="BX175" s="546"/>
      <c r="BY175" s="546"/>
      <c r="BZ175" s="546"/>
      <c r="CA175" s="546"/>
      <c r="CB175" s="546"/>
      <c r="CC175" s="546"/>
      <c r="CD175" s="546"/>
      <c r="CE175" s="546"/>
      <c r="CF175" s="546"/>
      <c r="CG175" s="547"/>
      <c r="CH175" s="543" t="s">
        <v>1797</v>
      </c>
      <c r="CI175" s="543" t="s">
        <v>1625</v>
      </c>
    </row>
    <row r="176" spans="1:87" ht="19.5" customHeight="1" thickBot="1">
      <c r="A176" s="468" t="s">
        <v>1432</v>
      </c>
      <c r="B176" s="1293">
        <v>2022</v>
      </c>
      <c r="C176" s="1293">
        <f>B176+1</f>
        <v>2023</v>
      </c>
      <c r="D176" s="1293">
        <f t="shared" ref="D176:AD176" si="72">C176+1</f>
        <v>2024</v>
      </c>
      <c r="E176" s="1293">
        <f t="shared" si="72"/>
        <v>2025</v>
      </c>
      <c r="F176" s="1293">
        <f t="shared" si="72"/>
        <v>2026</v>
      </c>
      <c r="G176" s="1293">
        <f t="shared" si="72"/>
        <v>2027</v>
      </c>
      <c r="H176" s="1293">
        <f t="shared" si="72"/>
        <v>2028</v>
      </c>
      <c r="I176" s="1293">
        <f t="shared" si="72"/>
        <v>2029</v>
      </c>
      <c r="J176" s="1293">
        <f t="shared" si="72"/>
        <v>2030</v>
      </c>
      <c r="K176" s="1293">
        <f t="shared" si="72"/>
        <v>2031</v>
      </c>
      <c r="L176" s="1293">
        <f t="shared" si="72"/>
        <v>2032</v>
      </c>
      <c r="M176" s="1293">
        <f t="shared" si="72"/>
        <v>2033</v>
      </c>
      <c r="N176" s="1293">
        <f t="shared" si="72"/>
        <v>2034</v>
      </c>
      <c r="O176" s="1293">
        <f t="shared" si="72"/>
        <v>2035</v>
      </c>
      <c r="P176" s="1293">
        <f t="shared" si="72"/>
        <v>2036</v>
      </c>
      <c r="Q176" s="1293">
        <f t="shared" si="72"/>
        <v>2037</v>
      </c>
      <c r="R176" s="1293">
        <f t="shared" si="72"/>
        <v>2038</v>
      </c>
      <c r="S176" s="1293">
        <f t="shared" si="72"/>
        <v>2039</v>
      </c>
      <c r="T176" s="1293">
        <f t="shared" si="72"/>
        <v>2040</v>
      </c>
      <c r="U176" s="1293">
        <f t="shared" si="72"/>
        <v>2041</v>
      </c>
      <c r="V176" s="1293">
        <f t="shared" si="72"/>
        <v>2042</v>
      </c>
      <c r="W176" s="1293">
        <f t="shared" si="72"/>
        <v>2043</v>
      </c>
      <c r="X176" s="1293">
        <f t="shared" si="72"/>
        <v>2044</v>
      </c>
      <c r="Y176" s="1293">
        <f t="shared" si="72"/>
        <v>2045</v>
      </c>
      <c r="Z176" s="1293">
        <f t="shared" si="72"/>
        <v>2046</v>
      </c>
      <c r="AA176" s="1293">
        <f t="shared" si="72"/>
        <v>2047</v>
      </c>
      <c r="AB176" s="1293">
        <f t="shared" si="72"/>
        <v>2048</v>
      </c>
      <c r="AC176" s="1293">
        <f t="shared" si="72"/>
        <v>2049</v>
      </c>
      <c r="AD176" s="318">
        <f t="shared" si="72"/>
        <v>2050</v>
      </c>
      <c r="AE176" s="971"/>
      <c r="AF176" s="1503"/>
      <c r="AG176" s="498" t="s">
        <v>1226</v>
      </c>
      <c r="AH176" s="499"/>
      <c r="AI176" s="499"/>
      <c r="AJ176" s="340"/>
      <c r="AK176" s="320">
        <v>0</v>
      </c>
      <c r="AL176" s="325">
        <f>AL$134*INDEX('DEFAULT DATA'!$AHO$9:$AHV$41,START!$C$3,8)*BUILDINGS!AL6/1000000</f>
        <v>0</v>
      </c>
      <c r="AM176" s="325">
        <f>AM$134*INDEX('DEFAULT DATA'!$AHO$9:$AHV$41,START!$C$3,8)*BUILDINGS!AM6/1000000</f>
        <v>0</v>
      </c>
      <c r="AN176" s="325">
        <f>AN$134*INDEX('DEFAULT DATA'!$AHO$9:$AHV$41,START!$C$3,8)*BUILDINGS!AN6/1000000</f>
        <v>0</v>
      </c>
      <c r="AO176" s="325">
        <f>AO$134*INDEX('DEFAULT DATA'!$AHO$9:$AHV$41,START!$C$3,8)*BUILDINGS!AO6/1000000</f>
        <v>0</v>
      </c>
      <c r="AP176" s="325">
        <f>AP$134*INDEX('DEFAULT DATA'!$AHO$9:$AHV$41,START!$C$3,8)*BUILDINGS!AP6/1000000</f>
        <v>0</v>
      </c>
      <c r="AQ176" s="325">
        <f>AQ$134*INDEX('DEFAULT DATA'!$AHO$9:$AHV$41,START!$C$3,8)*BUILDINGS!AQ6/1000000</f>
        <v>0</v>
      </c>
      <c r="AR176" s="325">
        <f>AR$134*INDEX('DEFAULT DATA'!$AHO$9:$AHV$41,START!$C$3,8)*BUILDINGS!AR6/1000000</f>
        <v>0</v>
      </c>
      <c r="AS176" s="325">
        <f>AS$134*INDEX('DEFAULT DATA'!$AHO$9:$AHV$41,START!$C$3,8)*BUILDINGS!AS6/1000000</f>
        <v>0</v>
      </c>
      <c r="AT176" s="325">
        <f>AT$134*INDEX('DEFAULT DATA'!$AHO$9:$AHV$41,START!$C$3,8)*BUILDINGS!AT6/1000000</f>
        <v>0</v>
      </c>
      <c r="AU176" s="325">
        <f>AU$134*INDEX('DEFAULT DATA'!$AHO$9:$AHV$41,START!$C$3,8)*BUILDINGS!AU6/1000000</f>
        <v>0</v>
      </c>
      <c r="AV176" s="325">
        <f>AV$134*INDEX('DEFAULT DATA'!$AHO$9:$AHV$41,START!$C$3,8)*BUILDINGS!AV6/1000000</f>
        <v>0</v>
      </c>
      <c r="AW176" s="325">
        <f>AW$134*INDEX('DEFAULT DATA'!$AHO$9:$AHV$41,START!$C$3,8)*BUILDINGS!AW6/1000000</f>
        <v>0</v>
      </c>
      <c r="AX176" s="325">
        <f>AX$134*INDEX('DEFAULT DATA'!$AHO$9:$AHV$41,START!$C$3,8)*BUILDINGS!AX6/1000000</f>
        <v>0</v>
      </c>
      <c r="AY176" s="325">
        <f>AY$134*INDEX('DEFAULT DATA'!$AHO$9:$AHV$41,START!$C$3,8)*BUILDINGS!AY6/1000000</f>
        <v>0</v>
      </c>
      <c r="AZ176" s="325">
        <f>AZ$134*INDEX('DEFAULT DATA'!$AHO$9:$AHV$41,START!$C$3,8)*BUILDINGS!AZ6/1000000</f>
        <v>0</v>
      </c>
      <c r="BA176" s="325">
        <f>BA$134*INDEX('DEFAULT DATA'!$AHO$9:$AHV$41,START!$C$3,8)*BUILDINGS!BA6/1000000</f>
        <v>0</v>
      </c>
      <c r="BB176" s="325">
        <f>BB$134*INDEX('DEFAULT DATA'!$AHO$9:$AHV$41,START!$C$3,8)*BUILDINGS!BB6/1000000</f>
        <v>0</v>
      </c>
      <c r="BC176" s="325">
        <f>BC$134*INDEX('DEFAULT DATA'!$AHO$9:$AHV$41,START!$C$3,8)*BUILDINGS!BC6/1000000</f>
        <v>0</v>
      </c>
      <c r="BD176" s="325">
        <f>BD$134*INDEX('DEFAULT DATA'!$AHO$9:$AHV$41,START!$C$3,8)*BUILDINGS!BD6/1000000</f>
        <v>0</v>
      </c>
      <c r="BE176" s="325">
        <f>BE$134*INDEX('DEFAULT DATA'!$AHO$9:$AHV$41,START!$C$3,8)*BUILDINGS!BE6/1000000</f>
        <v>0</v>
      </c>
      <c r="BF176" s="325">
        <f>BF$134*INDEX('DEFAULT DATA'!$AHO$9:$AHV$41,START!$C$3,8)*BUILDINGS!BF6/1000000</f>
        <v>0</v>
      </c>
      <c r="BG176" s="325">
        <f>BG$134*INDEX('DEFAULT DATA'!$AHO$9:$AHV$41,START!$C$3,8)*BUILDINGS!BG6/1000000</f>
        <v>0</v>
      </c>
      <c r="BH176" s="325">
        <f>BH$134*INDEX('DEFAULT DATA'!$AHO$9:$AHV$41,START!$C$3,8)*BUILDINGS!BH6/1000000</f>
        <v>0</v>
      </c>
      <c r="BI176" s="325">
        <f>BI$134*INDEX('DEFAULT DATA'!$AHO$9:$AHV$41,START!$C$3,8)*BUILDINGS!BI6/1000000</f>
        <v>0</v>
      </c>
      <c r="BJ176" s="325">
        <f>BJ$134*INDEX('DEFAULT DATA'!$AHO$9:$AHV$41,START!$C$3,8)*BUILDINGS!BJ6/1000000</f>
        <v>0</v>
      </c>
      <c r="BK176" s="325">
        <f>BK$134*INDEX('DEFAULT DATA'!$AHO$9:$AHV$41,START!$C$3,8)*BUILDINGS!BK6/1000000</f>
        <v>0</v>
      </c>
      <c r="BL176" s="325">
        <f>BL$134*INDEX('DEFAULT DATA'!$AHO$9:$AHV$41,START!$C$3,8)*BUILDINGS!BL6/1000000</f>
        <v>0</v>
      </c>
      <c r="BM176" s="325">
        <f>BM$134*INDEX('DEFAULT DATA'!$AHO$9:$AHV$41,START!$C$3,8)*BUILDINGS!BM6/1000000</f>
        <v>0</v>
      </c>
      <c r="BN176" s="325">
        <f>BN$134*INDEX('DEFAULT DATA'!$AHO$9:$AHV$41,START!$C$3,8)*BUILDINGS!BN6/1000000</f>
        <v>0</v>
      </c>
      <c r="BP176" s="548" t="str">
        <f t="shared" si="71"/>
        <v>Heat</v>
      </c>
      <c r="BQ176" s="549" t="s">
        <v>1843</v>
      </c>
      <c r="BR176" s="550"/>
      <c r="BS176" s="550"/>
      <c r="BT176" s="550"/>
      <c r="BU176" s="550"/>
      <c r="BV176" s="550"/>
      <c r="BW176" s="550"/>
      <c r="BX176" s="550"/>
      <c r="BY176" s="550"/>
      <c r="BZ176" s="550"/>
      <c r="CA176" s="550"/>
      <c r="CB176" s="550"/>
      <c r="CC176" s="550"/>
      <c r="CD176" s="550"/>
      <c r="CE176" s="550"/>
      <c r="CF176" s="550"/>
      <c r="CG176" s="551"/>
      <c r="CH176" s="543" t="s">
        <v>1798</v>
      </c>
      <c r="CI176" s="543" t="s">
        <v>1626</v>
      </c>
    </row>
    <row r="177" spans="1:87" ht="20.100000000000001" customHeight="1">
      <c r="A177" s="241" t="s">
        <v>1216</v>
      </c>
      <c r="B177" s="262" t="str">
        <f>AL980</f>
        <v/>
      </c>
      <c r="C177" s="262">
        <f t="shared" ref="C177:AD186" si="73">AM980</f>
        <v>11952.759374890931</v>
      </c>
      <c r="D177" s="262">
        <f t="shared" si="73"/>
        <v>11927.129903599831</v>
      </c>
      <c r="E177" s="262">
        <f t="shared" si="73"/>
        <v>11901.756727021642</v>
      </c>
      <c r="F177" s="262">
        <f t="shared" si="73"/>
        <v>11876.637282209234</v>
      </c>
      <c r="G177" s="262">
        <f t="shared" si="73"/>
        <v>11851.769031844949</v>
      </c>
      <c r="H177" s="262">
        <f t="shared" si="73"/>
        <v>11827.149463984308</v>
      </c>
      <c r="I177" s="262">
        <f t="shared" si="73"/>
        <v>11802.776091802274</v>
      </c>
      <c r="J177" s="262">
        <f t="shared" si="73"/>
        <v>4482.5806765048528</v>
      </c>
      <c r="K177" s="262">
        <f t="shared" si="73"/>
        <v>4351.1947950889862</v>
      </c>
      <c r="L177" s="262">
        <f t="shared" si="73"/>
        <v>4227.0351371509933</v>
      </c>
      <c r="M177" s="262">
        <f t="shared" si="73"/>
        <v>4109.7042603995906</v>
      </c>
      <c r="N177" s="262">
        <f t="shared" si="73"/>
        <v>3998.8265818695127</v>
      </c>
      <c r="O177" s="262">
        <f t="shared" si="73"/>
        <v>3894.0471756585903</v>
      </c>
      <c r="P177" s="262">
        <f t="shared" si="73"/>
        <v>3795.0306367892699</v>
      </c>
      <c r="Q177" s="262">
        <f t="shared" si="73"/>
        <v>3701.46000755776</v>
      </c>
      <c r="R177" s="262">
        <f t="shared" si="73"/>
        <v>3613.0357629339833</v>
      </c>
      <c r="S177" s="262">
        <f t="shared" si="73"/>
        <v>3529.4748517645166</v>
      </c>
      <c r="T177" s="262">
        <f t="shared" si="73"/>
        <v>3450.5097907093677</v>
      </c>
      <c r="U177" s="262">
        <f t="shared" si="73"/>
        <v>3375.8878080122522</v>
      </c>
      <c r="V177" s="262">
        <f t="shared" si="73"/>
        <v>3305.370034363481</v>
      </c>
      <c r="W177" s="262">
        <f t="shared" si="73"/>
        <v>3238.7307382653889</v>
      </c>
      <c r="X177" s="262">
        <f t="shared" si="73"/>
        <v>3175.7566034526935</v>
      </c>
      <c r="Y177" s="262">
        <f t="shared" si="73"/>
        <v>3116.2460460546972</v>
      </c>
      <c r="Z177" s="262">
        <f t="shared" si="73"/>
        <v>3060.0085693135879</v>
      </c>
      <c r="AA177" s="262">
        <f t="shared" si="73"/>
        <v>3006.8641537932417</v>
      </c>
      <c r="AB177" s="262">
        <f t="shared" si="73"/>
        <v>2956.6426811265155</v>
      </c>
      <c r="AC177" s="262">
        <f t="shared" si="73"/>
        <v>2909.183389456457</v>
      </c>
      <c r="AD177" s="492">
        <f t="shared" si="73"/>
        <v>2864.3343588282532</v>
      </c>
      <c r="AE177" s="971"/>
      <c r="AF177" s="332"/>
      <c r="AG177" s="505" t="s">
        <v>310</v>
      </c>
      <c r="AH177" s="506"/>
      <c r="AI177" s="506"/>
      <c r="AJ177" s="507"/>
      <c r="AK177" s="316">
        <f>SUM(AK169:AK176)</f>
        <v>0</v>
      </c>
      <c r="AL177" s="327">
        <f>SUM(AL169:AL176)</f>
        <v>0</v>
      </c>
      <c r="AM177" s="327">
        <f t="shared" ref="AM177:BN177" si="74">SUM(AM169:AM176)</f>
        <v>0</v>
      </c>
      <c r="AN177" s="327">
        <f t="shared" si="74"/>
        <v>0</v>
      </c>
      <c r="AO177" s="327">
        <f t="shared" si="74"/>
        <v>0</v>
      </c>
      <c r="AP177" s="327">
        <f t="shared" si="74"/>
        <v>0</v>
      </c>
      <c r="AQ177" s="327">
        <f t="shared" si="74"/>
        <v>0</v>
      </c>
      <c r="AR177" s="327">
        <f t="shared" si="74"/>
        <v>0</v>
      </c>
      <c r="AS177" s="327">
        <f t="shared" si="74"/>
        <v>0</v>
      </c>
      <c r="AT177" s="327">
        <f t="shared" si="74"/>
        <v>0</v>
      </c>
      <c r="AU177" s="327">
        <f t="shared" si="74"/>
        <v>0</v>
      </c>
      <c r="AV177" s="327">
        <f t="shared" si="74"/>
        <v>0</v>
      </c>
      <c r="AW177" s="327">
        <f t="shared" si="74"/>
        <v>0</v>
      </c>
      <c r="AX177" s="327">
        <f t="shared" si="74"/>
        <v>0</v>
      </c>
      <c r="AY177" s="327">
        <f t="shared" si="74"/>
        <v>0</v>
      </c>
      <c r="AZ177" s="327">
        <f t="shared" si="74"/>
        <v>0</v>
      </c>
      <c r="BA177" s="327">
        <f t="shared" si="74"/>
        <v>0</v>
      </c>
      <c r="BB177" s="327">
        <f t="shared" si="74"/>
        <v>0</v>
      </c>
      <c r="BC177" s="327">
        <f t="shared" si="74"/>
        <v>0</v>
      </c>
      <c r="BD177" s="327">
        <f t="shared" si="74"/>
        <v>0</v>
      </c>
      <c r="BE177" s="327">
        <f t="shared" si="74"/>
        <v>0</v>
      </c>
      <c r="BF177" s="327">
        <f t="shared" si="74"/>
        <v>0</v>
      </c>
      <c r="BG177" s="327">
        <f t="shared" si="74"/>
        <v>0</v>
      </c>
      <c r="BH177" s="327">
        <f t="shared" si="74"/>
        <v>0</v>
      </c>
      <c r="BI177" s="327">
        <f t="shared" si="74"/>
        <v>0</v>
      </c>
      <c r="BJ177" s="327">
        <f t="shared" si="74"/>
        <v>0</v>
      </c>
      <c r="BK177" s="327">
        <f t="shared" si="74"/>
        <v>0</v>
      </c>
      <c r="BL177" s="327">
        <f t="shared" si="74"/>
        <v>0</v>
      </c>
      <c r="BM177" s="327">
        <f t="shared" si="74"/>
        <v>0</v>
      </c>
      <c r="BN177" s="327">
        <f t="shared" si="74"/>
        <v>0</v>
      </c>
      <c r="BQ177" s="17"/>
    </row>
    <row r="178" spans="1:87" ht="20.100000000000001" customHeight="1">
      <c r="A178" s="241" t="s">
        <v>1219</v>
      </c>
      <c r="B178" s="262" t="str">
        <f t="shared" ref="B178:B186" si="75">AL981</f>
        <v/>
      </c>
      <c r="C178" s="262">
        <f t="shared" si="73"/>
        <v>18504.839515652016</v>
      </c>
      <c r="D178" s="262">
        <f t="shared" si="73"/>
        <v>18465.160874240635</v>
      </c>
      <c r="E178" s="262">
        <f t="shared" si="73"/>
        <v>18425.879019243366</v>
      </c>
      <c r="F178" s="262">
        <f t="shared" si="73"/>
        <v>18386.989982796073</v>
      </c>
      <c r="G178" s="262">
        <f t="shared" si="73"/>
        <v>18348.489836713248</v>
      </c>
      <c r="H178" s="262">
        <f t="shared" si="73"/>
        <v>18310.374692091256</v>
      </c>
      <c r="I178" s="262">
        <f t="shared" si="73"/>
        <v>18272.640698915482</v>
      </c>
      <c r="J178" s="262">
        <f t="shared" si="73"/>
        <v>18235.284045671462</v>
      </c>
      <c r="K178" s="262">
        <f t="shared" si="73"/>
        <v>18031.877068757793</v>
      </c>
      <c r="L178" s="262">
        <f t="shared" si="73"/>
        <v>17839.657475574379</v>
      </c>
      <c r="M178" s="262">
        <f t="shared" si="73"/>
        <v>17658.009960016047</v>
      </c>
      <c r="N178" s="262">
        <f t="shared" si="73"/>
        <v>17486.353057813423</v>
      </c>
      <c r="O178" s="262">
        <f t="shared" si="73"/>
        <v>17324.137285231947</v>
      </c>
      <c r="P178" s="262">
        <f t="shared" si="73"/>
        <v>17170.843380142451</v>
      </c>
      <c r="Q178" s="262">
        <f t="shared" si="73"/>
        <v>17025.980639832876</v>
      </c>
      <c r="R178" s="262">
        <f t="shared" si="73"/>
        <v>16889.08535024033</v>
      </c>
      <c r="S178" s="262">
        <f t="shared" si="73"/>
        <v>16759.719301575373</v>
      </c>
      <c r="T178" s="262">
        <f t="shared" si="73"/>
        <v>16637.468385586988</v>
      </c>
      <c r="U178" s="262">
        <f t="shared" si="73"/>
        <v>16521.941269977964</v>
      </c>
      <c r="V178" s="262">
        <f t="shared" si="73"/>
        <v>16412.768145727438</v>
      </c>
      <c r="W178" s="262">
        <f t="shared" si="73"/>
        <v>16309.599543310689</v>
      </c>
      <c r="X178" s="262">
        <f t="shared" si="73"/>
        <v>16212.105214026862</v>
      </c>
      <c r="Y178" s="262">
        <f t="shared" si="73"/>
        <v>16119.973072853645</v>
      </c>
      <c r="Z178" s="262">
        <f t="shared" si="73"/>
        <v>16032.908199444955</v>
      </c>
      <c r="AA178" s="262">
        <f t="shared" si="73"/>
        <v>15950.631894073744</v>
      </c>
      <c r="AB178" s="262">
        <f t="shared" si="73"/>
        <v>15872.88078549795</v>
      </c>
      <c r="AC178" s="262">
        <f t="shared" si="73"/>
        <v>15799.405987893824</v>
      </c>
      <c r="AD178" s="492">
        <f t="shared" si="73"/>
        <v>15729.972304157924</v>
      </c>
      <c r="AE178" s="971"/>
      <c r="BQ178" s="17"/>
    </row>
    <row r="179" spans="1:87" ht="20.100000000000001" customHeight="1">
      <c r="A179" s="241" t="s">
        <v>1218</v>
      </c>
      <c r="B179" s="262" t="str">
        <f t="shared" si="75"/>
        <v/>
      </c>
      <c r="C179" s="262">
        <f t="shared" si="73"/>
        <v>77893.050264105928</v>
      </c>
      <c r="D179" s="262">
        <f t="shared" si="73"/>
        <v>77726.029609468314</v>
      </c>
      <c r="E179" s="262">
        <f t="shared" si="73"/>
        <v>77560.679161377077</v>
      </c>
      <c r="F179" s="262">
        <f t="shared" si="73"/>
        <v>77396.982217766752</v>
      </c>
      <c r="G179" s="262">
        <f t="shared" si="73"/>
        <v>77234.922243592533</v>
      </c>
      <c r="H179" s="262">
        <f t="shared" si="73"/>
        <v>77074.482869160041</v>
      </c>
      <c r="I179" s="262">
        <f t="shared" si="73"/>
        <v>76915.647888471896</v>
      </c>
      <c r="J179" s="262">
        <f t="shared" si="73"/>
        <v>76758.401257590624</v>
      </c>
      <c r="K179" s="262">
        <f t="shared" si="73"/>
        <v>75902.193352442089</v>
      </c>
      <c r="L179" s="262">
        <f t="shared" si="73"/>
        <v>75093.076882076712</v>
      </c>
      <c r="M179" s="262">
        <f t="shared" si="73"/>
        <v>74328.461817581439</v>
      </c>
      <c r="N179" s="262">
        <f t="shared" si="73"/>
        <v>73605.90058163341</v>
      </c>
      <c r="O179" s="262">
        <f t="shared" si="73"/>
        <v>72923.080213662513</v>
      </c>
      <c r="P179" s="262">
        <f t="shared" si="73"/>
        <v>72277.814965930011</v>
      </c>
      <c r="Q179" s="262">
        <f t="shared" si="73"/>
        <v>71668.039306822815</v>
      </c>
      <c r="R179" s="262">
        <f t="shared" si="73"/>
        <v>71091.801308966504</v>
      </c>
      <c r="S179" s="262">
        <f t="shared" si="73"/>
        <v>70547.256400992293</v>
      </c>
      <c r="T179" s="262">
        <f t="shared" si="73"/>
        <v>70032.661462956661</v>
      </c>
      <c r="U179" s="262">
        <f t="shared" si="73"/>
        <v>69546.369246512986</v>
      </c>
      <c r="V179" s="262">
        <f t="shared" si="73"/>
        <v>69086.823101973714</v>
      </c>
      <c r="W179" s="262">
        <f t="shared" si="73"/>
        <v>68652.551995384114</v>
      </c>
      <c r="X179" s="262">
        <f t="shared" si="73"/>
        <v>68242.165799656941</v>
      </c>
      <c r="Y179" s="262">
        <f t="shared" si="73"/>
        <v>67854.350844694738</v>
      </c>
      <c r="Z179" s="262">
        <f t="shared" si="73"/>
        <v>67487.865712255472</v>
      </c>
      <c r="AA179" s="262">
        <f t="shared" si="73"/>
        <v>67141.537262100377</v>
      </c>
      <c r="AB179" s="262">
        <f t="shared" si="73"/>
        <v>66814.256876703803</v>
      </c>
      <c r="AC179" s="262">
        <f t="shared" si="73"/>
        <v>66504.976912504033</v>
      </c>
      <c r="AD179" s="492">
        <f t="shared" si="73"/>
        <v>66212.707346335257</v>
      </c>
      <c r="AE179" s="971"/>
      <c r="BQ179" s="17"/>
      <c r="CH179" s="1560" t="s">
        <v>1767</v>
      </c>
      <c r="CI179" s="392"/>
    </row>
    <row r="180" spans="1:87" ht="20.100000000000001" customHeight="1">
      <c r="A180" s="241" t="s">
        <v>1217</v>
      </c>
      <c r="B180" s="262" t="str">
        <f t="shared" si="75"/>
        <v/>
      </c>
      <c r="C180" s="262">
        <f t="shared" si="73"/>
        <v>119258.03736097951</v>
      </c>
      <c r="D180" s="262">
        <f t="shared" si="73"/>
        <v>118903.2457699808</v>
      </c>
      <c r="E180" s="262">
        <f t="shared" si="73"/>
        <v>118552.00209489209</v>
      </c>
      <c r="F180" s="262">
        <f t="shared" si="73"/>
        <v>118204.27085655424</v>
      </c>
      <c r="G180" s="262">
        <f t="shared" si="73"/>
        <v>117860.0169305998</v>
      </c>
      <c r="H180" s="262">
        <f t="shared" si="73"/>
        <v>117519.20554390489</v>
      </c>
      <c r="I180" s="262">
        <f t="shared" si="73"/>
        <v>117181.80227107693</v>
      </c>
      <c r="J180" s="262">
        <f t="shared" si="73"/>
        <v>105527.27211486653</v>
      </c>
      <c r="K180" s="262">
        <f t="shared" si="73"/>
        <v>92512.535315663976</v>
      </c>
      <c r="L180" s="262">
        <f t="shared" si="73"/>
        <v>79715.534819282373</v>
      </c>
      <c r="M180" s="262">
        <f t="shared" si="73"/>
        <v>67124.295129066595</v>
      </c>
      <c r="N180" s="262">
        <f t="shared" si="73"/>
        <v>54727.499400677501</v>
      </c>
      <c r="O180" s="262">
        <f t="shared" si="73"/>
        <v>42514.453216214664</v>
      </c>
      <c r="P180" s="262">
        <f t="shared" si="73"/>
        <v>41143.756374222838</v>
      </c>
      <c r="Q180" s="262">
        <f t="shared" si="73"/>
        <v>39848.447858540574</v>
      </c>
      <c r="R180" s="262">
        <f t="shared" si="73"/>
        <v>38624.381311220815</v>
      </c>
      <c r="S180" s="262">
        <f t="shared" si="73"/>
        <v>37467.638424003657</v>
      </c>
      <c r="T180" s="262">
        <f t="shared" si="73"/>
        <v>36374.516395583443</v>
      </c>
      <c r="U180" s="262">
        <f t="shared" si="73"/>
        <v>35341.51607872633</v>
      </c>
      <c r="V180" s="262">
        <f t="shared" si="73"/>
        <v>34365.330779296375</v>
      </c>
      <c r="W180" s="262">
        <f t="shared" si="73"/>
        <v>33442.835671335051</v>
      </c>
      <c r="X180" s="262">
        <f t="shared" si="73"/>
        <v>32571.077794311626</v>
      </c>
      <c r="Y180" s="262">
        <f t="shared" si="73"/>
        <v>31747.266600524454</v>
      </c>
      <c r="Z180" s="262">
        <f t="shared" si="73"/>
        <v>30968.765022395601</v>
      </c>
      <c r="AA180" s="262">
        <f t="shared" si="73"/>
        <v>30233.081031063834</v>
      </c>
      <c r="AB180" s="262">
        <f t="shared" si="73"/>
        <v>29537.859659255308</v>
      </c>
      <c r="AC180" s="262">
        <f t="shared" si="73"/>
        <v>28880.875462896249</v>
      </c>
      <c r="AD180" s="492">
        <f t="shared" si="73"/>
        <v>28260.02539733694</v>
      </c>
      <c r="AE180" s="971"/>
      <c r="AF180" s="271" t="s">
        <v>1408</v>
      </c>
      <c r="BQ180" s="17"/>
      <c r="CH180" s="1560"/>
      <c r="CI180" s="392"/>
    </row>
    <row r="181" spans="1:87" ht="20.100000000000001" customHeight="1">
      <c r="A181" s="241" t="s">
        <v>1228</v>
      </c>
      <c r="B181" s="262" t="str">
        <f t="shared" si="75"/>
        <v/>
      </c>
      <c r="C181" s="262">
        <f t="shared" si="73"/>
        <v>0</v>
      </c>
      <c r="D181" s="262">
        <f t="shared" si="73"/>
        <v>0</v>
      </c>
      <c r="E181" s="262">
        <f t="shared" si="73"/>
        <v>0</v>
      </c>
      <c r="F181" s="262">
        <f t="shared" si="73"/>
        <v>0</v>
      </c>
      <c r="G181" s="262">
        <f t="shared" si="73"/>
        <v>0</v>
      </c>
      <c r="H181" s="262">
        <f t="shared" si="73"/>
        <v>0</v>
      </c>
      <c r="I181" s="262">
        <f t="shared" si="73"/>
        <v>0</v>
      </c>
      <c r="J181" s="262">
        <f t="shared" si="73"/>
        <v>0</v>
      </c>
      <c r="K181" s="262">
        <f t="shared" si="73"/>
        <v>0</v>
      </c>
      <c r="L181" s="262">
        <f t="shared" si="73"/>
        <v>0</v>
      </c>
      <c r="M181" s="262">
        <f t="shared" si="73"/>
        <v>0</v>
      </c>
      <c r="N181" s="262">
        <f t="shared" si="73"/>
        <v>0</v>
      </c>
      <c r="O181" s="262">
        <f t="shared" si="73"/>
        <v>0</v>
      </c>
      <c r="P181" s="262">
        <f t="shared" si="73"/>
        <v>0</v>
      </c>
      <c r="Q181" s="262">
        <f t="shared" si="73"/>
        <v>0</v>
      </c>
      <c r="R181" s="262">
        <f t="shared" si="73"/>
        <v>0</v>
      </c>
      <c r="S181" s="262">
        <f t="shared" si="73"/>
        <v>0</v>
      </c>
      <c r="T181" s="262">
        <f t="shared" si="73"/>
        <v>0</v>
      </c>
      <c r="U181" s="262">
        <f t="shared" si="73"/>
        <v>0</v>
      </c>
      <c r="V181" s="262">
        <f t="shared" si="73"/>
        <v>0</v>
      </c>
      <c r="W181" s="262">
        <f t="shared" si="73"/>
        <v>0</v>
      </c>
      <c r="X181" s="262">
        <f t="shared" si="73"/>
        <v>0</v>
      </c>
      <c r="Y181" s="262">
        <f t="shared" si="73"/>
        <v>0</v>
      </c>
      <c r="Z181" s="262">
        <f t="shared" si="73"/>
        <v>0</v>
      </c>
      <c r="AA181" s="262">
        <f t="shared" si="73"/>
        <v>0</v>
      </c>
      <c r="AB181" s="262">
        <f t="shared" si="73"/>
        <v>0</v>
      </c>
      <c r="AC181" s="262">
        <f t="shared" si="73"/>
        <v>0</v>
      </c>
      <c r="AD181" s="492">
        <f t="shared" si="73"/>
        <v>0</v>
      </c>
      <c r="AE181" s="971"/>
      <c r="AF181" s="269" t="s">
        <v>1380</v>
      </c>
      <c r="AG181" s="508" t="s">
        <v>1363</v>
      </c>
      <c r="AH181" s="486"/>
      <c r="AI181" s="486"/>
      <c r="AJ181" s="487"/>
      <c r="AK181" s="262">
        <v>2021</v>
      </c>
      <c r="AL181" s="262">
        <f>AK181+1</f>
        <v>2022</v>
      </c>
      <c r="AM181" s="262">
        <f t="shared" ref="AM181:BN181" si="76">AL181+1</f>
        <v>2023</v>
      </c>
      <c r="AN181" s="262">
        <f t="shared" si="76"/>
        <v>2024</v>
      </c>
      <c r="AO181" s="262">
        <f t="shared" si="76"/>
        <v>2025</v>
      </c>
      <c r="AP181" s="262">
        <f t="shared" si="76"/>
        <v>2026</v>
      </c>
      <c r="AQ181" s="262">
        <f t="shared" si="76"/>
        <v>2027</v>
      </c>
      <c r="AR181" s="262">
        <f t="shared" si="76"/>
        <v>2028</v>
      </c>
      <c r="AS181" s="262">
        <f t="shared" si="76"/>
        <v>2029</v>
      </c>
      <c r="AT181" s="262">
        <f t="shared" si="76"/>
        <v>2030</v>
      </c>
      <c r="AU181" s="262">
        <f t="shared" si="76"/>
        <v>2031</v>
      </c>
      <c r="AV181" s="262">
        <f t="shared" si="76"/>
        <v>2032</v>
      </c>
      <c r="AW181" s="262">
        <f t="shared" si="76"/>
        <v>2033</v>
      </c>
      <c r="AX181" s="262">
        <f t="shared" si="76"/>
        <v>2034</v>
      </c>
      <c r="AY181" s="262">
        <f t="shared" si="76"/>
        <v>2035</v>
      </c>
      <c r="AZ181" s="262">
        <f t="shared" si="76"/>
        <v>2036</v>
      </c>
      <c r="BA181" s="262">
        <f t="shared" si="76"/>
        <v>2037</v>
      </c>
      <c r="BB181" s="262">
        <f t="shared" si="76"/>
        <v>2038</v>
      </c>
      <c r="BC181" s="262">
        <f t="shared" si="76"/>
        <v>2039</v>
      </c>
      <c r="BD181" s="262">
        <f t="shared" si="76"/>
        <v>2040</v>
      </c>
      <c r="BE181" s="262">
        <f t="shared" si="76"/>
        <v>2041</v>
      </c>
      <c r="BF181" s="262">
        <f t="shared" si="76"/>
        <v>2042</v>
      </c>
      <c r="BG181" s="262">
        <f t="shared" si="76"/>
        <v>2043</v>
      </c>
      <c r="BH181" s="262">
        <f t="shared" si="76"/>
        <v>2044</v>
      </c>
      <c r="BI181" s="262">
        <f t="shared" si="76"/>
        <v>2045</v>
      </c>
      <c r="BJ181" s="262">
        <f t="shared" si="76"/>
        <v>2046</v>
      </c>
      <c r="BK181" s="262">
        <f t="shared" si="76"/>
        <v>2047</v>
      </c>
      <c r="BL181" s="262">
        <f t="shared" si="76"/>
        <v>2048</v>
      </c>
      <c r="BM181" s="262">
        <f t="shared" si="76"/>
        <v>2049</v>
      </c>
      <c r="BN181" s="262">
        <f t="shared" si="76"/>
        <v>2050</v>
      </c>
      <c r="BP181" s="17" t="s">
        <v>1781</v>
      </c>
      <c r="BQ181" s="17"/>
      <c r="CH181" s="395" t="s">
        <v>1769</v>
      </c>
      <c r="CI181" s="392" t="s">
        <v>1598</v>
      </c>
    </row>
    <row r="182" spans="1:87" ht="20.100000000000001" customHeight="1">
      <c r="A182" s="241" t="s">
        <v>1229</v>
      </c>
      <c r="B182" s="262" t="str">
        <f t="shared" si="75"/>
        <v/>
      </c>
      <c r="C182" s="262">
        <f t="shared" si="73"/>
        <v>0</v>
      </c>
      <c r="D182" s="262">
        <f t="shared" si="73"/>
        <v>0</v>
      </c>
      <c r="E182" s="262">
        <f t="shared" si="73"/>
        <v>0</v>
      </c>
      <c r="F182" s="262">
        <f t="shared" si="73"/>
        <v>0</v>
      </c>
      <c r="G182" s="262">
        <f t="shared" si="73"/>
        <v>0</v>
      </c>
      <c r="H182" s="262">
        <f t="shared" si="73"/>
        <v>0</v>
      </c>
      <c r="I182" s="262">
        <f t="shared" si="73"/>
        <v>0</v>
      </c>
      <c r="J182" s="262">
        <f t="shared" si="73"/>
        <v>0</v>
      </c>
      <c r="K182" s="262">
        <f t="shared" si="73"/>
        <v>0</v>
      </c>
      <c r="L182" s="262">
        <f t="shared" si="73"/>
        <v>0</v>
      </c>
      <c r="M182" s="262">
        <f t="shared" si="73"/>
        <v>0</v>
      </c>
      <c r="N182" s="262">
        <f t="shared" si="73"/>
        <v>0</v>
      </c>
      <c r="O182" s="262">
        <f t="shared" si="73"/>
        <v>0</v>
      </c>
      <c r="P182" s="262">
        <f t="shared" si="73"/>
        <v>0</v>
      </c>
      <c r="Q182" s="262">
        <f t="shared" si="73"/>
        <v>0</v>
      </c>
      <c r="R182" s="262">
        <f t="shared" si="73"/>
        <v>0</v>
      </c>
      <c r="S182" s="262">
        <f t="shared" si="73"/>
        <v>0</v>
      </c>
      <c r="T182" s="262">
        <f t="shared" si="73"/>
        <v>0</v>
      </c>
      <c r="U182" s="262">
        <f t="shared" si="73"/>
        <v>0</v>
      </c>
      <c r="V182" s="262">
        <f t="shared" si="73"/>
        <v>0</v>
      </c>
      <c r="W182" s="262">
        <f t="shared" si="73"/>
        <v>0</v>
      </c>
      <c r="X182" s="262">
        <f t="shared" si="73"/>
        <v>0</v>
      </c>
      <c r="Y182" s="262">
        <f t="shared" si="73"/>
        <v>0</v>
      </c>
      <c r="Z182" s="262">
        <f t="shared" si="73"/>
        <v>0</v>
      </c>
      <c r="AA182" s="262">
        <f t="shared" si="73"/>
        <v>0</v>
      </c>
      <c r="AB182" s="262">
        <f t="shared" si="73"/>
        <v>0</v>
      </c>
      <c r="AC182" s="262">
        <f t="shared" si="73"/>
        <v>0</v>
      </c>
      <c r="AD182" s="492">
        <f t="shared" si="73"/>
        <v>0</v>
      </c>
      <c r="AE182" s="971"/>
      <c r="AF182" s="1501" t="s">
        <v>1231</v>
      </c>
      <c r="AG182" s="508" t="s">
        <v>933</v>
      </c>
      <c r="AH182" s="486"/>
      <c r="AI182" s="486"/>
      <c r="AJ182" s="487"/>
      <c r="AK182" s="220">
        <v>0</v>
      </c>
      <c r="AL182" s="272">
        <f>AL$135*INDEX('DEFAULT DATA'!$AHW$9:$AID$41,START!$C$3,1)*BUILDINGS!AL5/1000000</f>
        <v>0</v>
      </c>
      <c r="AM182" s="272">
        <f>AM$135*INDEX('DEFAULT DATA'!$AHW$9:$AID$41,START!$C$3,1)*BUILDINGS!AM5/1000000</f>
        <v>0</v>
      </c>
      <c r="AN182" s="272">
        <f>AN$135*INDEX('DEFAULT DATA'!$AHW$9:$AID$41,START!$C$3,1)*BUILDINGS!AN5/1000000</f>
        <v>0</v>
      </c>
      <c r="AO182" s="272">
        <f>AO$135*INDEX('DEFAULT DATA'!$AHW$9:$AID$41,START!$C$3,1)*BUILDINGS!AO5/1000000</f>
        <v>0</v>
      </c>
      <c r="AP182" s="272">
        <f>AP$135*INDEX('DEFAULT DATA'!$AHW$9:$AID$41,START!$C$3,1)*BUILDINGS!AP5/1000000</f>
        <v>0</v>
      </c>
      <c r="AQ182" s="272">
        <f>AQ$135*INDEX('DEFAULT DATA'!$AHW$9:$AID$41,START!$C$3,1)*BUILDINGS!AQ5/1000000</f>
        <v>0</v>
      </c>
      <c r="AR182" s="272">
        <f>AR$135*INDEX('DEFAULT DATA'!$AHW$9:$AID$41,START!$C$3,1)*BUILDINGS!AR5/1000000</f>
        <v>0</v>
      </c>
      <c r="AS182" s="272">
        <f>AS$135*INDEX('DEFAULT DATA'!$AHW$9:$AID$41,START!$C$3,1)*BUILDINGS!AS5/1000000</f>
        <v>0</v>
      </c>
      <c r="AT182" s="272">
        <f>AT$135*INDEX('DEFAULT DATA'!$AHW$9:$AID$41,START!$C$3,1)*BUILDINGS!AT5/1000000</f>
        <v>0</v>
      </c>
      <c r="AU182" s="272">
        <f>AU$135*INDEX('DEFAULT DATA'!$AHW$9:$AID$41,START!$C$3,1)*BUILDINGS!AU5/1000000</f>
        <v>0</v>
      </c>
      <c r="AV182" s="272">
        <f>AV$135*INDEX('DEFAULT DATA'!$AHW$9:$AID$41,START!$C$3,1)*BUILDINGS!AV5/1000000</f>
        <v>0</v>
      </c>
      <c r="AW182" s="272">
        <f>AW$135*INDEX('DEFAULT DATA'!$AHW$9:$AID$41,START!$C$3,1)*BUILDINGS!AW5/1000000</f>
        <v>0</v>
      </c>
      <c r="AX182" s="272">
        <f>AX$135*INDEX('DEFAULT DATA'!$AHW$9:$AID$41,START!$C$3,1)*BUILDINGS!AX5/1000000</f>
        <v>0</v>
      </c>
      <c r="AY182" s="272">
        <f>AY$135*INDEX('DEFAULT DATA'!$AHW$9:$AID$41,START!$C$3,1)*BUILDINGS!AY5/1000000</f>
        <v>0</v>
      </c>
      <c r="AZ182" s="272">
        <f>AZ$135*INDEX('DEFAULT DATA'!$AHW$9:$AID$41,START!$C$3,1)*BUILDINGS!AZ5/1000000</f>
        <v>0</v>
      </c>
      <c r="BA182" s="272">
        <f>BA$135*INDEX('DEFAULT DATA'!$AHW$9:$AID$41,START!$C$3,1)*BUILDINGS!BA5/1000000</f>
        <v>0</v>
      </c>
      <c r="BB182" s="272">
        <f>BB$135*INDEX('DEFAULT DATA'!$AHW$9:$AID$41,START!$C$3,1)*BUILDINGS!BB5/1000000</f>
        <v>0</v>
      </c>
      <c r="BC182" s="272">
        <f>BC$135*INDEX('DEFAULT DATA'!$AHW$9:$AID$41,START!$C$3,1)*BUILDINGS!BC5/1000000</f>
        <v>0</v>
      </c>
      <c r="BD182" s="272">
        <f>BD$135*INDEX('DEFAULT DATA'!$AHW$9:$AID$41,START!$C$3,1)*BUILDINGS!BD5/1000000</f>
        <v>0</v>
      </c>
      <c r="BE182" s="272">
        <f>BE$135*INDEX('DEFAULT DATA'!$AHW$9:$AID$41,START!$C$3,1)*BUILDINGS!BE5/1000000</f>
        <v>0</v>
      </c>
      <c r="BF182" s="272">
        <f>BF$135*INDEX('DEFAULT DATA'!$AHW$9:$AID$41,START!$C$3,1)*BUILDINGS!BF5/1000000</f>
        <v>0</v>
      </c>
      <c r="BG182" s="272">
        <f>BG$135*INDEX('DEFAULT DATA'!$AHW$9:$AID$41,START!$C$3,1)*BUILDINGS!BG5/1000000</f>
        <v>0</v>
      </c>
      <c r="BH182" s="272">
        <f>BH$135*INDEX('DEFAULT DATA'!$AHW$9:$AID$41,START!$C$3,1)*BUILDINGS!BH5/1000000</f>
        <v>0</v>
      </c>
      <c r="BI182" s="272">
        <f>BI$135*INDEX('DEFAULT DATA'!$AHW$9:$AID$41,START!$C$3,1)*BUILDINGS!BI5/1000000</f>
        <v>0</v>
      </c>
      <c r="BJ182" s="272">
        <f>BJ$135*INDEX('DEFAULT DATA'!$AHW$9:$AID$41,START!$C$3,1)*BUILDINGS!BJ5/1000000</f>
        <v>0</v>
      </c>
      <c r="BK182" s="272">
        <f>BK$135*INDEX('DEFAULT DATA'!$AHW$9:$AID$41,START!$C$3,1)*BUILDINGS!BK5/1000000</f>
        <v>0</v>
      </c>
      <c r="BL182" s="272">
        <f>BL$135*INDEX('DEFAULT DATA'!$AHW$9:$AID$41,START!$C$3,1)*BUILDINGS!BL5/1000000</f>
        <v>0</v>
      </c>
      <c r="BM182" s="272">
        <f>BM$135*INDEX('DEFAULT DATA'!$AHW$9:$AID$41,START!$C$3,1)*BUILDINGS!BM5/1000000</f>
        <v>0</v>
      </c>
      <c r="BN182" s="272">
        <f>BN$135*INDEX('DEFAULT DATA'!$AHW$9:$AID$41,START!$C$3,1)*BUILDINGS!BN5/1000000</f>
        <v>0</v>
      </c>
      <c r="BP182" s="539" t="str">
        <f>AG182</f>
        <v>Electricity</v>
      </c>
      <c r="BQ182" s="540" t="s">
        <v>1869</v>
      </c>
      <c r="BR182" s="541"/>
      <c r="BS182" s="541"/>
      <c r="BT182" s="541"/>
      <c r="BU182" s="541"/>
      <c r="BV182" s="541"/>
      <c r="BW182" s="541"/>
      <c r="BX182" s="541"/>
      <c r="BY182" s="541"/>
      <c r="BZ182" s="541"/>
      <c r="CA182" s="541"/>
      <c r="CB182" s="541"/>
      <c r="CC182" s="541"/>
      <c r="CD182" s="541"/>
      <c r="CE182" s="541"/>
      <c r="CF182" s="541"/>
      <c r="CG182" s="542"/>
      <c r="CH182" s="543" t="s">
        <v>1799</v>
      </c>
      <c r="CI182" s="543" t="s">
        <v>1599</v>
      </c>
    </row>
    <row r="183" spans="1:87" ht="20.100000000000001" customHeight="1">
      <c r="A183" s="241" t="s">
        <v>1230</v>
      </c>
      <c r="B183" s="262" t="str">
        <f t="shared" si="75"/>
        <v/>
      </c>
      <c r="C183" s="262">
        <f t="shared" si="73"/>
        <v>0</v>
      </c>
      <c r="D183" s="262">
        <f t="shared" si="73"/>
        <v>0</v>
      </c>
      <c r="E183" s="262">
        <f t="shared" si="73"/>
        <v>0</v>
      </c>
      <c r="F183" s="262">
        <f t="shared" si="73"/>
        <v>0</v>
      </c>
      <c r="G183" s="262">
        <f t="shared" si="73"/>
        <v>0</v>
      </c>
      <c r="H183" s="262">
        <f t="shared" si="73"/>
        <v>0</v>
      </c>
      <c r="I183" s="262">
        <f t="shared" si="73"/>
        <v>0</v>
      </c>
      <c r="J183" s="262">
        <f t="shared" si="73"/>
        <v>0</v>
      </c>
      <c r="K183" s="262">
        <f t="shared" si="73"/>
        <v>0</v>
      </c>
      <c r="L183" s="262">
        <f t="shared" si="73"/>
        <v>0</v>
      </c>
      <c r="M183" s="262">
        <f t="shared" si="73"/>
        <v>0</v>
      </c>
      <c r="N183" s="262">
        <f t="shared" si="73"/>
        <v>0</v>
      </c>
      <c r="O183" s="262">
        <f t="shared" si="73"/>
        <v>0</v>
      </c>
      <c r="P183" s="262">
        <f t="shared" si="73"/>
        <v>0</v>
      </c>
      <c r="Q183" s="262">
        <f t="shared" si="73"/>
        <v>0</v>
      </c>
      <c r="R183" s="262">
        <f t="shared" si="73"/>
        <v>0</v>
      </c>
      <c r="S183" s="262">
        <f t="shared" si="73"/>
        <v>0</v>
      </c>
      <c r="T183" s="262">
        <f t="shared" si="73"/>
        <v>0</v>
      </c>
      <c r="U183" s="262">
        <f t="shared" si="73"/>
        <v>0</v>
      </c>
      <c r="V183" s="262">
        <f t="shared" si="73"/>
        <v>0</v>
      </c>
      <c r="W183" s="262">
        <f t="shared" si="73"/>
        <v>0</v>
      </c>
      <c r="X183" s="262">
        <f t="shared" si="73"/>
        <v>0</v>
      </c>
      <c r="Y183" s="262">
        <f t="shared" si="73"/>
        <v>0</v>
      </c>
      <c r="Z183" s="262">
        <f t="shared" si="73"/>
        <v>0</v>
      </c>
      <c r="AA183" s="262">
        <f t="shared" si="73"/>
        <v>0</v>
      </c>
      <c r="AB183" s="262">
        <f t="shared" si="73"/>
        <v>0</v>
      </c>
      <c r="AC183" s="262">
        <f t="shared" si="73"/>
        <v>0</v>
      </c>
      <c r="AD183" s="492">
        <f t="shared" si="73"/>
        <v>0</v>
      </c>
      <c r="AE183" s="971"/>
      <c r="AF183" s="1502"/>
      <c r="AG183" s="508" t="s">
        <v>1220</v>
      </c>
      <c r="AH183" s="486"/>
      <c r="AI183" s="486"/>
      <c r="AJ183" s="487"/>
      <c r="AK183" s="220">
        <v>0</v>
      </c>
      <c r="AL183" s="272">
        <f>AL$135*INDEX('DEFAULT DATA'!$AHW$9:$AID$41,START!$C$3,2)*INDEX('DEFAULT DATA'!$VD$9:$VJ$41,START!$C$3,2)/1000000</f>
        <v>0</v>
      </c>
      <c r="AM183" s="272">
        <f>AM$135*INDEX('DEFAULT DATA'!$AHW$9:$AID$41,START!$C$3,2)*INDEX('DEFAULT DATA'!$VD$9:$VJ$41,START!$C$3,2)/1000000</f>
        <v>0</v>
      </c>
      <c r="AN183" s="272">
        <f>AN$135*INDEX('DEFAULT DATA'!$AHW$9:$AID$41,START!$C$3,2)*INDEX('DEFAULT DATA'!$VD$9:$VJ$41,START!$C$3,2)/1000000</f>
        <v>0</v>
      </c>
      <c r="AO183" s="272">
        <f>AO$135*INDEX('DEFAULT DATA'!$AHW$9:$AID$41,START!$C$3,2)*INDEX('DEFAULT DATA'!$VD$9:$VJ$41,START!$C$3,2)/1000000</f>
        <v>0</v>
      </c>
      <c r="AP183" s="272">
        <f>AP$135*INDEX('DEFAULT DATA'!$AHW$9:$AID$41,START!$C$3,2)*INDEX('DEFAULT DATA'!$VD$9:$VJ$41,START!$C$3,2)/1000000</f>
        <v>0</v>
      </c>
      <c r="AQ183" s="272">
        <f>AQ$135*INDEX('DEFAULT DATA'!$AHW$9:$AID$41,START!$C$3,2)*INDEX('DEFAULT DATA'!$VD$9:$VJ$41,START!$C$3,2)/1000000</f>
        <v>0</v>
      </c>
      <c r="AR183" s="272">
        <f>AR$135*INDEX('DEFAULT DATA'!$AHW$9:$AID$41,START!$C$3,2)*INDEX('DEFAULT DATA'!$VD$9:$VJ$41,START!$C$3,2)/1000000</f>
        <v>0</v>
      </c>
      <c r="AS183" s="272">
        <f>AS$135*INDEX('DEFAULT DATA'!$AHW$9:$AID$41,START!$C$3,2)*INDEX('DEFAULT DATA'!$VD$9:$VJ$41,START!$C$3,2)/1000000</f>
        <v>0</v>
      </c>
      <c r="AT183" s="272">
        <f>AT$135*INDEX('DEFAULT DATA'!$AHW$9:$AID$41,START!$C$3,2)*INDEX('DEFAULT DATA'!$VD$9:$VJ$41,START!$C$3,2)/1000000</f>
        <v>0</v>
      </c>
      <c r="AU183" s="272">
        <f>AU$135*INDEX('DEFAULT DATA'!$AHW$9:$AID$41,START!$C$3,2)*INDEX('DEFAULT DATA'!$VD$9:$VJ$41,START!$C$3,2)/1000000</f>
        <v>0</v>
      </c>
      <c r="AV183" s="272">
        <f>AV$135*INDEX('DEFAULT DATA'!$AHW$9:$AID$41,START!$C$3,2)*INDEX('DEFAULT DATA'!$VD$9:$VJ$41,START!$C$3,2)/1000000</f>
        <v>0</v>
      </c>
      <c r="AW183" s="272">
        <f>AW$135*INDEX('DEFAULT DATA'!$AHW$9:$AID$41,START!$C$3,2)*INDEX('DEFAULT DATA'!$VD$9:$VJ$41,START!$C$3,2)/1000000</f>
        <v>0</v>
      </c>
      <c r="AX183" s="272">
        <f>AX$135*INDEX('DEFAULT DATA'!$AHW$9:$AID$41,START!$C$3,2)*INDEX('DEFAULT DATA'!$VD$9:$VJ$41,START!$C$3,2)/1000000</f>
        <v>0</v>
      </c>
      <c r="AY183" s="272">
        <f>AY$135*INDEX('DEFAULT DATA'!$AHW$9:$AID$41,START!$C$3,2)*INDEX('DEFAULT DATA'!$VD$9:$VJ$41,START!$C$3,2)/1000000</f>
        <v>0</v>
      </c>
      <c r="AZ183" s="272">
        <f>AZ$135*INDEX('DEFAULT DATA'!$AHW$9:$AID$41,START!$C$3,2)*INDEX('DEFAULT DATA'!$VD$9:$VJ$41,START!$C$3,2)/1000000</f>
        <v>0</v>
      </c>
      <c r="BA183" s="272">
        <f>BA$135*INDEX('DEFAULT DATA'!$AHW$9:$AID$41,START!$C$3,2)*INDEX('DEFAULT DATA'!$VD$9:$VJ$41,START!$C$3,2)/1000000</f>
        <v>0</v>
      </c>
      <c r="BB183" s="272">
        <f>BB$135*INDEX('DEFAULT DATA'!$AHW$9:$AID$41,START!$C$3,2)*INDEX('DEFAULT DATA'!$VD$9:$VJ$41,START!$C$3,2)/1000000</f>
        <v>0</v>
      </c>
      <c r="BC183" s="272">
        <f>BC$135*INDEX('DEFAULT DATA'!$AHW$9:$AID$41,START!$C$3,2)*INDEX('DEFAULT DATA'!$VD$9:$VJ$41,START!$C$3,2)/1000000</f>
        <v>0</v>
      </c>
      <c r="BD183" s="272">
        <f>BD$135*INDEX('DEFAULT DATA'!$AHW$9:$AID$41,START!$C$3,2)*INDEX('DEFAULT DATA'!$VD$9:$VJ$41,START!$C$3,2)/1000000</f>
        <v>0</v>
      </c>
      <c r="BE183" s="272">
        <f>BE$135*INDEX('DEFAULT DATA'!$AHW$9:$AID$41,START!$C$3,2)*INDEX('DEFAULT DATA'!$VD$9:$VJ$41,START!$C$3,2)/1000000</f>
        <v>0</v>
      </c>
      <c r="BF183" s="272">
        <f>BF$135*INDEX('DEFAULT DATA'!$AHW$9:$AID$41,START!$C$3,2)*INDEX('DEFAULT DATA'!$VD$9:$VJ$41,START!$C$3,2)/1000000</f>
        <v>0</v>
      </c>
      <c r="BG183" s="272">
        <f>BG$135*INDEX('DEFAULT DATA'!$AHW$9:$AID$41,START!$C$3,2)*INDEX('DEFAULT DATA'!$VD$9:$VJ$41,START!$C$3,2)/1000000</f>
        <v>0</v>
      </c>
      <c r="BH183" s="272">
        <f>BH$135*INDEX('DEFAULT DATA'!$AHW$9:$AID$41,START!$C$3,2)*INDEX('DEFAULT DATA'!$VD$9:$VJ$41,START!$C$3,2)/1000000</f>
        <v>0</v>
      </c>
      <c r="BI183" s="272">
        <f>BI$135*INDEX('DEFAULT DATA'!$AHW$9:$AID$41,START!$C$3,2)*INDEX('DEFAULT DATA'!$VD$9:$VJ$41,START!$C$3,2)/1000000</f>
        <v>0</v>
      </c>
      <c r="BJ183" s="272">
        <f>BJ$135*INDEX('DEFAULT DATA'!$AHW$9:$AID$41,START!$C$3,2)*INDEX('DEFAULT DATA'!$VD$9:$VJ$41,START!$C$3,2)/1000000</f>
        <v>0</v>
      </c>
      <c r="BK183" s="272">
        <f>BK$135*INDEX('DEFAULT DATA'!$AHW$9:$AID$41,START!$C$3,2)*INDEX('DEFAULT DATA'!$VD$9:$VJ$41,START!$C$3,2)/1000000</f>
        <v>0</v>
      </c>
      <c r="BL183" s="272">
        <f>BL$135*INDEX('DEFAULT DATA'!$AHW$9:$AID$41,START!$C$3,2)*INDEX('DEFAULT DATA'!$VD$9:$VJ$41,START!$C$3,2)/1000000</f>
        <v>0</v>
      </c>
      <c r="BM183" s="272">
        <f>BM$135*INDEX('DEFAULT DATA'!$AHW$9:$AID$41,START!$C$3,2)*INDEX('DEFAULT DATA'!$VD$9:$VJ$41,START!$C$3,2)/1000000</f>
        <v>0</v>
      </c>
      <c r="BN183" s="272">
        <f>BN$135*INDEX('DEFAULT DATA'!$AHW$9:$AID$41,START!$C$3,2)*INDEX('DEFAULT DATA'!$VD$9:$VJ$41,START!$C$3,2)/1000000</f>
        <v>0</v>
      </c>
      <c r="BP183" s="544" t="str">
        <f t="shared" ref="BP183:BP189" si="77">AG183</f>
        <v>Gas</v>
      </c>
      <c r="BQ183" s="545" t="s">
        <v>1844</v>
      </c>
      <c r="BR183" s="546"/>
      <c r="BS183" s="546"/>
      <c r="BT183" s="546"/>
      <c r="BU183" s="546"/>
      <c r="BV183" s="546"/>
      <c r="BW183" s="546"/>
      <c r="BX183" s="546"/>
      <c r="BY183" s="546"/>
      <c r="BZ183" s="546"/>
      <c r="CA183" s="546"/>
      <c r="CB183" s="546"/>
      <c r="CC183" s="546"/>
      <c r="CD183" s="546"/>
      <c r="CE183" s="546"/>
      <c r="CF183" s="546"/>
      <c r="CG183" s="547"/>
      <c r="CH183" s="543" t="s">
        <v>1800</v>
      </c>
      <c r="CI183" s="543" t="s">
        <v>1248</v>
      </c>
    </row>
    <row r="184" spans="1:87" ht="20.100000000000001" customHeight="1">
      <c r="A184" s="241" t="s">
        <v>1231</v>
      </c>
      <c r="B184" s="262" t="str">
        <f t="shared" si="75"/>
        <v/>
      </c>
      <c r="C184" s="262">
        <f t="shared" si="73"/>
        <v>0</v>
      </c>
      <c r="D184" s="262">
        <f t="shared" si="73"/>
        <v>0</v>
      </c>
      <c r="E184" s="262">
        <f t="shared" si="73"/>
        <v>0</v>
      </c>
      <c r="F184" s="262">
        <f t="shared" si="73"/>
        <v>0</v>
      </c>
      <c r="G184" s="262">
        <f t="shared" si="73"/>
        <v>0</v>
      </c>
      <c r="H184" s="262">
        <f t="shared" si="73"/>
        <v>0</v>
      </c>
      <c r="I184" s="262">
        <f t="shared" si="73"/>
        <v>0</v>
      </c>
      <c r="J184" s="262">
        <f t="shared" si="73"/>
        <v>0</v>
      </c>
      <c r="K184" s="262">
        <f t="shared" si="73"/>
        <v>0</v>
      </c>
      <c r="L184" s="262">
        <f t="shared" si="73"/>
        <v>0</v>
      </c>
      <c r="M184" s="262">
        <f t="shared" si="73"/>
        <v>0</v>
      </c>
      <c r="N184" s="262">
        <f t="shared" si="73"/>
        <v>0</v>
      </c>
      <c r="O184" s="262">
        <f t="shared" si="73"/>
        <v>0</v>
      </c>
      <c r="P184" s="262">
        <f t="shared" si="73"/>
        <v>0</v>
      </c>
      <c r="Q184" s="262">
        <f t="shared" si="73"/>
        <v>0</v>
      </c>
      <c r="R184" s="262">
        <f t="shared" si="73"/>
        <v>0</v>
      </c>
      <c r="S184" s="262">
        <f t="shared" si="73"/>
        <v>0</v>
      </c>
      <c r="T184" s="262">
        <f t="shared" si="73"/>
        <v>0</v>
      </c>
      <c r="U184" s="262">
        <f t="shared" si="73"/>
        <v>0</v>
      </c>
      <c r="V184" s="262">
        <f t="shared" si="73"/>
        <v>0</v>
      </c>
      <c r="W184" s="262">
        <f t="shared" si="73"/>
        <v>0</v>
      </c>
      <c r="X184" s="262">
        <f t="shared" si="73"/>
        <v>0</v>
      </c>
      <c r="Y184" s="262">
        <f t="shared" si="73"/>
        <v>0</v>
      </c>
      <c r="Z184" s="262">
        <f t="shared" si="73"/>
        <v>0</v>
      </c>
      <c r="AA184" s="262">
        <f t="shared" si="73"/>
        <v>0</v>
      </c>
      <c r="AB184" s="262">
        <f t="shared" si="73"/>
        <v>0</v>
      </c>
      <c r="AC184" s="262">
        <f t="shared" si="73"/>
        <v>0</v>
      </c>
      <c r="AD184" s="492">
        <f t="shared" si="73"/>
        <v>0</v>
      </c>
      <c r="AE184" s="971"/>
      <c r="AF184" s="1502"/>
      <c r="AG184" s="508" t="s">
        <v>1221</v>
      </c>
      <c r="AH184" s="486"/>
      <c r="AI184" s="486"/>
      <c r="AJ184" s="487"/>
      <c r="AK184" s="220">
        <v>0</v>
      </c>
      <c r="AL184" s="272">
        <f>AL$135*INDEX('DEFAULT DATA'!$AHW$9:$AID$41,START!$C$3,3)*INDEX('DEFAULT DATA'!$VD$9:$VJ$41,START!$C$3,3)/1000000</f>
        <v>0</v>
      </c>
      <c r="AM184" s="272">
        <f>AM$135*INDEX('DEFAULT DATA'!$AHW$9:$AID$41,START!$C$3,3)*INDEX('DEFAULT DATA'!$VD$9:$VJ$41,START!$C$3,3)/1000000</f>
        <v>0</v>
      </c>
      <c r="AN184" s="272">
        <f>AN$135*INDEX('DEFAULT DATA'!$AHW$9:$AID$41,START!$C$3,3)*INDEX('DEFAULT DATA'!$VD$9:$VJ$41,START!$C$3,3)/1000000</f>
        <v>0</v>
      </c>
      <c r="AO184" s="272">
        <f>AO$135*INDEX('DEFAULT DATA'!$AHW$9:$AID$41,START!$C$3,3)*INDEX('DEFAULT DATA'!$VD$9:$VJ$41,START!$C$3,3)/1000000</f>
        <v>0</v>
      </c>
      <c r="AP184" s="272">
        <f>AP$135*INDEX('DEFAULT DATA'!$AHW$9:$AID$41,START!$C$3,3)*INDEX('DEFAULT DATA'!$VD$9:$VJ$41,START!$C$3,3)/1000000</f>
        <v>0</v>
      </c>
      <c r="AQ184" s="272">
        <f>AQ$135*INDEX('DEFAULT DATA'!$AHW$9:$AID$41,START!$C$3,3)*INDEX('DEFAULT DATA'!$VD$9:$VJ$41,START!$C$3,3)/1000000</f>
        <v>0</v>
      </c>
      <c r="AR184" s="272">
        <f>AR$135*INDEX('DEFAULT DATA'!$AHW$9:$AID$41,START!$C$3,3)*INDEX('DEFAULT DATA'!$VD$9:$VJ$41,START!$C$3,3)/1000000</f>
        <v>0</v>
      </c>
      <c r="AS184" s="272">
        <f>AS$135*INDEX('DEFAULT DATA'!$AHW$9:$AID$41,START!$C$3,3)*INDEX('DEFAULT DATA'!$VD$9:$VJ$41,START!$C$3,3)/1000000</f>
        <v>0</v>
      </c>
      <c r="AT184" s="272">
        <f>AT$135*INDEX('DEFAULT DATA'!$AHW$9:$AID$41,START!$C$3,3)*INDEX('DEFAULT DATA'!$VD$9:$VJ$41,START!$C$3,3)/1000000</f>
        <v>0</v>
      </c>
      <c r="AU184" s="272">
        <f>AU$135*INDEX('DEFAULT DATA'!$AHW$9:$AID$41,START!$C$3,3)*INDEX('DEFAULT DATA'!$VD$9:$VJ$41,START!$C$3,3)/1000000</f>
        <v>0</v>
      </c>
      <c r="AV184" s="272">
        <f>AV$135*INDEX('DEFAULT DATA'!$AHW$9:$AID$41,START!$C$3,3)*INDEX('DEFAULT DATA'!$VD$9:$VJ$41,START!$C$3,3)/1000000</f>
        <v>0</v>
      </c>
      <c r="AW184" s="272">
        <f>AW$135*INDEX('DEFAULT DATA'!$AHW$9:$AID$41,START!$C$3,3)*INDEX('DEFAULT DATA'!$VD$9:$VJ$41,START!$C$3,3)/1000000</f>
        <v>0</v>
      </c>
      <c r="AX184" s="272">
        <f>AX$135*INDEX('DEFAULT DATA'!$AHW$9:$AID$41,START!$C$3,3)*INDEX('DEFAULT DATA'!$VD$9:$VJ$41,START!$C$3,3)/1000000</f>
        <v>0</v>
      </c>
      <c r="AY184" s="272">
        <f>AY$135*INDEX('DEFAULT DATA'!$AHW$9:$AID$41,START!$C$3,3)*INDEX('DEFAULT DATA'!$VD$9:$VJ$41,START!$C$3,3)/1000000</f>
        <v>0</v>
      </c>
      <c r="AZ184" s="272">
        <f>AZ$135*INDEX('DEFAULT DATA'!$AHW$9:$AID$41,START!$C$3,3)*INDEX('DEFAULT DATA'!$VD$9:$VJ$41,START!$C$3,3)/1000000</f>
        <v>0</v>
      </c>
      <c r="BA184" s="272">
        <f>BA$135*INDEX('DEFAULT DATA'!$AHW$9:$AID$41,START!$C$3,3)*INDEX('DEFAULT DATA'!$VD$9:$VJ$41,START!$C$3,3)/1000000</f>
        <v>0</v>
      </c>
      <c r="BB184" s="272">
        <f>BB$135*INDEX('DEFAULT DATA'!$AHW$9:$AID$41,START!$C$3,3)*INDEX('DEFAULT DATA'!$VD$9:$VJ$41,START!$C$3,3)/1000000</f>
        <v>0</v>
      </c>
      <c r="BC184" s="272">
        <f>BC$135*INDEX('DEFAULT DATA'!$AHW$9:$AID$41,START!$C$3,3)*INDEX('DEFAULT DATA'!$VD$9:$VJ$41,START!$C$3,3)/1000000</f>
        <v>0</v>
      </c>
      <c r="BD184" s="272">
        <f>BD$135*INDEX('DEFAULT DATA'!$AHW$9:$AID$41,START!$C$3,3)*INDEX('DEFAULT DATA'!$VD$9:$VJ$41,START!$C$3,3)/1000000</f>
        <v>0</v>
      </c>
      <c r="BE184" s="272">
        <f>BE$135*INDEX('DEFAULT DATA'!$AHW$9:$AID$41,START!$C$3,3)*INDEX('DEFAULT DATA'!$VD$9:$VJ$41,START!$C$3,3)/1000000</f>
        <v>0</v>
      </c>
      <c r="BF184" s="272">
        <f>BF$135*INDEX('DEFAULT DATA'!$AHW$9:$AID$41,START!$C$3,3)*INDEX('DEFAULT DATA'!$VD$9:$VJ$41,START!$C$3,3)/1000000</f>
        <v>0</v>
      </c>
      <c r="BG184" s="272">
        <f>BG$135*INDEX('DEFAULT DATA'!$AHW$9:$AID$41,START!$C$3,3)*INDEX('DEFAULT DATA'!$VD$9:$VJ$41,START!$C$3,3)/1000000</f>
        <v>0</v>
      </c>
      <c r="BH184" s="272">
        <f>BH$135*INDEX('DEFAULT DATA'!$AHW$9:$AID$41,START!$C$3,3)*INDEX('DEFAULT DATA'!$VD$9:$VJ$41,START!$C$3,3)/1000000</f>
        <v>0</v>
      </c>
      <c r="BI184" s="272">
        <f>BI$135*INDEX('DEFAULT DATA'!$AHW$9:$AID$41,START!$C$3,3)*INDEX('DEFAULT DATA'!$VD$9:$VJ$41,START!$C$3,3)/1000000</f>
        <v>0</v>
      </c>
      <c r="BJ184" s="272">
        <f>BJ$135*INDEX('DEFAULT DATA'!$AHW$9:$AID$41,START!$C$3,3)*INDEX('DEFAULT DATA'!$VD$9:$VJ$41,START!$C$3,3)/1000000</f>
        <v>0</v>
      </c>
      <c r="BK184" s="272">
        <f>BK$135*INDEX('DEFAULT DATA'!$AHW$9:$AID$41,START!$C$3,3)*INDEX('DEFAULT DATA'!$VD$9:$VJ$41,START!$C$3,3)/1000000</f>
        <v>0</v>
      </c>
      <c r="BL184" s="272">
        <f>BL$135*INDEX('DEFAULT DATA'!$AHW$9:$AID$41,START!$C$3,3)*INDEX('DEFAULT DATA'!$VD$9:$VJ$41,START!$C$3,3)/1000000</f>
        <v>0</v>
      </c>
      <c r="BM184" s="272">
        <f>BM$135*INDEX('DEFAULT DATA'!$AHW$9:$AID$41,START!$C$3,3)*INDEX('DEFAULT DATA'!$VD$9:$VJ$41,START!$C$3,3)/1000000</f>
        <v>0</v>
      </c>
      <c r="BN184" s="272">
        <f>BN$135*INDEX('DEFAULT DATA'!$AHW$9:$AID$41,START!$C$3,3)*INDEX('DEFAULT DATA'!$VD$9:$VJ$41,START!$C$3,3)/1000000</f>
        <v>0</v>
      </c>
      <c r="BP184" s="544" t="str">
        <f t="shared" si="77"/>
        <v>Oil</v>
      </c>
      <c r="BQ184" s="545" t="s">
        <v>1845</v>
      </c>
      <c r="BR184" s="546"/>
      <c r="BS184" s="546"/>
      <c r="BT184" s="546"/>
      <c r="BU184" s="546"/>
      <c r="BV184" s="546"/>
      <c r="BW184" s="546"/>
      <c r="BX184" s="546"/>
      <c r="BY184" s="546"/>
      <c r="BZ184" s="546"/>
      <c r="CA184" s="546"/>
      <c r="CB184" s="546"/>
      <c r="CC184" s="546"/>
      <c r="CD184" s="546"/>
      <c r="CE184" s="546"/>
      <c r="CF184" s="546"/>
      <c r="CG184" s="547"/>
      <c r="CH184" s="543" t="s">
        <v>1801</v>
      </c>
      <c r="CI184" s="543" t="s">
        <v>1621</v>
      </c>
    </row>
    <row r="185" spans="1:87" ht="20.100000000000001" customHeight="1">
      <c r="A185" s="241" t="s">
        <v>1232</v>
      </c>
      <c r="B185" s="262" t="str">
        <f t="shared" si="75"/>
        <v/>
      </c>
      <c r="C185" s="262">
        <f t="shared" si="73"/>
        <v>0</v>
      </c>
      <c r="D185" s="262">
        <f t="shared" si="73"/>
        <v>0</v>
      </c>
      <c r="E185" s="262">
        <f t="shared" si="73"/>
        <v>0</v>
      </c>
      <c r="F185" s="262">
        <f t="shared" si="73"/>
        <v>0</v>
      </c>
      <c r="G185" s="262">
        <f t="shared" si="73"/>
        <v>0</v>
      </c>
      <c r="H185" s="262">
        <f t="shared" si="73"/>
        <v>0</v>
      </c>
      <c r="I185" s="262">
        <f t="shared" si="73"/>
        <v>0</v>
      </c>
      <c r="J185" s="262">
        <f t="shared" si="73"/>
        <v>0</v>
      </c>
      <c r="K185" s="262">
        <f t="shared" si="73"/>
        <v>0</v>
      </c>
      <c r="L185" s="262">
        <f t="shared" si="73"/>
        <v>0</v>
      </c>
      <c r="M185" s="262">
        <f t="shared" si="73"/>
        <v>0</v>
      </c>
      <c r="N185" s="262">
        <f t="shared" si="73"/>
        <v>0</v>
      </c>
      <c r="O185" s="262">
        <f t="shared" si="73"/>
        <v>0</v>
      </c>
      <c r="P185" s="262">
        <f t="shared" si="73"/>
        <v>0</v>
      </c>
      <c r="Q185" s="262">
        <f t="shared" si="73"/>
        <v>0</v>
      </c>
      <c r="R185" s="262">
        <f t="shared" si="73"/>
        <v>0</v>
      </c>
      <c r="S185" s="262">
        <f t="shared" si="73"/>
        <v>0</v>
      </c>
      <c r="T185" s="262">
        <f t="shared" si="73"/>
        <v>0</v>
      </c>
      <c r="U185" s="262">
        <f t="shared" si="73"/>
        <v>0</v>
      </c>
      <c r="V185" s="262">
        <f t="shared" si="73"/>
        <v>0</v>
      </c>
      <c r="W185" s="262">
        <f t="shared" si="73"/>
        <v>0</v>
      </c>
      <c r="X185" s="262">
        <f t="shared" si="73"/>
        <v>0</v>
      </c>
      <c r="Y185" s="262">
        <f t="shared" si="73"/>
        <v>0</v>
      </c>
      <c r="Z185" s="262">
        <f t="shared" si="73"/>
        <v>0</v>
      </c>
      <c r="AA185" s="262">
        <f t="shared" si="73"/>
        <v>0</v>
      </c>
      <c r="AB185" s="262">
        <f t="shared" si="73"/>
        <v>0</v>
      </c>
      <c r="AC185" s="262">
        <f t="shared" si="73"/>
        <v>0</v>
      </c>
      <c r="AD185" s="492">
        <f t="shared" si="73"/>
        <v>0</v>
      </c>
      <c r="AE185" s="971"/>
      <c r="AF185" s="1502"/>
      <c r="AG185" s="508" t="s">
        <v>1222</v>
      </c>
      <c r="AH185" s="486"/>
      <c r="AI185" s="486"/>
      <c r="AJ185" s="487"/>
      <c r="AK185" s="220">
        <v>0</v>
      </c>
      <c r="AL185" s="272">
        <f>AL$135*INDEX('DEFAULT DATA'!$AHW$9:$AID$41,START!$C$3,4)*INDEX('DEFAULT DATA'!$VD$9:$VJ$41,START!$C$3,4)/1000000</f>
        <v>0</v>
      </c>
      <c r="AM185" s="272">
        <f>AM$135*INDEX('DEFAULT DATA'!$AHW$9:$AID$41,START!$C$3,4)*INDEX('DEFAULT DATA'!$VD$9:$VJ$41,START!$C$3,4)/1000000</f>
        <v>0</v>
      </c>
      <c r="AN185" s="272">
        <f>AN$135*INDEX('DEFAULT DATA'!$AHW$9:$AID$41,START!$C$3,4)*INDEX('DEFAULT DATA'!$VD$9:$VJ$41,START!$C$3,4)/1000000</f>
        <v>0</v>
      </c>
      <c r="AO185" s="272">
        <f>AO$135*INDEX('DEFAULT DATA'!$AHW$9:$AID$41,START!$C$3,4)*INDEX('DEFAULT DATA'!$VD$9:$VJ$41,START!$C$3,4)/1000000</f>
        <v>0</v>
      </c>
      <c r="AP185" s="272">
        <f>AP$135*INDEX('DEFAULT DATA'!$AHW$9:$AID$41,START!$C$3,4)*INDEX('DEFAULT DATA'!$VD$9:$VJ$41,START!$C$3,4)/1000000</f>
        <v>0</v>
      </c>
      <c r="AQ185" s="272">
        <f>AQ$135*INDEX('DEFAULT DATA'!$AHW$9:$AID$41,START!$C$3,4)*INDEX('DEFAULT DATA'!$VD$9:$VJ$41,START!$C$3,4)/1000000</f>
        <v>0</v>
      </c>
      <c r="AR185" s="272">
        <f>AR$135*INDEX('DEFAULT DATA'!$AHW$9:$AID$41,START!$C$3,4)*INDEX('DEFAULT DATA'!$VD$9:$VJ$41,START!$C$3,4)/1000000</f>
        <v>0</v>
      </c>
      <c r="AS185" s="272">
        <f>AS$135*INDEX('DEFAULT DATA'!$AHW$9:$AID$41,START!$C$3,4)*INDEX('DEFAULT DATA'!$VD$9:$VJ$41,START!$C$3,4)/1000000</f>
        <v>0</v>
      </c>
      <c r="AT185" s="272">
        <f>AT$135*INDEX('DEFAULT DATA'!$AHW$9:$AID$41,START!$C$3,4)*INDEX('DEFAULT DATA'!$VD$9:$VJ$41,START!$C$3,4)/1000000</f>
        <v>0</v>
      </c>
      <c r="AU185" s="272">
        <f>AU$135*INDEX('DEFAULT DATA'!$AHW$9:$AID$41,START!$C$3,4)*INDEX('DEFAULT DATA'!$VD$9:$VJ$41,START!$C$3,4)/1000000</f>
        <v>0</v>
      </c>
      <c r="AV185" s="272">
        <f>AV$135*INDEX('DEFAULT DATA'!$AHW$9:$AID$41,START!$C$3,4)*INDEX('DEFAULT DATA'!$VD$9:$VJ$41,START!$C$3,4)/1000000</f>
        <v>0</v>
      </c>
      <c r="AW185" s="272">
        <f>AW$135*INDEX('DEFAULT DATA'!$AHW$9:$AID$41,START!$C$3,4)*INDEX('DEFAULT DATA'!$VD$9:$VJ$41,START!$C$3,4)/1000000</f>
        <v>0</v>
      </c>
      <c r="AX185" s="272">
        <f>AX$135*INDEX('DEFAULT DATA'!$AHW$9:$AID$41,START!$C$3,4)*INDEX('DEFAULT DATA'!$VD$9:$VJ$41,START!$C$3,4)/1000000</f>
        <v>0</v>
      </c>
      <c r="AY185" s="272">
        <f>AY$135*INDEX('DEFAULT DATA'!$AHW$9:$AID$41,START!$C$3,4)*INDEX('DEFAULT DATA'!$VD$9:$VJ$41,START!$C$3,4)/1000000</f>
        <v>0</v>
      </c>
      <c r="AZ185" s="272">
        <f>AZ$135*INDEX('DEFAULT DATA'!$AHW$9:$AID$41,START!$C$3,4)*INDEX('DEFAULT DATA'!$VD$9:$VJ$41,START!$C$3,4)/1000000</f>
        <v>0</v>
      </c>
      <c r="BA185" s="272">
        <f>BA$135*INDEX('DEFAULT DATA'!$AHW$9:$AID$41,START!$C$3,4)*INDEX('DEFAULT DATA'!$VD$9:$VJ$41,START!$C$3,4)/1000000</f>
        <v>0</v>
      </c>
      <c r="BB185" s="272">
        <f>BB$135*INDEX('DEFAULT DATA'!$AHW$9:$AID$41,START!$C$3,4)*INDEX('DEFAULT DATA'!$VD$9:$VJ$41,START!$C$3,4)/1000000</f>
        <v>0</v>
      </c>
      <c r="BC185" s="272">
        <f>BC$135*INDEX('DEFAULT DATA'!$AHW$9:$AID$41,START!$C$3,4)*INDEX('DEFAULT DATA'!$VD$9:$VJ$41,START!$C$3,4)/1000000</f>
        <v>0</v>
      </c>
      <c r="BD185" s="272">
        <f>BD$135*INDEX('DEFAULT DATA'!$AHW$9:$AID$41,START!$C$3,4)*INDEX('DEFAULT DATA'!$VD$9:$VJ$41,START!$C$3,4)/1000000</f>
        <v>0</v>
      </c>
      <c r="BE185" s="272">
        <f>BE$135*INDEX('DEFAULT DATA'!$AHW$9:$AID$41,START!$C$3,4)*INDEX('DEFAULT DATA'!$VD$9:$VJ$41,START!$C$3,4)/1000000</f>
        <v>0</v>
      </c>
      <c r="BF185" s="272">
        <f>BF$135*INDEX('DEFAULT DATA'!$AHW$9:$AID$41,START!$C$3,4)*INDEX('DEFAULT DATA'!$VD$9:$VJ$41,START!$C$3,4)/1000000</f>
        <v>0</v>
      </c>
      <c r="BG185" s="272">
        <f>BG$135*INDEX('DEFAULT DATA'!$AHW$9:$AID$41,START!$C$3,4)*INDEX('DEFAULT DATA'!$VD$9:$VJ$41,START!$C$3,4)/1000000</f>
        <v>0</v>
      </c>
      <c r="BH185" s="272">
        <f>BH$135*INDEX('DEFAULT DATA'!$AHW$9:$AID$41,START!$C$3,4)*INDEX('DEFAULT DATA'!$VD$9:$VJ$41,START!$C$3,4)/1000000</f>
        <v>0</v>
      </c>
      <c r="BI185" s="272">
        <f>BI$135*INDEX('DEFAULT DATA'!$AHW$9:$AID$41,START!$C$3,4)*INDEX('DEFAULT DATA'!$VD$9:$VJ$41,START!$C$3,4)/1000000</f>
        <v>0</v>
      </c>
      <c r="BJ185" s="272">
        <f>BJ$135*INDEX('DEFAULT DATA'!$AHW$9:$AID$41,START!$C$3,4)*INDEX('DEFAULT DATA'!$VD$9:$VJ$41,START!$C$3,4)/1000000</f>
        <v>0</v>
      </c>
      <c r="BK185" s="272">
        <f>BK$135*INDEX('DEFAULT DATA'!$AHW$9:$AID$41,START!$C$3,4)*INDEX('DEFAULT DATA'!$VD$9:$VJ$41,START!$C$3,4)/1000000</f>
        <v>0</v>
      </c>
      <c r="BL185" s="272">
        <f>BL$135*INDEX('DEFAULT DATA'!$AHW$9:$AID$41,START!$C$3,4)*INDEX('DEFAULT DATA'!$VD$9:$VJ$41,START!$C$3,4)/1000000</f>
        <v>0</v>
      </c>
      <c r="BM185" s="272">
        <f>BM$135*INDEX('DEFAULT DATA'!$AHW$9:$AID$41,START!$C$3,4)*INDEX('DEFAULT DATA'!$VD$9:$VJ$41,START!$C$3,4)/1000000</f>
        <v>0</v>
      </c>
      <c r="BN185" s="272">
        <f>BN$135*INDEX('DEFAULT DATA'!$AHW$9:$AID$41,START!$C$3,4)*INDEX('DEFAULT DATA'!$VD$9:$VJ$41,START!$C$3,4)/1000000</f>
        <v>0</v>
      </c>
      <c r="BP185" s="544" t="str">
        <f t="shared" si="77"/>
        <v>Coal</v>
      </c>
      <c r="BQ185" s="545" t="s">
        <v>1846</v>
      </c>
      <c r="BR185" s="546"/>
      <c r="BS185" s="546"/>
      <c r="BT185" s="546"/>
      <c r="BU185" s="546"/>
      <c r="BV185" s="546"/>
      <c r="BW185" s="546"/>
      <c r="BX185" s="546"/>
      <c r="BY185" s="546"/>
      <c r="BZ185" s="546"/>
      <c r="CA185" s="546"/>
      <c r="CB185" s="546"/>
      <c r="CC185" s="546"/>
      <c r="CD185" s="546"/>
      <c r="CE185" s="546"/>
      <c r="CF185" s="546"/>
      <c r="CG185" s="547"/>
      <c r="CH185" s="543" t="s">
        <v>1802</v>
      </c>
      <c r="CI185" s="543" t="s">
        <v>1622</v>
      </c>
    </row>
    <row r="186" spans="1:87" ht="20.100000000000001" customHeight="1" thickBot="1">
      <c r="A186" s="470" t="s">
        <v>1233</v>
      </c>
      <c r="B186" s="335" t="str">
        <f t="shared" si="75"/>
        <v/>
      </c>
      <c r="C186" s="335">
        <f t="shared" si="73"/>
        <v>0</v>
      </c>
      <c r="D186" s="335">
        <f t="shared" si="73"/>
        <v>0</v>
      </c>
      <c r="E186" s="335">
        <f t="shared" si="73"/>
        <v>0</v>
      </c>
      <c r="F186" s="335">
        <f t="shared" ref="F186" si="78">AP989</f>
        <v>0</v>
      </c>
      <c r="G186" s="335">
        <f t="shared" ref="G186" si="79">AQ989</f>
        <v>0</v>
      </c>
      <c r="H186" s="335">
        <f t="shared" ref="H186" si="80">AR989</f>
        <v>0</v>
      </c>
      <c r="I186" s="335">
        <f t="shared" ref="I186" si="81">AS989</f>
        <v>0</v>
      </c>
      <c r="J186" s="335">
        <f t="shared" ref="J186" si="82">AT989</f>
        <v>0</v>
      </c>
      <c r="K186" s="335">
        <f t="shared" ref="K186" si="83">AU989</f>
        <v>0</v>
      </c>
      <c r="L186" s="335">
        <f t="shared" ref="L186" si="84">AV989</f>
        <v>0</v>
      </c>
      <c r="M186" s="335">
        <f t="shared" ref="M186" si="85">AW989</f>
        <v>0</v>
      </c>
      <c r="N186" s="335">
        <f t="shared" ref="N186" si="86">AX989</f>
        <v>0</v>
      </c>
      <c r="O186" s="335">
        <f t="shared" ref="O186" si="87">AY989</f>
        <v>0</v>
      </c>
      <c r="P186" s="335">
        <f t="shared" ref="P186" si="88">AZ989</f>
        <v>0</v>
      </c>
      <c r="Q186" s="335">
        <f t="shared" ref="Q186" si="89">BA989</f>
        <v>0</v>
      </c>
      <c r="R186" s="335">
        <f t="shared" ref="R186" si="90">BB989</f>
        <v>0</v>
      </c>
      <c r="S186" s="335">
        <f t="shared" ref="S186" si="91">BC989</f>
        <v>0</v>
      </c>
      <c r="T186" s="335">
        <f t="shared" ref="T186" si="92">BD989</f>
        <v>0</v>
      </c>
      <c r="U186" s="335">
        <f t="shared" ref="U186" si="93">BE989</f>
        <v>0</v>
      </c>
      <c r="V186" s="335">
        <f t="shared" ref="V186" si="94">BF989</f>
        <v>0</v>
      </c>
      <c r="W186" s="335">
        <f t="shared" ref="W186" si="95">BG989</f>
        <v>0</v>
      </c>
      <c r="X186" s="335">
        <f t="shared" ref="X186" si="96">BH989</f>
        <v>0</v>
      </c>
      <c r="Y186" s="335">
        <f t="shared" ref="Y186" si="97">BI989</f>
        <v>0</v>
      </c>
      <c r="Z186" s="335">
        <f t="shared" ref="Z186" si="98">BJ989</f>
        <v>0</v>
      </c>
      <c r="AA186" s="335">
        <f t="shared" ref="AA186" si="99">BK989</f>
        <v>0</v>
      </c>
      <c r="AB186" s="335">
        <f t="shared" ref="AB186" si="100">BL989</f>
        <v>0</v>
      </c>
      <c r="AC186" s="335">
        <f t="shared" ref="AC186" si="101">BM989</f>
        <v>0</v>
      </c>
      <c r="AD186" s="494">
        <f t="shared" ref="AD186" si="102">BN989</f>
        <v>0</v>
      </c>
      <c r="AE186" s="971"/>
      <c r="AF186" s="1502"/>
      <c r="AG186" s="508" t="s">
        <v>1223</v>
      </c>
      <c r="AH186" s="486"/>
      <c r="AI186" s="486"/>
      <c r="AJ186" s="487"/>
      <c r="AK186" s="220">
        <v>0</v>
      </c>
      <c r="AL186" s="272">
        <f>AL$135*INDEX('DEFAULT DATA'!$AHW$9:$AID$41,START!$C$3,5)*INDEX('DEFAULT DATA'!$VD$9:$VJ$41,START!$C$3,5)/1000000</f>
        <v>0</v>
      </c>
      <c r="AM186" s="272">
        <f>AM$135*INDEX('DEFAULT DATA'!$AHW$9:$AID$41,START!$C$3,5)*INDEX('DEFAULT DATA'!$VD$9:$VJ$41,START!$C$3,5)/1000000</f>
        <v>0</v>
      </c>
      <c r="AN186" s="272">
        <f>AN$135*INDEX('DEFAULT DATA'!$AHW$9:$AID$41,START!$C$3,5)*INDEX('DEFAULT DATA'!$VD$9:$VJ$41,START!$C$3,5)/1000000</f>
        <v>0</v>
      </c>
      <c r="AO186" s="272">
        <f>AO$135*INDEX('DEFAULT DATA'!$AHW$9:$AID$41,START!$C$3,5)*INDEX('DEFAULT DATA'!$VD$9:$VJ$41,START!$C$3,5)/1000000</f>
        <v>0</v>
      </c>
      <c r="AP186" s="272">
        <f>AP$135*INDEX('DEFAULT DATA'!$AHW$9:$AID$41,START!$C$3,5)*INDEX('DEFAULT DATA'!$VD$9:$VJ$41,START!$C$3,5)/1000000</f>
        <v>0</v>
      </c>
      <c r="AQ186" s="272">
        <f>AQ$135*INDEX('DEFAULT DATA'!$AHW$9:$AID$41,START!$C$3,5)*INDEX('DEFAULT DATA'!$VD$9:$VJ$41,START!$C$3,5)/1000000</f>
        <v>0</v>
      </c>
      <c r="AR186" s="272">
        <f>AR$135*INDEX('DEFAULT DATA'!$AHW$9:$AID$41,START!$C$3,5)*INDEX('DEFAULT DATA'!$VD$9:$VJ$41,START!$C$3,5)/1000000</f>
        <v>0</v>
      </c>
      <c r="AS186" s="272">
        <f>AS$135*INDEX('DEFAULT DATA'!$AHW$9:$AID$41,START!$C$3,5)*INDEX('DEFAULT DATA'!$VD$9:$VJ$41,START!$C$3,5)/1000000</f>
        <v>0</v>
      </c>
      <c r="AT186" s="272">
        <f>AT$135*INDEX('DEFAULT DATA'!$AHW$9:$AID$41,START!$C$3,5)*INDEX('DEFAULT DATA'!$VD$9:$VJ$41,START!$C$3,5)/1000000</f>
        <v>0</v>
      </c>
      <c r="AU186" s="272">
        <f>AU$135*INDEX('DEFAULT DATA'!$AHW$9:$AID$41,START!$C$3,5)*INDEX('DEFAULT DATA'!$VD$9:$VJ$41,START!$C$3,5)/1000000</f>
        <v>0</v>
      </c>
      <c r="AV186" s="272">
        <f>AV$135*INDEX('DEFAULT DATA'!$AHW$9:$AID$41,START!$C$3,5)*INDEX('DEFAULT DATA'!$VD$9:$VJ$41,START!$C$3,5)/1000000</f>
        <v>0</v>
      </c>
      <c r="AW186" s="272">
        <f>AW$135*INDEX('DEFAULT DATA'!$AHW$9:$AID$41,START!$C$3,5)*INDEX('DEFAULT DATA'!$VD$9:$VJ$41,START!$C$3,5)/1000000</f>
        <v>0</v>
      </c>
      <c r="AX186" s="272">
        <f>AX$135*INDEX('DEFAULT DATA'!$AHW$9:$AID$41,START!$C$3,5)*INDEX('DEFAULT DATA'!$VD$9:$VJ$41,START!$C$3,5)/1000000</f>
        <v>0</v>
      </c>
      <c r="AY186" s="272">
        <f>AY$135*INDEX('DEFAULT DATA'!$AHW$9:$AID$41,START!$C$3,5)*INDEX('DEFAULT DATA'!$VD$9:$VJ$41,START!$C$3,5)/1000000</f>
        <v>0</v>
      </c>
      <c r="AZ186" s="272">
        <f>AZ$135*INDEX('DEFAULT DATA'!$AHW$9:$AID$41,START!$C$3,5)*INDEX('DEFAULT DATA'!$VD$9:$VJ$41,START!$C$3,5)/1000000</f>
        <v>0</v>
      </c>
      <c r="BA186" s="272">
        <f>BA$135*INDEX('DEFAULT DATA'!$AHW$9:$AID$41,START!$C$3,5)*INDEX('DEFAULT DATA'!$VD$9:$VJ$41,START!$C$3,5)/1000000</f>
        <v>0</v>
      </c>
      <c r="BB186" s="272">
        <f>BB$135*INDEX('DEFAULT DATA'!$AHW$9:$AID$41,START!$C$3,5)*INDEX('DEFAULT DATA'!$VD$9:$VJ$41,START!$C$3,5)/1000000</f>
        <v>0</v>
      </c>
      <c r="BC186" s="272">
        <f>BC$135*INDEX('DEFAULT DATA'!$AHW$9:$AID$41,START!$C$3,5)*INDEX('DEFAULT DATA'!$VD$9:$VJ$41,START!$C$3,5)/1000000</f>
        <v>0</v>
      </c>
      <c r="BD186" s="272">
        <f>BD$135*INDEX('DEFAULT DATA'!$AHW$9:$AID$41,START!$C$3,5)*INDEX('DEFAULT DATA'!$VD$9:$VJ$41,START!$C$3,5)/1000000</f>
        <v>0</v>
      </c>
      <c r="BE186" s="272">
        <f>BE$135*INDEX('DEFAULT DATA'!$AHW$9:$AID$41,START!$C$3,5)*INDEX('DEFAULT DATA'!$VD$9:$VJ$41,START!$C$3,5)/1000000</f>
        <v>0</v>
      </c>
      <c r="BF186" s="272">
        <f>BF$135*INDEX('DEFAULT DATA'!$AHW$9:$AID$41,START!$C$3,5)*INDEX('DEFAULT DATA'!$VD$9:$VJ$41,START!$C$3,5)/1000000</f>
        <v>0</v>
      </c>
      <c r="BG186" s="272">
        <f>BG$135*INDEX('DEFAULT DATA'!$AHW$9:$AID$41,START!$C$3,5)*INDEX('DEFAULT DATA'!$VD$9:$VJ$41,START!$C$3,5)/1000000</f>
        <v>0</v>
      </c>
      <c r="BH186" s="272">
        <f>BH$135*INDEX('DEFAULT DATA'!$AHW$9:$AID$41,START!$C$3,5)*INDEX('DEFAULT DATA'!$VD$9:$VJ$41,START!$C$3,5)/1000000</f>
        <v>0</v>
      </c>
      <c r="BI186" s="272">
        <f>BI$135*INDEX('DEFAULT DATA'!$AHW$9:$AID$41,START!$C$3,5)*INDEX('DEFAULT DATA'!$VD$9:$VJ$41,START!$C$3,5)/1000000</f>
        <v>0</v>
      </c>
      <c r="BJ186" s="272">
        <f>BJ$135*INDEX('DEFAULT DATA'!$AHW$9:$AID$41,START!$C$3,5)*INDEX('DEFAULT DATA'!$VD$9:$VJ$41,START!$C$3,5)/1000000</f>
        <v>0</v>
      </c>
      <c r="BK186" s="272">
        <f>BK$135*INDEX('DEFAULT DATA'!$AHW$9:$AID$41,START!$C$3,5)*INDEX('DEFAULT DATA'!$VD$9:$VJ$41,START!$C$3,5)/1000000</f>
        <v>0</v>
      </c>
      <c r="BL186" s="272">
        <f>BL$135*INDEX('DEFAULT DATA'!$AHW$9:$AID$41,START!$C$3,5)*INDEX('DEFAULT DATA'!$VD$9:$VJ$41,START!$C$3,5)/1000000</f>
        <v>0</v>
      </c>
      <c r="BM186" s="272">
        <f>BM$135*INDEX('DEFAULT DATA'!$AHW$9:$AID$41,START!$C$3,5)*INDEX('DEFAULT DATA'!$VD$9:$VJ$41,START!$C$3,5)/1000000</f>
        <v>0</v>
      </c>
      <c r="BN186" s="272">
        <f>BN$135*INDEX('DEFAULT DATA'!$AHW$9:$AID$41,START!$C$3,5)*INDEX('DEFAULT DATA'!$VD$9:$VJ$41,START!$C$3,5)/1000000</f>
        <v>0</v>
      </c>
      <c r="BP186" s="544" t="str">
        <f t="shared" si="77"/>
        <v>Peat</v>
      </c>
      <c r="BQ186" s="545" t="s">
        <v>1847</v>
      </c>
      <c r="BR186" s="546"/>
      <c r="BS186" s="546"/>
      <c r="BT186" s="546"/>
      <c r="BU186" s="546"/>
      <c r="BV186" s="546"/>
      <c r="BW186" s="546"/>
      <c r="BX186" s="546"/>
      <c r="BY186" s="546"/>
      <c r="BZ186" s="546"/>
      <c r="CA186" s="546"/>
      <c r="CB186" s="546"/>
      <c r="CC186" s="546"/>
      <c r="CD186" s="546"/>
      <c r="CE186" s="546"/>
      <c r="CF186" s="546"/>
      <c r="CG186" s="547"/>
      <c r="CH186" s="543" t="s">
        <v>1803</v>
      </c>
      <c r="CI186" s="543" t="s">
        <v>1623</v>
      </c>
    </row>
    <row r="187" spans="1:87" ht="20.100000000000001" customHeight="1">
      <c r="A187" s="884" t="s">
        <v>2647</v>
      </c>
      <c r="B187" s="327">
        <f>AL991</f>
        <v>0</v>
      </c>
      <c r="C187" s="327">
        <f t="shared" ref="C187:AD187" si="103">AM991</f>
        <v>227608.68651562839</v>
      </c>
      <c r="D187" s="327">
        <f t="shared" si="103"/>
        <v>227021.56615728958</v>
      </c>
      <c r="E187" s="327">
        <f t="shared" si="103"/>
        <v>226440.31700253417</v>
      </c>
      <c r="F187" s="327">
        <f t="shared" si="103"/>
        <v>225864.88033932631</v>
      </c>
      <c r="G187" s="327">
        <f t="shared" si="103"/>
        <v>225295.19804275053</v>
      </c>
      <c r="H187" s="327">
        <f t="shared" si="103"/>
        <v>224731.21256914048</v>
      </c>
      <c r="I187" s="327">
        <f t="shared" si="103"/>
        <v>224172.86695026659</v>
      </c>
      <c r="J187" s="327">
        <f t="shared" si="103"/>
        <v>205003.53809463346</v>
      </c>
      <c r="K187" s="327">
        <f t="shared" si="103"/>
        <v>190797.80053195285</v>
      </c>
      <c r="L187" s="327">
        <f t="shared" si="103"/>
        <v>176875.30431408447</v>
      </c>
      <c r="M187" s="327">
        <f t="shared" si="103"/>
        <v>163220.47116706369</v>
      </c>
      <c r="N187" s="327">
        <f t="shared" si="103"/>
        <v>149818.57962199385</v>
      </c>
      <c r="O187" s="327">
        <f t="shared" si="103"/>
        <v>136655.71789076773</v>
      </c>
      <c r="P187" s="327">
        <f t="shared" si="103"/>
        <v>134387.44535708457</v>
      </c>
      <c r="Q187" s="327">
        <f t="shared" si="103"/>
        <v>132243.92781275403</v>
      </c>
      <c r="R187" s="327">
        <f t="shared" si="103"/>
        <v>130218.30373336162</v>
      </c>
      <c r="S187" s="327">
        <f t="shared" si="103"/>
        <v>128304.08897833584</v>
      </c>
      <c r="T187" s="327">
        <f t="shared" si="103"/>
        <v>126495.15603483646</v>
      </c>
      <c r="U187" s="327">
        <f t="shared" si="103"/>
        <v>124785.71440322953</v>
      </c>
      <c r="V187" s="327">
        <f t="shared" si="103"/>
        <v>123170.292061361</v>
      </c>
      <c r="W187" s="327">
        <f t="shared" si="103"/>
        <v>121643.71794829523</v>
      </c>
      <c r="X187" s="327">
        <f t="shared" si="103"/>
        <v>120201.10541144812</v>
      </c>
      <c r="Y187" s="327">
        <f t="shared" si="103"/>
        <v>118837.83656412753</v>
      </c>
      <c r="Z187" s="327">
        <f t="shared" si="103"/>
        <v>117549.54750340962</v>
      </c>
      <c r="AA187" s="327">
        <f t="shared" si="103"/>
        <v>116332.11434103119</v>
      </c>
      <c r="AB187" s="327">
        <f t="shared" si="103"/>
        <v>115181.64000258358</v>
      </c>
      <c r="AC187" s="327">
        <f t="shared" si="103"/>
        <v>114094.44175275057</v>
      </c>
      <c r="AD187" s="885">
        <f t="shared" si="103"/>
        <v>113067.03940665837</v>
      </c>
      <c r="AE187" s="971"/>
      <c r="AF187" s="1502"/>
      <c r="AG187" s="508" t="s">
        <v>1224</v>
      </c>
      <c r="AH187" s="486"/>
      <c r="AI187" s="486"/>
      <c r="AJ187" s="487"/>
      <c r="AK187" s="220">
        <v>0</v>
      </c>
      <c r="AL187" s="272">
        <f>AL$135*INDEX('DEFAULT DATA'!$AHW$9:$AID$41,START!$C$3,6)*INDEX('DEFAULT DATA'!$VD$9:$VJ$41,START!$C$3,6)/1000000</f>
        <v>0</v>
      </c>
      <c r="AM187" s="272">
        <f>AM$135*INDEX('DEFAULT DATA'!$AHW$9:$AID$41,START!$C$3,6)*INDEX('DEFAULT DATA'!$VD$9:$VJ$41,START!$C$3,6)/1000000</f>
        <v>0</v>
      </c>
      <c r="AN187" s="272">
        <f>AN$135*INDEX('DEFAULT DATA'!$AHW$9:$AID$41,START!$C$3,6)*INDEX('DEFAULT DATA'!$VD$9:$VJ$41,START!$C$3,6)/1000000</f>
        <v>0</v>
      </c>
      <c r="AO187" s="272">
        <f>AO$135*INDEX('DEFAULT DATA'!$AHW$9:$AID$41,START!$C$3,6)*INDEX('DEFAULT DATA'!$VD$9:$VJ$41,START!$C$3,6)/1000000</f>
        <v>0</v>
      </c>
      <c r="AP187" s="272">
        <f>AP$135*INDEX('DEFAULT DATA'!$AHW$9:$AID$41,START!$C$3,6)*INDEX('DEFAULT DATA'!$VD$9:$VJ$41,START!$C$3,6)/1000000</f>
        <v>0</v>
      </c>
      <c r="AQ187" s="272">
        <f>AQ$135*INDEX('DEFAULT DATA'!$AHW$9:$AID$41,START!$C$3,6)*INDEX('DEFAULT DATA'!$VD$9:$VJ$41,START!$C$3,6)/1000000</f>
        <v>0</v>
      </c>
      <c r="AR187" s="272">
        <f>AR$135*INDEX('DEFAULT DATA'!$AHW$9:$AID$41,START!$C$3,6)*INDEX('DEFAULT DATA'!$VD$9:$VJ$41,START!$C$3,6)/1000000</f>
        <v>0</v>
      </c>
      <c r="AS187" s="272">
        <f>AS$135*INDEX('DEFAULT DATA'!$AHW$9:$AID$41,START!$C$3,6)*INDEX('DEFAULT DATA'!$VD$9:$VJ$41,START!$C$3,6)/1000000</f>
        <v>0</v>
      </c>
      <c r="AT187" s="272">
        <f>AT$135*INDEX('DEFAULT DATA'!$AHW$9:$AID$41,START!$C$3,6)*INDEX('DEFAULT DATA'!$VD$9:$VJ$41,START!$C$3,6)/1000000</f>
        <v>0</v>
      </c>
      <c r="AU187" s="272">
        <f>AU$135*INDEX('DEFAULT DATA'!$AHW$9:$AID$41,START!$C$3,6)*INDEX('DEFAULT DATA'!$VD$9:$VJ$41,START!$C$3,6)/1000000</f>
        <v>0</v>
      </c>
      <c r="AV187" s="272">
        <f>AV$135*INDEX('DEFAULT DATA'!$AHW$9:$AID$41,START!$C$3,6)*INDEX('DEFAULT DATA'!$VD$9:$VJ$41,START!$C$3,6)/1000000</f>
        <v>0</v>
      </c>
      <c r="AW187" s="272">
        <f>AW$135*INDEX('DEFAULT DATA'!$AHW$9:$AID$41,START!$C$3,6)*INDEX('DEFAULT DATA'!$VD$9:$VJ$41,START!$C$3,6)/1000000</f>
        <v>0</v>
      </c>
      <c r="AX187" s="272">
        <f>AX$135*INDEX('DEFAULT DATA'!$AHW$9:$AID$41,START!$C$3,6)*INDEX('DEFAULT DATA'!$VD$9:$VJ$41,START!$C$3,6)/1000000</f>
        <v>0</v>
      </c>
      <c r="AY187" s="272">
        <f>AY$135*INDEX('DEFAULT DATA'!$AHW$9:$AID$41,START!$C$3,6)*INDEX('DEFAULT DATA'!$VD$9:$VJ$41,START!$C$3,6)/1000000</f>
        <v>0</v>
      </c>
      <c r="AZ187" s="272">
        <f>AZ$135*INDEX('DEFAULT DATA'!$AHW$9:$AID$41,START!$C$3,6)*INDEX('DEFAULT DATA'!$VD$9:$VJ$41,START!$C$3,6)/1000000</f>
        <v>0</v>
      </c>
      <c r="BA187" s="272">
        <f>BA$135*INDEX('DEFAULT DATA'!$AHW$9:$AID$41,START!$C$3,6)*INDEX('DEFAULT DATA'!$VD$9:$VJ$41,START!$C$3,6)/1000000</f>
        <v>0</v>
      </c>
      <c r="BB187" s="272">
        <f>BB$135*INDEX('DEFAULT DATA'!$AHW$9:$AID$41,START!$C$3,6)*INDEX('DEFAULT DATA'!$VD$9:$VJ$41,START!$C$3,6)/1000000</f>
        <v>0</v>
      </c>
      <c r="BC187" s="272">
        <f>BC$135*INDEX('DEFAULT DATA'!$AHW$9:$AID$41,START!$C$3,6)*INDEX('DEFAULT DATA'!$VD$9:$VJ$41,START!$C$3,6)/1000000</f>
        <v>0</v>
      </c>
      <c r="BD187" s="272">
        <f>BD$135*INDEX('DEFAULT DATA'!$AHW$9:$AID$41,START!$C$3,6)*INDEX('DEFAULT DATA'!$VD$9:$VJ$41,START!$C$3,6)/1000000</f>
        <v>0</v>
      </c>
      <c r="BE187" s="272">
        <f>BE$135*INDEX('DEFAULT DATA'!$AHW$9:$AID$41,START!$C$3,6)*INDEX('DEFAULT DATA'!$VD$9:$VJ$41,START!$C$3,6)/1000000</f>
        <v>0</v>
      </c>
      <c r="BF187" s="272">
        <f>BF$135*INDEX('DEFAULT DATA'!$AHW$9:$AID$41,START!$C$3,6)*INDEX('DEFAULT DATA'!$VD$9:$VJ$41,START!$C$3,6)/1000000</f>
        <v>0</v>
      </c>
      <c r="BG187" s="272">
        <f>BG$135*INDEX('DEFAULT DATA'!$AHW$9:$AID$41,START!$C$3,6)*INDEX('DEFAULT DATA'!$VD$9:$VJ$41,START!$C$3,6)/1000000</f>
        <v>0</v>
      </c>
      <c r="BH187" s="272">
        <f>BH$135*INDEX('DEFAULT DATA'!$AHW$9:$AID$41,START!$C$3,6)*INDEX('DEFAULT DATA'!$VD$9:$VJ$41,START!$C$3,6)/1000000</f>
        <v>0</v>
      </c>
      <c r="BI187" s="272">
        <f>BI$135*INDEX('DEFAULT DATA'!$AHW$9:$AID$41,START!$C$3,6)*INDEX('DEFAULT DATA'!$VD$9:$VJ$41,START!$C$3,6)/1000000</f>
        <v>0</v>
      </c>
      <c r="BJ187" s="272">
        <f>BJ$135*INDEX('DEFAULT DATA'!$AHW$9:$AID$41,START!$C$3,6)*INDEX('DEFAULT DATA'!$VD$9:$VJ$41,START!$C$3,6)/1000000</f>
        <v>0</v>
      </c>
      <c r="BK187" s="272">
        <f>BK$135*INDEX('DEFAULT DATA'!$AHW$9:$AID$41,START!$C$3,6)*INDEX('DEFAULT DATA'!$VD$9:$VJ$41,START!$C$3,6)/1000000</f>
        <v>0</v>
      </c>
      <c r="BL187" s="272">
        <f>BL$135*INDEX('DEFAULT DATA'!$AHW$9:$AID$41,START!$C$3,6)*INDEX('DEFAULT DATA'!$VD$9:$VJ$41,START!$C$3,6)/1000000</f>
        <v>0</v>
      </c>
      <c r="BM187" s="272">
        <f>BM$135*INDEX('DEFAULT DATA'!$AHW$9:$AID$41,START!$C$3,6)*INDEX('DEFAULT DATA'!$VD$9:$VJ$41,START!$C$3,6)/1000000</f>
        <v>0</v>
      </c>
      <c r="BN187" s="272">
        <f>BN$135*INDEX('DEFAULT DATA'!$AHW$9:$AID$41,START!$C$3,6)*INDEX('DEFAULT DATA'!$VD$9:$VJ$41,START!$C$3,6)/1000000</f>
        <v>0</v>
      </c>
      <c r="BP187" s="544" t="str">
        <f t="shared" si="77"/>
        <v>Wood</v>
      </c>
      <c r="BQ187" s="545" t="s">
        <v>1848</v>
      </c>
      <c r="BR187" s="546"/>
      <c r="BS187" s="546"/>
      <c r="BT187" s="546"/>
      <c r="BU187" s="546"/>
      <c r="BV187" s="546"/>
      <c r="BW187" s="546"/>
      <c r="BX187" s="546"/>
      <c r="BY187" s="546"/>
      <c r="BZ187" s="546"/>
      <c r="CA187" s="546"/>
      <c r="CB187" s="546"/>
      <c r="CC187" s="546"/>
      <c r="CD187" s="546"/>
      <c r="CE187" s="546"/>
      <c r="CF187" s="546"/>
      <c r="CG187" s="547"/>
      <c r="CH187" s="543" t="s">
        <v>1804</v>
      </c>
      <c r="CI187" s="543" t="s">
        <v>1624</v>
      </c>
    </row>
    <row r="188" spans="1:87" ht="20.100000000000001" customHeight="1" thickBot="1">
      <c r="A188" s="470" t="s">
        <v>1516</v>
      </c>
      <c r="B188" s="325" t="str">
        <f>AL990</f>
        <v/>
      </c>
      <c r="C188" s="325">
        <f t="shared" ref="C188:AD188" si="104">AM990</f>
        <v>227608.68651562839</v>
      </c>
      <c r="D188" s="325">
        <f t="shared" si="104"/>
        <v>227021.56615728958</v>
      </c>
      <c r="E188" s="325">
        <f t="shared" si="104"/>
        <v>226440.31700253417</v>
      </c>
      <c r="F188" s="325">
        <f t="shared" si="104"/>
        <v>225864.88033932631</v>
      </c>
      <c r="G188" s="325">
        <f t="shared" si="104"/>
        <v>225295.19804275053</v>
      </c>
      <c r="H188" s="325">
        <f t="shared" si="104"/>
        <v>224731.21256914048</v>
      </c>
      <c r="I188" s="325">
        <f t="shared" si="104"/>
        <v>224172.86695026659</v>
      </c>
      <c r="J188" s="325">
        <f t="shared" si="104"/>
        <v>223620.1047875814</v>
      </c>
      <c r="K188" s="325">
        <f t="shared" si="104"/>
        <v>220610.31481176056</v>
      </c>
      <c r="L188" s="325">
        <f t="shared" si="104"/>
        <v>217766.06328460987</v>
      </c>
      <c r="M188" s="325">
        <f t="shared" si="104"/>
        <v>215078.24559145246</v>
      </c>
      <c r="N188" s="325">
        <f t="shared" si="104"/>
        <v>212538.25787141873</v>
      </c>
      <c r="O188" s="325">
        <f t="shared" si="104"/>
        <v>210137.96947598684</v>
      </c>
      <c r="P188" s="325">
        <f t="shared" si="104"/>
        <v>207869.69694230371</v>
      </c>
      <c r="Q188" s="325">
        <f t="shared" si="104"/>
        <v>205726.17939797317</v>
      </c>
      <c r="R188" s="325">
        <f t="shared" si="104"/>
        <v>203700.55531858077</v>
      </c>
      <c r="S188" s="325">
        <f t="shared" si="104"/>
        <v>201786.34056355499</v>
      </c>
      <c r="T188" s="325">
        <f t="shared" si="104"/>
        <v>199977.4076200556</v>
      </c>
      <c r="U188" s="325">
        <f t="shared" si="104"/>
        <v>198267.96598844868</v>
      </c>
      <c r="V188" s="325">
        <f t="shared" si="104"/>
        <v>196652.54364658016</v>
      </c>
      <c r="W188" s="325">
        <f t="shared" si="104"/>
        <v>195125.96953351441</v>
      </c>
      <c r="X188" s="325">
        <f t="shared" si="104"/>
        <v>193683.35699666728</v>
      </c>
      <c r="Y188" s="325">
        <f t="shared" si="104"/>
        <v>192320.08814934667</v>
      </c>
      <c r="Z188" s="325">
        <f t="shared" si="104"/>
        <v>191031.79908862876</v>
      </c>
      <c r="AA188" s="325">
        <f t="shared" si="104"/>
        <v>189814.36592625035</v>
      </c>
      <c r="AB188" s="325">
        <f t="shared" si="104"/>
        <v>188663.89158780273</v>
      </c>
      <c r="AC188" s="325">
        <f t="shared" si="104"/>
        <v>187576.69333796971</v>
      </c>
      <c r="AD188" s="326">
        <f t="shared" si="104"/>
        <v>186549.2909918775</v>
      </c>
      <c r="AE188" s="971"/>
      <c r="AF188" s="1502"/>
      <c r="AG188" s="508" t="s">
        <v>1225</v>
      </c>
      <c r="AH188" s="486"/>
      <c r="AI188" s="486"/>
      <c r="AJ188" s="487"/>
      <c r="AK188" s="220">
        <v>0</v>
      </c>
      <c r="AL188" s="272">
        <f>AL$135*INDEX('DEFAULT DATA'!$AHW$9:$AID$41,START!$C$3,7)*INDEX('DEFAULT DATA'!$VD$9:$VJ$41,START!$C$3,7)/1000000</f>
        <v>0</v>
      </c>
      <c r="AM188" s="272">
        <f>AM$135*INDEX('DEFAULT DATA'!$AHW$9:$AID$41,START!$C$3,7)*INDEX('DEFAULT DATA'!$VD$9:$VJ$41,START!$C$3,7)/1000000</f>
        <v>0</v>
      </c>
      <c r="AN188" s="272">
        <f>AN$135*INDEX('DEFAULT DATA'!$AHW$9:$AID$41,START!$C$3,7)*INDEX('DEFAULT DATA'!$VD$9:$VJ$41,START!$C$3,7)/1000000</f>
        <v>0</v>
      </c>
      <c r="AO188" s="272">
        <f>AO$135*INDEX('DEFAULT DATA'!$AHW$9:$AID$41,START!$C$3,7)*INDEX('DEFAULT DATA'!$VD$9:$VJ$41,START!$C$3,7)/1000000</f>
        <v>0</v>
      </c>
      <c r="AP188" s="272">
        <f>AP$135*INDEX('DEFAULT DATA'!$AHW$9:$AID$41,START!$C$3,7)*INDEX('DEFAULT DATA'!$VD$9:$VJ$41,START!$C$3,7)/1000000</f>
        <v>0</v>
      </c>
      <c r="AQ188" s="272">
        <f>AQ$135*INDEX('DEFAULT DATA'!$AHW$9:$AID$41,START!$C$3,7)*INDEX('DEFAULT DATA'!$VD$9:$VJ$41,START!$C$3,7)/1000000</f>
        <v>0</v>
      </c>
      <c r="AR188" s="272">
        <f>AR$135*INDEX('DEFAULT DATA'!$AHW$9:$AID$41,START!$C$3,7)*INDEX('DEFAULT DATA'!$VD$9:$VJ$41,START!$C$3,7)/1000000</f>
        <v>0</v>
      </c>
      <c r="AS188" s="272">
        <f>AS$135*INDEX('DEFAULT DATA'!$AHW$9:$AID$41,START!$C$3,7)*INDEX('DEFAULT DATA'!$VD$9:$VJ$41,START!$C$3,7)/1000000</f>
        <v>0</v>
      </c>
      <c r="AT188" s="272">
        <f>AT$135*INDEX('DEFAULT DATA'!$AHW$9:$AID$41,START!$C$3,7)*INDEX('DEFAULT DATA'!$VD$9:$VJ$41,START!$C$3,7)/1000000</f>
        <v>0</v>
      </c>
      <c r="AU188" s="272">
        <f>AU$135*INDEX('DEFAULT DATA'!$AHW$9:$AID$41,START!$C$3,7)*INDEX('DEFAULT DATA'!$VD$9:$VJ$41,START!$C$3,7)/1000000</f>
        <v>0</v>
      </c>
      <c r="AV188" s="272">
        <f>AV$135*INDEX('DEFAULT DATA'!$AHW$9:$AID$41,START!$C$3,7)*INDEX('DEFAULT DATA'!$VD$9:$VJ$41,START!$C$3,7)/1000000</f>
        <v>0</v>
      </c>
      <c r="AW188" s="272">
        <f>AW$135*INDEX('DEFAULT DATA'!$AHW$9:$AID$41,START!$C$3,7)*INDEX('DEFAULT DATA'!$VD$9:$VJ$41,START!$C$3,7)/1000000</f>
        <v>0</v>
      </c>
      <c r="AX188" s="272">
        <f>AX$135*INDEX('DEFAULT DATA'!$AHW$9:$AID$41,START!$C$3,7)*INDEX('DEFAULT DATA'!$VD$9:$VJ$41,START!$C$3,7)/1000000</f>
        <v>0</v>
      </c>
      <c r="AY188" s="272">
        <f>AY$135*INDEX('DEFAULT DATA'!$AHW$9:$AID$41,START!$C$3,7)*INDEX('DEFAULT DATA'!$VD$9:$VJ$41,START!$C$3,7)/1000000</f>
        <v>0</v>
      </c>
      <c r="AZ188" s="272">
        <f>AZ$135*INDEX('DEFAULT DATA'!$AHW$9:$AID$41,START!$C$3,7)*INDEX('DEFAULT DATA'!$VD$9:$VJ$41,START!$C$3,7)/1000000</f>
        <v>0</v>
      </c>
      <c r="BA188" s="272">
        <f>BA$135*INDEX('DEFAULT DATA'!$AHW$9:$AID$41,START!$C$3,7)*INDEX('DEFAULT DATA'!$VD$9:$VJ$41,START!$C$3,7)/1000000</f>
        <v>0</v>
      </c>
      <c r="BB188" s="272">
        <f>BB$135*INDEX('DEFAULT DATA'!$AHW$9:$AID$41,START!$C$3,7)*INDEX('DEFAULT DATA'!$VD$9:$VJ$41,START!$C$3,7)/1000000</f>
        <v>0</v>
      </c>
      <c r="BC188" s="272">
        <f>BC$135*INDEX('DEFAULT DATA'!$AHW$9:$AID$41,START!$C$3,7)*INDEX('DEFAULT DATA'!$VD$9:$VJ$41,START!$C$3,7)/1000000</f>
        <v>0</v>
      </c>
      <c r="BD188" s="272">
        <f>BD$135*INDEX('DEFAULT DATA'!$AHW$9:$AID$41,START!$C$3,7)*INDEX('DEFAULT DATA'!$VD$9:$VJ$41,START!$C$3,7)/1000000</f>
        <v>0</v>
      </c>
      <c r="BE188" s="272">
        <f>BE$135*INDEX('DEFAULT DATA'!$AHW$9:$AID$41,START!$C$3,7)*INDEX('DEFAULT DATA'!$VD$9:$VJ$41,START!$C$3,7)/1000000</f>
        <v>0</v>
      </c>
      <c r="BF188" s="272">
        <f>BF$135*INDEX('DEFAULT DATA'!$AHW$9:$AID$41,START!$C$3,7)*INDEX('DEFAULT DATA'!$VD$9:$VJ$41,START!$C$3,7)/1000000</f>
        <v>0</v>
      </c>
      <c r="BG188" s="272">
        <f>BG$135*INDEX('DEFAULT DATA'!$AHW$9:$AID$41,START!$C$3,7)*INDEX('DEFAULT DATA'!$VD$9:$VJ$41,START!$C$3,7)/1000000</f>
        <v>0</v>
      </c>
      <c r="BH188" s="272">
        <f>BH$135*INDEX('DEFAULT DATA'!$AHW$9:$AID$41,START!$C$3,7)*INDEX('DEFAULT DATA'!$VD$9:$VJ$41,START!$C$3,7)/1000000</f>
        <v>0</v>
      </c>
      <c r="BI188" s="272">
        <f>BI$135*INDEX('DEFAULT DATA'!$AHW$9:$AID$41,START!$C$3,7)*INDEX('DEFAULT DATA'!$VD$9:$VJ$41,START!$C$3,7)/1000000</f>
        <v>0</v>
      </c>
      <c r="BJ188" s="272">
        <f>BJ$135*INDEX('DEFAULT DATA'!$AHW$9:$AID$41,START!$C$3,7)*INDEX('DEFAULT DATA'!$VD$9:$VJ$41,START!$C$3,7)/1000000</f>
        <v>0</v>
      </c>
      <c r="BK188" s="272">
        <f>BK$135*INDEX('DEFAULT DATA'!$AHW$9:$AID$41,START!$C$3,7)*INDEX('DEFAULT DATA'!$VD$9:$VJ$41,START!$C$3,7)/1000000</f>
        <v>0</v>
      </c>
      <c r="BL188" s="272">
        <f>BL$135*INDEX('DEFAULT DATA'!$AHW$9:$AID$41,START!$C$3,7)*INDEX('DEFAULT DATA'!$VD$9:$VJ$41,START!$C$3,7)/1000000</f>
        <v>0</v>
      </c>
      <c r="BM188" s="272">
        <f>BM$135*INDEX('DEFAULT DATA'!$AHW$9:$AID$41,START!$C$3,7)*INDEX('DEFAULT DATA'!$VD$9:$VJ$41,START!$C$3,7)/1000000</f>
        <v>0</v>
      </c>
      <c r="BN188" s="272">
        <f>BN$135*INDEX('DEFAULT DATA'!$AHW$9:$AID$41,START!$C$3,7)*INDEX('DEFAULT DATA'!$VD$9:$VJ$41,START!$C$3,7)/1000000</f>
        <v>0</v>
      </c>
      <c r="BP188" s="544" t="str">
        <f t="shared" si="77"/>
        <v>Renewable</v>
      </c>
      <c r="BQ188" s="545" t="s">
        <v>1849</v>
      </c>
      <c r="BR188" s="546"/>
      <c r="BS188" s="546"/>
      <c r="BT188" s="546"/>
      <c r="BU188" s="546"/>
      <c r="BV188" s="546"/>
      <c r="BW188" s="546"/>
      <c r="BX188" s="546"/>
      <c r="BY188" s="546"/>
      <c r="BZ188" s="546"/>
      <c r="CA188" s="546"/>
      <c r="CB188" s="546"/>
      <c r="CC188" s="546"/>
      <c r="CD188" s="546"/>
      <c r="CE188" s="546"/>
      <c r="CF188" s="546"/>
      <c r="CG188" s="547"/>
      <c r="CH188" s="543" t="s">
        <v>1805</v>
      </c>
      <c r="CI188" s="543" t="s">
        <v>1625</v>
      </c>
    </row>
    <row r="189" spans="1:87" ht="20.100000000000001" customHeight="1" thickBot="1">
      <c r="A189" s="28"/>
      <c r="B189" s="971"/>
      <c r="C189" s="971"/>
      <c r="D189" s="971"/>
      <c r="E189" s="971"/>
      <c r="F189" s="971"/>
      <c r="G189" s="971"/>
      <c r="H189" s="971"/>
      <c r="I189" s="971"/>
      <c r="J189" s="971"/>
      <c r="K189" s="971"/>
      <c r="L189" s="971"/>
      <c r="M189" s="968"/>
      <c r="N189" s="971"/>
      <c r="O189" s="971"/>
      <c r="P189" s="971"/>
      <c r="Q189" s="971"/>
      <c r="R189" s="971"/>
      <c r="S189" s="971"/>
      <c r="T189" s="971"/>
      <c r="U189" s="971"/>
      <c r="V189" s="971"/>
      <c r="W189" s="971"/>
      <c r="X189" s="971"/>
      <c r="Y189" s="971"/>
      <c r="Z189" s="971"/>
      <c r="AA189" s="971"/>
      <c r="AB189" s="971"/>
      <c r="AC189" s="971"/>
      <c r="AD189" s="971"/>
      <c r="AE189" s="971"/>
      <c r="AF189" s="1503"/>
      <c r="AG189" s="498" t="s">
        <v>1226</v>
      </c>
      <c r="AH189" s="499"/>
      <c r="AI189" s="499"/>
      <c r="AJ189" s="340"/>
      <c r="AK189" s="320">
        <v>0</v>
      </c>
      <c r="AL189" s="325">
        <f>AL$135*INDEX('DEFAULT DATA'!$AHW$9:$AID$41,START!$C$3,8)*BUILDINGS!AL6/1000000</f>
        <v>0</v>
      </c>
      <c r="AM189" s="325">
        <f>AM$135*INDEX('DEFAULT DATA'!$AHW$9:$AID$41,START!$C$3,8)*BUILDINGS!AM6/1000000</f>
        <v>0</v>
      </c>
      <c r="AN189" s="325">
        <f>AN$135*INDEX('DEFAULT DATA'!$AHW$9:$AID$41,START!$C$3,8)*BUILDINGS!AN6/1000000</f>
        <v>0</v>
      </c>
      <c r="AO189" s="325">
        <f>AO$135*INDEX('DEFAULT DATA'!$AHW$9:$AID$41,START!$C$3,8)*BUILDINGS!AO6/1000000</f>
        <v>0</v>
      </c>
      <c r="AP189" s="325">
        <f>AP$135*INDEX('DEFAULT DATA'!$AHW$9:$AID$41,START!$C$3,8)*BUILDINGS!AP6/1000000</f>
        <v>0</v>
      </c>
      <c r="AQ189" s="325">
        <f>AQ$135*INDEX('DEFAULT DATA'!$AHW$9:$AID$41,START!$C$3,8)*BUILDINGS!AQ6/1000000</f>
        <v>0</v>
      </c>
      <c r="AR189" s="325">
        <f>AR$135*INDEX('DEFAULT DATA'!$AHW$9:$AID$41,START!$C$3,8)*BUILDINGS!AR6/1000000</f>
        <v>0</v>
      </c>
      <c r="AS189" s="325">
        <f>AS$135*INDEX('DEFAULT DATA'!$AHW$9:$AID$41,START!$C$3,8)*BUILDINGS!AS6/1000000</f>
        <v>0</v>
      </c>
      <c r="AT189" s="325">
        <f>AT$135*INDEX('DEFAULT DATA'!$AHW$9:$AID$41,START!$C$3,8)*BUILDINGS!AT6/1000000</f>
        <v>0</v>
      </c>
      <c r="AU189" s="325">
        <f>AU$135*INDEX('DEFAULT DATA'!$AHW$9:$AID$41,START!$C$3,8)*BUILDINGS!AU6/1000000</f>
        <v>0</v>
      </c>
      <c r="AV189" s="325">
        <f>AV$135*INDEX('DEFAULT DATA'!$AHW$9:$AID$41,START!$C$3,8)*BUILDINGS!AV6/1000000</f>
        <v>0</v>
      </c>
      <c r="AW189" s="325">
        <f>AW$135*INDEX('DEFAULT DATA'!$AHW$9:$AID$41,START!$C$3,8)*BUILDINGS!AW6/1000000</f>
        <v>0</v>
      </c>
      <c r="AX189" s="325">
        <f>AX$135*INDEX('DEFAULT DATA'!$AHW$9:$AID$41,START!$C$3,8)*BUILDINGS!AX6/1000000</f>
        <v>0</v>
      </c>
      <c r="AY189" s="325">
        <f>AY$135*INDEX('DEFAULT DATA'!$AHW$9:$AID$41,START!$C$3,8)*BUILDINGS!AY6/1000000</f>
        <v>0</v>
      </c>
      <c r="AZ189" s="325">
        <f>AZ$135*INDEX('DEFAULT DATA'!$AHW$9:$AID$41,START!$C$3,8)*BUILDINGS!AZ6/1000000</f>
        <v>0</v>
      </c>
      <c r="BA189" s="325">
        <f>BA$135*INDEX('DEFAULT DATA'!$AHW$9:$AID$41,START!$C$3,8)*BUILDINGS!BA6/1000000</f>
        <v>0</v>
      </c>
      <c r="BB189" s="325">
        <f>BB$135*INDEX('DEFAULT DATA'!$AHW$9:$AID$41,START!$C$3,8)*BUILDINGS!BB6/1000000</f>
        <v>0</v>
      </c>
      <c r="BC189" s="325">
        <f>BC$135*INDEX('DEFAULT DATA'!$AHW$9:$AID$41,START!$C$3,8)*BUILDINGS!BC6/1000000</f>
        <v>0</v>
      </c>
      <c r="BD189" s="325">
        <f>BD$135*INDEX('DEFAULT DATA'!$AHW$9:$AID$41,START!$C$3,8)*BUILDINGS!BD6/1000000</f>
        <v>0</v>
      </c>
      <c r="BE189" s="325">
        <f>BE$135*INDEX('DEFAULT DATA'!$AHW$9:$AID$41,START!$C$3,8)*BUILDINGS!BE6/1000000</f>
        <v>0</v>
      </c>
      <c r="BF189" s="325">
        <f>BF$135*INDEX('DEFAULT DATA'!$AHW$9:$AID$41,START!$C$3,8)*BUILDINGS!BF6/1000000</f>
        <v>0</v>
      </c>
      <c r="BG189" s="325">
        <f>BG$135*INDEX('DEFAULT DATA'!$AHW$9:$AID$41,START!$C$3,8)*BUILDINGS!BG6/1000000</f>
        <v>0</v>
      </c>
      <c r="BH189" s="325">
        <f>BH$135*INDEX('DEFAULT DATA'!$AHW$9:$AID$41,START!$C$3,8)*BUILDINGS!BH6/1000000</f>
        <v>0</v>
      </c>
      <c r="BI189" s="325">
        <f>BI$135*INDEX('DEFAULT DATA'!$AHW$9:$AID$41,START!$C$3,8)*BUILDINGS!BI6/1000000</f>
        <v>0</v>
      </c>
      <c r="BJ189" s="325">
        <f>BJ$135*INDEX('DEFAULT DATA'!$AHW$9:$AID$41,START!$C$3,8)*BUILDINGS!BJ6/1000000</f>
        <v>0</v>
      </c>
      <c r="BK189" s="325">
        <f>BK$135*INDEX('DEFAULT DATA'!$AHW$9:$AID$41,START!$C$3,8)*BUILDINGS!BK6/1000000</f>
        <v>0</v>
      </c>
      <c r="BL189" s="325">
        <f>BL$135*INDEX('DEFAULT DATA'!$AHW$9:$AID$41,START!$C$3,8)*BUILDINGS!BL6/1000000</f>
        <v>0</v>
      </c>
      <c r="BM189" s="325">
        <f>BM$135*INDEX('DEFAULT DATA'!$AHW$9:$AID$41,START!$C$3,8)*BUILDINGS!BM6/1000000</f>
        <v>0</v>
      </c>
      <c r="BN189" s="325">
        <f>BN$135*INDEX('DEFAULT DATA'!$AHW$9:$AID$41,START!$C$3,8)*BUILDINGS!BN6/1000000</f>
        <v>0</v>
      </c>
      <c r="BP189" s="548" t="str">
        <f t="shared" si="77"/>
        <v>Heat</v>
      </c>
      <c r="BQ189" s="549" t="s">
        <v>1850</v>
      </c>
      <c r="BR189" s="550"/>
      <c r="BS189" s="550"/>
      <c r="BT189" s="550"/>
      <c r="BU189" s="550"/>
      <c r="BV189" s="550"/>
      <c r="BW189" s="550"/>
      <c r="BX189" s="550"/>
      <c r="BY189" s="550"/>
      <c r="BZ189" s="550"/>
      <c r="CA189" s="550"/>
      <c r="CB189" s="550"/>
      <c r="CC189" s="550"/>
      <c r="CD189" s="550"/>
      <c r="CE189" s="550"/>
      <c r="CF189" s="550"/>
      <c r="CG189" s="551"/>
      <c r="CH189" s="543" t="s">
        <v>1806</v>
      </c>
      <c r="CI189" s="543" t="s">
        <v>1626</v>
      </c>
    </row>
    <row r="190" spans="1:87" ht="20.100000000000001" customHeight="1">
      <c r="A190" s="28"/>
      <c r="B190" s="971"/>
      <c r="C190" s="971"/>
      <c r="D190" s="971"/>
      <c r="E190" s="971"/>
      <c r="F190" s="971"/>
      <c r="G190" s="971"/>
      <c r="H190" s="971"/>
      <c r="I190" s="971"/>
      <c r="J190" s="971"/>
      <c r="K190" s="971"/>
      <c r="L190" s="971"/>
      <c r="M190" s="968"/>
      <c r="N190" s="971"/>
      <c r="O190" s="971"/>
      <c r="P190" s="971"/>
      <c r="Q190" s="971"/>
      <c r="R190" s="971"/>
      <c r="S190" s="971"/>
      <c r="T190" s="971"/>
      <c r="U190" s="971"/>
      <c r="V190" s="971"/>
      <c r="W190" s="971"/>
      <c r="X190" s="971"/>
      <c r="Y190" s="971"/>
      <c r="Z190" s="971"/>
      <c r="AA190" s="971"/>
      <c r="AB190" s="971"/>
      <c r="AC190" s="971"/>
      <c r="AD190" s="971"/>
      <c r="AE190" s="971"/>
      <c r="AF190" s="332"/>
      <c r="AG190" s="505" t="s">
        <v>310</v>
      </c>
      <c r="AH190" s="506"/>
      <c r="AI190" s="506"/>
      <c r="AJ190" s="507"/>
      <c r="AK190" s="316">
        <f>SUM(AK182:AK189)</f>
        <v>0</v>
      </c>
      <c r="AL190" s="327">
        <f t="shared" ref="AL190" si="105">SUM(AL182:AL189)</f>
        <v>0</v>
      </c>
      <c r="AM190" s="327">
        <f t="shared" ref="AM190:BN190" si="106">SUM(AM182:AM189)</f>
        <v>0</v>
      </c>
      <c r="AN190" s="327">
        <f t="shared" si="106"/>
        <v>0</v>
      </c>
      <c r="AO190" s="327">
        <f t="shared" si="106"/>
        <v>0</v>
      </c>
      <c r="AP190" s="327">
        <f t="shared" si="106"/>
        <v>0</v>
      </c>
      <c r="AQ190" s="327">
        <f t="shared" si="106"/>
        <v>0</v>
      </c>
      <c r="AR190" s="327">
        <f t="shared" si="106"/>
        <v>0</v>
      </c>
      <c r="AS190" s="327">
        <f t="shared" si="106"/>
        <v>0</v>
      </c>
      <c r="AT190" s="327">
        <f t="shared" si="106"/>
        <v>0</v>
      </c>
      <c r="AU190" s="327">
        <f t="shared" si="106"/>
        <v>0</v>
      </c>
      <c r="AV190" s="327">
        <f t="shared" si="106"/>
        <v>0</v>
      </c>
      <c r="AW190" s="327">
        <f t="shared" si="106"/>
        <v>0</v>
      </c>
      <c r="AX190" s="327">
        <f t="shared" si="106"/>
        <v>0</v>
      </c>
      <c r="AY190" s="327">
        <f t="shared" si="106"/>
        <v>0</v>
      </c>
      <c r="AZ190" s="327">
        <f t="shared" si="106"/>
        <v>0</v>
      </c>
      <c r="BA190" s="327">
        <f t="shared" si="106"/>
        <v>0</v>
      </c>
      <c r="BB190" s="327">
        <f t="shared" si="106"/>
        <v>0</v>
      </c>
      <c r="BC190" s="327">
        <f t="shared" si="106"/>
        <v>0</v>
      </c>
      <c r="BD190" s="327">
        <f t="shared" si="106"/>
        <v>0</v>
      </c>
      <c r="BE190" s="327">
        <f t="shared" si="106"/>
        <v>0</v>
      </c>
      <c r="BF190" s="327">
        <f t="shared" si="106"/>
        <v>0</v>
      </c>
      <c r="BG190" s="327">
        <f t="shared" si="106"/>
        <v>0</v>
      </c>
      <c r="BH190" s="327">
        <f t="shared" si="106"/>
        <v>0</v>
      </c>
      <c r="BI190" s="327">
        <f t="shared" si="106"/>
        <v>0</v>
      </c>
      <c r="BJ190" s="327">
        <f t="shared" si="106"/>
        <v>0</v>
      </c>
      <c r="BK190" s="327">
        <f t="shared" si="106"/>
        <v>0</v>
      </c>
      <c r="BL190" s="327">
        <f t="shared" si="106"/>
        <v>0</v>
      </c>
      <c r="BM190" s="327">
        <f t="shared" si="106"/>
        <v>0</v>
      </c>
      <c r="BN190" s="327">
        <f t="shared" si="106"/>
        <v>0</v>
      </c>
      <c r="BQ190" s="17"/>
    </row>
    <row r="191" spans="1:87" ht="20.100000000000001" customHeight="1">
      <c r="A191" s="28"/>
      <c r="B191" s="971"/>
      <c r="C191" s="971"/>
      <c r="D191" s="971"/>
      <c r="E191" s="971"/>
      <c r="F191" s="971"/>
      <c r="G191" s="971"/>
      <c r="H191" s="971"/>
      <c r="I191" s="971"/>
      <c r="J191" s="971"/>
      <c r="K191" s="971"/>
      <c r="L191" s="971"/>
      <c r="M191" s="968"/>
      <c r="N191" s="971"/>
      <c r="O191" s="971"/>
      <c r="P191" s="971"/>
      <c r="Q191" s="971"/>
      <c r="R191" s="971"/>
      <c r="S191" s="971"/>
      <c r="T191" s="971"/>
      <c r="U191" s="971"/>
      <c r="V191" s="971"/>
      <c r="W191" s="971"/>
      <c r="X191" s="971"/>
      <c r="Y191" s="971"/>
      <c r="Z191" s="971"/>
      <c r="AA191" s="971"/>
      <c r="AB191" s="971"/>
      <c r="AC191" s="971"/>
      <c r="AD191" s="971"/>
      <c r="AE191" s="971"/>
      <c r="BQ191" s="17"/>
    </row>
    <row r="192" spans="1:87" ht="20.100000000000001" customHeight="1">
      <c r="A192" s="28"/>
      <c r="B192" s="971"/>
      <c r="C192" s="971"/>
      <c r="D192" s="971"/>
      <c r="E192" s="971"/>
      <c r="F192" s="971"/>
      <c r="G192" s="971"/>
      <c r="H192" s="971"/>
      <c r="I192" s="971"/>
      <c r="J192" s="971"/>
      <c r="K192" s="971"/>
      <c r="L192" s="971"/>
      <c r="M192" s="968"/>
      <c r="N192" s="971"/>
      <c r="O192" s="971"/>
      <c r="P192" s="971"/>
      <c r="Q192" s="971"/>
      <c r="R192" s="971"/>
      <c r="S192" s="971"/>
      <c r="T192" s="971"/>
      <c r="U192" s="971"/>
      <c r="V192" s="971"/>
      <c r="W192" s="971"/>
      <c r="X192" s="971"/>
      <c r="Y192" s="971"/>
      <c r="Z192" s="971"/>
      <c r="AA192" s="971"/>
      <c r="AB192" s="971"/>
      <c r="AC192" s="971"/>
      <c r="AD192" s="971"/>
      <c r="AE192" s="971"/>
      <c r="BQ192" s="17"/>
      <c r="CH192" s="1560" t="s">
        <v>1767</v>
      </c>
      <c r="CI192" s="392"/>
    </row>
    <row r="193" spans="1:87" ht="20.100000000000001" customHeight="1">
      <c r="A193" s="28"/>
      <c r="B193" s="971"/>
      <c r="C193" s="971"/>
      <c r="D193" s="971"/>
      <c r="E193" s="971"/>
      <c r="F193" s="971"/>
      <c r="G193" s="971"/>
      <c r="H193" s="971"/>
      <c r="I193" s="971"/>
      <c r="J193" s="971"/>
      <c r="K193" s="971"/>
      <c r="L193" s="971"/>
      <c r="M193" s="968"/>
      <c r="N193" s="971"/>
      <c r="O193" s="971"/>
      <c r="P193" s="971"/>
      <c r="Q193" s="971"/>
      <c r="R193" s="971"/>
      <c r="S193" s="971"/>
      <c r="T193" s="971"/>
      <c r="U193" s="971"/>
      <c r="V193" s="971"/>
      <c r="W193" s="971"/>
      <c r="X193" s="971"/>
      <c r="Y193" s="971"/>
      <c r="Z193" s="971"/>
      <c r="AA193" s="971"/>
      <c r="AB193" s="971"/>
      <c r="AC193" s="971"/>
      <c r="AD193" s="971"/>
      <c r="AE193" s="971"/>
      <c r="AF193" s="271" t="s">
        <v>1409</v>
      </c>
      <c r="BQ193" s="17"/>
      <c r="CH193" s="1560"/>
      <c r="CI193" s="392"/>
    </row>
    <row r="194" spans="1:87" ht="20.100000000000001" customHeight="1">
      <c r="A194" s="28"/>
      <c r="B194" s="971"/>
      <c r="C194" s="971"/>
      <c r="D194" s="971"/>
      <c r="E194" s="971"/>
      <c r="F194" s="971"/>
      <c r="G194" s="971"/>
      <c r="H194" s="971"/>
      <c r="I194" s="971"/>
      <c r="J194" s="971"/>
      <c r="K194" s="971"/>
      <c r="L194" s="971"/>
      <c r="M194" s="968"/>
      <c r="N194" s="971"/>
      <c r="O194" s="971"/>
      <c r="P194" s="971"/>
      <c r="Q194" s="971"/>
      <c r="R194" s="971"/>
      <c r="S194" s="971"/>
      <c r="T194" s="971"/>
      <c r="U194" s="971"/>
      <c r="V194" s="971"/>
      <c r="W194" s="971"/>
      <c r="X194" s="971"/>
      <c r="Y194" s="971"/>
      <c r="Z194" s="971"/>
      <c r="AA194" s="971"/>
      <c r="AB194" s="971"/>
      <c r="AC194" s="971"/>
      <c r="AD194" s="971"/>
      <c r="AE194" s="971"/>
      <c r="AF194" s="269" t="s">
        <v>1380</v>
      </c>
      <c r="AG194" s="508" t="s">
        <v>1363</v>
      </c>
      <c r="AH194" s="486"/>
      <c r="AI194" s="486"/>
      <c r="AJ194" s="487"/>
      <c r="AK194" s="262">
        <v>2021</v>
      </c>
      <c r="AL194" s="262">
        <f>AK194+1</f>
        <v>2022</v>
      </c>
      <c r="AM194" s="262">
        <f t="shared" ref="AM194:BN194" si="107">AL194+1</f>
        <v>2023</v>
      </c>
      <c r="AN194" s="262">
        <f t="shared" si="107"/>
        <v>2024</v>
      </c>
      <c r="AO194" s="262">
        <f t="shared" si="107"/>
        <v>2025</v>
      </c>
      <c r="AP194" s="262">
        <f t="shared" si="107"/>
        <v>2026</v>
      </c>
      <c r="AQ194" s="262">
        <f t="shared" si="107"/>
        <v>2027</v>
      </c>
      <c r="AR194" s="262">
        <f t="shared" si="107"/>
        <v>2028</v>
      </c>
      <c r="AS194" s="262">
        <f t="shared" si="107"/>
        <v>2029</v>
      </c>
      <c r="AT194" s="262">
        <f t="shared" si="107"/>
        <v>2030</v>
      </c>
      <c r="AU194" s="262">
        <f t="shared" si="107"/>
        <v>2031</v>
      </c>
      <c r="AV194" s="262">
        <f t="shared" si="107"/>
        <v>2032</v>
      </c>
      <c r="AW194" s="262">
        <f t="shared" si="107"/>
        <v>2033</v>
      </c>
      <c r="AX194" s="262">
        <f t="shared" si="107"/>
        <v>2034</v>
      </c>
      <c r="AY194" s="262">
        <f t="shared" si="107"/>
        <v>2035</v>
      </c>
      <c r="AZ194" s="262">
        <f t="shared" si="107"/>
        <v>2036</v>
      </c>
      <c r="BA194" s="262">
        <f t="shared" si="107"/>
        <v>2037</v>
      </c>
      <c r="BB194" s="262">
        <f t="shared" si="107"/>
        <v>2038</v>
      </c>
      <c r="BC194" s="262">
        <f t="shared" si="107"/>
        <v>2039</v>
      </c>
      <c r="BD194" s="262">
        <f t="shared" si="107"/>
        <v>2040</v>
      </c>
      <c r="BE194" s="262">
        <f t="shared" si="107"/>
        <v>2041</v>
      </c>
      <c r="BF194" s="262">
        <f t="shared" si="107"/>
        <v>2042</v>
      </c>
      <c r="BG194" s="262">
        <f t="shared" si="107"/>
        <v>2043</v>
      </c>
      <c r="BH194" s="262">
        <f t="shared" si="107"/>
        <v>2044</v>
      </c>
      <c r="BI194" s="262">
        <f t="shared" si="107"/>
        <v>2045</v>
      </c>
      <c r="BJ194" s="262">
        <f t="shared" si="107"/>
        <v>2046</v>
      </c>
      <c r="BK194" s="262">
        <f t="shared" si="107"/>
        <v>2047</v>
      </c>
      <c r="BL194" s="262">
        <f t="shared" si="107"/>
        <v>2048</v>
      </c>
      <c r="BM194" s="262">
        <f t="shared" si="107"/>
        <v>2049</v>
      </c>
      <c r="BN194" s="262">
        <f t="shared" si="107"/>
        <v>2050</v>
      </c>
      <c r="BP194" s="17" t="s">
        <v>1782</v>
      </c>
      <c r="BQ194" s="17"/>
      <c r="CH194" s="395" t="s">
        <v>1769</v>
      </c>
      <c r="CI194" s="392" t="s">
        <v>1598</v>
      </c>
    </row>
    <row r="195" spans="1:87" ht="20.100000000000001" customHeight="1">
      <c r="A195" s="28"/>
      <c r="B195" s="971"/>
      <c r="C195" s="971"/>
      <c r="D195" s="971"/>
      <c r="E195" s="971"/>
      <c r="F195" s="971"/>
      <c r="G195" s="971"/>
      <c r="H195" s="971"/>
      <c r="I195" s="971"/>
      <c r="J195" s="971"/>
      <c r="K195" s="971"/>
      <c r="L195" s="971"/>
      <c r="M195" s="968"/>
      <c r="N195" s="971"/>
      <c r="O195" s="971"/>
      <c r="P195" s="971"/>
      <c r="Q195" s="971"/>
      <c r="R195" s="971"/>
      <c r="S195" s="971"/>
      <c r="T195" s="971"/>
      <c r="U195" s="971"/>
      <c r="V195" s="971"/>
      <c r="W195" s="971"/>
      <c r="X195" s="971"/>
      <c r="Y195" s="971"/>
      <c r="Z195" s="971"/>
      <c r="AA195" s="971"/>
      <c r="AB195" s="971"/>
      <c r="AC195" s="971"/>
      <c r="AD195" s="971"/>
      <c r="AE195" s="971"/>
      <c r="AF195" s="1501" t="s">
        <v>1232</v>
      </c>
      <c r="AG195" s="508" t="s">
        <v>933</v>
      </c>
      <c r="AH195" s="486"/>
      <c r="AI195" s="486"/>
      <c r="AJ195" s="487"/>
      <c r="AK195" s="220">
        <v>0</v>
      </c>
      <c r="AL195" s="272">
        <f>AL$136*INDEX('DEFAULT DATA'!$AIE$9:$AIL$41,START!$C$3,1)*BUILDINGS!AL5/1000000</f>
        <v>0</v>
      </c>
      <c r="AM195" s="272">
        <f>AM$136*INDEX('DEFAULT DATA'!$AIE$9:$AIL$41,START!$C$3,1)*BUILDINGS!AM5/1000000</f>
        <v>0</v>
      </c>
      <c r="AN195" s="272">
        <f>AN$136*INDEX('DEFAULT DATA'!$AIE$9:$AIL$41,START!$C$3,1)*BUILDINGS!AN5/1000000</f>
        <v>0</v>
      </c>
      <c r="AO195" s="272">
        <f>AO$136*INDEX('DEFAULT DATA'!$AIE$9:$AIL$41,START!$C$3,1)*BUILDINGS!AO5/1000000</f>
        <v>0</v>
      </c>
      <c r="AP195" s="272">
        <f>AP$136*INDEX('DEFAULT DATA'!$AIE$9:$AIL$41,START!$C$3,1)*BUILDINGS!AP5/1000000</f>
        <v>0</v>
      </c>
      <c r="AQ195" s="272">
        <f>AQ$136*INDEX('DEFAULT DATA'!$AIE$9:$AIL$41,START!$C$3,1)*BUILDINGS!AQ5/1000000</f>
        <v>0</v>
      </c>
      <c r="AR195" s="272">
        <f>AR$136*INDEX('DEFAULT DATA'!$AIE$9:$AIL$41,START!$C$3,1)*BUILDINGS!AR5/1000000</f>
        <v>0</v>
      </c>
      <c r="AS195" s="272">
        <f>AS$136*INDEX('DEFAULT DATA'!$AIE$9:$AIL$41,START!$C$3,1)*BUILDINGS!AS5/1000000</f>
        <v>0</v>
      </c>
      <c r="AT195" s="272">
        <f>AT$136*INDEX('DEFAULT DATA'!$AIE$9:$AIL$41,START!$C$3,1)*BUILDINGS!AT5/1000000</f>
        <v>0</v>
      </c>
      <c r="AU195" s="272">
        <f>AU$136*INDEX('DEFAULT DATA'!$AIE$9:$AIL$41,START!$C$3,1)*BUILDINGS!AU5/1000000</f>
        <v>0</v>
      </c>
      <c r="AV195" s="272">
        <f>AV$136*INDEX('DEFAULT DATA'!$AIE$9:$AIL$41,START!$C$3,1)*BUILDINGS!AV5/1000000</f>
        <v>0</v>
      </c>
      <c r="AW195" s="272">
        <f>AW$136*INDEX('DEFAULT DATA'!$AIE$9:$AIL$41,START!$C$3,1)*BUILDINGS!AW5/1000000</f>
        <v>0</v>
      </c>
      <c r="AX195" s="272">
        <f>AX$136*INDEX('DEFAULT DATA'!$AIE$9:$AIL$41,START!$C$3,1)*BUILDINGS!AX5/1000000</f>
        <v>0</v>
      </c>
      <c r="AY195" s="272">
        <f>AY$136*INDEX('DEFAULT DATA'!$AIE$9:$AIL$41,START!$C$3,1)*BUILDINGS!AY5/1000000</f>
        <v>0</v>
      </c>
      <c r="AZ195" s="272">
        <f>AZ$136*INDEX('DEFAULT DATA'!$AIE$9:$AIL$41,START!$C$3,1)*BUILDINGS!AZ5/1000000</f>
        <v>0</v>
      </c>
      <c r="BA195" s="272">
        <f>BA$136*INDEX('DEFAULT DATA'!$AIE$9:$AIL$41,START!$C$3,1)*BUILDINGS!BA5/1000000</f>
        <v>0</v>
      </c>
      <c r="BB195" s="272">
        <f>BB$136*INDEX('DEFAULT DATA'!$AIE$9:$AIL$41,START!$C$3,1)*BUILDINGS!BB5/1000000</f>
        <v>0</v>
      </c>
      <c r="BC195" s="272">
        <f>BC$136*INDEX('DEFAULT DATA'!$AIE$9:$AIL$41,START!$C$3,1)*BUILDINGS!BC5/1000000</f>
        <v>0</v>
      </c>
      <c r="BD195" s="272">
        <f>BD$136*INDEX('DEFAULT DATA'!$AIE$9:$AIL$41,START!$C$3,1)*BUILDINGS!BD5/1000000</f>
        <v>0</v>
      </c>
      <c r="BE195" s="272">
        <f>BE$136*INDEX('DEFAULT DATA'!$AIE$9:$AIL$41,START!$C$3,1)*BUILDINGS!BE5/1000000</f>
        <v>0</v>
      </c>
      <c r="BF195" s="272">
        <f>BF$136*INDEX('DEFAULT DATA'!$AIE$9:$AIL$41,START!$C$3,1)*BUILDINGS!BF5/1000000</f>
        <v>0</v>
      </c>
      <c r="BG195" s="272">
        <f>BG$136*INDEX('DEFAULT DATA'!$AIE$9:$AIL$41,START!$C$3,1)*BUILDINGS!BG5/1000000</f>
        <v>0</v>
      </c>
      <c r="BH195" s="272">
        <f>BH$136*INDEX('DEFAULT DATA'!$AIE$9:$AIL$41,START!$C$3,1)*BUILDINGS!BH5/1000000</f>
        <v>0</v>
      </c>
      <c r="BI195" s="272">
        <f>BI$136*INDEX('DEFAULT DATA'!$AIE$9:$AIL$41,START!$C$3,1)*BUILDINGS!BI5/1000000</f>
        <v>0</v>
      </c>
      <c r="BJ195" s="272">
        <f>BJ$136*INDEX('DEFAULT DATA'!$AIE$9:$AIL$41,START!$C$3,1)*BUILDINGS!BJ5/1000000</f>
        <v>0</v>
      </c>
      <c r="BK195" s="272">
        <f>BK$136*INDEX('DEFAULT DATA'!$AIE$9:$AIL$41,START!$C$3,1)*BUILDINGS!BK5/1000000</f>
        <v>0</v>
      </c>
      <c r="BL195" s="272">
        <f>BL$136*INDEX('DEFAULT DATA'!$AIE$9:$AIL$41,START!$C$3,1)*BUILDINGS!BL5/1000000</f>
        <v>0</v>
      </c>
      <c r="BM195" s="272">
        <f>BM$136*INDEX('DEFAULT DATA'!$AIE$9:$AIL$41,START!$C$3,1)*BUILDINGS!BM5/1000000</f>
        <v>0</v>
      </c>
      <c r="BN195" s="272">
        <f>BN$136*INDEX('DEFAULT DATA'!$AIE$9:$AIL$41,START!$C$3,1)*BUILDINGS!BN5/1000000</f>
        <v>0</v>
      </c>
      <c r="BP195" s="539" t="str">
        <f>AG195</f>
        <v>Electricity</v>
      </c>
      <c r="BQ195" s="540" t="s">
        <v>1870</v>
      </c>
      <c r="BR195" s="541"/>
      <c r="BS195" s="541"/>
      <c r="BT195" s="541"/>
      <c r="BU195" s="541"/>
      <c r="BV195" s="541"/>
      <c r="BW195" s="541"/>
      <c r="BX195" s="541"/>
      <c r="BY195" s="541"/>
      <c r="BZ195" s="541"/>
      <c r="CA195" s="541"/>
      <c r="CB195" s="541"/>
      <c r="CC195" s="541"/>
      <c r="CD195" s="541"/>
      <c r="CE195" s="541"/>
      <c r="CF195" s="541"/>
      <c r="CG195" s="542"/>
      <c r="CH195" s="543" t="s">
        <v>1807</v>
      </c>
      <c r="CI195" s="543" t="s">
        <v>1599</v>
      </c>
    </row>
    <row r="196" spans="1:87" ht="20.100000000000001" customHeight="1">
      <c r="A196" s="28"/>
      <c r="B196" s="971"/>
      <c r="C196" s="971"/>
      <c r="D196" s="971"/>
      <c r="E196" s="971"/>
      <c r="F196" s="971"/>
      <c r="G196" s="971"/>
      <c r="H196" s="971"/>
      <c r="I196" s="971"/>
      <c r="J196" s="971"/>
      <c r="K196" s="971"/>
      <c r="L196" s="971"/>
      <c r="M196" s="968"/>
      <c r="N196" s="971"/>
      <c r="O196" s="971"/>
      <c r="P196" s="971"/>
      <c r="Q196" s="971"/>
      <c r="R196" s="971"/>
      <c r="S196" s="971"/>
      <c r="T196" s="971"/>
      <c r="U196" s="971"/>
      <c r="V196" s="971"/>
      <c r="W196" s="971"/>
      <c r="X196" s="971"/>
      <c r="Y196" s="971"/>
      <c r="Z196" s="971"/>
      <c r="AA196" s="971"/>
      <c r="AB196" s="971"/>
      <c r="AC196" s="971"/>
      <c r="AD196" s="971"/>
      <c r="AE196" s="971"/>
      <c r="AF196" s="1502"/>
      <c r="AG196" s="508" t="s">
        <v>1220</v>
      </c>
      <c r="AH196" s="486"/>
      <c r="AI196" s="486"/>
      <c r="AJ196" s="487"/>
      <c r="AK196" s="220">
        <v>0</v>
      </c>
      <c r="AL196" s="272">
        <f>AL$136*INDEX('DEFAULT DATA'!$AIE$9:$AIL$41,START!$C$3,2)*INDEX('DEFAULT DATA'!$VD$9:$VJ$41,START!$C$3,2)/1000000</f>
        <v>0</v>
      </c>
      <c r="AM196" s="272">
        <f>AM$136*INDEX('DEFAULT DATA'!$AIE$9:$AIL$41,START!$C$3,2)*INDEX('DEFAULT DATA'!$VD$9:$VJ$41,START!$C$3,2)/1000000</f>
        <v>0</v>
      </c>
      <c r="AN196" s="272">
        <f>AN$136*INDEX('DEFAULT DATA'!$AIE$9:$AIL$41,START!$C$3,2)*INDEX('DEFAULT DATA'!$VD$9:$VJ$41,START!$C$3,2)/1000000</f>
        <v>0</v>
      </c>
      <c r="AO196" s="272">
        <f>AO$136*INDEX('DEFAULT DATA'!$AIE$9:$AIL$41,START!$C$3,2)*INDEX('DEFAULT DATA'!$VD$9:$VJ$41,START!$C$3,2)/1000000</f>
        <v>0</v>
      </c>
      <c r="AP196" s="272">
        <f>AP$136*INDEX('DEFAULT DATA'!$AIE$9:$AIL$41,START!$C$3,2)*INDEX('DEFAULT DATA'!$VD$9:$VJ$41,START!$C$3,2)/1000000</f>
        <v>0</v>
      </c>
      <c r="AQ196" s="272">
        <f>AQ$136*INDEX('DEFAULT DATA'!$AIE$9:$AIL$41,START!$C$3,2)*INDEX('DEFAULT DATA'!$VD$9:$VJ$41,START!$C$3,2)/1000000</f>
        <v>0</v>
      </c>
      <c r="AR196" s="272">
        <f>AR$136*INDEX('DEFAULT DATA'!$AIE$9:$AIL$41,START!$C$3,2)*INDEX('DEFAULT DATA'!$VD$9:$VJ$41,START!$C$3,2)/1000000</f>
        <v>0</v>
      </c>
      <c r="AS196" s="272">
        <f>AS$136*INDEX('DEFAULT DATA'!$AIE$9:$AIL$41,START!$C$3,2)*INDEX('DEFAULT DATA'!$VD$9:$VJ$41,START!$C$3,2)/1000000</f>
        <v>0</v>
      </c>
      <c r="AT196" s="272">
        <f>AT$136*INDEX('DEFAULT DATA'!$AIE$9:$AIL$41,START!$C$3,2)*INDEX('DEFAULT DATA'!$VD$9:$VJ$41,START!$C$3,2)/1000000</f>
        <v>0</v>
      </c>
      <c r="AU196" s="272">
        <f>AU$136*INDEX('DEFAULT DATA'!$AIE$9:$AIL$41,START!$C$3,2)*INDEX('DEFAULT DATA'!$VD$9:$VJ$41,START!$C$3,2)/1000000</f>
        <v>0</v>
      </c>
      <c r="AV196" s="272">
        <f>AV$136*INDEX('DEFAULT DATA'!$AIE$9:$AIL$41,START!$C$3,2)*INDEX('DEFAULT DATA'!$VD$9:$VJ$41,START!$C$3,2)/1000000</f>
        <v>0</v>
      </c>
      <c r="AW196" s="272">
        <f>AW$136*INDEX('DEFAULT DATA'!$AIE$9:$AIL$41,START!$C$3,2)*INDEX('DEFAULT DATA'!$VD$9:$VJ$41,START!$C$3,2)/1000000</f>
        <v>0</v>
      </c>
      <c r="AX196" s="272">
        <f>AX$136*INDEX('DEFAULT DATA'!$AIE$9:$AIL$41,START!$C$3,2)*INDEX('DEFAULT DATA'!$VD$9:$VJ$41,START!$C$3,2)/1000000</f>
        <v>0</v>
      </c>
      <c r="AY196" s="272">
        <f>AY$136*INDEX('DEFAULT DATA'!$AIE$9:$AIL$41,START!$C$3,2)*INDEX('DEFAULT DATA'!$VD$9:$VJ$41,START!$C$3,2)/1000000</f>
        <v>0</v>
      </c>
      <c r="AZ196" s="272">
        <f>AZ$136*INDEX('DEFAULT DATA'!$AIE$9:$AIL$41,START!$C$3,2)*INDEX('DEFAULT DATA'!$VD$9:$VJ$41,START!$C$3,2)/1000000</f>
        <v>0</v>
      </c>
      <c r="BA196" s="272">
        <f>BA$136*INDEX('DEFAULT DATA'!$AIE$9:$AIL$41,START!$C$3,2)*INDEX('DEFAULT DATA'!$VD$9:$VJ$41,START!$C$3,2)/1000000</f>
        <v>0</v>
      </c>
      <c r="BB196" s="272">
        <f>BB$136*INDEX('DEFAULT DATA'!$AIE$9:$AIL$41,START!$C$3,2)*INDEX('DEFAULT DATA'!$VD$9:$VJ$41,START!$C$3,2)/1000000</f>
        <v>0</v>
      </c>
      <c r="BC196" s="272">
        <f>BC$136*INDEX('DEFAULT DATA'!$AIE$9:$AIL$41,START!$C$3,2)*INDEX('DEFAULT DATA'!$VD$9:$VJ$41,START!$C$3,2)/1000000</f>
        <v>0</v>
      </c>
      <c r="BD196" s="272">
        <f>BD$136*INDEX('DEFAULT DATA'!$AIE$9:$AIL$41,START!$C$3,2)*INDEX('DEFAULT DATA'!$VD$9:$VJ$41,START!$C$3,2)/1000000</f>
        <v>0</v>
      </c>
      <c r="BE196" s="272">
        <f>BE$136*INDEX('DEFAULT DATA'!$AIE$9:$AIL$41,START!$C$3,2)*INDEX('DEFAULT DATA'!$VD$9:$VJ$41,START!$C$3,2)/1000000</f>
        <v>0</v>
      </c>
      <c r="BF196" s="272">
        <f>BF$136*INDEX('DEFAULT DATA'!$AIE$9:$AIL$41,START!$C$3,2)*INDEX('DEFAULT DATA'!$VD$9:$VJ$41,START!$C$3,2)/1000000</f>
        <v>0</v>
      </c>
      <c r="BG196" s="272">
        <f>BG$136*INDEX('DEFAULT DATA'!$AIE$9:$AIL$41,START!$C$3,2)*INDEX('DEFAULT DATA'!$VD$9:$VJ$41,START!$C$3,2)/1000000</f>
        <v>0</v>
      </c>
      <c r="BH196" s="272">
        <f>BH$136*INDEX('DEFAULT DATA'!$AIE$9:$AIL$41,START!$C$3,2)*INDEX('DEFAULT DATA'!$VD$9:$VJ$41,START!$C$3,2)/1000000</f>
        <v>0</v>
      </c>
      <c r="BI196" s="272">
        <f>BI$136*INDEX('DEFAULT DATA'!$AIE$9:$AIL$41,START!$C$3,2)*INDEX('DEFAULT DATA'!$VD$9:$VJ$41,START!$C$3,2)/1000000</f>
        <v>0</v>
      </c>
      <c r="BJ196" s="272">
        <f>BJ$136*INDEX('DEFAULT DATA'!$AIE$9:$AIL$41,START!$C$3,2)*INDEX('DEFAULT DATA'!$VD$9:$VJ$41,START!$C$3,2)/1000000</f>
        <v>0</v>
      </c>
      <c r="BK196" s="272">
        <f>BK$136*INDEX('DEFAULT DATA'!$AIE$9:$AIL$41,START!$C$3,2)*INDEX('DEFAULT DATA'!$VD$9:$VJ$41,START!$C$3,2)/1000000</f>
        <v>0</v>
      </c>
      <c r="BL196" s="272">
        <f>BL$136*INDEX('DEFAULT DATA'!$AIE$9:$AIL$41,START!$C$3,2)*INDEX('DEFAULT DATA'!$VD$9:$VJ$41,START!$C$3,2)/1000000</f>
        <v>0</v>
      </c>
      <c r="BM196" s="272">
        <f>BM$136*INDEX('DEFAULT DATA'!$AIE$9:$AIL$41,START!$C$3,2)*INDEX('DEFAULT DATA'!$VD$9:$VJ$41,START!$C$3,2)/1000000</f>
        <v>0</v>
      </c>
      <c r="BN196" s="272">
        <f>BN$136*INDEX('DEFAULT DATA'!$AIE$9:$AIL$41,START!$C$3,2)*INDEX('DEFAULT DATA'!$VD$9:$VJ$41,START!$C$3,2)/1000000</f>
        <v>0</v>
      </c>
      <c r="BP196" s="544" t="str">
        <f t="shared" ref="BP196:BP202" si="108">AG196</f>
        <v>Gas</v>
      </c>
      <c r="BQ196" s="545" t="s">
        <v>1851</v>
      </c>
      <c r="BR196" s="546"/>
      <c r="BS196" s="546"/>
      <c r="BT196" s="546"/>
      <c r="BU196" s="546"/>
      <c r="BV196" s="546"/>
      <c r="BW196" s="546"/>
      <c r="BX196" s="546"/>
      <c r="BY196" s="546"/>
      <c r="BZ196" s="546"/>
      <c r="CA196" s="546"/>
      <c r="CB196" s="546"/>
      <c r="CC196" s="546"/>
      <c r="CD196" s="546"/>
      <c r="CE196" s="546"/>
      <c r="CF196" s="546"/>
      <c r="CG196" s="547"/>
      <c r="CH196" s="543" t="s">
        <v>1808</v>
      </c>
      <c r="CI196" s="543" t="s">
        <v>1248</v>
      </c>
    </row>
    <row r="197" spans="1:87" ht="20.100000000000001" customHeight="1">
      <c r="A197" s="28"/>
      <c r="B197" s="971"/>
      <c r="C197" s="971"/>
      <c r="D197" s="971"/>
      <c r="E197" s="971"/>
      <c r="F197" s="971"/>
      <c r="G197" s="971"/>
      <c r="H197" s="971"/>
      <c r="I197" s="971"/>
      <c r="J197" s="971"/>
      <c r="K197" s="971"/>
      <c r="L197" s="971"/>
      <c r="M197" s="968"/>
      <c r="N197" s="971"/>
      <c r="O197" s="971"/>
      <c r="P197" s="971"/>
      <c r="Q197" s="971"/>
      <c r="R197" s="971"/>
      <c r="S197" s="971"/>
      <c r="T197" s="971"/>
      <c r="U197" s="971"/>
      <c r="V197" s="971"/>
      <c r="W197" s="971"/>
      <c r="X197" s="971"/>
      <c r="Y197" s="971"/>
      <c r="Z197" s="971"/>
      <c r="AA197" s="971"/>
      <c r="AB197" s="971"/>
      <c r="AC197" s="971"/>
      <c r="AD197" s="971"/>
      <c r="AE197" s="971"/>
      <c r="AF197" s="1502"/>
      <c r="AG197" s="508" t="s">
        <v>1221</v>
      </c>
      <c r="AH197" s="486"/>
      <c r="AI197" s="486"/>
      <c r="AJ197" s="487"/>
      <c r="AK197" s="220">
        <v>0</v>
      </c>
      <c r="AL197" s="272">
        <f>AL$136*INDEX('DEFAULT DATA'!$AIE$9:$AIL$41,START!$C$3,3)*INDEX('DEFAULT DATA'!$VD$9:$VJ$41,START!$C$3,3)/1000000</f>
        <v>0</v>
      </c>
      <c r="AM197" s="272">
        <f>AM$136*INDEX('DEFAULT DATA'!$AIE$9:$AIL$41,START!$C$3,3)*INDEX('DEFAULT DATA'!$VD$9:$VJ$41,START!$C$3,3)/1000000</f>
        <v>0</v>
      </c>
      <c r="AN197" s="272">
        <f>AN$136*INDEX('DEFAULT DATA'!$AIE$9:$AIL$41,START!$C$3,3)*INDEX('DEFAULT DATA'!$VD$9:$VJ$41,START!$C$3,3)/1000000</f>
        <v>0</v>
      </c>
      <c r="AO197" s="272">
        <f>AO$136*INDEX('DEFAULT DATA'!$AIE$9:$AIL$41,START!$C$3,3)*INDEX('DEFAULT DATA'!$VD$9:$VJ$41,START!$C$3,3)/1000000</f>
        <v>0</v>
      </c>
      <c r="AP197" s="272">
        <f>AP$136*INDEX('DEFAULT DATA'!$AIE$9:$AIL$41,START!$C$3,3)*INDEX('DEFAULT DATA'!$VD$9:$VJ$41,START!$C$3,3)/1000000</f>
        <v>0</v>
      </c>
      <c r="AQ197" s="272">
        <f>AQ$136*INDEX('DEFAULT DATA'!$AIE$9:$AIL$41,START!$C$3,3)*INDEX('DEFAULT DATA'!$VD$9:$VJ$41,START!$C$3,3)/1000000</f>
        <v>0</v>
      </c>
      <c r="AR197" s="272">
        <f>AR$136*INDEX('DEFAULT DATA'!$AIE$9:$AIL$41,START!$C$3,3)*INDEX('DEFAULT DATA'!$VD$9:$VJ$41,START!$C$3,3)/1000000</f>
        <v>0</v>
      </c>
      <c r="AS197" s="272">
        <f>AS$136*INDEX('DEFAULT DATA'!$AIE$9:$AIL$41,START!$C$3,3)*INDEX('DEFAULT DATA'!$VD$9:$VJ$41,START!$C$3,3)/1000000</f>
        <v>0</v>
      </c>
      <c r="AT197" s="272">
        <f>AT$136*INDEX('DEFAULT DATA'!$AIE$9:$AIL$41,START!$C$3,3)*INDEX('DEFAULT DATA'!$VD$9:$VJ$41,START!$C$3,3)/1000000</f>
        <v>0</v>
      </c>
      <c r="AU197" s="272">
        <f>AU$136*INDEX('DEFAULT DATA'!$AIE$9:$AIL$41,START!$C$3,3)*INDEX('DEFAULT DATA'!$VD$9:$VJ$41,START!$C$3,3)/1000000</f>
        <v>0</v>
      </c>
      <c r="AV197" s="272">
        <f>AV$136*INDEX('DEFAULT DATA'!$AIE$9:$AIL$41,START!$C$3,3)*INDEX('DEFAULT DATA'!$VD$9:$VJ$41,START!$C$3,3)/1000000</f>
        <v>0</v>
      </c>
      <c r="AW197" s="272">
        <f>AW$136*INDEX('DEFAULT DATA'!$AIE$9:$AIL$41,START!$C$3,3)*INDEX('DEFAULT DATA'!$VD$9:$VJ$41,START!$C$3,3)/1000000</f>
        <v>0</v>
      </c>
      <c r="AX197" s="272">
        <f>AX$136*INDEX('DEFAULT DATA'!$AIE$9:$AIL$41,START!$C$3,3)*INDEX('DEFAULT DATA'!$VD$9:$VJ$41,START!$C$3,3)/1000000</f>
        <v>0</v>
      </c>
      <c r="AY197" s="272">
        <f>AY$136*INDEX('DEFAULT DATA'!$AIE$9:$AIL$41,START!$C$3,3)*INDEX('DEFAULT DATA'!$VD$9:$VJ$41,START!$C$3,3)/1000000</f>
        <v>0</v>
      </c>
      <c r="AZ197" s="272">
        <f>AZ$136*INDEX('DEFAULT DATA'!$AIE$9:$AIL$41,START!$C$3,3)*INDEX('DEFAULT DATA'!$VD$9:$VJ$41,START!$C$3,3)/1000000</f>
        <v>0</v>
      </c>
      <c r="BA197" s="272">
        <f>BA$136*INDEX('DEFAULT DATA'!$AIE$9:$AIL$41,START!$C$3,3)*INDEX('DEFAULT DATA'!$VD$9:$VJ$41,START!$C$3,3)/1000000</f>
        <v>0</v>
      </c>
      <c r="BB197" s="272">
        <f>BB$136*INDEX('DEFAULT DATA'!$AIE$9:$AIL$41,START!$C$3,3)*INDEX('DEFAULT DATA'!$VD$9:$VJ$41,START!$C$3,3)/1000000</f>
        <v>0</v>
      </c>
      <c r="BC197" s="272">
        <f>BC$136*INDEX('DEFAULT DATA'!$AIE$9:$AIL$41,START!$C$3,3)*INDEX('DEFAULT DATA'!$VD$9:$VJ$41,START!$C$3,3)/1000000</f>
        <v>0</v>
      </c>
      <c r="BD197" s="272">
        <f>BD$136*INDEX('DEFAULT DATA'!$AIE$9:$AIL$41,START!$C$3,3)*INDEX('DEFAULT DATA'!$VD$9:$VJ$41,START!$C$3,3)/1000000</f>
        <v>0</v>
      </c>
      <c r="BE197" s="272">
        <f>BE$136*INDEX('DEFAULT DATA'!$AIE$9:$AIL$41,START!$C$3,3)*INDEX('DEFAULT DATA'!$VD$9:$VJ$41,START!$C$3,3)/1000000</f>
        <v>0</v>
      </c>
      <c r="BF197" s="272">
        <f>BF$136*INDEX('DEFAULT DATA'!$AIE$9:$AIL$41,START!$C$3,3)*INDEX('DEFAULT DATA'!$VD$9:$VJ$41,START!$C$3,3)/1000000</f>
        <v>0</v>
      </c>
      <c r="BG197" s="272">
        <f>BG$136*INDEX('DEFAULT DATA'!$AIE$9:$AIL$41,START!$C$3,3)*INDEX('DEFAULT DATA'!$VD$9:$VJ$41,START!$C$3,3)/1000000</f>
        <v>0</v>
      </c>
      <c r="BH197" s="272">
        <f>BH$136*INDEX('DEFAULT DATA'!$AIE$9:$AIL$41,START!$C$3,3)*INDEX('DEFAULT DATA'!$VD$9:$VJ$41,START!$C$3,3)/1000000</f>
        <v>0</v>
      </c>
      <c r="BI197" s="272">
        <f>BI$136*INDEX('DEFAULT DATA'!$AIE$9:$AIL$41,START!$C$3,3)*INDEX('DEFAULT DATA'!$VD$9:$VJ$41,START!$C$3,3)/1000000</f>
        <v>0</v>
      </c>
      <c r="BJ197" s="272">
        <f>BJ$136*INDEX('DEFAULT DATA'!$AIE$9:$AIL$41,START!$C$3,3)*INDEX('DEFAULT DATA'!$VD$9:$VJ$41,START!$C$3,3)/1000000</f>
        <v>0</v>
      </c>
      <c r="BK197" s="272">
        <f>BK$136*INDEX('DEFAULT DATA'!$AIE$9:$AIL$41,START!$C$3,3)*INDEX('DEFAULT DATA'!$VD$9:$VJ$41,START!$C$3,3)/1000000</f>
        <v>0</v>
      </c>
      <c r="BL197" s="272">
        <f>BL$136*INDEX('DEFAULT DATA'!$AIE$9:$AIL$41,START!$C$3,3)*INDEX('DEFAULT DATA'!$VD$9:$VJ$41,START!$C$3,3)/1000000</f>
        <v>0</v>
      </c>
      <c r="BM197" s="272">
        <f>BM$136*INDEX('DEFAULT DATA'!$AIE$9:$AIL$41,START!$C$3,3)*INDEX('DEFAULT DATA'!$VD$9:$VJ$41,START!$C$3,3)/1000000</f>
        <v>0</v>
      </c>
      <c r="BN197" s="272">
        <f>BN$136*INDEX('DEFAULT DATA'!$AIE$9:$AIL$41,START!$C$3,3)*INDEX('DEFAULT DATA'!$VD$9:$VJ$41,START!$C$3,3)/1000000</f>
        <v>0</v>
      </c>
      <c r="BP197" s="544" t="str">
        <f t="shared" si="108"/>
        <v>Oil</v>
      </c>
      <c r="BQ197" s="545" t="s">
        <v>1852</v>
      </c>
      <c r="BR197" s="546"/>
      <c r="BS197" s="546"/>
      <c r="BT197" s="546"/>
      <c r="BU197" s="546"/>
      <c r="BV197" s="546"/>
      <c r="BW197" s="546"/>
      <c r="BX197" s="546"/>
      <c r="BY197" s="546"/>
      <c r="BZ197" s="546"/>
      <c r="CA197" s="546"/>
      <c r="CB197" s="546"/>
      <c r="CC197" s="546"/>
      <c r="CD197" s="546"/>
      <c r="CE197" s="546"/>
      <c r="CF197" s="546"/>
      <c r="CG197" s="547"/>
      <c r="CH197" s="543" t="s">
        <v>1809</v>
      </c>
      <c r="CI197" s="543" t="s">
        <v>1621</v>
      </c>
    </row>
    <row r="198" spans="1:87" ht="20.100000000000001" customHeight="1">
      <c r="A198" s="28"/>
      <c r="B198" s="971"/>
      <c r="C198" s="971"/>
      <c r="D198" s="971"/>
      <c r="E198" s="971"/>
      <c r="F198" s="971"/>
      <c r="G198" s="971"/>
      <c r="H198" s="971"/>
      <c r="I198" s="971"/>
      <c r="J198" s="971"/>
      <c r="K198" s="971"/>
      <c r="L198" s="971"/>
      <c r="M198" s="968"/>
      <c r="N198" s="971"/>
      <c r="O198" s="971"/>
      <c r="P198" s="971"/>
      <c r="Q198" s="971"/>
      <c r="R198" s="971"/>
      <c r="S198" s="971"/>
      <c r="T198" s="971"/>
      <c r="U198" s="971"/>
      <c r="V198" s="971"/>
      <c r="W198" s="971"/>
      <c r="X198" s="971"/>
      <c r="Y198" s="971"/>
      <c r="Z198" s="971"/>
      <c r="AA198" s="971"/>
      <c r="AB198" s="971"/>
      <c r="AC198" s="971"/>
      <c r="AD198" s="971"/>
      <c r="AE198" s="971"/>
      <c r="AF198" s="1502"/>
      <c r="AG198" s="508" t="s">
        <v>1222</v>
      </c>
      <c r="AH198" s="486"/>
      <c r="AI198" s="486"/>
      <c r="AJ198" s="487"/>
      <c r="AK198" s="220">
        <v>0</v>
      </c>
      <c r="AL198" s="272">
        <f>AL$136*INDEX('DEFAULT DATA'!$AIE$9:$AIL$41,START!$C$3,4)*INDEX('DEFAULT DATA'!$VD$9:$VJ$41,START!$C$3,4)/1000000</f>
        <v>0</v>
      </c>
      <c r="AM198" s="272">
        <f>AM$136*INDEX('DEFAULT DATA'!$AIE$9:$AIL$41,START!$C$3,4)*INDEX('DEFAULT DATA'!$VD$9:$VJ$41,START!$C$3,4)/1000000</f>
        <v>0</v>
      </c>
      <c r="AN198" s="272">
        <f>AN$136*INDEX('DEFAULT DATA'!$AIE$9:$AIL$41,START!$C$3,4)*INDEX('DEFAULT DATA'!$VD$9:$VJ$41,START!$C$3,4)/1000000</f>
        <v>0</v>
      </c>
      <c r="AO198" s="272">
        <f>AO$136*INDEX('DEFAULT DATA'!$AIE$9:$AIL$41,START!$C$3,4)*INDEX('DEFAULT DATA'!$VD$9:$VJ$41,START!$C$3,4)/1000000</f>
        <v>0</v>
      </c>
      <c r="AP198" s="272">
        <f>AP$136*INDEX('DEFAULT DATA'!$AIE$9:$AIL$41,START!$C$3,4)*INDEX('DEFAULT DATA'!$VD$9:$VJ$41,START!$C$3,4)/1000000</f>
        <v>0</v>
      </c>
      <c r="AQ198" s="272">
        <f>AQ$136*INDEX('DEFAULT DATA'!$AIE$9:$AIL$41,START!$C$3,4)*INDEX('DEFAULT DATA'!$VD$9:$VJ$41,START!$C$3,4)/1000000</f>
        <v>0</v>
      </c>
      <c r="AR198" s="272">
        <f>AR$136*INDEX('DEFAULT DATA'!$AIE$9:$AIL$41,START!$C$3,4)*INDEX('DEFAULT DATA'!$VD$9:$VJ$41,START!$C$3,4)/1000000</f>
        <v>0</v>
      </c>
      <c r="AS198" s="272">
        <f>AS$136*INDEX('DEFAULT DATA'!$AIE$9:$AIL$41,START!$C$3,4)*INDEX('DEFAULT DATA'!$VD$9:$VJ$41,START!$C$3,4)/1000000</f>
        <v>0</v>
      </c>
      <c r="AT198" s="272">
        <f>AT$136*INDEX('DEFAULT DATA'!$AIE$9:$AIL$41,START!$C$3,4)*INDEX('DEFAULT DATA'!$VD$9:$VJ$41,START!$C$3,4)/1000000</f>
        <v>0</v>
      </c>
      <c r="AU198" s="272">
        <f>AU$136*INDEX('DEFAULT DATA'!$AIE$9:$AIL$41,START!$C$3,4)*INDEX('DEFAULT DATA'!$VD$9:$VJ$41,START!$C$3,4)/1000000</f>
        <v>0</v>
      </c>
      <c r="AV198" s="272">
        <f>AV$136*INDEX('DEFAULT DATA'!$AIE$9:$AIL$41,START!$C$3,4)*INDEX('DEFAULT DATA'!$VD$9:$VJ$41,START!$C$3,4)/1000000</f>
        <v>0</v>
      </c>
      <c r="AW198" s="272">
        <f>AW$136*INDEX('DEFAULT DATA'!$AIE$9:$AIL$41,START!$C$3,4)*INDEX('DEFAULT DATA'!$VD$9:$VJ$41,START!$C$3,4)/1000000</f>
        <v>0</v>
      </c>
      <c r="AX198" s="272">
        <f>AX$136*INDEX('DEFAULT DATA'!$AIE$9:$AIL$41,START!$C$3,4)*INDEX('DEFAULT DATA'!$VD$9:$VJ$41,START!$C$3,4)/1000000</f>
        <v>0</v>
      </c>
      <c r="AY198" s="272">
        <f>AY$136*INDEX('DEFAULT DATA'!$AIE$9:$AIL$41,START!$C$3,4)*INDEX('DEFAULT DATA'!$VD$9:$VJ$41,START!$C$3,4)/1000000</f>
        <v>0</v>
      </c>
      <c r="AZ198" s="272">
        <f>AZ$136*INDEX('DEFAULT DATA'!$AIE$9:$AIL$41,START!$C$3,4)*INDEX('DEFAULT DATA'!$VD$9:$VJ$41,START!$C$3,4)/1000000</f>
        <v>0</v>
      </c>
      <c r="BA198" s="272">
        <f>BA$136*INDEX('DEFAULT DATA'!$AIE$9:$AIL$41,START!$C$3,4)*INDEX('DEFAULT DATA'!$VD$9:$VJ$41,START!$C$3,4)/1000000</f>
        <v>0</v>
      </c>
      <c r="BB198" s="272">
        <f>BB$136*INDEX('DEFAULT DATA'!$AIE$9:$AIL$41,START!$C$3,4)*INDEX('DEFAULT DATA'!$VD$9:$VJ$41,START!$C$3,4)/1000000</f>
        <v>0</v>
      </c>
      <c r="BC198" s="272">
        <f>BC$136*INDEX('DEFAULT DATA'!$AIE$9:$AIL$41,START!$C$3,4)*INDEX('DEFAULT DATA'!$VD$9:$VJ$41,START!$C$3,4)/1000000</f>
        <v>0</v>
      </c>
      <c r="BD198" s="272">
        <f>BD$136*INDEX('DEFAULT DATA'!$AIE$9:$AIL$41,START!$C$3,4)*INDEX('DEFAULT DATA'!$VD$9:$VJ$41,START!$C$3,4)/1000000</f>
        <v>0</v>
      </c>
      <c r="BE198" s="272">
        <f>BE$136*INDEX('DEFAULT DATA'!$AIE$9:$AIL$41,START!$C$3,4)*INDEX('DEFAULT DATA'!$VD$9:$VJ$41,START!$C$3,4)/1000000</f>
        <v>0</v>
      </c>
      <c r="BF198" s="272">
        <f>BF$136*INDEX('DEFAULT DATA'!$AIE$9:$AIL$41,START!$C$3,4)*INDEX('DEFAULT DATA'!$VD$9:$VJ$41,START!$C$3,4)/1000000</f>
        <v>0</v>
      </c>
      <c r="BG198" s="272">
        <f>BG$136*INDEX('DEFAULT DATA'!$AIE$9:$AIL$41,START!$C$3,4)*INDEX('DEFAULT DATA'!$VD$9:$VJ$41,START!$C$3,4)/1000000</f>
        <v>0</v>
      </c>
      <c r="BH198" s="272">
        <f>BH$136*INDEX('DEFAULT DATA'!$AIE$9:$AIL$41,START!$C$3,4)*INDEX('DEFAULT DATA'!$VD$9:$VJ$41,START!$C$3,4)/1000000</f>
        <v>0</v>
      </c>
      <c r="BI198" s="272">
        <f>BI$136*INDEX('DEFAULT DATA'!$AIE$9:$AIL$41,START!$C$3,4)*INDEX('DEFAULT DATA'!$VD$9:$VJ$41,START!$C$3,4)/1000000</f>
        <v>0</v>
      </c>
      <c r="BJ198" s="272">
        <f>BJ$136*INDEX('DEFAULT DATA'!$AIE$9:$AIL$41,START!$C$3,4)*INDEX('DEFAULT DATA'!$VD$9:$VJ$41,START!$C$3,4)/1000000</f>
        <v>0</v>
      </c>
      <c r="BK198" s="272">
        <f>BK$136*INDEX('DEFAULT DATA'!$AIE$9:$AIL$41,START!$C$3,4)*INDEX('DEFAULT DATA'!$VD$9:$VJ$41,START!$C$3,4)/1000000</f>
        <v>0</v>
      </c>
      <c r="BL198" s="272">
        <f>BL$136*INDEX('DEFAULT DATA'!$AIE$9:$AIL$41,START!$C$3,4)*INDEX('DEFAULT DATA'!$VD$9:$VJ$41,START!$C$3,4)/1000000</f>
        <v>0</v>
      </c>
      <c r="BM198" s="272">
        <f>BM$136*INDEX('DEFAULT DATA'!$AIE$9:$AIL$41,START!$C$3,4)*INDEX('DEFAULT DATA'!$VD$9:$VJ$41,START!$C$3,4)/1000000</f>
        <v>0</v>
      </c>
      <c r="BN198" s="272">
        <f>BN$136*INDEX('DEFAULT DATA'!$AIE$9:$AIL$41,START!$C$3,4)*INDEX('DEFAULT DATA'!$VD$9:$VJ$41,START!$C$3,4)/1000000</f>
        <v>0</v>
      </c>
      <c r="BP198" s="544" t="str">
        <f t="shared" si="108"/>
        <v>Coal</v>
      </c>
      <c r="BQ198" s="545" t="s">
        <v>1853</v>
      </c>
      <c r="BR198" s="546"/>
      <c r="BS198" s="546"/>
      <c r="BT198" s="546"/>
      <c r="BU198" s="546"/>
      <c r="BV198" s="546"/>
      <c r="BW198" s="546"/>
      <c r="BX198" s="546"/>
      <c r="BY198" s="546"/>
      <c r="BZ198" s="546"/>
      <c r="CA198" s="546"/>
      <c r="CB198" s="546"/>
      <c r="CC198" s="546"/>
      <c r="CD198" s="546"/>
      <c r="CE198" s="546"/>
      <c r="CF198" s="546"/>
      <c r="CG198" s="547"/>
      <c r="CH198" s="543" t="s">
        <v>1810</v>
      </c>
      <c r="CI198" s="543" t="s">
        <v>1622</v>
      </c>
    </row>
    <row r="199" spans="1:87" ht="20.100000000000001" customHeight="1">
      <c r="A199" s="28"/>
      <c r="B199" s="971"/>
      <c r="C199" s="971"/>
      <c r="D199" s="971"/>
      <c r="E199" s="971"/>
      <c r="F199" s="971"/>
      <c r="G199" s="971"/>
      <c r="H199" s="971"/>
      <c r="I199" s="971"/>
      <c r="J199" s="971"/>
      <c r="K199" s="971"/>
      <c r="L199" s="971"/>
      <c r="M199" s="968"/>
      <c r="N199" s="971"/>
      <c r="O199" s="971"/>
      <c r="P199" s="971"/>
      <c r="Q199" s="971"/>
      <c r="R199" s="971"/>
      <c r="S199" s="971"/>
      <c r="T199" s="971"/>
      <c r="U199" s="971"/>
      <c r="V199" s="971"/>
      <c r="W199" s="971"/>
      <c r="X199" s="971"/>
      <c r="Y199" s="971"/>
      <c r="Z199" s="971"/>
      <c r="AA199" s="971"/>
      <c r="AB199" s="971"/>
      <c r="AC199" s="971"/>
      <c r="AD199" s="971"/>
      <c r="AE199" s="971"/>
      <c r="AF199" s="1502"/>
      <c r="AG199" s="508" t="s">
        <v>1223</v>
      </c>
      <c r="AH199" s="486"/>
      <c r="AI199" s="486"/>
      <c r="AJ199" s="487"/>
      <c r="AK199" s="220">
        <v>0</v>
      </c>
      <c r="AL199" s="272">
        <f>AL$136*INDEX('DEFAULT DATA'!$AIE$9:$AIL$41,START!$C$3,5)*INDEX('DEFAULT DATA'!$VD$9:$VJ$41,START!$C$3,5)/1000000</f>
        <v>0</v>
      </c>
      <c r="AM199" s="272">
        <f>AM$136*INDEX('DEFAULT DATA'!$AIE$9:$AIL$41,START!$C$3,5)*INDEX('DEFAULT DATA'!$VD$9:$VJ$41,START!$C$3,5)/1000000</f>
        <v>0</v>
      </c>
      <c r="AN199" s="272">
        <f>AN$136*INDEX('DEFAULT DATA'!$AIE$9:$AIL$41,START!$C$3,5)*INDEX('DEFAULT DATA'!$VD$9:$VJ$41,START!$C$3,5)/1000000</f>
        <v>0</v>
      </c>
      <c r="AO199" s="272">
        <f>AO$136*INDEX('DEFAULT DATA'!$AIE$9:$AIL$41,START!$C$3,5)*INDEX('DEFAULT DATA'!$VD$9:$VJ$41,START!$C$3,5)/1000000</f>
        <v>0</v>
      </c>
      <c r="AP199" s="272">
        <f>AP$136*INDEX('DEFAULT DATA'!$AIE$9:$AIL$41,START!$C$3,5)*INDEX('DEFAULT DATA'!$VD$9:$VJ$41,START!$C$3,5)/1000000</f>
        <v>0</v>
      </c>
      <c r="AQ199" s="272">
        <f>AQ$136*INDEX('DEFAULT DATA'!$AIE$9:$AIL$41,START!$C$3,5)*INDEX('DEFAULT DATA'!$VD$9:$VJ$41,START!$C$3,5)/1000000</f>
        <v>0</v>
      </c>
      <c r="AR199" s="272">
        <f>AR$136*INDEX('DEFAULT DATA'!$AIE$9:$AIL$41,START!$C$3,5)*INDEX('DEFAULT DATA'!$VD$9:$VJ$41,START!$C$3,5)/1000000</f>
        <v>0</v>
      </c>
      <c r="AS199" s="272">
        <f>AS$136*INDEX('DEFAULT DATA'!$AIE$9:$AIL$41,START!$C$3,5)*INDEX('DEFAULT DATA'!$VD$9:$VJ$41,START!$C$3,5)/1000000</f>
        <v>0</v>
      </c>
      <c r="AT199" s="272">
        <f>AT$136*INDEX('DEFAULT DATA'!$AIE$9:$AIL$41,START!$C$3,5)*INDEX('DEFAULT DATA'!$VD$9:$VJ$41,START!$C$3,5)/1000000</f>
        <v>0</v>
      </c>
      <c r="AU199" s="272">
        <f>AU$136*INDEX('DEFAULT DATA'!$AIE$9:$AIL$41,START!$C$3,5)*INDEX('DEFAULT DATA'!$VD$9:$VJ$41,START!$C$3,5)/1000000</f>
        <v>0</v>
      </c>
      <c r="AV199" s="272">
        <f>AV$136*INDEX('DEFAULT DATA'!$AIE$9:$AIL$41,START!$C$3,5)*INDEX('DEFAULT DATA'!$VD$9:$VJ$41,START!$C$3,5)/1000000</f>
        <v>0</v>
      </c>
      <c r="AW199" s="272">
        <f>AW$136*INDEX('DEFAULT DATA'!$AIE$9:$AIL$41,START!$C$3,5)*INDEX('DEFAULT DATA'!$VD$9:$VJ$41,START!$C$3,5)/1000000</f>
        <v>0</v>
      </c>
      <c r="AX199" s="272">
        <f>AX$136*INDEX('DEFAULT DATA'!$AIE$9:$AIL$41,START!$C$3,5)*INDEX('DEFAULT DATA'!$VD$9:$VJ$41,START!$C$3,5)/1000000</f>
        <v>0</v>
      </c>
      <c r="AY199" s="272">
        <f>AY$136*INDEX('DEFAULT DATA'!$AIE$9:$AIL$41,START!$C$3,5)*INDEX('DEFAULT DATA'!$VD$9:$VJ$41,START!$C$3,5)/1000000</f>
        <v>0</v>
      </c>
      <c r="AZ199" s="272">
        <f>AZ$136*INDEX('DEFAULT DATA'!$AIE$9:$AIL$41,START!$C$3,5)*INDEX('DEFAULT DATA'!$VD$9:$VJ$41,START!$C$3,5)/1000000</f>
        <v>0</v>
      </c>
      <c r="BA199" s="272">
        <f>BA$136*INDEX('DEFAULT DATA'!$AIE$9:$AIL$41,START!$C$3,5)*INDEX('DEFAULT DATA'!$VD$9:$VJ$41,START!$C$3,5)/1000000</f>
        <v>0</v>
      </c>
      <c r="BB199" s="272">
        <f>BB$136*INDEX('DEFAULT DATA'!$AIE$9:$AIL$41,START!$C$3,5)*INDEX('DEFAULT DATA'!$VD$9:$VJ$41,START!$C$3,5)/1000000</f>
        <v>0</v>
      </c>
      <c r="BC199" s="272">
        <f>BC$136*INDEX('DEFAULT DATA'!$AIE$9:$AIL$41,START!$C$3,5)*INDEX('DEFAULT DATA'!$VD$9:$VJ$41,START!$C$3,5)/1000000</f>
        <v>0</v>
      </c>
      <c r="BD199" s="272">
        <f>BD$136*INDEX('DEFAULT DATA'!$AIE$9:$AIL$41,START!$C$3,5)*INDEX('DEFAULT DATA'!$VD$9:$VJ$41,START!$C$3,5)/1000000</f>
        <v>0</v>
      </c>
      <c r="BE199" s="272">
        <f>BE$136*INDEX('DEFAULT DATA'!$AIE$9:$AIL$41,START!$C$3,5)*INDEX('DEFAULT DATA'!$VD$9:$VJ$41,START!$C$3,5)/1000000</f>
        <v>0</v>
      </c>
      <c r="BF199" s="272">
        <f>BF$136*INDEX('DEFAULT DATA'!$AIE$9:$AIL$41,START!$C$3,5)*INDEX('DEFAULT DATA'!$VD$9:$VJ$41,START!$C$3,5)/1000000</f>
        <v>0</v>
      </c>
      <c r="BG199" s="272">
        <f>BG$136*INDEX('DEFAULT DATA'!$AIE$9:$AIL$41,START!$C$3,5)*INDEX('DEFAULT DATA'!$VD$9:$VJ$41,START!$C$3,5)/1000000</f>
        <v>0</v>
      </c>
      <c r="BH199" s="272">
        <f>BH$136*INDEX('DEFAULT DATA'!$AIE$9:$AIL$41,START!$C$3,5)*INDEX('DEFAULT DATA'!$VD$9:$VJ$41,START!$C$3,5)/1000000</f>
        <v>0</v>
      </c>
      <c r="BI199" s="272">
        <f>BI$136*INDEX('DEFAULT DATA'!$AIE$9:$AIL$41,START!$C$3,5)*INDEX('DEFAULT DATA'!$VD$9:$VJ$41,START!$C$3,5)/1000000</f>
        <v>0</v>
      </c>
      <c r="BJ199" s="272">
        <f>BJ$136*INDEX('DEFAULT DATA'!$AIE$9:$AIL$41,START!$C$3,5)*INDEX('DEFAULT DATA'!$VD$9:$VJ$41,START!$C$3,5)/1000000</f>
        <v>0</v>
      </c>
      <c r="BK199" s="272">
        <f>BK$136*INDEX('DEFAULT DATA'!$AIE$9:$AIL$41,START!$C$3,5)*INDEX('DEFAULT DATA'!$VD$9:$VJ$41,START!$C$3,5)/1000000</f>
        <v>0</v>
      </c>
      <c r="BL199" s="272">
        <f>BL$136*INDEX('DEFAULT DATA'!$AIE$9:$AIL$41,START!$C$3,5)*INDEX('DEFAULT DATA'!$VD$9:$VJ$41,START!$C$3,5)/1000000</f>
        <v>0</v>
      </c>
      <c r="BM199" s="272">
        <f>BM$136*INDEX('DEFAULT DATA'!$AIE$9:$AIL$41,START!$C$3,5)*INDEX('DEFAULT DATA'!$VD$9:$VJ$41,START!$C$3,5)/1000000</f>
        <v>0</v>
      </c>
      <c r="BN199" s="272">
        <f>BN$136*INDEX('DEFAULT DATA'!$AIE$9:$AIL$41,START!$C$3,5)*INDEX('DEFAULT DATA'!$VD$9:$VJ$41,START!$C$3,5)/1000000</f>
        <v>0</v>
      </c>
      <c r="BP199" s="544" t="str">
        <f t="shared" si="108"/>
        <v>Peat</v>
      </c>
      <c r="BQ199" s="545" t="s">
        <v>1854</v>
      </c>
      <c r="BR199" s="546"/>
      <c r="BS199" s="546"/>
      <c r="BT199" s="546"/>
      <c r="BU199" s="546"/>
      <c r="BV199" s="546"/>
      <c r="BW199" s="546"/>
      <c r="BX199" s="546"/>
      <c r="BY199" s="546"/>
      <c r="BZ199" s="546"/>
      <c r="CA199" s="546"/>
      <c r="CB199" s="546"/>
      <c r="CC199" s="546"/>
      <c r="CD199" s="546"/>
      <c r="CE199" s="546"/>
      <c r="CF199" s="546"/>
      <c r="CG199" s="547"/>
      <c r="CH199" s="543" t="s">
        <v>1811</v>
      </c>
      <c r="CI199" s="543" t="s">
        <v>1623</v>
      </c>
    </row>
    <row r="200" spans="1:87" ht="20.100000000000001" customHeight="1">
      <c r="A200" s="28"/>
      <c r="B200" s="971"/>
      <c r="C200" s="971"/>
      <c r="D200" s="971"/>
      <c r="E200" s="971"/>
      <c r="F200" s="971"/>
      <c r="G200" s="971"/>
      <c r="H200" s="971"/>
      <c r="I200" s="971"/>
      <c r="J200" s="971"/>
      <c r="K200" s="971"/>
      <c r="L200" s="971"/>
      <c r="M200" s="968"/>
      <c r="N200" s="971"/>
      <c r="O200" s="971"/>
      <c r="P200" s="971"/>
      <c r="Q200" s="971"/>
      <c r="R200" s="971"/>
      <c r="S200" s="971"/>
      <c r="T200" s="971"/>
      <c r="U200" s="971"/>
      <c r="V200" s="971"/>
      <c r="W200" s="971"/>
      <c r="X200" s="971"/>
      <c r="Y200" s="971"/>
      <c r="Z200" s="971"/>
      <c r="AA200" s="971"/>
      <c r="AB200" s="971"/>
      <c r="AC200" s="971"/>
      <c r="AD200" s="971"/>
      <c r="AE200" s="971"/>
      <c r="AF200" s="1502"/>
      <c r="AG200" s="508" t="s">
        <v>1224</v>
      </c>
      <c r="AH200" s="486"/>
      <c r="AI200" s="486"/>
      <c r="AJ200" s="487"/>
      <c r="AK200" s="220">
        <v>0</v>
      </c>
      <c r="AL200" s="272">
        <f>AL$136*INDEX('DEFAULT DATA'!$AIE$9:$AIL$41,START!$C$3,6)*INDEX('DEFAULT DATA'!$VD$9:$VJ$41,START!$C$3,6)/1000000</f>
        <v>0</v>
      </c>
      <c r="AM200" s="272">
        <f>AM$136*INDEX('DEFAULT DATA'!$AIE$9:$AIL$41,START!$C$3,6)*INDEX('DEFAULT DATA'!$VD$9:$VJ$41,START!$C$3,6)/1000000</f>
        <v>0</v>
      </c>
      <c r="AN200" s="272">
        <f>AN$136*INDEX('DEFAULT DATA'!$AIE$9:$AIL$41,START!$C$3,6)*INDEX('DEFAULT DATA'!$VD$9:$VJ$41,START!$C$3,6)/1000000</f>
        <v>0</v>
      </c>
      <c r="AO200" s="272">
        <f>AO$136*INDEX('DEFAULT DATA'!$AIE$9:$AIL$41,START!$C$3,6)*INDEX('DEFAULT DATA'!$VD$9:$VJ$41,START!$C$3,6)/1000000</f>
        <v>0</v>
      </c>
      <c r="AP200" s="272">
        <f>AP$136*INDEX('DEFAULT DATA'!$AIE$9:$AIL$41,START!$C$3,6)*INDEX('DEFAULT DATA'!$VD$9:$VJ$41,START!$C$3,6)/1000000</f>
        <v>0</v>
      </c>
      <c r="AQ200" s="272">
        <f>AQ$136*INDEX('DEFAULT DATA'!$AIE$9:$AIL$41,START!$C$3,6)*INDEX('DEFAULT DATA'!$VD$9:$VJ$41,START!$C$3,6)/1000000</f>
        <v>0</v>
      </c>
      <c r="AR200" s="272">
        <f>AR$136*INDEX('DEFAULT DATA'!$AIE$9:$AIL$41,START!$C$3,6)*INDEX('DEFAULT DATA'!$VD$9:$VJ$41,START!$C$3,6)/1000000</f>
        <v>0</v>
      </c>
      <c r="AS200" s="272">
        <f>AS$136*INDEX('DEFAULT DATA'!$AIE$9:$AIL$41,START!$C$3,6)*INDEX('DEFAULT DATA'!$VD$9:$VJ$41,START!$C$3,6)/1000000</f>
        <v>0</v>
      </c>
      <c r="AT200" s="272">
        <f>AT$136*INDEX('DEFAULT DATA'!$AIE$9:$AIL$41,START!$C$3,6)*INDEX('DEFAULT DATA'!$VD$9:$VJ$41,START!$C$3,6)/1000000</f>
        <v>0</v>
      </c>
      <c r="AU200" s="272">
        <f>AU$136*INDEX('DEFAULT DATA'!$AIE$9:$AIL$41,START!$C$3,6)*INDEX('DEFAULT DATA'!$VD$9:$VJ$41,START!$C$3,6)/1000000</f>
        <v>0</v>
      </c>
      <c r="AV200" s="272">
        <f>AV$136*INDEX('DEFAULT DATA'!$AIE$9:$AIL$41,START!$C$3,6)*INDEX('DEFAULT DATA'!$VD$9:$VJ$41,START!$C$3,6)/1000000</f>
        <v>0</v>
      </c>
      <c r="AW200" s="272">
        <f>AW$136*INDEX('DEFAULT DATA'!$AIE$9:$AIL$41,START!$C$3,6)*INDEX('DEFAULT DATA'!$VD$9:$VJ$41,START!$C$3,6)/1000000</f>
        <v>0</v>
      </c>
      <c r="AX200" s="272">
        <f>AX$136*INDEX('DEFAULT DATA'!$AIE$9:$AIL$41,START!$C$3,6)*INDEX('DEFAULT DATA'!$VD$9:$VJ$41,START!$C$3,6)/1000000</f>
        <v>0</v>
      </c>
      <c r="AY200" s="272">
        <f>AY$136*INDEX('DEFAULT DATA'!$AIE$9:$AIL$41,START!$C$3,6)*INDEX('DEFAULT DATA'!$VD$9:$VJ$41,START!$C$3,6)/1000000</f>
        <v>0</v>
      </c>
      <c r="AZ200" s="272">
        <f>AZ$136*INDEX('DEFAULT DATA'!$AIE$9:$AIL$41,START!$C$3,6)*INDEX('DEFAULT DATA'!$VD$9:$VJ$41,START!$C$3,6)/1000000</f>
        <v>0</v>
      </c>
      <c r="BA200" s="272">
        <f>BA$136*INDEX('DEFAULT DATA'!$AIE$9:$AIL$41,START!$C$3,6)*INDEX('DEFAULT DATA'!$VD$9:$VJ$41,START!$C$3,6)/1000000</f>
        <v>0</v>
      </c>
      <c r="BB200" s="272">
        <f>BB$136*INDEX('DEFAULT DATA'!$AIE$9:$AIL$41,START!$C$3,6)*INDEX('DEFAULT DATA'!$VD$9:$VJ$41,START!$C$3,6)/1000000</f>
        <v>0</v>
      </c>
      <c r="BC200" s="272">
        <f>BC$136*INDEX('DEFAULT DATA'!$AIE$9:$AIL$41,START!$C$3,6)*INDEX('DEFAULT DATA'!$VD$9:$VJ$41,START!$C$3,6)/1000000</f>
        <v>0</v>
      </c>
      <c r="BD200" s="272">
        <f>BD$136*INDEX('DEFAULT DATA'!$AIE$9:$AIL$41,START!$C$3,6)*INDEX('DEFAULT DATA'!$VD$9:$VJ$41,START!$C$3,6)/1000000</f>
        <v>0</v>
      </c>
      <c r="BE200" s="272">
        <f>BE$136*INDEX('DEFAULT DATA'!$AIE$9:$AIL$41,START!$C$3,6)*INDEX('DEFAULT DATA'!$VD$9:$VJ$41,START!$C$3,6)/1000000</f>
        <v>0</v>
      </c>
      <c r="BF200" s="272">
        <f>BF$136*INDEX('DEFAULT DATA'!$AIE$9:$AIL$41,START!$C$3,6)*INDEX('DEFAULT DATA'!$VD$9:$VJ$41,START!$C$3,6)/1000000</f>
        <v>0</v>
      </c>
      <c r="BG200" s="272">
        <f>BG$136*INDEX('DEFAULT DATA'!$AIE$9:$AIL$41,START!$C$3,6)*INDEX('DEFAULT DATA'!$VD$9:$VJ$41,START!$C$3,6)/1000000</f>
        <v>0</v>
      </c>
      <c r="BH200" s="272">
        <f>BH$136*INDEX('DEFAULT DATA'!$AIE$9:$AIL$41,START!$C$3,6)*INDEX('DEFAULT DATA'!$VD$9:$VJ$41,START!$C$3,6)/1000000</f>
        <v>0</v>
      </c>
      <c r="BI200" s="272">
        <f>BI$136*INDEX('DEFAULT DATA'!$AIE$9:$AIL$41,START!$C$3,6)*INDEX('DEFAULT DATA'!$VD$9:$VJ$41,START!$C$3,6)/1000000</f>
        <v>0</v>
      </c>
      <c r="BJ200" s="272">
        <f>BJ$136*INDEX('DEFAULT DATA'!$AIE$9:$AIL$41,START!$C$3,6)*INDEX('DEFAULT DATA'!$VD$9:$VJ$41,START!$C$3,6)/1000000</f>
        <v>0</v>
      </c>
      <c r="BK200" s="272">
        <f>BK$136*INDEX('DEFAULT DATA'!$AIE$9:$AIL$41,START!$C$3,6)*INDEX('DEFAULT DATA'!$VD$9:$VJ$41,START!$C$3,6)/1000000</f>
        <v>0</v>
      </c>
      <c r="BL200" s="272">
        <f>BL$136*INDEX('DEFAULT DATA'!$AIE$9:$AIL$41,START!$C$3,6)*INDEX('DEFAULT DATA'!$VD$9:$VJ$41,START!$C$3,6)/1000000</f>
        <v>0</v>
      </c>
      <c r="BM200" s="272">
        <f>BM$136*INDEX('DEFAULT DATA'!$AIE$9:$AIL$41,START!$C$3,6)*INDEX('DEFAULT DATA'!$VD$9:$VJ$41,START!$C$3,6)/1000000</f>
        <v>0</v>
      </c>
      <c r="BN200" s="272">
        <f>BN$136*INDEX('DEFAULT DATA'!$AIE$9:$AIL$41,START!$C$3,6)*INDEX('DEFAULT DATA'!$VD$9:$VJ$41,START!$C$3,6)/1000000</f>
        <v>0</v>
      </c>
      <c r="BP200" s="544" t="str">
        <f t="shared" si="108"/>
        <v>Wood</v>
      </c>
      <c r="BQ200" s="545" t="s">
        <v>1855</v>
      </c>
      <c r="BR200" s="546"/>
      <c r="BS200" s="546"/>
      <c r="BT200" s="546"/>
      <c r="BU200" s="546"/>
      <c r="BV200" s="546"/>
      <c r="BW200" s="546"/>
      <c r="BX200" s="546"/>
      <c r="BY200" s="546"/>
      <c r="BZ200" s="546"/>
      <c r="CA200" s="546"/>
      <c r="CB200" s="546"/>
      <c r="CC200" s="546"/>
      <c r="CD200" s="546"/>
      <c r="CE200" s="546"/>
      <c r="CF200" s="546"/>
      <c r="CG200" s="547"/>
      <c r="CH200" s="543" t="s">
        <v>1812</v>
      </c>
      <c r="CI200" s="543" t="s">
        <v>1624</v>
      </c>
    </row>
    <row r="201" spans="1:87" ht="20.100000000000001" customHeight="1">
      <c r="A201" s="28"/>
      <c r="B201" s="971"/>
      <c r="C201" s="971"/>
      <c r="D201" s="971"/>
      <c r="E201" s="971"/>
      <c r="F201" s="971"/>
      <c r="G201" s="971"/>
      <c r="H201" s="971"/>
      <c r="I201" s="971"/>
      <c r="J201" s="971"/>
      <c r="K201" s="971"/>
      <c r="L201" s="971"/>
      <c r="M201" s="968"/>
      <c r="N201" s="971"/>
      <c r="O201" s="971"/>
      <c r="P201" s="971"/>
      <c r="Q201" s="971"/>
      <c r="R201" s="971"/>
      <c r="S201" s="971"/>
      <c r="T201" s="971"/>
      <c r="U201" s="971"/>
      <c r="V201" s="971"/>
      <c r="W201" s="971"/>
      <c r="X201" s="971"/>
      <c r="Y201" s="971"/>
      <c r="Z201" s="971"/>
      <c r="AA201" s="971"/>
      <c r="AB201" s="971"/>
      <c r="AC201" s="971"/>
      <c r="AD201" s="971"/>
      <c r="AE201" s="971"/>
      <c r="AF201" s="1502"/>
      <c r="AG201" s="508" t="s">
        <v>1225</v>
      </c>
      <c r="AH201" s="486"/>
      <c r="AI201" s="486"/>
      <c r="AJ201" s="487"/>
      <c r="AK201" s="220">
        <v>0</v>
      </c>
      <c r="AL201" s="272">
        <f>AL$136*INDEX('DEFAULT DATA'!$AIE$9:$AIL$41,START!$C$3,7)*INDEX('DEFAULT DATA'!$VD$9:$VJ$41,START!$C$3,7)/1000000</f>
        <v>0</v>
      </c>
      <c r="AM201" s="272">
        <f>AM$136*INDEX('DEFAULT DATA'!$AIE$9:$AIL$41,START!$C$3,7)*INDEX('DEFAULT DATA'!$VD$9:$VJ$41,START!$C$3,7)/1000000</f>
        <v>0</v>
      </c>
      <c r="AN201" s="272">
        <f>AN$136*INDEX('DEFAULT DATA'!$AIE$9:$AIL$41,START!$C$3,7)*INDEX('DEFAULT DATA'!$VD$9:$VJ$41,START!$C$3,7)/1000000</f>
        <v>0</v>
      </c>
      <c r="AO201" s="272">
        <f>AO$136*INDEX('DEFAULT DATA'!$AIE$9:$AIL$41,START!$C$3,7)*INDEX('DEFAULT DATA'!$VD$9:$VJ$41,START!$C$3,7)/1000000</f>
        <v>0</v>
      </c>
      <c r="AP201" s="272">
        <f>AP$136*INDEX('DEFAULT DATA'!$AIE$9:$AIL$41,START!$C$3,7)*INDEX('DEFAULT DATA'!$VD$9:$VJ$41,START!$C$3,7)/1000000</f>
        <v>0</v>
      </c>
      <c r="AQ201" s="272">
        <f>AQ$136*INDEX('DEFAULT DATA'!$AIE$9:$AIL$41,START!$C$3,7)*INDEX('DEFAULT DATA'!$VD$9:$VJ$41,START!$C$3,7)/1000000</f>
        <v>0</v>
      </c>
      <c r="AR201" s="272">
        <f>AR$136*INDEX('DEFAULT DATA'!$AIE$9:$AIL$41,START!$C$3,7)*INDEX('DEFAULT DATA'!$VD$9:$VJ$41,START!$C$3,7)/1000000</f>
        <v>0</v>
      </c>
      <c r="AS201" s="272">
        <f>AS$136*INDEX('DEFAULT DATA'!$AIE$9:$AIL$41,START!$C$3,7)*INDEX('DEFAULT DATA'!$VD$9:$VJ$41,START!$C$3,7)/1000000</f>
        <v>0</v>
      </c>
      <c r="AT201" s="272">
        <f>AT$136*INDEX('DEFAULT DATA'!$AIE$9:$AIL$41,START!$C$3,7)*INDEX('DEFAULT DATA'!$VD$9:$VJ$41,START!$C$3,7)/1000000</f>
        <v>0</v>
      </c>
      <c r="AU201" s="272">
        <f>AU$136*INDEX('DEFAULT DATA'!$AIE$9:$AIL$41,START!$C$3,7)*INDEX('DEFAULT DATA'!$VD$9:$VJ$41,START!$C$3,7)/1000000</f>
        <v>0</v>
      </c>
      <c r="AV201" s="272">
        <f>AV$136*INDEX('DEFAULT DATA'!$AIE$9:$AIL$41,START!$C$3,7)*INDEX('DEFAULT DATA'!$VD$9:$VJ$41,START!$C$3,7)/1000000</f>
        <v>0</v>
      </c>
      <c r="AW201" s="272">
        <f>AW$136*INDEX('DEFAULT DATA'!$AIE$9:$AIL$41,START!$C$3,7)*INDEX('DEFAULT DATA'!$VD$9:$VJ$41,START!$C$3,7)/1000000</f>
        <v>0</v>
      </c>
      <c r="AX201" s="272">
        <f>AX$136*INDEX('DEFAULT DATA'!$AIE$9:$AIL$41,START!$C$3,7)*INDEX('DEFAULT DATA'!$VD$9:$VJ$41,START!$C$3,7)/1000000</f>
        <v>0</v>
      </c>
      <c r="AY201" s="272">
        <f>AY$136*INDEX('DEFAULT DATA'!$AIE$9:$AIL$41,START!$C$3,7)*INDEX('DEFAULT DATA'!$VD$9:$VJ$41,START!$C$3,7)/1000000</f>
        <v>0</v>
      </c>
      <c r="AZ201" s="272">
        <f>AZ$136*INDEX('DEFAULT DATA'!$AIE$9:$AIL$41,START!$C$3,7)*INDEX('DEFAULT DATA'!$VD$9:$VJ$41,START!$C$3,7)/1000000</f>
        <v>0</v>
      </c>
      <c r="BA201" s="272">
        <f>BA$136*INDEX('DEFAULT DATA'!$AIE$9:$AIL$41,START!$C$3,7)*INDEX('DEFAULT DATA'!$VD$9:$VJ$41,START!$C$3,7)/1000000</f>
        <v>0</v>
      </c>
      <c r="BB201" s="272">
        <f>BB$136*INDEX('DEFAULT DATA'!$AIE$9:$AIL$41,START!$C$3,7)*INDEX('DEFAULT DATA'!$VD$9:$VJ$41,START!$C$3,7)/1000000</f>
        <v>0</v>
      </c>
      <c r="BC201" s="272">
        <f>BC$136*INDEX('DEFAULT DATA'!$AIE$9:$AIL$41,START!$C$3,7)*INDEX('DEFAULT DATA'!$VD$9:$VJ$41,START!$C$3,7)/1000000</f>
        <v>0</v>
      </c>
      <c r="BD201" s="272">
        <f>BD$136*INDEX('DEFAULT DATA'!$AIE$9:$AIL$41,START!$C$3,7)*INDEX('DEFAULT DATA'!$VD$9:$VJ$41,START!$C$3,7)/1000000</f>
        <v>0</v>
      </c>
      <c r="BE201" s="272">
        <f>BE$136*INDEX('DEFAULT DATA'!$AIE$9:$AIL$41,START!$C$3,7)*INDEX('DEFAULT DATA'!$VD$9:$VJ$41,START!$C$3,7)/1000000</f>
        <v>0</v>
      </c>
      <c r="BF201" s="272">
        <f>BF$136*INDEX('DEFAULT DATA'!$AIE$9:$AIL$41,START!$C$3,7)*INDEX('DEFAULT DATA'!$VD$9:$VJ$41,START!$C$3,7)/1000000</f>
        <v>0</v>
      </c>
      <c r="BG201" s="272">
        <f>BG$136*INDEX('DEFAULT DATA'!$AIE$9:$AIL$41,START!$C$3,7)*INDEX('DEFAULT DATA'!$VD$9:$VJ$41,START!$C$3,7)/1000000</f>
        <v>0</v>
      </c>
      <c r="BH201" s="272">
        <f>BH$136*INDEX('DEFAULT DATA'!$AIE$9:$AIL$41,START!$C$3,7)*INDEX('DEFAULT DATA'!$VD$9:$VJ$41,START!$C$3,7)/1000000</f>
        <v>0</v>
      </c>
      <c r="BI201" s="272">
        <f>BI$136*INDEX('DEFAULT DATA'!$AIE$9:$AIL$41,START!$C$3,7)*INDEX('DEFAULT DATA'!$VD$9:$VJ$41,START!$C$3,7)/1000000</f>
        <v>0</v>
      </c>
      <c r="BJ201" s="272">
        <f>BJ$136*INDEX('DEFAULT DATA'!$AIE$9:$AIL$41,START!$C$3,7)*INDEX('DEFAULT DATA'!$VD$9:$VJ$41,START!$C$3,7)/1000000</f>
        <v>0</v>
      </c>
      <c r="BK201" s="272">
        <f>BK$136*INDEX('DEFAULT DATA'!$AIE$9:$AIL$41,START!$C$3,7)*INDEX('DEFAULT DATA'!$VD$9:$VJ$41,START!$C$3,7)/1000000</f>
        <v>0</v>
      </c>
      <c r="BL201" s="272">
        <f>BL$136*INDEX('DEFAULT DATA'!$AIE$9:$AIL$41,START!$C$3,7)*INDEX('DEFAULT DATA'!$VD$9:$VJ$41,START!$C$3,7)/1000000</f>
        <v>0</v>
      </c>
      <c r="BM201" s="272">
        <f>BM$136*INDEX('DEFAULT DATA'!$AIE$9:$AIL$41,START!$C$3,7)*INDEX('DEFAULT DATA'!$VD$9:$VJ$41,START!$C$3,7)/1000000</f>
        <v>0</v>
      </c>
      <c r="BN201" s="272">
        <f>BN$136*INDEX('DEFAULT DATA'!$AIE$9:$AIL$41,START!$C$3,7)*INDEX('DEFAULT DATA'!$VD$9:$VJ$41,START!$C$3,7)/1000000</f>
        <v>0</v>
      </c>
      <c r="BP201" s="544" t="str">
        <f t="shared" si="108"/>
        <v>Renewable</v>
      </c>
      <c r="BQ201" s="545" t="s">
        <v>1856</v>
      </c>
      <c r="BR201" s="546"/>
      <c r="BS201" s="546"/>
      <c r="BT201" s="546"/>
      <c r="BU201" s="546"/>
      <c r="BV201" s="546"/>
      <c r="BW201" s="546"/>
      <c r="BX201" s="546"/>
      <c r="BY201" s="546"/>
      <c r="BZ201" s="546"/>
      <c r="CA201" s="546"/>
      <c r="CB201" s="546"/>
      <c r="CC201" s="546"/>
      <c r="CD201" s="546"/>
      <c r="CE201" s="546"/>
      <c r="CF201" s="546"/>
      <c r="CG201" s="547"/>
      <c r="CH201" s="543" t="s">
        <v>1813</v>
      </c>
      <c r="CI201" s="543" t="s">
        <v>1625</v>
      </c>
    </row>
    <row r="202" spans="1:87" ht="20.100000000000001" customHeight="1" thickBot="1">
      <c r="A202" s="28"/>
      <c r="B202" s="971"/>
      <c r="C202" s="971"/>
      <c r="D202" s="971"/>
      <c r="E202" s="971"/>
      <c r="F202" s="971"/>
      <c r="G202" s="971"/>
      <c r="H202" s="971"/>
      <c r="I202" s="971"/>
      <c r="J202" s="971"/>
      <c r="K202" s="971"/>
      <c r="L202" s="971"/>
      <c r="M202" s="968"/>
      <c r="N202" s="971"/>
      <c r="O202" s="971"/>
      <c r="P202" s="971"/>
      <c r="Q202" s="971"/>
      <c r="R202" s="971"/>
      <c r="S202" s="971"/>
      <c r="T202" s="971"/>
      <c r="U202" s="971"/>
      <c r="V202" s="971"/>
      <c r="W202" s="971"/>
      <c r="X202" s="971"/>
      <c r="Y202" s="971"/>
      <c r="Z202" s="971"/>
      <c r="AA202" s="971"/>
      <c r="AB202" s="971"/>
      <c r="AC202" s="971"/>
      <c r="AD202" s="971"/>
      <c r="AE202" s="971"/>
      <c r="AF202" s="1503"/>
      <c r="AG202" s="498" t="s">
        <v>1226</v>
      </c>
      <c r="AH202" s="499"/>
      <c r="AI202" s="499"/>
      <c r="AJ202" s="340"/>
      <c r="AK202" s="320">
        <v>0</v>
      </c>
      <c r="AL202" s="325">
        <f>AL$136*INDEX('DEFAULT DATA'!$AIE$9:$AIL$41,START!$C$3,8)*BUILDINGS!AL6/1000000</f>
        <v>0</v>
      </c>
      <c r="AM202" s="325">
        <f>AM$136*INDEX('DEFAULT DATA'!$AIE$9:$AIL$41,START!$C$3,8)*BUILDINGS!AM6/1000000</f>
        <v>0</v>
      </c>
      <c r="AN202" s="325">
        <f>AN$136*INDEX('DEFAULT DATA'!$AIE$9:$AIL$41,START!$C$3,8)*BUILDINGS!AN6/1000000</f>
        <v>0</v>
      </c>
      <c r="AO202" s="325">
        <f>AO$136*INDEX('DEFAULT DATA'!$AIE$9:$AIL$41,START!$C$3,8)*BUILDINGS!AO6/1000000</f>
        <v>0</v>
      </c>
      <c r="AP202" s="325">
        <f>AP$136*INDEX('DEFAULT DATA'!$AIE$9:$AIL$41,START!$C$3,8)*BUILDINGS!AP6/1000000</f>
        <v>0</v>
      </c>
      <c r="AQ202" s="325">
        <f>AQ$136*INDEX('DEFAULT DATA'!$AIE$9:$AIL$41,START!$C$3,8)*BUILDINGS!AQ6/1000000</f>
        <v>0</v>
      </c>
      <c r="AR202" s="325">
        <f>AR$136*INDEX('DEFAULT DATA'!$AIE$9:$AIL$41,START!$C$3,8)*BUILDINGS!AR6/1000000</f>
        <v>0</v>
      </c>
      <c r="AS202" s="325">
        <f>AS$136*INDEX('DEFAULT DATA'!$AIE$9:$AIL$41,START!$C$3,8)*BUILDINGS!AS6/1000000</f>
        <v>0</v>
      </c>
      <c r="AT202" s="325">
        <f>AT$136*INDEX('DEFAULT DATA'!$AIE$9:$AIL$41,START!$C$3,8)*BUILDINGS!AT6/1000000</f>
        <v>0</v>
      </c>
      <c r="AU202" s="325">
        <f>AU$136*INDEX('DEFAULT DATA'!$AIE$9:$AIL$41,START!$C$3,8)*BUILDINGS!AU6/1000000</f>
        <v>0</v>
      </c>
      <c r="AV202" s="325">
        <f>AV$136*INDEX('DEFAULT DATA'!$AIE$9:$AIL$41,START!$C$3,8)*BUILDINGS!AV6/1000000</f>
        <v>0</v>
      </c>
      <c r="AW202" s="325">
        <f>AW$136*INDEX('DEFAULT DATA'!$AIE$9:$AIL$41,START!$C$3,8)*BUILDINGS!AW6/1000000</f>
        <v>0</v>
      </c>
      <c r="AX202" s="325">
        <f>AX$136*INDEX('DEFAULT DATA'!$AIE$9:$AIL$41,START!$C$3,8)*BUILDINGS!AX6/1000000</f>
        <v>0</v>
      </c>
      <c r="AY202" s="325">
        <f>AY$136*INDEX('DEFAULT DATA'!$AIE$9:$AIL$41,START!$C$3,8)*BUILDINGS!AY6/1000000</f>
        <v>0</v>
      </c>
      <c r="AZ202" s="325">
        <f>AZ$136*INDEX('DEFAULT DATA'!$AIE$9:$AIL$41,START!$C$3,8)*BUILDINGS!AZ6/1000000</f>
        <v>0</v>
      </c>
      <c r="BA202" s="325">
        <f>BA$136*INDEX('DEFAULT DATA'!$AIE$9:$AIL$41,START!$C$3,8)*BUILDINGS!BA6/1000000</f>
        <v>0</v>
      </c>
      <c r="BB202" s="325">
        <f>BB$136*INDEX('DEFAULT DATA'!$AIE$9:$AIL$41,START!$C$3,8)*BUILDINGS!BB6/1000000</f>
        <v>0</v>
      </c>
      <c r="BC202" s="325">
        <f>BC$136*INDEX('DEFAULT DATA'!$AIE$9:$AIL$41,START!$C$3,8)*BUILDINGS!BC6/1000000</f>
        <v>0</v>
      </c>
      <c r="BD202" s="325">
        <f>BD$136*INDEX('DEFAULT DATA'!$AIE$9:$AIL$41,START!$C$3,8)*BUILDINGS!BD6/1000000</f>
        <v>0</v>
      </c>
      <c r="BE202" s="325">
        <f>BE$136*INDEX('DEFAULT DATA'!$AIE$9:$AIL$41,START!$C$3,8)*BUILDINGS!BE6/1000000</f>
        <v>0</v>
      </c>
      <c r="BF202" s="325">
        <f>BF$136*INDEX('DEFAULT DATA'!$AIE$9:$AIL$41,START!$C$3,8)*BUILDINGS!BF6/1000000</f>
        <v>0</v>
      </c>
      <c r="BG202" s="325">
        <f>BG$136*INDEX('DEFAULT DATA'!$AIE$9:$AIL$41,START!$C$3,8)*BUILDINGS!BG6/1000000</f>
        <v>0</v>
      </c>
      <c r="BH202" s="325">
        <f>BH$136*INDEX('DEFAULT DATA'!$AIE$9:$AIL$41,START!$C$3,8)*BUILDINGS!BH6/1000000</f>
        <v>0</v>
      </c>
      <c r="BI202" s="325">
        <f>BI$136*INDEX('DEFAULT DATA'!$AIE$9:$AIL$41,START!$C$3,8)*BUILDINGS!BI6/1000000</f>
        <v>0</v>
      </c>
      <c r="BJ202" s="325">
        <f>BJ$136*INDEX('DEFAULT DATA'!$AIE$9:$AIL$41,START!$C$3,8)*BUILDINGS!BJ6/1000000</f>
        <v>0</v>
      </c>
      <c r="BK202" s="325">
        <f>BK$136*INDEX('DEFAULT DATA'!$AIE$9:$AIL$41,START!$C$3,8)*BUILDINGS!BK6/1000000</f>
        <v>0</v>
      </c>
      <c r="BL202" s="325">
        <f>BL$136*INDEX('DEFAULT DATA'!$AIE$9:$AIL$41,START!$C$3,8)*BUILDINGS!BL6/1000000</f>
        <v>0</v>
      </c>
      <c r="BM202" s="325">
        <f>BM$136*INDEX('DEFAULT DATA'!$AIE$9:$AIL$41,START!$C$3,8)*BUILDINGS!BM6/1000000</f>
        <v>0</v>
      </c>
      <c r="BN202" s="325">
        <f>BN$136*INDEX('DEFAULT DATA'!$AIE$9:$AIL$41,START!$C$3,8)*BUILDINGS!BN6/1000000</f>
        <v>0</v>
      </c>
      <c r="BP202" s="548" t="str">
        <f t="shared" si="108"/>
        <v>Heat</v>
      </c>
      <c r="BQ202" s="549" t="s">
        <v>1857</v>
      </c>
      <c r="BR202" s="550"/>
      <c r="BS202" s="550"/>
      <c r="BT202" s="550"/>
      <c r="BU202" s="550"/>
      <c r="BV202" s="550"/>
      <c r="BW202" s="550"/>
      <c r="BX202" s="550"/>
      <c r="BY202" s="550"/>
      <c r="BZ202" s="550"/>
      <c r="CA202" s="550"/>
      <c r="CB202" s="550"/>
      <c r="CC202" s="550"/>
      <c r="CD202" s="550"/>
      <c r="CE202" s="550"/>
      <c r="CF202" s="550"/>
      <c r="CG202" s="551"/>
      <c r="CH202" s="543" t="s">
        <v>1814</v>
      </c>
      <c r="CI202" s="543" t="s">
        <v>1626</v>
      </c>
    </row>
    <row r="203" spans="1:87" ht="20.100000000000001" customHeight="1">
      <c r="A203" s="28"/>
      <c r="B203" s="971"/>
      <c r="C203" s="971"/>
      <c r="D203" s="971"/>
      <c r="E203" s="971"/>
      <c r="F203" s="971"/>
      <c r="G203" s="971"/>
      <c r="H203" s="971"/>
      <c r="I203" s="971"/>
      <c r="J203" s="971"/>
      <c r="K203" s="971"/>
      <c r="L203" s="971"/>
      <c r="M203" s="968"/>
      <c r="N203" s="971"/>
      <c r="O203" s="971"/>
      <c r="P203" s="971"/>
      <c r="Q203" s="971"/>
      <c r="R203" s="971"/>
      <c r="S203" s="971"/>
      <c r="T203" s="971"/>
      <c r="U203" s="971"/>
      <c r="V203" s="971"/>
      <c r="W203" s="971"/>
      <c r="X203" s="971"/>
      <c r="Y203" s="971"/>
      <c r="Z203" s="971"/>
      <c r="AA203" s="971"/>
      <c r="AB203" s="971"/>
      <c r="AC203" s="971"/>
      <c r="AD203" s="971"/>
      <c r="AE203" s="971"/>
      <c r="AF203" s="332"/>
      <c r="AG203" s="505" t="s">
        <v>310</v>
      </c>
      <c r="AH203" s="506"/>
      <c r="AI203" s="506"/>
      <c r="AJ203" s="507"/>
      <c r="AK203" s="316">
        <f>SUM(AK195:AK202)</f>
        <v>0</v>
      </c>
      <c r="AL203" s="327">
        <f t="shared" ref="AL203" si="109">SUM(AL195:AL202)</f>
        <v>0</v>
      </c>
      <c r="AM203" s="327">
        <f t="shared" ref="AM203:BN203" si="110">SUM(AM195:AM202)</f>
        <v>0</v>
      </c>
      <c r="AN203" s="327">
        <f t="shared" si="110"/>
        <v>0</v>
      </c>
      <c r="AO203" s="327">
        <f t="shared" si="110"/>
        <v>0</v>
      </c>
      <c r="AP203" s="327">
        <f t="shared" si="110"/>
        <v>0</v>
      </c>
      <c r="AQ203" s="327">
        <f t="shared" si="110"/>
        <v>0</v>
      </c>
      <c r="AR203" s="327">
        <f t="shared" si="110"/>
        <v>0</v>
      </c>
      <c r="AS203" s="327">
        <f t="shared" si="110"/>
        <v>0</v>
      </c>
      <c r="AT203" s="327">
        <f t="shared" si="110"/>
        <v>0</v>
      </c>
      <c r="AU203" s="327">
        <f t="shared" si="110"/>
        <v>0</v>
      </c>
      <c r="AV203" s="327">
        <f t="shared" si="110"/>
        <v>0</v>
      </c>
      <c r="AW203" s="327">
        <f t="shared" si="110"/>
        <v>0</v>
      </c>
      <c r="AX203" s="327">
        <f t="shared" si="110"/>
        <v>0</v>
      </c>
      <c r="AY203" s="327">
        <f t="shared" si="110"/>
        <v>0</v>
      </c>
      <c r="AZ203" s="327">
        <f t="shared" si="110"/>
        <v>0</v>
      </c>
      <c r="BA203" s="327">
        <f t="shared" si="110"/>
        <v>0</v>
      </c>
      <c r="BB203" s="327">
        <f t="shared" si="110"/>
        <v>0</v>
      </c>
      <c r="BC203" s="327">
        <f t="shared" si="110"/>
        <v>0</v>
      </c>
      <c r="BD203" s="327">
        <f t="shared" si="110"/>
        <v>0</v>
      </c>
      <c r="BE203" s="327">
        <f t="shared" si="110"/>
        <v>0</v>
      </c>
      <c r="BF203" s="327">
        <f t="shared" si="110"/>
        <v>0</v>
      </c>
      <c r="BG203" s="327">
        <f t="shared" si="110"/>
        <v>0</v>
      </c>
      <c r="BH203" s="327">
        <f t="shared" si="110"/>
        <v>0</v>
      </c>
      <c r="BI203" s="327">
        <f t="shared" si="110"/>
        <v>0</v>
      </c>
      <c r="BJ203" s="327">
        <f t="shared" si="110"/>
        <v>0</v>
      </c>
      <c r="BK203" s="327">
        <f t="shared" si="110"/>
        <v>0</v>
      </c>
      <c r="BL203" s="327">
        <f t="shared" si="110"/>
        <v>0</v>
      </c>
      <c r="BM203" s="327">
        <f t="shared" si="110"/>
        <v>0</v>
      </c>
      <c r="BN203" s="327">
        <f t="shared" si="110"/>
        <v>0</v>
      </c>
      <c r="BQ203" s="17"/>
    </row>
    <row r="204" spans="1:87" ht="20.100000000000001" customHeight="1">
      <c r="A204" s="28"/>
      <c r="B204" s="971"/>
      <c r="C204" s="971"/>
      <c r="D204" s="971"/>
      <c r="E204" s="971"/>
      <c r="F204" s="971"/>
      <c r="G204" s="971"/>
      <c r="H204" s="971"/>
      <c r="I204" s="971"/>
      <c r="J204" s="971"/>
      <c r="K204" s="971"/>
      <c r="L204" s="971"/>
      <c r="M204" s="968"/>
      <c r="N204" s="971"/>
      <c r="O204" s="971"/>
      <c r="P204" s="971"/>
      <c r="Q204" s="971"/>
      <c r="R204" s="971"/>
      <c r="S204" s="971"/>
      <c r="T204" s="971"/>
      <c r="U204" s="971"/>
      <c r="V204" s="971"/>
      <c r="W204" s="971"/>
      <c r="X204" s="971"/>
      <c r="Y204" s="971"/>
      <c r="Z204" s="971"/>
      <c r="AA204" s="971"/>
      <c r="AB204" s="971"/>
      <c r="AC204" s="971"/>
      <c r="AD204" s="971"/>
      <c r="AE204" s="971"/>
      <c r="BQ204" s="17"/>
    </row>
    <row r="205" spans="1:87" ht="20.100000000000001" customHeight="1">
      <c r="A205" s="28"/>
      <c r="B205" s="971"/>
      <c r="C205" s="971"/>
      <c r="D205" s="971"/>
      <c r="E205" s="971"/>
      <c r="F205" s="971"/>
      <c r="G205" s="971"/>
      <c r="H205" s="971"/>
      <c r="I205" s="971"/>
      <c r="J205" s="971"/>
      <c r="K205" s="971"/>
      <c r="L205" s="971"/>
      <c r="M205" s="968"/>
      <c r="N205" s="971"/>
      <c r="O205" s="971"/>
      <c r="P205" s="971"/>
      <c r="Q205" s="971"/>
      <c r="R205" s="971"/>
      <c r="S205" s="971"/>
      <c r="T205" s="971"/>
      <c r="U205" s="971"/>
      <c r="V205" s="971"/>
      <c r="W205" s="971"/>
      <c r="X205" s="971"/>
      <c r="Y205" s="971"/>
      <c r="Z205" s="971"/>
      <c r="AA205" s="971"/>
      <c r="AB205" s="971"/>
      <c r="AC205" s="971"/>
      <c r="AD205" s="971"/>
      <c r="AE205" s="971"/>
      <c r="BQ205" s="17"/>
      <c r="CH205" s="1560" t="s">
        <v>1767</v>
      </c>
      <c r="CI205" s="392"/>
    </row>
    <row r="206" spans="1:87" ht="20.100000000000001" customHeight="1">
      <c r="A206" s="28"/>
      <c r="B206" s="971"/>
      <c r="C206" s="971"/>
      <c r="D206" s="971"/>
      <c r="E206" s="971"/>
      <c r="F206" s="971"/>
      <c r="G206" s="971"/>
      <c r="H206" s="971"/>
      <c r="I206" s="971"/>
      <c r="J206" s="971"/>
      <c r="K206" s="971"/>
      <c r="L206" s="971"/>
      <c r="M206" s="968"/>
      <c r="N206" s="971"/>
      <c r="O206" s="971"/>
      <c r="P206" s="971"/>
      <c r="Q206" s="971"/>
      <c r="R206" s="971"/>
      <c r="S206" s="971"/>
      <c r="T206" s="971"/>
      <c r="U206" s="971"/>
      <c r="V206" s="971"/>
      <c r="W206" s="971"/>
      <c r="X206" s="971"/>
      <c r="Y206" s="971"/>
      <c r="Z206" s="971"/>
      <c r="AA206" s="971"/>
      <c r="AB206" s="971"/>
      <c r="AC206" s="971"/>
      <c r="AD206" s="971"/>
      <c r="AE206" s="971"/>
      <c r="AF206" s="271" t="s">
        <v>1410</v>
      </c>
      <c r="BQ206" s="17"/>
      <c r="CH206" s="1560"/>
      <c r="CI206" s="392"/>
    </row>
    <row r="207" spans="1:87" ht="20.100000000000001" customHeight="1">
      <c r="A207" s="28"/>
      <c r="B207" s="971"/>
      <c r="C207" s="971"/>
      <c r="D207" s="971"/>
      <c r="E207" s="971"/>
      <c r="F207" s="971"/>
      <c r="G207" s="971"/>
      <c r="H207" s="971"/>
      <c r="I207" s="971"/>
      <c r="J207" s="971"/>
      <c r="K207" s="971"/>
      <c r="L207" s="971"/>
      <c r="M207" s="968"/>
      <c r="N207" s="971"/>
      <c r="O207" s="971"/>
      <c r="P207" s="971"/>
      <c r="Q207" s="971"/>
      <c r="R207" s="971"/>
      <c r="S207" s="971"/>
      <c r="T207" s="971"/>
      <c r="U207" s="971"/>
      <c r="V207" s="971"/>
      <c r="W207" s="971"/>
      <c r="X207" s="971"/>
      <c r="Y207" s="971"/>
      <c r="Z207" s="971"/>
      <c r="AA207" s="971"/>
      <c r="AB207" s="971"/>
      <c r="AC207" s="971"/>
      <c r="AD207" s="971"/>
      <c r="AE207" s="971"/>
      <c r="AF207" s="269" t="s">
        <v>1380</v>
      </c>
      <c r="AG207" s="508" t="s">
        <v>1363</v>
      </c>
      <c r="AH207" s="486"/>
      <c r="AI207" s="486"/>
      <c r="AJ207" s="487"/>
      <c r="AK207" s="262">
        <v>2021</v>
      </c>
      <c r="AL207" s="262">
        <f>AK207+1</f>
        <v>2022</v>
      </c>
      <c r="AM207" s="262">
        <f t="shared" ref="AM207:BN207" si="111">AL207+1</f>
        <v>2023</v>
      </c>
      <c r="AN207" s="262">
        <f t="shared" si="111"/>
        <v>2024</v>
      </c>
      <c r="AO207" s="262">
        <f t="shared" si="111"/>
        <v>2025</v>
      </c>
      <c r="AP207" s="262">
        <f t="shared" si="111"/>
        <v>2026</v>
      </c>
      <c r="AQ207" s="262">
        <f t="shared" si="111"/>
        <v>2027</v>
      </c>
      <c r="AR207" s="262">
        <f t="shared" si="111"/>
        <v>2028</v>
      </c>
      <c r="AS207" s="262">
        <f t="shared" si="111"/>
        <v>2029</v>
      </c>
      <c r="AT207" s="262">
        <f t="shared" si="111"/>
        <v>2030</v>
      </c>
      <c r="AU207" s="262">
        <f t="shared" si="111"/>
        <v>2031</v>
      </c>
      <c r="AV207" s="262">
        <f t="shared" si="111"/>
        <v>2032</v>
      </c>
      <c r="AW207" s="262">
        <f t="shared" si="111"/>
        <v>2033</v>
      </c>
      <c r="AX207" s="262">
        <f t="shared" si="111"/>
        <v>2034</v>
      </c>
      <c r="AY207" s="262">
        <f t="shared" si="111"/>
        <v>2035</v>
      </c>
      <c r="AZ207" s="262">
        <f t="shared" si="111"/>
        <v>2036</v>
      </c>
      <c r="BA207" s="262">
        <f t="shared" si="111"/>
        <v>2037</v>
      </c>
      <c r="BB207" s="262">
        <f t="shared" si="111"/>
        <v>2038</v>
      </c>
      <c r="BC207" s="262">
        <f t="shared" si="111"/>
        <v>2039</v>
      </c>
      <c r="BD207" s="262">
        <f t="shared" si="111"/>
        <v>2040</v>
      </c>
      <c r="BE207" s="262">
        <f t="shared" si="111"/>
        <v>2041</v>
      </c>
      <c r="BF207" s="262">
        <f t="shared" si="111"/>
        <v>2042</v>
      </c>
      <c r="BG207" s="262">
        <f t="shared" si="111"/>
        <v>2043</v>
      </c>
      <c r="BH207" s="262">
        <f t="shared" si="111"/>
        <v>2044</v>
      </c>
      <c r="BI207" s="262">
        <f t="shared" si="111"/>
        <v>2045</v>
      </c>
      <c r="BJ207" s="262">
        <f t="shared" si="111"/>
        <v>2046</v>
      </c>
      <c r="BK207" s="262">
        <f t="shared" si="111"/>
        <v>2047</v>
      </c>
      <c r="BL207" s="262">
        <f t="shared" si="111"/>
        <v>2048</v>
      </c>
      <c r="BM207" s="262">
        <f t="shared" si="111"/>
        <v>2049</v>
      </c>
      <c r="BN207" s="262">
        <f t="shared" si="111"/>
        <v>2050</v>
      </c>
      <c r="BP207" s="17" t="s">
        <v>1778</v>
      </c>
      <c r="BQ207" s="17"/>
      <c r="CH207" s="395" t="s">
        <v>1769</v>
      </c>
      <c r="CI207" s="392" t="s">
        <v>1598</v>
      </c>
    </row>
    <row r="208" spans="1:87" ht="20.100000000000001" customHeight="1">
      <c r="A208" s="28"/>
      <c r="B208" s="971"/>
      <c r="C208" s="971"/>
      <c r="D208" s="971"/>
      <c r="E208" s="971"/>
      <c r="F208" s="971"/>
      <c r="G208" s="971"/>
      <c r="H208" s="971"/>
      <c r="I208" s="971"/>
      <c r="J208" s="971"/>
      <c r="K208" s="971"/>
      <c r="L208" s="971"/>
      <c r="M208" s="968"/>
      <c r="N208" s="971"/>
      <c r="O208" s="971"/>
      <c r="P208" s="971"/>
      <c r="Q208" s="971"/>
      <c r="R208" s="971"/>
      <c r="S208" s="971"/>
      <c r="T208" s="971"/>
      <c r="U208" s="971"/>
      <c r="V208" s="971"/>
      <c r="W208" s="971"/>
      <c r="X208" s="971"/>
      <c r="Y208" s="971"/>
      <c r="Z208" s="971"/>
      <c r="AA208" s="971"/>
      <c r="AB208" s="971"/>
      <c r="AC208" s="971"/>
      <c r="AD208" s="971"/>
      <c r="AE208" s="971"/>
      <c r="AF208" s="1501" t="s">
        <v>1233</v>
      </c>
      <c r="AG208" s="508" t="s">
        <v>933</v>
      </c>
      <c r="AH208" s="486"/>
      <c r="AI208" s="486"/>
      <c r="AJ208" s="487"/>
      <c r="AK208" s="220">
        <v>0</v>
      </c>
      <c r="AL208" s="272">
        <f>AL$137*INDEX('DEFAULT DATA'!$AIM$9:$AIT$41,START!$C$3,1)*BUILDINGS!AL5/1000000</f>
        <v>0</v>
      </c>
      <c r="AM208" s="272">
        <f>AM$137*INDEX('DEFAULT DATA'!$AIM$9:$AIT$41,START!$C$3,1)*BUILDINGS!AM5/1000000</f>
        <v>0</v>
      </c>
      <c r="AN208" s="272">
        <f>AN$137*INDEX('DEFAULT DATA'!$AIM$9:$AIT$41,START!$C$3,1)*BUILDINGS!AN5/1000000</f>
        <v>0</v>
      </c>
      <c r="AO208" s="272">
        <f>AO$137*INDEX('DEFAULT DATA'!$AIM$9:$AIT$41,START!$C$3,1)*BUILDINGS!AO5/1000000</f>
        <v>0</v>
      </c>
      <c r="AP208" s="272">
        <f>AP$137*INDEX('DEFAULT DATA'!$AIM$9:$AIT$41,START!$C$3,1)*BUILDINGS!AP5/1000000</f>
        <v>0</v>
      </c>
      <c r="AQ208" s="272">
        <f>AQ$137*INDEX('DEFAULT DATA'!$AIM$9:$AIT$41,START!$C$3,1)*BUILDINGS!AQ5/1000000</f>
        <v>0</v>
      </c>
      <c r="AR208" s="272">
        <f>AR$137*INDEX('DEFAULT DATA'!$AIM$9:$AIT$41,START!$C$3,1)*BUILDINGS!AR5/1000000</f>
        <v>0</v>
      </c>
      <c r="AS208" s="272">
        <f>AS$137*INDEX('DEFAULT DATA'!$AIM$9:$AIT$41,START!$C$3,1)*BUILDINGS!AS5/1000000</f>
        <v>0</v>
      </c>
      <c r="AT208" s="272">
        <f>AT$137*INDEX('DEFAULT DATA'!$AIM$9:$AIT$41,START!$C$3,1)*BUILDINGS!AT5/1000000</f>
        <v>0</v>
      </c>
      <c r="AU208" s="272">
        <f>AU$137*INDEX('DEFAULT DATA'!$AIM$9:$AIT$41,START!$C$3,1)*BUILDINGS!AU5/1000000</f>
        <v>0</v>
      </c>
      <c r="AV208" s="272">
        <f>AV$137*INDEX('DEFAULT DATA'!$AIM$9:$AIT$41,START!$C$3,1)*BUILDINGS!AV5/1000000</f>
        <v>0</v>
      </c>
      <c r="AW208" s="272">
        <f>AW$137*INDEX('DEFAULT DATA'!$AIM$9:$AIT$41,START!$C$3,1)*BUILDINGS!AW5/1000000</f>
        <v>0</v>
      </c>
      <c r="AX208" s="272">
        <f>AX$137*INDEX('DEFAULT DATA'!$AIM$9:$AIT$41,START!$C$3,1)*BUILDINGS!AX5/1000000</f>
        <v>0</v>
      </c>
      <c r="AY208" s="272">
        <f>AY$137*INDEX('DEFAULT DATA'!$AIM$9:$AIT$41,START!$C$3,1)*BUILDINGS!AY5/1000000</f>
        <v>0</v>
      </c>
      <c r="AZ208" s="272">
        <f>AZ$137*INDEX('DEFAULT DATA'!$AIM$9:$AIT$41,START!$C$3,1)*BUILDINGS!AZ5/1000000</f>
        <v>0</v>
      </c>
      <c r="BA208" s="272">
        <f>BA$137*INDEX('DEFAULT DATA'!$AIM$9:$AIT$41,START!$C$3,1)*BUILDINGS!BA5/1000000</f>
        <v>0</v>
      </c>
      <c r="BB208" s="272">
        <f>BB$137*INDEX('DEFAULT DATA'!$AIM$9:$AIT$41,START!$C$3,1)*BUILDINGS!BB5/1000000</f>
        <v>0</v>
      </c>
      <c r="BC208" s="272">
        <f>BC$137*INDEX('DEFAULT DATA'!$AIM$9:$AIT$41,START!$C$3,1)*BUILDINGS!BC5/1000000</f>
        <v>0</v>
      </c>
      <c r="BD208" s="272">
        <f>BD$137*INDEX('DEFAULT DATA'!$AIM$9:$AIT$41,START!$C$3,1)*BUILDINGS!BD5/1000000</f>
        <v>0</v>
      </c>
      <c r="BE208" s="272">
        <f>BE$137*INDEX('DEFAULT DATA'!$AIM$9:$AIT$41,START!$C$3,1)*BUILDINGS!BE5/1000000</f>
        <v>0</v>
      </c>
      <c r="BF208" s="272">
        <f>BF$137*INDEX('DEFAULT DATA'!$AIM$9:$AIT$41,START!$C$3,1)*BUILDINGS!BF5/1000000</f>
        <v>0</v>
      </c>
      <c r="BG208" s="272">
        <f>BG$137*INDEX('DEFAULT DATA'!$AIM$9:$AIT$41,START!$C$3,1)*BUILDINGS!BG5/1000000</f>
        <v>0</v>
      </c>
      <c r="BH208" s="272">
        <f>BH$137*INDEX('DEFAULT DATA'!$AIM$9:$AIT$41,START!$C$3,1)*BUILDINGS!BH5/1000000</f>
        <v>0</v>
      </c>
      <c r="BI208" s="272">
        <f>BI$137*INDEX('DEFAULT DATA'!$AIM$9:$AIT$41,START!$C$3,1)*BUILDINGS!BI5/1000000</f>
        <v>0</v>
      </c>
      <c r="BJ208" s="272">
        <f>BJ$137*INDEX('DEFAULT DATA'!$AIM$9:$AIT$41,START!$C$3,1)*BUILDINGS!BJ5/1000000</f>
        <v>0</v>
      </c>
      <c r="BK208" s="272">
        <f>BK$137*INDEX('DEFAULT DATA'!$AIM$9:$AIT$41,START!$C$3,1)*BUILDINGS!BK5/1000000</f>
        <v>0</v>
      </c>
      <c r="BL208" s="272">
        <f>BL$137*INDEX('DEFAULT DATA'!$AIM$9:$AIT$41,START!$C$3,1)*BUILDINGS!BL5/1000000</f>
        <v>0</v>
      </c>
      <c r="BM208" s="272">
        <f>BM$137*INDEX('DEFAULT DATA'!$AIM$9:$AIT$41,START!$C$3,1)*BUILDINGS!BM5/1000000</f>
        <v>0</v>
      </c>
      <c r="BN208" s="272">
        <f>BN$137*INDEX('DEFAULT DATA'!$AIM$9:$AIT$41,START!$C$3,1)*BUILDINGS!BN5/1000000</f>
        <v>0</v>
      </c>
      <c r="BP208" s="539" t="str">
        <f>AG208</f>
        <v>Electricity</v>
      </c>
      <c r="BQ208" s="540" t="s">
        <v>1871</v>
      </c>
      <c r="BR208" s="541"/>
      <c r="BS208" s="541"/>
      <c r="BT208" s="541"/>
      <c r="BU208" s="541"/>
      <c r="BV208" s="541"/>
      <c r="BW208" s="541"/>
      <c r="BX208" s="541"/>
      <c r="BY208" s="541"/>
      <c r="BZ208" s="541"/>
      <c r="CA208" s="541"/>
      <c r="CB208" s="541"/>
      <c r="CC208" s="541"/>
      <c r="CD208" s="541"/>
      <c r="CE208" s="541"/>
      <c r="CF208" s="541"/>
      <c r="CG208" s="542"/>
      <c r="CH208" s="543" t="s">
        <v>1815</v>
      </c>
      <c r="CI208" s="543" t="s">
        <v>1599</v>
      </c>
    </row>
    <row r="209" spans="1:87" ht="20.100000000000001" customHeight="1">
      <c r="A209" s="28"/>
      <c r="B209" s="971"/>
      <c r="C209" s="971"/>
      <c r="D209" s="971"/>
      <c r="E209" s="971"/>
      <c r="F209" s="971"/>
      <c r="G209" s="971"/>
      <c r="H209" s="971"/>
      <c r="I209" s="971"/>
      <c r="J209" s="971"/>
      <c r="K209" s="971"/>
      <c r="L209" s="971"/>
      <c r="M209" s="968"/>
      <c r="N209" s="971"/>
      <c r="O209" s="971"/>
      <c r="P209" s="971"/>
      <c r="Q209" s="971"/>
      <c r="R209" s="971"/>
      <c r="S209" s="971"/>
      <c r="T209" s="971"/>
      <c r="U209" s="971"/>
      <c r="V209" s="971"/>
      <c r="W209" s="971"/>
      <c r="X209" s="971"/>
      <c r="Y209" s="971"/>
      <c r="Z209" s="971"/>
      <c r="AA209" s="971"/>
      <c r="AB209" s="971"/>
      <c r="AC209" s="971"/>
      <c r="AD209" s="971"/>
      <c r="AE209" s="971"/>
      <c r="AF209" s="1502"/>
      <c r="AG209" s="508" t="s">
        <v>1220</v>
      </c>
      <c r="AH209" s="486"/>
      <c r="AI209" s="486"/>
      <c r="AJ209" s="487"/>
      <c r="AK209" s="220">
        <v>0</v>
      </c>
      <c r="AL209" s="272">
        <f>AL$137*INDEX('DEFAULT DATA'!$AIM$9:$AIT$41,START!$C$3,2)*INDEX('DEFAULT DATA'!$VD$9:$VJ$41,START!$C$3,2)/1000000</f>
        <v>0</v>
      </c>
      <c r="AM209" s="272">
        <f>AM$137*INDEX('DEFAULT DATA'!$AIM$9:$AIT$41,START!$C$3,2)*INDEX('DEFAULT DATA'!$VD$9:$VJ$41,START!$C$3,2)/1000000</f>
        <v>0</v>
      </c>
      <c r="AN209" s="272">
        <f>AN$137*INDEX('DEFAULT DATA'!$AIM$9:$AIT$41,START!$C$3,2)*INDEX('DEFAULT DATA'!$VD$9:$VJ$41,START!$C$3,2)/1000000</f>
        <v>0</v>
      </c>
      <c r="AO209" s="272">
        <f>AO$137*INDEX('DEFAULT DATA'!$AIM$9:$AIT$41,START!$C$3,2)*INDEX('DEFAULT DATA'!$VD$9:$VJ$41,START!$C$3,2)/1000000</f>
        <v>0</v>
      </c>
      <c r="AP209" s="272">
        <f>AP$137*INDEX('DEFAULT DATA'!$AIM$9:$AIT$41,START!$C$3,2)*INDEX('DEFAULT DATA'!$VD$9:$VJ$41,START!$C$3,2)/1000000</f>
        <v>0</v>
      </c>
      <c r="AQ209" s="272">
        <f>AQ$137*INDEX('DEFAULT DATA'!$AIM$9:$AIT$41,START!$C$3,2)*INDEX('DEFAULT DATA'!$VD$9:$VJ$41,START!$C$3,2)/1000000</f>
        <v>0</v>
      </c>
      <c r="AR209" s="272">
        <f>AR$137*INDEX('DEFAULT DATA'!$AIM$9:$AIT$41,START!$C$3,2)*INDEX('DEFAULT DATA'!$VD$9:$VJ$41,START!$C$3,2)/1000000</f>
        <v>0</v>
      </c>
      <c r="AS209" s="272">
        <f>AS$137*INDEX('DEFAULT DATA'!$AIM$9:$AIT$41,START!$C$3,2)*INDEX('DEFAULT DATA'!$VD$9:$VJ$41,START!$C$3,2)/1000000</f>
        <v>0</v>
      </c>
      <c r="AT209" s="272">
        <f>AT$137*INDEX('DEFAULT DATA'!$AIM$9:$AIT$41,START!$C$3,2)*INDEX('DEFAULT DATA'!$VD$9:$VJ$41,START!$C$3,2)/1000000</f>
        <v>0</v>
      </c>
      <c r="AU209" s="272">
        <f>AU$137*INDEX('DEFAULT DATA'!$AIM$9:$AIT$41,START!$C$3,2)*INDEX('DEFAULT DATA'!$VD$9:$VJ$41,START!$C$3,2)/1000000</f>
        <v>0</v>
      </c>
      <c r="AV209" s="272">
        <f>AV$137*INDEX('DEFAULT DATA'!$AIM$9:$AIT$41,START!$C$3,2)*INDEX('DEFAULT DATA'!$VD$9:$VJ$41,START!$C$3,2)/1000000</f>
        <v>0</v>
      </c>
      <c r="AW209" s="272">
        <f>AW$137*INDEX('DEFAULT DATA'!$AIM$9:$AIT$41,START!$C$3,2)*INDEX('DEFAULT DATA'!$VD$9:$VJ$41,START!$C$3,2)/1000000</f>
        <v>0</v>
      </c>
      <c r="AX209" s="272">
        <f>AX$137*INDEX('DEFAULT DATA'!$AIM$9:$AIT$41,START!$C$3,2)*INDEX('DEFAULT DATA'!$VD$9:$VJ$41,START!$C$3,2)/1000000</f>
        <v>0</v>
      </c>
      <c r="AY209" s="272">
        <f>AY$137*INDEX('DEFAULT DATA'!$AIM$9:$AIT$41,START!$C$3,2)*INDEX('DEFAULT DATA'!$VD$9:$VJ$41,START!$C$3,2)/1000000</f>
        <v>0</v>
      </c>
      <c r="AZ209" s="272">
        <f>AZ$137*INDEX('DEFAULT DATA'!$AIM$9:$AIT$41,START!$C$3,2)*INDEX('DEFAULT DATA'!$VD$9:$VJ$41,START!$C$3,2)/1000000</f>
        <v>0</v>
      </c>
      <c r="BA209" s="272">
        <f>BA$137*INDEX('DEFAULT DATA'!$AIM$9:$AIT$41,START!$C$3,2)*INDEX('DEFAULT DATA'!$VD$9:$VJ$41,START!$C$3,2)/1000000</f>
        <v>0</v>
      </c>
      <c r="BB209" s="272">
        <f>BB$137*INDEX('DEFAULT DATA'!$AIM$9:$AIT$41,START!$C$3,2)*INDEX('DEFAULT DATA'!$VD$9:$VJ$41,START!$C$3,2)/1000000</f>
        <v>0</v>
      </c>
      <c r="BC209" s="272">
        <f>BC$137*INDEX('DEFAULT DATA'!$AIM$9:$AIT$41,START!$C$3,2)*INDEX('DEFAULT DATA'!$VD$9:$VJ$41,START!$C$3,2)/1000000</f>
        <v>0</v>
      </c>
      <c r="BD209" s="272">
        <f>BD$137*INDEX('DEFAULT DATA'!$AIM$9:$AIT$41,START!$C$3,2)*INDEX('DEFAULT DATA'!$VD$9:$VJ$41,START!$C$3,2)/1000000</f>
        <v>0</v>
      </c>
      <c r="BE209" s="272">
        <f>BE$137*INDEX('DEFAULT DATA'!$AIM$9:$AIT$41,START!$C$3,2)*INDEX('DEFAULT DATA'!$VD$9:$VJ$41,START!$C$3,2)/1000000</f>
        <v>0</v>
      </c>
      <c r="BF209" s="272">
        <f>BF$137*INDEX('DEFAULT DATA'!$AIM$9:$AIT$41,START!$C$3,2)*INDEX('DEFAULT DATA'!$VD$9:$VJ$41,START!$C$3,2)/1000000</f>
        <v>0</v>
      </c>
      <c r="BG209" s="272">
        <f>BG$137*INDEX('DEFAULT DATA'!$AIM$9:$AIT$41,START!$C$3,2)*INDEX('DEFAULT DATA'!$VD$9:$VJ$41,START!$C$3,2)/1000000</f>
        <v>0</v>
      </c>
      <c r="BH209" s="272">
        <f>BH$137*INDEX('DEFAULT DATA'!$AIM$9:$AIT$41,START!$C$3,2)*INDEX('DEFAULT DATA'!$VD$9:$VJ$41,START!$C$3,2)/1000000</f>
        <v>0</v>
      </c>
      <c r="BI209" s="272">
        <f>BI$137*INDEX('DEFAULT DATA'!$AIM$9:$AIT$41,START!$C$3,2)*INDEX('DEFAULT DATA'!$VD$9:$VJ$41,START!$C$3,2)/1000000</f>
        <v>0</v>
      </c>
      <c r="BJ209" s="272">
        <f>BJ$137*INDEX('DEFAULT DATA'!$AIM$9:$AIT$41,START!$C$3,2)*INDEX('DEFAULT DATA'!$VD$9:$VJ$41,START!$C$3,2)/1000000</f>
        <v>0</v>
      </c>
      <c r="BK209" s="272">
        <f>BK$137*INDEX('DEFAULT DATA'!$AIM$9:$AIT$41,START!$C$3,2)*INDEX('DEFAULT DATA'!$VD$9:$VJ$41,START!$C$3,2)/1000000</f>
        <v>0</v>
      </c>
      <c r="BL209" s="272">
        <f>BL$137*INDEX('DEFAULT DATA'!$AIM$9:$AIT$41,START!$C$3,2)*INDEX('DEFAULT DATA'!$VD$9:$VJ$41,START!$C$3,2)/1000000</f>
        <v>0</v>
      </c>
      <c r="BM209" s="272">
        <f>BM$137*INDEX('DEFAULT DATA'!$AIM$9:$AIT$41,START!$C$3,2)*INDEX('DEFAULT DATA'!$VD$9:$VJ$41,START!$C$3,2)/1000000</f>
        <v>0</v>
      </c>
      <c r="BN209" s="272">
        <f>BN$137*INDEX('DEFAULT DATA'!$AIM$9:$AIT$41,START!$C$3,2)*INDEX('DEFAULT DATA'!$VD$9:$VJ$41,START!$C$3,2)/1000000</f>
        <v>0</v>
      </c>
      <c r="BP209" s="544" t="str">
        <f t="shared" ref="BP209:BP215" si="112">AG209</f>
        <v>Gas</v>
      </c>
      <c r="BQ209" s="545" t="s">
        <v>1858</v>
      </c>
      <c r="BR209" s="546"/>
      <c r="BS209" s="546"/>
      <c r="BT209" s="546"/>
      <c r="BU209" s="546"/>
      <c r="BV209" s="546"/>
      <c r="BW209" s="546"/>
      <c r="BX209" s="546"/>
      <c r="BY209" s="546"/>
      <c r="BZ209" s="546"/>
      <c r="CA209" s="546"/>
      <c r="CB209" s="546"/>
      <c r="CC209" s="546"/>
      <c r="CD209" s="546"/>
      <c r="CE209" s="546"/>
      <c r="CF209" s="546"/>
      <c r="CG209" s="547"/>
      <c r="CH209" s="543" t="s">
        <v>1816</v>
      </c>
      <c r="CI209" s="543" t="s">
        <v>1248</v>
      </c>
    </row>
    <row r="210" spans="1:87" ht="20.100000000000001" customHeight="1">
      <c r="A210" s="28"/>
      <c r="B210" s="971"/>
      <c r="C210" s="971"/>
      <c r="D210" s="971"/>
      <c r="E210" s="971"/>
      <c r="F210" s="971"/>
      <c r="G210" s="971"/>
      <c r="H210" s="971"/>
      <c r="I210" s="971"/>
      <c r="J210" s="971"/>
      <c r="K210" s="971"/>
      <c r="L210" s="971"/>
      <c r="M210" s="968"/>
      <c r="N210" s="971"/>
      <c r="O210" s="971"/>
      <c r="P210" s="971"/>
      <c r="Q210" s="971"/>
      <c r="R210" s="971"/>
      <c r="S210" s="971"/>
      <c r="T210" s="971"/>
      <c r="U210" s="971"/>
      <c r="V210" s="971"/>
      <c r="W210" s="971"/>
      <c r="X210" s="971"/>
      <c r="Y210" s="971"/>
      <c r="Z210" s="971"/>
      <c r="AA210" s="971"/>
      <c r="AB210" s="971"/>
      <c r="AC210" s="971"/>
      <c r="AD210" s="971"/>
      <c r="AE210" s="971"/>
      <c r="AF210" s="1502"/>
      <c r="AG210" s="508" t="s">
        <v>1221</v>
      </c>
      <c r="AH210" s="486"/>
      <c r="AI210" s="486"/>
      <c r="AJ210" s="487"/>
      <c r="AK210" s="220">
        <v>0</v>
      </c>
      <c r="AL210" s="272">
        <f>AL$137*INDEX('DEFAULT DATA'!$AIM$9:$AIT$41,START!$C$3,3)*INDEX('DEFAULT DATA'!$VD$9:$VJ$41,START!$C$3,3)/1000000</f>
        <v>0</v>
      </c>
      <c r="AM210" s="272">
        <f>AM$137*INDEX('DEFAULT DATA'!$AIM$9:$AIT$41,START!$C$3,3)*INDEX('DEFAULT DATA'!$VD$9:$VJ$41,START!$C$3,3)/1000000</f>
        <v>0</v>
      </c>
      <c r="AN210" s="272">
        <f>AN$137*INDEX('DEFAULT DATA'!$AIM$9:$AIT$41,START!$C$3,3)*INDEX('DEFAULT DATA'!$VD$9:$VJ$41,START!$C$3,3)/1000000</f>
        <v>0</v>
      </c>
      <c r="AO210" s="272">
        <f>AO$137*INDEX('DEFAULT DATA'!$AIM$9:$AIT$41,START!$C$3,3)*INDEX('DEFAULT DATA'!$VD$9:$VJ$41,START!$C$3,3)/1000000</f>
        <v>0</v>
      </c>
      <c r="AP210" s="272">
        <f>AP$137*INDEX('DEFAULT DATA'!$AIM$9:$AIT$41,START!$C$3,3)*INDEX('DEFAULT DATA'!$VD$9:$VJ$41,START!$C$3,3)/1000000</f>
        <v>0</v>
      </c>
      <c r="AQ210" s="272">
        <f>AQ$137*INDEX('DEFAULT DATA'!$AIM$9:$AIT$41,START!$C$3,3)*INDEX('DEFAULT DATA'!$VD$9:$VJ$41,START!$C$3,3)/1000000</f>
        <v>0</v>
      </c>
      <c r="AR210" s="272">
        <f>AR$137*INDEX('DEFAULT DATA'!$AIM$9:$AIT$41,START!$C$3,3)*INDEX('DEFAULT DATA'!$VD$9:$VJ$41,START!$C$3,3)/1000000</f>
        <v>0</v>
      </c>
      <c r="AS210" s="272">
        <f>AS$137*INDEX('DEFAULT DATA'!$AIM$9:$AIT$41,START!$C$3,3)*INDEX('DEFAULT DATA'!$VD$9:$VJ$41,START!$C$3,3)/1000000</f>
        <v>0</v>
      </c>
      <c r="AT210" s="272">
        <f>AT$137*INDEX('DEFAULT DATA'!$AIM$9:$AIT$41,START!$C$3,3)*INDEX('DEFAULT DATA'!$VD$9:$VJ$41,START!$C$3,3)/1000000</f>
        <v>0</v>
      </c>
      <c r="AU210" s="272">
        <f>AU$137*INDEX('DEFAULT DATA'!$AIM$9:$AIT$41,START!$C$3,3)*INDEX('DEFAULT DATA'!$VD$9:$VJ$41,START!$C$3,3)/1000000</f>
        <v>0</v>
      </c>
      <c r="AV210" s="272">
        <f>AV$137*INDEX('DEFAULT DATA'!$AIM$9:$AIT$41,START!$C$3,3)*INDEX('DEFAULT DATA'!$VD$9:$VJ$41,START!$C$3,3)/1000000</f>
        <v>0</v>
      </c>
      <c r="AW210" s="272">
        <f>AW$137*INDEX('DEFAULT DATA'!$AIM$9:$AIT$41,START!$C$3,3)*INDEX('DEFAULT DATA'!$VD$9:$VJ$41,START!$C$3,3)/1000000</f>
        <v>0</v>
      </c>
      <c r="AX210" s="272">
        <f>AX$137*INDEX('DEFAULT DATA'!$AIM$9:$AIT$41,START!$C$3,3)*INDEX('DEFAULT DATA'!$VD$9:$VJ$41,START!$C$3,3)/1000000</f>
        <v>0</v>
      </c>
      <c r="AY210" s="272">
        <f>AY$137*INDEX('DEFAULT DATA'!$AIM$9:$AIT$41,START!$C$3,3)*INDEX('DEFAULT DATA'!$VD$9:$VJ$41,START!$C$3,3)/1000000</f>
        <v>0</v>
      </c>
      <c r="AZ210" s="272">
        <f>AZ$137*INDEX('DEFAULT DATA'!$AIM$9:$AIT$41,START!$C$3,3)*INDEX('DEFAULT DATA'!$VD$9:$VJ$41,START!$C$3,3)/1000000</f>
        <v>0</v>
      </c>
      <c r="BA210" s="272">
        <f>BA$137*INDEX('DEFAULT DATA'!$AIM$9:$AIT$41,START!$C$3,3)*INDEX('DEFAULT DATA'!$VD$9:$VJ$41,START!$C$3,3)/1000000</f>
        <v>0</v>
      </c>
      <c r="BB210" s="272">
        <f>BB$137*INDEX('DEFAULT DATA'!$AIM$9:$AIT$41,START!$C$3,3)*INDEX('DEFAULT DATA'!$VD$9:$VJ$41,START!$C$3,3)/1000000</f>
        <v>0</v>
      </c>
      <c r="BC210" s="272">
        <f>BC$137*INDEX('DEFAULT DATA'!$AIM$9:$AIT$41,START!$C$3,3)*INDEX('DEFAULT DATA'!$VD$9:$VJ$41,START!$C$3,3)/1000000</f>
        <v>0</v>
      </c>
      <c r="BD210" s="272">
        <f>BD$137*INDEX('DEFAULT DATA'!$AIM$9:$AIT$41,START!$C$3,3)*INDEX('DEFAULT DATA'!$VD$9:$VJ$41,START!$C$3,3)/1000000</f>
        <v>0</v>
      </c>
      <c r="BE210" s="272">
        <f>BE$137*INDEX('DEFAULT DATA'!$AIM$9:$AIT$41,START!$C$3,3)*INDEX('DEFAULT DATA'!$VD$9:$VJ$41,START!$C$3,3)/1000000</f>
        <v>0</v>
      </c>
      <c r="BF210" s="272">
        <f>BF$137*INDEX('DEFAULT DATA'!$AIM$9:$AIT$41,START!$C$3,3)*INDEX('DEFAULT DATA'!$VD$9:$VJ$41,START!$C$3,3)/1000000</f>
        <v>0</v>
      </c>
      <c r="BG210" s="272">
        <f>BG$137*INDEX('DEFAULT DATA'!$AIM$9:$AIT$41,START!$C$3,3)*INDEX('DEFAULT DATA'!$VD$9:$VJ$41,START!$C$3,3)/1000000</f>
        <v>0</v>
      </c>
      <c r="BH210" s="272">
        <f>BH$137*INDEX('DEFAULT DATA'!$AIM$9:$AIT$41,START!$C$3,3)*INDEX('DEFAULT DATA'!$VD$9:$VJ$41,START!$C$3,3)/1000000</f>
        <v>0</v>
      </c>
      <c r="BI210" s="272">
        <f>BI$137*INDEX('DEFAULT DATA'!$AIM$9:$AIT$41,START!$C$3,3)*INDEX('DEFAULT DATA'!$VD$9:$VJ$41,START!$C$3,3)/1000000</f>
        <v>0</v>
      </c>
      <c r="BJ210" s="272">
        <f>BJ$137*INDEX('DEFAULT DATA'!$AIM$9:$AIT$41,START!$C$3,3)*INDEX('DEFAULT DATA'!$VD$9:$VJ$41,START!$C$3,3)/1000000</f>
        <v>0</v>
      </c>
      <c r="BK210" s="272">
        <f>BK$137*INDEX('DEFAULT DATA'!$AIM$9:$AIT$41,START!$C$3,3)*INDEX('DEFAULT DATA'!$VD$9:$VJ$41,START!$C$3,3)/1000000</f>
        <v>0</v>
      </c>
      <c r="BL210" s="272">
        <f>BL$137*INDEX('DEFAULT DATA'!$AIM$9:$AIT$41,START!$C$3,3)*INDEX('DEFAULT DATA'!$VD$9:$VJ$41,START!$C$3,3)/1000000</f>
        <v>0</v>
      </c>
      <c r="BM210" s="272">
        <f>BM$137*INDEX('DEFAULT DATA'!$AIM$9:$AIT$41,START!$C$3,3)*INDEX('DEFAULT DATA'!$VD$9:$VJ$41,START!$C$3,3)/1000000</f>
        <v>0</v>
      </c>
      <c r="BN210" s="272">
        <f>BN$137*INDEX('DEFAULT DATA'!$AIM$9:$AIT$41,START!$C$3,3)*INDEX('DEFAULT DATA'!$VD$9:$VJ$41,START!$C$3,3)/1000000</f>
        <v>0</v>
      </c>
      <c r="BP210" s="544" t="str">
        <f t="shared" si="112"/>
        <v>Oil</v>
      </c>
      <c r="BQ210" s="545" t="s">
        <v>1859</v>
      </c>
      <c r="BR210" s="546"/>
      <c r="BS210" s="546"/>
      <c r="BT210" s="546"/>
      <c r="BU210" s="546"/>
      <c r="BV210" s="546"/>
      <c r="BW210" s="546"/>
      <c r="BX210" s="546"/>
      <c r="BY210" s="546"/>
      <c r="BZ210" s="546"/>
      <c r="CA210" s="546"/>
      <c r="CB210" s="546"/>
      <c r="CC210" s="546"/>
      <c r="CD210" s="546"/>
      <c r="CE210" s="546"/>
      <c r="CF210" s="546"/>
      <c r="CG210" s="547"/>
      <c r="CH210" s="543" t="s">
        <v>1817</v>
      </c>
      <c r="CI210" s="543" t="s">
        <v>1621</v>
      </c>
    </row>
    <row r="211" spans="1:87" ht="20.100000000000001" customHeight="1">
      <c r="A211" s="28"/>
      <c r="B211" s="971"/>
      <c r="C211" s="971"/>
      <c r="D211" s="971"/>
      <c r="E211" s="971"/>
      <c r="F211" s="971"/>
      <c r="G211" s="971"/>
      <c r="H211" s="971"/>
      <c r="I211" s="971"/>
      <c r="J211" s="971"/>
      <c r="K211" s="971"/>
      <c r="L211" s="971"/>
      <c r="M211" s="968"/>
      <c r="N211" s="971"/>
      <c r="O211" s="971"/>
      <c r="P211" s="971"/>
      <c r="Q211" s="971"/>
      <c r="R211" s="971"/>
      <c r="S211" s="971"/>
      <c r="T211" s="971"/>
      <c r="U211" s="971"/>
      <c r="V211" s="971"/>
      <c r="W211" s="971"/>
      <c r="X211" s="971"/>
      <c r="Y211" s="971"/>
      <c r="Z211" s="971"/>
      <c r="AA211" s="971"/>
      <c r="AB211" s="971"/>
      <c r="AC211" s="971"/>
      <c r="AD211" s="971"/>
      <c r="AE211" s="971"/>
      <c r="AF211" s="1502"/>
      <c r="AG211" s="508" t="s">
        <v>1222</v>
      </c>
      <c r="AH211" s="486"/>
      <c r="AI211" s="486"/>
      <c r="AJ211" s="487"/>
      <c r="AK211" s="220">
        <v>0</v>
      </c>
      <c r="AL211" s="272">
        <f>AL$137*INDEX('DEFAULT DATA'!$AIM$9:$AIT$41,START!$C$3,4)*INDEX('DEFAULT DATA'!$VD$9:$VJ$41,START!$C$3,4)/1000000</f>
        <v>0</v>
      </c>
      <c r="AM211" s="272">
        <f>AM$137*INDEX('DEFAULT DATA'!$AIM$9:$AIT$41,START!$C$3,4)*INDEX('DEFAULT DATA'!$VD$9:$VJ$41,START!$C$3,4)/1000000</f>
        <v>0</v>
      </c>
      <c r="AN211" s="272">
        <f>AN$137*INDEX('DEFAULT DATA'!$AIM$9:$AIT$41,START!$C$3,4)*INDEX('DEFAULT DATA'!$VD$9:$VJ$41,START!$C$3,4)/1000000</f>
        <v>0</v>
      </c>
      <c r="AO211" s="272">
        <f>AO$137*INDEX('DEFAULT DATA'!$AIM$9:$AIT$41,START!$C$3,4)*INDEX('DEFAULT DATA'!$VD$9:$VJ$41,START!$C$3,4)/1000000</f>
        <v>0</v>
      </c>
      <c r="AP211" s="272">
        <f>AP$137*INDEX('DEFAULT DATA'!$AIM$9:$AIT$41,START!$C$3,4)*INDEX('DEFAULT DATA'!$VD$9:$VJ$41,START!$C$3,4)/1000000</f>
        <v>0</v>
      </c>
      <c r="AQ211" s="272">
        <f>AQ$137*INDEX('DEFAULT DATA'!$AIM$9:$AIT$41,START!$C$3,4)*INDEX('DEFAULT DATA'!$VD$9:$VJ$41,START!$C$3,4)/1000000</f>
        <v>0</v>
      </c>
      <c r="AR211" s="272">
        <f>AR$137*INDEX('DEFAULT DATA'!$AIM$9:$AIT$41,START!$C$3,4)*INDEX('DEFAULT DATA'!$VD$9:$VJ$41,START!$C$3,4)/1000000</f>
        <v>0</v>
      </c>
      <c r="AS211" s="272">
        <f>AS$137*INDEX('DEFAULT DATA'!$AIM$9:$AIT$41,START!$C$3,4)*INDEX('DEFAULT DATA'!$VD$9:$VJ$41,START!$C$3,4)/1000000</f>
        <v>0</v>
      </c>
      <c r="AT211" s="272">
        <f>AT$137*INDEX('DEFAULT DATA'!$AIM$9:$AIT$41,START!$C$3,4)*INDEX('DEFAULT DATA'!$VD$9:$VJ$41,START!$C$3,4)/1000000</f>
        <v>0</v>
      </c>
      <c r="AU211" s="272">
        <f>AU$137*INDEX('DEFAULT DATA'!$AIM$9:$AIT$41,START!$C$3,4)*INDEX('DEFAULT DATA'!$VD$9:$VJ$41,START!$C$3,4)/1000000</f>
        <v>0</v>
      </c>
      <c r="AV211" s="272">
        <f>AV$137*INDEX('DEFAULT DATA'!$AIM$9:$AIT$41,START!$C$3,4)*INDEX('DEFAULT DATA'!$VD$9:$VJ$41,START!$C$3,4)/1000000</f>
        <v>0</v>
      </c>
      <c r="AW211" s="272">
        <f>AW$137*INDEX('DEFAULT DATA'!$AIM$9:$AIT$41,START!$C$3,4)*INDEX('DEFAULT DATA'!$VD$9:$VJ$41,START!$C$3,4)/1000000</f>
        <v>0</v>
      </c>
      <c r="AX211" s="272">
        <f>AX$137*INDEX('DEFAULT DATA'!$AIM$9:$AIT$41,START!$C$3,4)*INDEX('DEFAULT DATA'!$VD$9:$VJ$41,START!$C$3,4)/1000000</f>
        <v>0</v>
      </c>
      <c r="AY211" s="272">
        <f>AY$137*INDEX('DEFAULT DATA'!$AIM$9:$AIT$41,START!$C$3,4)*INDEX('DEFAULT DATA'!$VD$9:$VJ$41,START!$C$3,4)/1000000</f>
        <v>0</v>
      </c>
      <c r="AZ211" s="272">
        <f>AZ$137*INDEX('DEFAULT DATA'!$AIM$9:$AIT$41,START!$C$3,4)*INDEX('DEFAULT DATA'!$VD$9:$VJ$41,START!$C$3,4)/1000000</f>
        <v>0</v>
      </c>
      <c r="BA211" s="272">
        <f>BA$137*INDEX('DEFAULT DATA'!$AIM$9:$AIT$41,START!$C$3,4)*INDEX('DEFAULT DATA'!$VD$9:$VJ$41,START!$C$3,4)/1000000</f>
        <v>0</v>
      </c>
      <c r="BB211" s="272">
        <f>BB$137*INDEX('DEFAULT DATA'!$AIM$9:$AIT$41,START!$C$3,4)*INDEX('DEFAULT DATA'!$VD$9:$VJ$41,START!$C$3,4)/1000000</f>
        <v>0</v>
      </c>
      <c r="BC211" s="272">
        <f>BC$137*INDEX('DEFAULT DATA'!$AIM$9:$AIT$41,START!$C$3,4)*INDEX('DEFAULT DATA'!$VD$9:$VJ$41,START!$C$3,4)/1000000</f>
        <v>0</v>
      </c>
      <c r="BD211" s="272">
        <f>BD$137*INDEX('DEFAULT DATA'!$AIM$9:$AIT$41,START!$C$3,4)*INDEX('DEFAULT DATA'!$VD$9:$VJ$41,START!$C$3,4)/1000000</f>
        <v>0</v>
      </c>
      <c r="BE211" s="272">
        <f>BE$137*INDEX('DEFAULT DATA'!$AIM$9:$AIT$41,START!$C$3,4)*INDEX('DEFAULT DATA'!$VD$9:$VJ$41,START!$C$3,4)/1000000</f>
        <v>0</v>
      </c>
      <c r="BF211" s="272">
        <f>BF$137*INDEX('DEFAULT DATA'!$AIM$9:$AIT$41,START!$C$3,4)*INDEX('DEFAULT DATA'!$VD$9:$VJ$41,START!$C$3,4)/1000000</f>
        <v>0</v>
      </c>
      <c r="BG211" s="272">
        <f>BG$137*INDEX('DEFAULT DATA'!$AIM$9:$AIT$41,START!$C$3,4)*INDEX('DEFAULT DATA'!$VD$9:$VJ$41,START!$C$3,4)/1000000</f>
        <v>0</v>
      </c>
      <c r="BH211" s="272">
        <f>BH$137*INDEX('DEFAULT DATA'!$AIM$9:$AIT$41,START!$C$3,4)*INDEX('DEFAULT DATA'!$VD$9:$VJ$41,START!$C$3,4)/1000000</f>
        <v>0</v>
      </c>
      <c r="BI211" s="272">
        <f>BI$137*INDEX('DEFAULT DATA'!$AIM$9:$AIT$41,START!$C$3,4)*INDEX('DEFAULT DATA'!$VD$9:$VJ$41,START!$C$3,4)/1000000</f>
        <v>0</v>
      </c>
      <c r="BJ211" s="272">
        <f>BJ$137*INDEX('DEFAULT DATA'!$AIM$9:$AIT$41,START!$C$3,4)*INDEX('DEFAULT DATA'!$VD$9:$VJ$41,START!$C$3,4)/1000000</f>
        <v>0</v>
      </c>
      <c r="BK211" s="272">
        <f>BK$137*INDEX('DEFAULT DATA'!$AIM$9:$AIT$41,START!$C$3,4)*INDEX('DEFAULT DATA'!$VD$9:$VJ$41,START!$C$3,4)/1000000</f>
        <v>0</v>
      </c>
      <c r="BL211" s="272">
        <f>BL$137*INDEX('DEFAULT DATA'!$AIM$9:$AIT$41,START!$C$3,4)*INDEX('DEFAULT DATA'!$VD$9:$VJ$41,START!$C$3,4)/1000000</f>
        <v>0</v>
      </c>
      <c r="BM211" s="272">
        <f>BM$137*INDEX('DEFAULT DATA'!$AIM$9:$AIT$41,START!$C$3,4)*INDEX('DEFAULT DATA'!$VD$9:$VJ$41,START!$C$3,4)/1000000</f>
        <v>0</v>
      </c>
      <c r="BN211" s="272">
        <f>BN$137*INDEX('DEFAULT DATA'!$AIM$9:$AIT$41,START!$C$3,4)*INDEX('DEFAULT DATA'!$VD$9:$VJ$41,START!$C$3,4)/1000000</f>
        <v>0</v>
      </c>
      <c r="BP211" s="544" t="str">
        <f t="shared" si="112"/>
        <v>Coal</v>
      </c>
      <c r="BQ211" s="545" t="s">
        <v>1860</v>
      </c>
      <c r="BR211" s="546"/>
      <c r="BS211" s="546"/>
      <c r="BT211" s="546"/>
      <c r="BU211" s="546"/>
      <c r="BV211" s="546"/>
      <c r="BW211" s="546"/>
      <c r="BX211" s="546"/>
      <c r="BY211" s="546"/>
      <c r="BZ211" s="546"/>
      <c r="CA211" s="546"/>
      <c r="CB211" s="546"/>
      <c r="CC211" s="546"/>
      <c r="CD211" s="546"/>
      <c r="CE211" s="546"/>
      <c r="CF211" s="546"/>
      <c r="CG211" s="547"/>
      <c r="CH211" s="543" t="s">
        <v>1818</v>
      </c>
      <c r="CI211" s="543" t="s">
        <v>1622</v>
      </c>
    </row>
    <row r="212" spans="1:87" ht="20.100000000000001" customHeight="1">
      <c r="A212" s="28"/>
      <c r="B212" s="971"/>
      <c r="C212" s="971"/>
      <c r="D212" s="971"/>
      <c r="E212" s="971"/>
      <c r="F212" s="971"/>
      <c r="G212" s="971"/>
      <c r="H212" s="971"/>
      <c r="I212" s="971"/>
      <c r="J212" s="971"/>
      <c r="K212" s="971"/>
      <c r="L212" s="971"/>
      <c r="M212" s="968"/>
      <c r="N212" s="971"/>
      <c r="O212" s="971"/>
      <c r="P212" s="971"/>
      <c r="Q212" s="971"/>
      <c r="R212" s="971"/>
      <c r="S212" s="971"/>
      <c r="T212" s="971"/>
      <c r="U212" s="971"/>
      <c r="V212" s="971"/>
      <c r="W212" s="971"/>
      <c r="X212" s="971"/>
      <c r="Y212" s="971"/>
      <c r="Z212" s="971"/>
      <c r="AA212" s="971"/>
      <c r="AB212" s="971"/>
      <c r="AC212" s="971"/>
      <c r="AD212" s="971"/>
      <c r="AE212" s="971"/>
      <c r="AF212" s="1502"/>
      <c r="AG212" s="508" t="s">
        <v>1223</v>
      </c>
      <c r="AH212" s="486"/>
      <c r="AI212" s="486"/>
      <c r="AJ212" s="487"/>
      <c r="AK212" s="220">
        <v>0</v>
      </c>
      <c r="AL212" s="272">
        <f>AL$137*INDEX('DEFAULT DATA'!$AIM$9:$AIT$41,START!$C$3,5)*INDEX('DEFAULT DATA'!$VD$9:$VJ$41,START!$C$3,5)/1000000</f>
        <v>0</v>
      </c>
      <c r="AM212" s="272">
        <f>AM$137*INDEX('DEFAULT DATA'!$AIM$9:$AIT$41,START!$C$3,5)*INDEX('DEFAULT DATA'!$VD$9:$VJ$41,START!$C$3,5)/1000000</f>
        <v>0</v>
      </c>
      <c r="AN212" s="272">
        <f>AN$137*INDEX('DEFAULT DATA'!$AIM$9:$AIT$41,START!$C$3,5)*INDEX('DEFAULT DATA'!$VD$9:$VJ$41,START!$C$3,5)/1000000</f>
        <v>0</v>
      </c>
      <c r="AO212" s="272">
        <f>AO$137*INDEX('DEFAULT DATA'!$AIM$9:$AIT$41,START!$C$3,5)*INDEX('DEFAULT DATA'!$VD$9:$VJ$41,START!$C$3,5)/1000000</f>
        <v>0</v>
      </c>
      <c r="AP212" s="272">
        <f>AP$137*INDEX('DEFAULT DATA'!$AIM$9:$AIT$41,START!$C$3,5)*INDEX('DEFAULT DATA'!$VD$9:$VJ$41,START!$C$3,5)/1000000</f>
        <v>0</v>
      </c>
      <c r="AQ212" s="272">
        <f>AQ$137*INDEX('DEFAULT DATA'!$AIM$9:$AIT$41,START!$C$3,5)*INDEX('DEFAULT DATA'!$VD$9:$VJ$41,START!$C$3,5)/1000000</f>
        <v>0</v>
      </c>
      <c r="AR212" s="272">
        <f>AR$137*INDEX('DEFAULT DATA'!$AIM$9:$AIT$41,START!$C$3,5)*INDEX('DEFAULT DATA'!$VD$9:$VJ$41,START!$C$3,5)/1000000</f>
        <v>0</v>
      </c>
      <c r="AS212" s="272">
        <f>AS$137*INDEX('DEFAULT DATA'!$AIM$9:$AIT$41,START!$C$3,5)*INDEX('DEFAULT DATA'!$VD$9:$VJ$41,START!$C$3,5)/1000000</f>
        <v>0</v>
      </c>
      <c r="AT212" s="272">
        <f>AT$137*INDEX('DEFAULT DATA'!$AIM$9:$AIT$41,START!$C$3,5)*INDEX('DEFAULT DATA'!$VD$9:$VJ$41,START!$C$3,5)/1000000</f>
        <v>0</v>
      </c>
      <c r="AU212" s="272">
        <f>AU$137*INDEX('DEFAULT DATA'!$AIM$9:$AIT$41,START!$C$3,5)*INDEX('DEFAULT DATA'!$VD$9:$VJ$41,START!$C$3,5)/1000000</f>
        <v>0</v>
      </c>
      <c r="AV212" s="272">
        <f>AV$137*INDEX('DEFAULT DATA'!$AIM$9:$AIT$41,START!$C$3,5)*INDEX('DEFAULT DATA'!$VD$9:$VJ$41,START!$C$3,5)/1000000</f>
        <v>0</v>
      </c>
      <c r="AW212" s="272">
        <f>AW$137*INDEX('DEFAULT DATA'!$AIM$9:$AIT$41,START!$C$3,5)*INDEX('DEFAULT DATA'!$VD$9:$VJ$41,START!$C$3,5)/1000000</f>
        <v>0</v>
      </c>
      <c r="AX212" s="272">
        <f>AX$137*INDEX('DEFAULT DATA'!$AIM$9:$AIT$41,START!$C$3,5)*INDEX('DEFAULT DATA'!$VD$9:$VJ$41,START!$C$3,5)/1000000</f>
        <v>0</v>
      </c>
      <c r="AY212" s="272">
        <f>AY$137*INDEX('DEFAULT DATA'!$AIM$9:$AIT$41,START!$C$3,5)*INDEX('DEFAULT DATA'!$VD$9:$VJ$41,START!$C$3,5)/1000000</f>
        <v>0</v>
      </c>
      <c r="AZ212" s="272">
        <f>AZ$137*INDEX('DEFAULT DATA'!$AIM$9:$AIT$41,START!$C$3,5)*INDEX('DEFAULT DATA'!$VD$9:$VJ$41,START!$C$3,5)/1000000</f>
        <v>0</v>
      </c>
      <c r="BA212" s="272">
        <f>BA$137*INDEX('DEFAULT DATA'!$AIM$9:$AIT$41,START!$C$3,5)*INDEX('DEFAULT DATA'!$VD$9:$VJ$41,START!$C$3,5)/1000000</f>
        <v>0</v>
      </c>
      <c r="BB212" s="272">
        <f>BB$137*INDEX('DEFAULT DATA'!$AIM$9:$AIT$41,START!$C$3,5)*INDEX('DEFAULT DATA'!$VD$9:$VJ$41,START!$C$3,5)/1000000</f>
        <v>0</v>
      </c>
      <c r="BC212" s="272">
        <f>BC$137*INDEX('DEFAULT DATA'!$AIM$9:$AIT$41,START!$C$3,5)*INDEX('DEFAULT DATA'!$VD$9:$VJ$41,START!$C$3,5)/1000000</f>
        <v>0</v>
      </c>
      <c r="BD212" s="272">
        <f>BD$137*INDEX('DEFAULT DATA'!$AIM$9:$AIT$41,START!$C$3,5)*INDEX('DEFAULT DATA'!$VD$9:$VJ$41,START!$C$3,5)/1000000</f>
        <v>0</v>
      </c>
      <c r="BE212" s="272">
        <f>BE$137*INDEX('DEFAULT DATA'!$AIM$9:$AIT$41,START!$C$3,5)*INDEX('DEFAULT DATA'!$VD$9:$VJ$41,START!$C$3,5)/1000000</f>
        <v>0</v>
      </c>
      <c r="BF212" s="272">
        <f>BF$137*INDEX('DEFAULT DATA'!$AIM$9:$AIT$41,START!$C$3,5)*INDEX('DEFAULT DATA'!$VD$9:$VJ$41,START!$C$3,5)/1000000</f>
        <v>0</v>
      </c>
      <c r="BG212" s="272">
        <f>BG$137*INDEX('DEFAULT DATA'!$AIM$9:$AIT$41,START!$C$3,5)*INDEX('DEFAULT DATA'!$VD$9:$VJ$41,START!$C$3,5)/1000000</f>
        <v>0</v>
      </c>
      <c r="BH212" s="272">
        <f>BH$137*INDEX('DEFAULT DATA'!$AIM$9:$AIT$41,START!$C$3,5)*INDEX('DEFAULT DATA'!$VD$9:$VJ$41,START!$C$3,5)/1000000</f>
        <v>0</v>
      </c>
      <c r="BI212" s="272">
        <f>BI$137*INDEX('DEFAULT DATA'!$AIM$9:$AIT$41,START!$C$3,5)*INDEX('DEFAULT DATA'!$VD$9:$VJ$41,START!$C$3,5)/1000000</f>
        <v>0</v>
      </c>
      <c r="BJ212" s="272">
        <f>BJ$137*INDEX('DEFAULT DATA'!$AIM$9:$AIT$41,START!$C$3,5)*INDEX('DEFAULT DATA'!$VD$9:$VJ$41,START!$C$3,5)/1000000</f>
        <v>0</v>
      </c>
      <c r="BK212" s="272">
        <f>BK$137*INDEX('DEFAULT DATA'!$AIM$9:$AIT$41,START!$C$3,5)*INDEX('DEFAULT DATA'!$VD$9:$VJ$41,START!$C$3,5)/1000000</f>
        <v>0</v>
      </c>
      <c r="BL212" s="272">
        <f>BL$137*INDEX('DEFAULT DATA'!$AIM$9:$AIT$41,START!$C$3,5)*INDEX('DEFAULT DATA'!$VD$9:$VJ$41,START!$C$3,5)/1000000</f>
        <v>0</v>
      </c>
      <c r="BM212" s="272">
        <f>BM$137*INDEX('DEFAULT DATA'!$AIM$9:$AIT$41,START!$C$3,5)*INDEX('DEFAULT DATA'!$VD$9:$VJ$41,START!$C$3,5)/1000000</f>
        <v>0</v>
      </c>
      <c r="BN212" s="272">
        <f>BN$137*INDEX('DEFAULT DATA'!$AIM$9:$AIT$41,START!$C$3,5)*INDEX('DEFAULT DATA'!$VD$9:$VJ$41,START!$C$3,5)/1000000</f>
        <v>0</v>
      </c>
      <c r="BP212" s="544" t="str">
        <f t="shared" si="112"/>
        <v>Peat</v>
      </c>
      <c r="BQ212" s="545" t="s">
        <v>1861</v>
      </c>
      <c r="BR212" s="546"/>
      <c r="BS212" s="546"/>
      <c r="BT212" s="546"/>
      <c r="BU212" s="546"/>
      <c r="BV212" s="546"/>
      <c r="BW212" s="546"/>
      <c r="BX212" s="546"/>
      <c r="BY212" s="546"/>
      <c r="BZ212" s="546"/>
      <c r="CA212" s="546"/>
      <c r="CB212" s="546"/>
      <c r="CC212" s="546"/>
      <c r="CD212" s="546"/>
      <c r="CE212" s="546"/>
      <c r="CF212" s="546"/>
      <c r="CG212" s="547"/>
      <c r="CH212" s="543" t="s">
        <v>1819</v>
      </c>
      <c r="CI212" s="543" t="s">
        <v>1623</v>
      </c>
    </row>
    <row r="213" spans="1:87" ht="20.100000000000001" customHeight="1">
      <c r="A213" s="28"/>
      <c r="B213" s="971"/>
      <c r="C213" s="971"/>
      <c r="D213" s="971"/>
      <c r="E213" s="971"/>
      <c r="F213" s="971"/>
      <c r="G213" s="971"/>
      <c r="H213" s="971"/>
      <c r="I213" s="971"/>
      <c r="J213" s="971"/>
      <c r="K213" s="971"/>
      <c r="L213" s="971"/>
      <c r="M213" s="968"/>
      <c r="N213" s="971"/>
      <c r="O213" s="971"/>
      <c r="P213" s="971"/>
      <c r="Q213" s="971"/>
      <c r="R213" s="971"/>
      <c r="S213" s="971"/>
      <c r="T213" s="971"/>
      <c r="U213" s="971"/>
      <c r="V213" s="971"/>
      <c r="W213" s="971"/>
      <c r="X213" s="971"/>
      <c r="Y213" s="971"/>
      <c r="Z213" s="971"/>
      <c r="AA213" s="971"/>
      <c r="AB213" s="971"/>
      <c r="AC213" s="971"/>
      <c r="AD213" s="971"/>
      <c r="AE213" s="971"/>
      <c r="AF213" s="1502"/>
      <c r="AG213" s="508" t="s">
        <v>1224</v>
      </c>
      <c r="AH213" s="486"/>
      <c r="AI213" s="486"/>
      <c r="AJ213" s="487"/>
      <c r="AK213" s="220">
        <v>0</v>
      </c>
      <c r="AL213" s="272">
        <f>AL$137*INDEX('DEFAULT DATA'!$AIM$9:$AIT$41,START!$C$3,6)*INDEX('DEFAULT DATA'!$VD$9:$VJ$41,START!$C$3,6)/1000000</f>
        <v>0</v>
      </c>
      <c r="AM213" s="272">
        <f>AM$137*INDEX('DEFAULT DATA'!$AIM$9:$AIT$41,START!$C$3,6)*INDEX('DEFAULT DATA'!$VD$9:$VJ$41,START!$C$3,6)/1000000</f>
        <v>0</v>
      </c>
      <c r="AN213" s="272">
        <f>AN$137*INDEX('DEFAULT DATA'!$AIM$9:$AIT$41,START!$C$3,6)*INDEX('DEFAULT DATA'!$VD$9:$VJ$41,START!$C$3,6)/1000000</f>
        <v>0</v>
      </c>
      <c r="AO213" s="272">
        <f>AO$137*INDEX('DEFAULT DATA'!$AIM$9:$AIT$41,START!$C$3,6)*INDEX('DEFAULT DATA'!$VD$9:$VJ$41,START!$C$3,6)/1000000</f>
        <v>0</v>
      </c>
      <c r="AP213" s="272">
        <f>AP$137*INDEX('DEFAULT DATA'!$AIM$9:$AIT$41,START!$C$3,6)*INDEX('DEFAULT DATA'!$VD$9:$VJ$41,START!$C$3,6)/1000000</f>
        <v>0</v>
      </c>
      <c r="AQ213" s="272">
        <f>AQ$137*INDEX('DEFAULT DATA'!$AIM$9:$AIT$41,START!$C$3,6)*INDEX('DEFAULT DATA'!$VD$9:$VJ$41,START!$C$3,6)/1000000</f>
        <v>0</v>
      </c>
      <c r="AR213" s="272">
        <f>AR$137*INDEX('DEFAULT DATA'!$AIM$9:$AIT$41,START!$C$3,6)*INDEX('DEFAULT DATA'!$VD$9:$VJ$41,START!$C$3,6)/1000000</f>
        <v>0</v>
      </c>
      <c r="AS213" s="272">
        <f>AS$137*INDEX('DEFAULT DATA'!$AIM$9:$AIT$41,START!$C$3,6)*INDEX('DEFAULT DATA'!$VD$9:$VJ$41,START!$C$3,6)/1000000</f>
        <v>0</v>
      </c>
      <c r="AT213" s="272">
        <f>AT$137*INDEX('DEFAULT DATA'!$AIM$9:$AIT$41,START!$C$3,6)*INDEX('DEFAULT DATA'!$VD$9:$VJ$41,START!$C$3,6)/1000000</f>
        <v>0</v>
      </c>
      <c r="AU213" s="272">
        <f>AU$137*INDEX('DEFAULT DATA'!$AIM$9:$AIT$41,START!$C$3,6)*INDEX('DEFAULT DATA'!$VD$9:$VJ$41,START!$C$3,6)/1000000</f>
        <v>0</v>
      </c>
      <c r="AV213" s="272">
        <f>AV$137*INDEX('DEFAULT DATA'!$AIM$9:$AIT$41,START!$C$3,6)*INDEX('DEFAULT DATA'!$VD$9:$VJ$41,START!$C$3,6)/1000000</f>
        <v>0</v>
      </c>
      <c r="AW213" s="272">
        <f>AW$137*INDEX('DEFAULT DATA'!$AIM$9:$AIT$41,START!$C$3,6)*INDEX('DEFAULT DATA'!$VD$9:$VJ$41,START!$C$3,6)/1000000</f>
        <v>0</v>
      </c>
      <c r="AX213" s="272">
        <f>AX$137*INDEX('DEFAULT DATA'!$AIM$9:$AIT$41,START!$C$3,6)*INDEX('DEFAULT DATA'!$VD$9:$VJ$41,START!$C$3,6)/1000000</f>
        <v>0</v>
      </c>
      <c r="AY213" s="272">
        <f>AY$137*INDEX('DEFAULT DATA'!$AIM$9:$AIT$41,START!$C$3,6)*INDEX('DEFAULT DATA'!$VD$9:$VJ$41,START!$C$3,6)/1000000</f>
        <v>0</v>
      </c>
      <c r="AZ213" s="272">
        <f>AZ$137*INDEX('DEFAULT DATA'!$AIM$9:$AIT$41,START!$C$3,6)*INDEX('DEFAULT DATA'!$VD$9:$VJ$41,START!$C$3,6)/1000000</f>
        <v>0</v>
      </c>
      <c r="BA213" s="272">
        <f>BA$137*INDEX('DEFAULT DATA'!$AIM$9:$AIT$41,START!$C$3,6)*INDEX('DEFAULT DATA'!$VD$9:$VJ$41,START!$C$3,6)/1000000</f>
        <v>0</v>
      </c>
      <c r="BB213" s="272">
        <f>BB$137*INDEX('DEFAULT DATA'!$AIM$9:$AIT$41,START!$C$3,6)*INDEX('DEFAULT DATA'!$VD$9:$VJ$41,START!$C$3,6)/1000000</f>
        <v>0</v>
      </c>
      <c r="BC213" s="272">
        <f>BC$137*INDEX('DEFAULT DATA'!$AIM$9:$AIT$41,START!$C$3,6)*INDEX('DEFAULT DATA'!$VD$9:$VJ$41,START!$C$3,6)/1000000</f>
        <v>0</v>
      </c>
      <c r="BD213" s="272">
        <f>BD$137*INDEX('DEFAULT DATA'!$AIM$9:$AIT$41,START!$C$3,6)*INDEX('DEFAULT DATA'!$VD$9:$VJ$41,START!$C$3,6)/1000000</f>
        <v>0</v>
      </c>
      <c r="BE213" s="272">
        <f>BE$137*INDEX('DEFAULT DATA'!$AIM$9:$AIT$41,START!$C$3,6)*INDEX('DEFAULT DATA'!$VD$9:$VJ$41,START!$C$3,6)/1000000</f>
        <v>0</v>
      </c>
      <c r="BF213" s="272">
        <f>BF$137*INDEX('DEFAULT DATA'!$AIM$9:$AIT$41,START!$C$3,6)*INDEX('DEFAULT DATA'!$VD$9:$VJ$41,START!$C$3,6)/1000000</f>
        <v>0</v>
      </c>
      <c r="BG213" s="272">
        <f>BG$137*INDEX('DEFAULT DATA'!$AIM$9:$AIT$41,START!$C$3,6)*INDEX('DEFAULT DATA'!$VD$9:$VJ$41,START!$C$3,6)/1000000</f>
        <v>0</v>
      </c>
      <c r="BH213" s="272">
        <f>BH$137*INDEX('DEFAULT DATA'!$AIM$9:$AIT$41,START!$C$3,6)*INDEX('DEFAULT DATA'!$VD$9:$VJ$41,START!$C$3,6)/1000000</f>
        <v>0</v>
      </c>
      <c r="BI213" s="272">
        <f>BI$137*INDEX('DEFAULT DATA'!$AIM$9:$AIT$41,START!$C$3,6)*INDEX('DEFAULT DATA'!$VD$9:$VJ$41,START!$C$3,6)/1000000</f>
        <v>0</v>
      </c>
      <c r="BJ213" s="272">
        <f>BJ$137*INDEX('DEFAULT DATA'!$AIM$9:$AIT$41,START!$C$3,6)*INDEX('DEFAULT DATA'!$VD$9:$VJ$41,START!$C$3,6)/1000000</f>
        <v>0</v>
      </c>
      <c r="BK213" s="272">
        <f>BK$137*INDEX('DEFAULT DATA'!$AIM$9:$AIT$41,START!$C$3,6)*INDEX('DEFAULT DATA'!$VD$9:$VJ$41,START!$C$3,6)/1000000</f>
        <v>0</v>
      </c>
      <c r="BL213" s="272">
        <f>BL$137*INDEX('DEFAULT DATA'!$AIM$9:$AIT$41,START!$C$3,6)*INDEX('DEFAULT DATA'!$VD$9:$VJ$41,START!$C$3,6)/1000000</f>
        <v>0</v>
      </c>
      <c r="BM213" s="272">
        <f>BM$137*INDEX('DEFAULT DATA'!$AIM$9:$AIT$41,START!$C$3,6)*INDEX('DEFAULT DATA'!$VD$9:$VJ$41,START!$C$3,6)/1000000</f>
        <v>0</v>
      </c>
      <c r="BN213" s="272">
        <f>BN$137*INDEX('DEFAULT DATA'!$AIM$9:$AIT$41,START!$C$3,6)*INDEX('DEFAULT DATA'!$VD$9:$VJ$41,START!$C$3,6)/1000000</f>
        <v>0</v>
      </c>
      <c r="BP213" s="544" t="str">
        <f t="shared" si="112"/>
        <v>Wood</v>
      </c>
      <c r="BQ213" s="545" t="s">
        <v>1862</v>
      </c>
      <c r="BR213" s="546"/>
      <c r="BS213" s="546"/>
      <c r="BT213" s="546"/>
      <c r="BU213" s="546"/>
      <c r="BV213" s="546"/>
      <c r="BW213" s="546"/>
      <c r="BX213" s="546"/>
      <c r="BY213" s="546"/>
      <c r="BZ213" s="546"/>
      <c r="CA213" s="546"/>
      <c r="CB213" s="546"/>
      <c r="CC213" s="546"/>
      <c r="CD213" s="546"/>
      <c r="CE213" s="546"/>
      <c r="CF213" s="546"/>
      <c r="CG213" s="547"/>
      <c r="CH213" s="543" t="s">
        <v>1820</v>
      </c>
      <c r="CI213" s="543" t="s">
        <v>1624</v>
      </c>
    </row>
    <row r="214" spans="1:87" ht="20.100000000000001" customHeight="1">
      <c r="A214" s="28"/>
      <c r="B214" s="971"/>
      <c r="C214" s="971"/>
      <c r="D214" s="971"/>
      <c r="E214" s="971"/>
      <c r="F214" s="971"/>
      <c r="G214" s="971"/>
      <c r="H214" s="971"/>
      <c r="I214" s="971"/>
      <c r="J214" s="971"/>
      <c r="K214" s="971"/>
      <c r="L214" s="971"/>
      <c r="M214" s="968"/>
      <c r="N214" s="971"/>
      <c r="O214" s="971"/>
      <c r="P214" s="971"/>
      <c r="Q214" s="971"/>
      <c r="R214" s="971"/>
      <c r="S214" s="971"/>
      <c r="T214" s="971"/>
      <c r="U214" s="971"/>
      <c r="V214" s="971"/>
      <c r="W214" s="971"/>
      <c r="X214" s="971"/>
      <c r="Y214" s="971"/>
      <c r="Z214" s="971"/>
      <c r="AA214" s="971"/>
      <c r="AB214" s="971"/>
      <c r="AC214" s="971"/>
      <c r="AD214" s="971"/>
      <c r="AE214" s="971"/>
      <c r="AF214" s="1502"/>
      <c r="AG214" s="508" t="s">
        <v>1225</v>
      </c>
      <c r="AH214" s="486"/>
      <c r="AI214" s="486"/>
      <c r="AJ214" s="487"/>
      <c r="AK214" s="220">
        <v>0</v>
      </c>
      <c r="AL214" s="272">
        <f>AL$137*INDEX('DEFAULT DATA'!$AIM$9:$AIT$41,START!$C$3,7)*INDEX('DEFAULT DATA'!$VD$9:$VJ$41,START!$C$3,7)/1000000</f>
        <v>0</v>
      </c>
      <c r="AM214" s="272">
        <f>AM$137*INDEX('DEFAULT DATA'!$AIM$9:$AIT$41,START!$C$3,7)*INDEX('DEFAULT DATA'!$VD$9:$VJ$41,START!$C$3,7)/1000000</f>
        <v>0</v>
      </c>
      <c r="AN214" s="272">
        <f>AN$137*INDEX('DEFAULT DATA'!$AIM$9:$AIT$41,START!$C$3,7)*INDEX('DEFAULT DATA'!$VD$9:$VJ$41,START!$C$3,7)/1000000</f>
        <v>0</v>
      </c>
      <c r="AO214" s="272">
        <f>AO$137*INDEX('DEFAULT DATA'!$AIM$9:$AIT$41,START!$C$3,7)*INDEX('DEFAULT DATA'!$VD$9:$VJ$41,START!$C$3,7)/1000000</f>
        <v>0</v>
      </c>
      <c r="AP214" s="272">
        <f>AP$137*INDEX('DEFAULT DATA'!$AIM$9:$AIT$41,START!$C$3,7)*INDEX('DEFAULT DATA'!$VD$9:$VJ$41,START!$C$3,7)/1000000</f>
        <v>0</v>
      </c>
      <c r="AQ214" s="272">
        <f>AQ$137*INDEX('DEFAULT DATA'!$AIM$9:$AIT$41,START!$C$3,7)*INDEX('DEFAULT DATA'!$VD$9:$VJ$41,START!$C$3,7)/1000000</f>
        <v>0</v>
      </c>
      <c r="AR214" s="272">
        <f>AR$137*INDEX('DEFAULT DATA'!$AIM$9:$AIT$41,START!$C$3,7)*INDEX('DEFAULT DATA'!$VD$9:$VJ$41,START!$C$3,7)/1000000</f>
        <v>0</v>
      </c>
      <c r="AS214" s="272">
        <f>AS$137*INDEX('DEFAULT DATA'!$AIM$9:$AIT$41,START!$C$3,7)*INDEX('DEFAULT DATA'!$VD$9:$VJ$41,START!$C$3,7)/1000000</f>
        <v>0</v>
      </c>
      <c r="AT214" s="272">
        <f>AT$137*INDEX('DEFAULT DATA'!$AIM$9:$AIT$41,START!$C$3,7)*INDEX('DEFAULT DATA'!$VD$9:$VJ$41,START!$C$3,7)/1000000</f>
        <v>0</v>
      </c>
      <c r="AU214" s="272">
        <f>AU$137*INDEX('DEFAULT DATA'!$AIM$9:$AIT$41,START!$C$3,7)*INDEX('DEFAULT DATA'!$VD$9:$VJ$41,START!$C$3,7)/1000000</f>
        <v>0</v>
      </c>
      <c r="AV214" s="272">
        <f>AV$137*INDEX('DEFAULT DATA'!$AIM$9:$AIT$41,START!$C$3,7)*INDEX('DEFAULT DATA'!$VD$9:$VJ$41,START!$C$3,7)/1000000</f>
        <v>0</v>
      </c>
      <c r="AW214" s="272">
        <f>AW$137*INDEX('DEFAULT DATA'!$AIM$9:$AIT$41,START!$C$3,7)*INDEX('DEFAULT DATA'!$VD$9:$VJ$41,START!$C$3,7)/1000000</f>
        <v>0</v>
      </c>
      <c r="AX214" s="272">
        <f>AX$137*INDEX('DEFAULT DATA'!$AIM$9:$AIT$41,START!$C$3,7)*INDEX('DEFAULT DATA'!$VD$9:$VJ$41,START!$C$3,7)/1000000</f>
        <v>0</v>
      </c>
      <c r="AY214" s="272">
        <f>AY$137*INDEX('DEFAULT DATA'!$AIM$9:$AIT$41,START!$C$3,7)*INDEX('DEFAULT DATA'!$VD$9:$VJ$41,START!$C$3,7)/1000000</f>
        <v>0</v>
      </c>
      <c r="AZ214" s="272">
        <f>AZ$137*INDEX('DEFAULT DATA'!$AIM$9:$AIT$41,START!$C$3,7)*INDEX('DEFAULT DATA'!$VD$9:$VJ$41,START!$C$3,7)/1000000</f>
        <v>0</v>
      </c>
      <c r="BA214" s="272">
        <f>BA$137*INDEX('DEFAULT DATA'!$AIM$9:$AIT$41,START!$C$3,7)*INDEX('DEFAULT DATA'!$VD$9:$VJ$41,START!$C$3,7)/1000000</f>
        <v>0</v>
      </c>
      <c r="BB214" s="272">
        <f>BB$137*INDEX('DEFAULT DATA'!$AIM$9:$AIT$41,START!$C$3,7)*INDEX('DEFAULT DATA'!$VD$9:$VJ$41,START!$C$3,7)/1000000</f>
        <v>0</v>
      </c>
      <c r="BC214" s="272">
        <f>BC$137*INDEX('DEFAULT DATA'!$AIM$9:$AIT$41,START!$C$3,7)*INDEX('DEFAULT DATA'!$VD$9:$VJ$41,START!$C$3,7)/1000000</f>
        <v>0</v>
      </c>
      <c r="BD214" s="272">
        <f>BD$137*INDEX('DEFAULT DATA'!$AIM$9:$AIT$41,START!$C$3,7)*INDEX('DEFAULT DATA'!$VD$9:$VJ$41,START!$C$3,7)/1000000</f>
        <v>0</v>
      </c>
      <c r="BE214" s="272">
        <f>BE$137*INDEX('DEFAULT DATA'!$AIM$9:$AIT$41,START!$C$3,7)*INDEX('DEFAULT DATA'!$VD$9:$VJ$41,START!$C$3,7)/1000000</f>
        <v>0</v>
      </c>
      <c r="BF214" s="272">
        <f>BF$137*INDEX('DEFAULT DATA'!$AIM$9:$AIT$41,START!$C$3,7)*INDEX('DEFAULT DATA'!$VD$9:$VJ$41,START!$C$3,7)/1000000</f>
        <v>0</v>
      </c>
      <c r="BG214" s="272">
        <f>BG$137*INDEX('DEFAULT DATA'!$AIM$9:$AIT$41,START!$C$3,7)*INDEX('DEFAULT DATA'!$VD$9:$VJ$41,START!$C$3,7)/1000000</f>
        <v>0</v>
      </c>
      <c r="BH214" s="272">
        <f>BH$137*INDEX('DEFAULT DATA'!$AIM$9:$AIT$41,START!$C$3,7)*INDEX('DEFAULT DATA'!$VD$9:$VJ$41,START!$C$3,7)/1000000</f>
        <v>0</v>
      </c>
      <c r="BI214" s="272">
        <f>BI$137*INDEX('DEFAULT DATA'!$AIM$9:$AIT$41,START!$C$3,7)*INDEX('DEFAULT DATA'!$VD$9:$VJ$41,START!$C$3,7)/1000000</f>
        <v>0</v>
      </c>
      <c r="BJ214" s="272">
        <f>BJ$137*INDEX('DEFAULT DATA'!$AIM$9:$AIT$41,START!$C$3,7)*INDEX('DEFAULT DATA'!$VD$9:$VJ$41,START!$C$3,7)/1000000</f>
        <v>0</v>
      </c>
      <c r="BK214" s="272">
        <f>BK$137*INDEX('DEFAULT DATA'!$AIM$9:$AIT$41,START!$C$3,7)*INDEX('DEFAULT DATA'!$VD$9:$VJ$41,START!$C$3,7)/1000000</f>
        <v>0</v>
      </c>
      <c r="BL214" s="272">
        <f>BL$137*INDEX('DEFAULT DATA'!$AIM$9:$AIT$41,START!$C$3,7)*INDEX('DEFAULT DATA'!$VD$9:$VJ$41,START!$C$3,7)/1000000</f>
        <v>0</v>
      </c>
      <c r="BM214" s="272">
        <f>BM$137*INDEX('DEFAULT DATA'!$AIM$9:$AIT$41,START!$C$3,7)*INDEX('DEFAULT DATA'!$VD$9:$VJ$41,START!$C$3,7)/1000000</f>
        <v>0</v>
      </c>
      <c r="BN214" s="272">
        <f>BN$137*INDEX('DEFAULT DATA'!$AIM$9:$AIT$41,START!$C$3,7)*INDEX('DEFAULT DATA'!$VD$9:$VJ$41,START!$C$3,7)/1000000</f>
        <v>0</v>
      </c>
      <c r="BP214" s="544" t="str">
        <f t="shared" si="112"/>
        <v>Renewable</v>
      </c>
      <c r="BQ214" s="545" t="s">
        <v>1863</v>
      </c>
      <c r="BR214" s="546"/>
      <c r="BS214" s="546"/>
      <c r="BT214" s="546"/>
      <c r="BU214" s="546"/>
      <c r="BV214" s="546"/>
      <c r="BW214" s="546"/>
      <c r="BX214" s="546"/>
      <c r="BY214" s="546"/>
      <c r="BZ214" s="546"/>
      <c r="CA214" s="546"/>
      <c r="CB214" s="546"/>
      <c r="CC214" s="546"/>
      <c r="CD214" s="546"/>
      <c r="CE214" s="546"/>
      <c r="CF214" s="546"/>
      <c r="CG214" s="547"/>
      <c r="CH214" s="543" t="s">
        <v>1821</v>
      </c>
      <c r="CI214" s="543" t="s">
        <v>1625</v>
      </c>
    </row>
    <row r="215" spans="1:87" ht="20.100000000000001" customHeight="1" thickBot="1">
      <c r="A215" s="28"/>
      <c r="B215" s="971"/>
      <c r="C215" s="971"/>
      <c r="D215" s="971"/>
      <c r="E215" s="971"/>
      <c r="F215" s="971"/>
      <c r="G215" s="971"/>
      <c r="H215" s="971"/>
      <c r="I215" s="971"/>
      <c r="J215" s="971"/>
      <c r="K215" s="971"/>
      <c r="L215" s="971"/>
      <c r="M215" s="968"/>
      <c r="N215" s="971"/>
      <c r="O215" s="971"/>
      <c r="P215" s="971"/>
      <c r="Q215" s="971"/>
      <c r="R215" s="971"/>
      <c r="S215" s="971"/>
      <c r="T215" s="971"/>
      <c r="U215" s="971"/>
      <c r="V215" s="971"/>
      <c r="W215" s="971"/>
      <c r="X215" s="971"/>
      <c r="Y215" s="971"/>
      <c r="Z215" s="971"/>
      <c r="AA215" s="971"/>
      <c r="AB215" s="971"/>
      <c r="AC215" s="971"/>
      <c r="AD215" s="971"/>
      <c r="AE215" s="971"/>
      <c r="AF215" s="1503"/>
      <c r="AG215" s="498" t="s">
        <v>1226</v>
      </c>
      <c r="AH215" s="499"/>
      <c r="AI215" s="499"/>
      <c r="AJ215" s="340"/>
      <c r="AK215" s="320">
        <v>0</v>
      </c>
      <c r="AL215" s="325">
        <f>AL$137*INDEX('DEFAULT DATA'!$AIM$9:$AIT$41,START!$C$3,8)*BUILDINGS!AL6/1000000</f>
        <v>0</v>
      </c>
      <c r="AM215" s="325">
        <f>AM$137*INDEX('DEFAULT DATA'!$AIM$9:$AIT$41,START!$C$3,8)*BUILDINGS!AM6/1000000</f>
        <v>0</v>
      </c>
      <c r="AN215" s="325">
        <f>AN$137*INDEX('DEFAULT DATA'!$AIM$9:$AIT$41,START!$C$3,8)*BUILDINGS!AN6/1000000</f>
        <v>0</v>
      </c>
      <c r="AO215" s="325">
        <f>AO$137*INDEX('DEFAULT DATA'!$AIM$9:$AIT$41,START!$C$3,8)*BUILDINGS!AO6/1000000</f>
        <v>0</v>
      </c>
      <c r="AP215" s="325">
        <f>AP$137*INDEX('DEFAULT DATA'!$AIM$9:$AIT$41,START!$C$3,8)*BUILDINGS!AP6/1000000</f>
        <v>0</v>
      </c>
      <c r="AQ215" s="325">
        <f>AQ$137*INDEX('DEFAULT DATA'!$AIM$9:$AIT$41,START!$C$3,8)*BUILDINGS!AQ6/1000000</f>
        <v>0</v>
      </c>
      <c r="AR215" s="325">
        <f>AR$137*INDEX('DEFAULT DATA'!$AIM$9:$AIT$41,START!$C$3,8)*BUILDINGS!AR6/1000000</f>
        <v>0</v>
      </c>
      <c r="AS215" s="325">
        <f>AS$137*INDEX('DEFAULT DATA'!$AIM$9:$AIT$41,START!$C$3,8)*BUILDINGS!AS6/1000000</f>
        <v>0</v>
      </c>
      <c r="AT215" s="325">
        <f>AT$137*INDEX('DEFAULT DATA'!$AIM$9:$AIT$41,START!$C$3,8)*BUILDINGS!AT6/1000000</f>
        <v>0</v>
      </c>
      <c r="AU215" s="325">
        <f>AU$137*INDEX('DEFAULT DATA'!$AIM$9:$AIT$41,START!$C$3,8)*BUILDINGS!AU6/1000000</f>
        <v>0</v>
      </c>
      <c r="AV215" s="325">
        <f>AV$137*INDEX('DEFAULT DATA'!$AIM$9:$AIT$41,START!$C$3,8)*BUILDINGS!AV6/1000000</f>
        <v>0</v>
      </c>
      <c r="AW215" s="325">
        <f>AW$137*INDEX('DEFAULT DATA'!$AIM$9:$AIT$41,START!$C$3,8)*BUILDINGS!AW6/1000000</f>
        <v>0</v>
      </c>
      <c r="AX215" s="325">
        <f>AX$137*INDEX('DEFAULT DATA'!$AIM$9:$AIT$41,START!$C$3,8)*BUILDINGS!AX6/1000000</f>
        <v>0</v>
      </c>
      <c r="AY215" s="325">
        <f>AY$137*INDEX('DEFAULT DATA'!$AIM$9:$AIT$41,START!$C$3,8)*BUILDINGS!AY6/1000000</f>
        <v>0</v>
      </c>
      <c r="AZ215" s="325">
        <f>AZ$137*INDEX('DEFAULT DATA'!$AIM$9:$AIT$41,START!$C$3,8)*BUILDINGS!AZ6/1000000</f>
        <v>0</v>
      </c>
      <c r="BA215" s="325">
        <f>BA$137*INDEX('DEFAULT DATA'!$AIM$9:$AIT$41,START!$C$3,8)*BUILDINGS!BA6/1000000</f>
        <v>0</v>
      </c>
      <c r="BB215" s="325">
        <f>BB$137*INDEX('DEFAULT DATA'!$AIM$9:$AIT$41,START!$C$3,8)*BUILDINGS!BB6/1000000</f>
        <v>0</v>
      </c>
      <c r="BC215" s="325">
        <f>BC$137*INDEX('DEFAULT DATA'!$AIM$9:$AIT$41,START!$C$3,8)*BUILDINGS!BC6/1000000</f>
        <v>0</v>
      </c>
      <c r="BD215" s="325">
        <f>BD$137*INDEX('DEFAULT DATA'!$AIM$9:$AIT$41,START!$C$3,8)*BUILDINGS!BD6/1000000</f>
        <v>0</v>
      </c>
      <c r="BE215" s="325">
        <f>BE$137*INDEX('DEFAULT DATA'!$AIM$9:$AIT$41,START!$C$3,8)*BUILDINGS!BE6/1000000</f>
        <v>0</v>
      </c>
      <c r="BF215" s="325">
        <f>BF$137*INDEX('DEFAULT DATA'!$AIM$9:$AIT$41,START!$C$3,8)*BUILDINGS!BF6/1000000</f>
        <v>0</v>
      </c>
      <c r="BG215" s="325">
        <f>BG$137*INDEX('DEFAULT DATA'!$AIM$9:$AIT$41,START!$C$3,8)*BUILDINGS!BG6/1000000</f>
        <v>0</v>
      </c>
      <c r="BH215" s="325">
        <f>BH$137*INDEX('DEFAULT DATA'!$AIM$9:$AIT$41,START!$C$3,8)*BUILDINGS!BH6/1000000</f>
        <v>0</v>
      </c>
      <c r="BI215" s="325">
        <f>BI$137*INDEX('DEFAULT DATA'!$AIM$9:$AIT$41,START!$C$3,8)*BUILDINGS!BI6/1000000</f>
        <v>0</v>
      </c>
      <c r="BJ215" s="325">
        <f>BJ$137*INDEX('DEFAULT DATA'!$AIM$9:$AIT$41,START!$C$3,8)*BUILDINGS!BJ6/1000000</f>
        <v>0</v>
      </c>
      <c r="BK215" s="325">
        <f>BK$137*INDEX('DEFAULT DATA'!$AIM$9:$AIT$41,START!$C$3,8)*BUILDINGS!BK6/1000000</f>
        <v>0</v>
      </c>
      <c r="BL215" s="325">
        <f>BL$137*INDEX('DEFAULT DATA'!$AIM$9:$AIT$41,START!$C$3,8)*BUILDINGS!BL6/1000000</f>
        <v>0</v>
      </c>
      <c r="BM215" s="325">
        <f>BM$137*INDEX('DEFAULT DATA'!$AIM$9:$AIT$41,START!$C$3,8)*BUILDINGS!BM6/1000000</f>
        <v>0</v>
      </c>
      <c r="BN215" s="325">
        <f>BN$137*INDEX('DEFAULT DATA'!$AIM$9:$AIT$41,START!$C$3,8)*BUILDINGS!BN6/1000000</f>
        <v>0</v>
      </c>
      <c r="BP215" s="548" t="str">
        <f t="shared" si="112"/>
        <v>Heat</v>
      </c>
      <c r="BQ215" s="549" t="s">
        <v>1864</v>
      </c>
      <c r="BR215" s="550"/>
      <c r="BS215" s="550"/>
      <c r="BT215" s="550"/>
      <c r="BU215" s="550"/>
      <c r="BV215" s="550"/>
      <c r="BW215" s="550"/>
      <c r="BX215" s="550"/>
      <c r="BY215" s="550"/>
      <c r="BZ215" s="550"/>
      <c r="CA215" s="550"/>
      <c r="CB215" s="550"/>
      <c r="CC215" s="550"/>
      <c r="CD215" s="550"/>
      <c r="CE215" s="550"/>
      <c r="CF215" s="550"/>
      <c r="CG215" s="551"/>
      <c r="CH215" s="543" t="s">
        <v>1822</v>
      </c>
      <c r="CI215" s="543" t="s">
        <v>1626</v>
      </c>
    </row>
    <row r="216" spans="1:87" ht="20.100000000000001" customHeight="1">
      <c r="L216" s="29"/>
      <c r="M216" s="968"/>
      <c r="N216" s="971"/>
      <c r="O216" s="971"/>
      <c r="P216" s="971"/>
      <c r="Q216" s="971"/>
      <c r="R216" s="971"/>
      <c r="S216" s="971"/>
      <c r="T216" s="971"/>
      <c r="U216" s="971"/>
      <c r="V216" s="971"/>
      <c r="W216" s="971"/>
      <c r="X216" s="971"/>
      <c r="Y216" s="971"/>
      <c r="Z216" s="971"/>
      <c r="AA216" s="971"/>
      <c r="AB216" s="971"/>
      <c r="AC216" s="971"/>
      <c r="AD216" s="971"/>
      <c r="AE216" s="971"/>
      <c r="AF216" s="332"/>
      <c r="AG216" s="505" t="s">
        <v>310</v>
      </c>
      <c r="AH216" s="506"/>
      <c r="AI216" s="506"/>
      <c r="AJ216" s="507"/>
      <c r="AK216" s="316">
        <f>SUM(AK208:AK215)</f>
        <v>0</v>
      </c>
      <c r="AL216" s="327">
        <f t="shared" ref="AL216:BN216" si="113">SUM(AL208:AL215)</f>
        <v>0</v>
      </c>
      <c r="AM216" s="327">
        <f t="shared" si="113"/>
        <v>0</v>
      </c>
      <c r="AN216" s="327">
        <f t="shared" si="113"/>
        <v>0</v>
      </c>
      <c r="AO216" s="327">
        <f t="shared" si="113"/>
        <v>0</v>
      </c>
      <c r="AP216" s="327">
        <f t="shared" si="113"/>
        <v>0</v>
      </c>
      <c r="AQ216" s="327">
        <f t="shared" si="113"/>
        <v>0</v>
      </c>
      <c r="AR216" s="327">
        <f t="shared" si="113"/>
        <v>0</v>
      </c>
      <c r="AS216" s="327">
        <f t="shared" si="113"/>
        <v>0</v>
      </c>
      <c r="AT216" s="327">
        <f t="shared" si="113"/>
        <v>0</v>
      </c>
      <c r="AU216" s="327">
        <f t="shared" si="113"/>
        <v>0</v>
      </c>
      <c r="AV216" s="327">
        <f t="shared" si="113"/>
        <v>0</v>
      </c>
      <c r="AW216" s="327">
        <f t="shared" si="113"/>
        <v>0</v>
      </c>
      <c r="AX216" s="327">
        <f t="shared" si="113"/>
        <v>0</v>
      </c>
      <c r="AY216" s="327">
        <f t="shared" si="113"/>
        <v>0</v>
      </c>
      <c r="AZ216" s="327">
        <f t="shared" si="113"/>
        <v>0</v>
      </c>
      <c r="BA216" s="327">
        <f t="shared" si="113"/>
        <v>0</v>
      </c>
      <c r="BB216" s="327">
        <f t="shared" si="113"/>
        <v>0</v>
      </c>
      <c r="BC216" s="327">
        <f t="shared" si="113"/>
        <v>0</v>
      </c>
      <c r="BD216" s="327">
        <f t="shared" si="113"/>
        <v>0</v>
      </c>
      <c r="BE216" s="327">
        <f t="shared" si="113"/>
        <v>0</v>
      </c>
      <c r="BF216" s="327">
        <f t="shared" si="113"/>
        <v>0</v>
      </c>
      <c r="BG216" s="327">
        <f t="shared" si="113"/>
        <v>0</v>
      </c>
      <c r="BH216" s="327">
        <f t="shared" si="113"/>
        <v>0</v>
      </c>
      <c r="BI216" s="327">
        <f t="shared" si="113"/>
        <v>0</v>
      </c>
      <c r="BJ216" s="327">
        <f t="shared" si="113"/>
        <v>0</v>
      </c>
      <c r="BK216" s="327">
        <f t="shared" si="113"/>
        <v>0</v>
      </c>
      <c r="BL216" s="327">
        <f t="shared" si="113"/>
        <v>0</v>
      </c>
      <c r="BM216" s="327">
        <f t="shared" si="113"/>
        <v>0</v>
      </c>
      <c r="BN216" s="327">
        <f t="shared" si="113"/>
        <v>0</v>
      </c>
      <c r="BQ216" s="17"/>
    </row>
    <row r="217" spans="1:87" ht="20.100000000000001" customHeight="1">
      <c r="BQ217" s="17"/>
    </row>
    <row r="218" spans="1:87" ht="20.100000000000001" customHeight="1">
      <c r="AF218" s="271" t="s">
        <v>1402</v>
      </c>
      <c r="BQ218" s="17"/>
    </row>
    <row r="219" spans="1:87" ht="20.100000000000001" customHeight="1" thickBot="1">
      <c r="AF219" s="333" t="s">
        <v>1396</v>
      </c>
      <c r="AG219" s="284"/>
      <c r="AH219" s="372"/>
      <c r="AI219" s="284"/>
      <c r="AJ219" s="284"/>
      <c r="AK219" s="284"/>
      <c r="AL219" s="284">
        <v>2022</v>
      </c>
      <c r="AM219" s="284">
        <f t="shared" ref="AM219:BN219" si="114">AL219+1</f>
        <v>2023</v>
      </c>
      <c r="AN219" s="284">
        <f t="shared" si="114"/>
        <v>2024</v>
      </c>
      <c r="AO219" s="284">
        <f t="shared" si="114"/>
        <v>2025</v>
      </c>
      <c r="AP219" s="284">
        <f t="shared" si="114"/>
        <v>2026</v>
      </c>
      <c r="AQ219" s="284">
        <f t="shared" si="114"/>
        <v>2027</v>
      </c>
      <c r="AR219" s="284">
        <f t="shared" si="114"/>
        <v>2028</v>
      </c>
      <c r="AS219" s="284">
        <f t="shared" si="114"/>
        <v>2029</v>
      </c>
      <c r="AT219" s="284">
        <f t="shared" si="114"/>
        <v>2030</v>
      </c>
      <c r="AU219" s="284">
        <f t="shared" si="114"/>
        <v>2031</v>
      </c>
      <c r="AV219" s="284">
        <f t="shared" si="114"/>
        <v>2032</v>
      </c>
      <c r="AW219" s="284">
        <f t="shared" si="114"/>
        <v>2033</v>
      </c>
      <c r="AX219" s="284">
        <f t="shared" si="114"/>
        <v>2034</v>
      </c>
      <c r="AY219" s="284">
        <f t="shared" si="114"/>
        <v>2035</v>
      </c>
      <c r="AZ219" s="284">
        <f t="shared" si="114"/>
        <v>2036</v>
      </c>
      <c r="BA219" s="284">
        <f t="shared" si="114"/>
        <v>2037</v>
      </c>
      <c r="BB219" s="284">
        <f t="shared" si="114"/>
        <v>2038</v>
      </c>
      <c r="BC219" s="284">
        <f t="shared" si="114"/>
        <v>2039</v>
      </c>
      <c r="BD219" s="284">
        <f t="shared" si="114"/>
        <v>2040</v>
      </c>
      <c r="BE219" s="284">
        <f t="shared" si="114"/>
        <v>2041</v>
      </c>
      <c r="BF219" s="284">
        <f t="shared" si="114"/>
        <v>2042</v>
      </c>
      <c r="BG219" s="284">
        <f t="shared" si="114"/>
        <v>2043</v>
      </c>
      <c r="BH219" s="284">
        <f t="shared" si="114"/>
        <v>2044</v>
      </c>
      <c r="BI219" s="284">
        <f t="shared" si="114"/>
        <v>2045</v>
      </c>
      <c r="BJ219" s="284">
        <f t="shared" si="114"/>
        <v>2046</v>
      </c>
      <c r="BK219" s="284">
        <f t="shared" si="114"/>
        <v>2047</v>
      </c>
      <c r="BL219" s="284">
        <f t="shared" si="114"/>
        <v>2048</v>
      </c>
      <c r="BM219" s="284">
        <f t="shared" si="114"/>
        <v>2049</v>
      </c>
      <c r="BN219" s="284">
        <f t="shared" si="114"/>
        <v>2050</v>
      </c>
    </row>
    <row r="220" spans="1:87" ht="20.100000000000001" customHeight="1">
      <c r="AF220" s="374" t="s">
        <v>1216</v>
      </c>
      <c r="AG220" s="913"/>
      <c r="AH220" s="914"/>
      <c r="AI220" s="913"/>
      <c r="AJ220" s="913"/>
      <c r="AK220" s="913"/>
      <c r="AL220" s="322">
        <f t="shared" ref="AL220:BN220" si="115">AL51</f>
        <v>0</v>
      </c>
      <c r="AM220" s="322">
        <f t="shared" si="115"/>
        <v>11952.759374890931</v>
      </c>
      <c r="AN220" s="322">
        <f t="shared" si="115"/>
        <v>11927.129903599831</v>
      </c>
      <c r="AO220" s="322">
        <f t="shared" si="115"/>
        <v>11901.756727021642</v>
      </c>
      <c r="AP220" s="322">
        <f t="shared" si="115"/>
        <v>11876.637282209234</v>
      </c>
      <c r="AQ220" s="322">
        <f t="shared" si="115"/>
        <v>11851.769031844949</v>
      </c>
      <c r="AR220" s="322">
        <f t="shared" si="115"/>
        <v>11827.149463984308</v>
      </c>
      <c r="AS220" s="322">
        <f t="shared" si="115"/>
        <v>11802.776091802274</v>
      </c>
      <c r="AT220" s="322">
        <f t="shared" si="115"/>
        <v>11778.64645334206</v>
      </c>
      <c r="AU220" s="322">
        <f t="shared" si="115"/>
        <v>11647.260571926194</v>
      </c>
      <c r="AV220" s="322">
        <f t="shared" si="115"/>
        <v>11523.100913988201</v>
      </c>
      <c r="AW220" s="322">
        <f t="shared" si="115"/>
        <v>11405.770037236798</v>
      </c>
      <c r="AX220" s="322">
        <f t="shared" si="115"/>
        <v>11294.89235870672</v>
      </c>
      <c r="AY220" s="322">
        <f t="shared" si="115"/>
        <v>11190.112952495798</v>
      </c>
      <c r="AZ220" s="322">
        <f t="shared" si="115"/>
        <v>11091.096413626477</v>
      </c>
      <c r="BA220" s="322">
        <f t="shared" si="115"/>
        <v>10997.525784394968</v>
      </c>
      <c r="BB220" s="322">
        <f t="shared" si="115"/>
        <v>10909.101539771191</v>
      </c>
      <c r="BC220" s="322">
        <f t="shared" si="115"/>
        <v>10825.540628601724</v>
      </c>
      <c r="BD220" s="322">
        <f t="shared" si="115"/>
        <v>10746.575567546575</v>
      </c>
      <c r="BE220" s="322">
        <f t="shared" si="115"/>
        <v>10671.95358484946</v>
      </c>
      <c r="BF220" s="322">
        <f t="shared" si="115"/>
        <v>10601.435811200688</v>
      </c>
      <c r="BG220" s="322">
        <f t="shared" si="115"/>
        <v>10534.796515102596</v>
      </c>
      <c r="BH220" s="322">
        <f t="shared" si="115"/>
        <v>10471.822380289901</v>
      </c>
      <c r="BI220" s="322">
        <f t="shared" si="115"/>
        <v>10412.311822891905</v>
      </c>
      <c r="BJ220" s="322">
        <f t="shared" si="115"/>
        <v>10356.074346150795</v>
      </c>
      <c r="BK220" s="322">
        <f t="shared" si="115"/>
        <v>10302.929930630449</v>
      </c>
      <c r="BL220" s="322">
        <f t="shared" si="115"/>
        <v>10252.708457963723</v>
      </c>
      <c r="BM220" s="322">
        <f t="shared" si="115"/>
        <v>10205.249166293665</v>
      </c>
      <c r="BN220" s="323">
        <f t="shared" si="115"/>
        <v>10160.400135665461</v>
      </c>
    </row>
    <row r="221" spans="1:87" ht="20.100000000000001" customHeight="1">
      <c r="AF221" s="376" t="s">
        <v>1219</v>
      </c>
      <c r="AG221" s="777"/>
      <c r="AH221" s="270"/>
      <c r="AI221" s="777"/>
      <c r="AJ221" s="777"/>
      <c r="AK221" s="777"/>
      <c r="AL221" s="272">
        <f t="shared" ref="AL221:BN221" si="116">AL69</f>
        <v>0</v>
      </c>
      <c r="AM221" s="272">
        <f t="shared" si="116"/>
        <v>18504.839515652016</v>
      </c>
      <c r="AN221" s="272">
        <f t="shared" si="116"/>
        <v>18465.160874240635</v>
      </c>
      <c r="AO221" s="272">
        <f t="shared" si="116"/>
        <v>18425.879019243366</v>
      </c>
      <c r="AP221" s="272">
        <f t="shared" si="116"/>
        <v>18386.989982796073</v>
      </c>
      <c r="AQ221" s="272">
        <f t="shared" si="116"/>
        <v>18348.489836713248</v>
      </c>
      <c r="AR221" s="272">
        <f t="shared" si="116"/>
        <v>18310.374692091256</v>
      </c>
      <c r="AS221" s="272">
        <f t="shared" si="116"/>
        <v>18272.640698915482</v>
      </c>
      <c r="AT221" s="272">
        <f t="shared" si="116"/>
        <v>18235.284045671462</v>
      </c>
      <c r="AU221" s="272">
        <f t="shared" si="116"/>
        <v>18031.877068757793</v>
      </c>
      <c r="AV221" s="272">
        <f t="shared" si="116"/>
        <v>17839.657475574379</v>
      </c>
      <c r="AW221" s="272">
        <f t="shared" si="116"/>
        <v>17658.009960016047</v>
      </c>
      <c r="AX221" s="272">
        <f t="shared" si="116"/>
        <v>17486.353057813423</v>
      </c>
      <c r="AY221" s="272">
        <f t="shared" si="116"/>
        <v>17324.137285231947</v>
      </c>
      <c r="AZ221" s="272">
        <f t="shared" si="116"/>
        <v>17170.843380142451</v>
      </c>
      <c r="BA221" s="272">
        <f t="shared" si="116"/>
        <v>17025.980639832876</v>
      </c>
      <c r="BB221" s="272">
        <f t="shared" si="116"/>
        <v>16889.08535024033</v>
      </c>
      <c r="BC221" s="272">
        <f t="shared" si="116"/>
        <v>16759.719301575373</v>
      </c>
      <c r="BD221" s="272">
        <f t="shared" si="116"/>
        <v>16637.468385586988</v>
      </c>
      <c r="BE221" s="272">
        <f t="shared" si="116"/>
        <v>16521.941269977964</v>
      </c>
      <c r="BF221" s="272">
        <f t="shared" si="116"/>
        <v>16412.768145727438</v>
      </c>
      <c r="BG221" s="272">
        <f t="shared" si="116"/>
        <v>16309.599543310689</v>
      </c>
      <c r="BH221" s="272">
        <f t="shared" si="116"/>
        <v>16212.105214026862</v>
      </c>
      <c r="BI221" s="272">
        <f t="shared" si="116"/>
        <v>16119.973072853645</v>
      </c>
      <c r="BJ221" s="272">
        <f t="shared" si="116"/>
        <v>16032.908199444955</v>
      </c>
      <c r="BK221" s="272">
        <f t="shared" si="116"/>
        <v>15950.631894073744</v>
      </c>
      <c r="BL221" s="272">
        <f t="shared" si="116"/>
        <v>15872.88078549795</v>
      </c>
      <c r="BM221" s="272">
        <f t="shared" si="116"/>
        <v>15799.405987893824</v>
      </c>
      <c r="BN221" s="324">
        <f t="shared" si="116"/>
        <v>15729.972304157924</v>
      </c>
    </row>
    <row r="222" spans="1:87" ht="20.100000000000001" customHeight="1">
      <c r="AF222" s="376" t="s">
        <v>1218</v>
      </c>
      <c r="AG222" s="777"/>
      <c r="AH222" s="270"/>
      <c r="AI222" s="777"/>
      <c r="AJ222" s="777"/>
      <c r="AK222" s="777"/>
      <c r="AL222" s="272">
        <f t="shared" ref="AL222:BN222" si="117">AL87</f>
        <v>0</v>
      </c>
      <c r="AM222" s="272">
        <f t="shared" si="117"/>
        <v>77893.050264105928</v>
      </c>
      <c r="AN222" s="272">
        <f t="shared" si="117"/>
        <v>77726.029609468314</v>
      </c>
      <c r="AO222" s="272">
        <f t="shared" si="117"/>
        <v>77560.679161377077</v>
      </c>
      <c r="AP222" s="272">
        <f t="shared" si="117"/>
        <v>77396.982217766752</v>
      </c>
      <c r="AQ222" s="272">
        <f t="shared" si="117"/>
        <v>77234.922243592533</v>
      </c>
      <c r="AR222" s="272">
        <f t="shared" si="117"/>
        <v>77074.482869160041</v>
      </c>
      <c r="AS222" s="272">
        <f t="shared" si="117"/>
        <v>76915.647888471896</v>
      </c>
      <c r="AT222" s="272">
        <f t="shared" si="117"/>
        <v>76758.401257590624</v>
      </c>
      <c r="AU222" s="272">
        <f t="shared" si="117"/>
        <v>75902.193352442089</v>
      </c>
      <c r="AV222" s="272">
        <f t="shared" si="117"/>
        <v>75093.076882076712</v>
      </c>
      <c r="AW222" s="272">
        <f t="shared" si="117"/>
        <v>74328.461817581439</v>
      </c>
      <c r="AX222" s="272">
        <f t="shared" si="117"/>
        <v>73605.90058163341</v>
      </c>
      <c r="AY222" s="272">
        <f t="shared" si="117"/>
        <v>72923.080213662513</v>
      </c>
      <c r="AZ222" s="272">
        <f t="shared" si="117"/>
        <v>72277.814965930011</v>
      </c>
      <c r="BA222" s="272">
        <f t="shared" si="117"/>
        <v>71668.039306822815</v>
      </c>
      <c r="BB222" s="272">
        <f t="shared" si="117"/>
        <v>71091.801308966504</v>
      </c>
      <c r="BC222" s="272">
        <f t="shared" si="117"/>
        <v>70547.256400992293</v>
      </c>
      <c r="BD222" s="272">
        <f t="shared" si="117"/>
        <v>70032.661462956661</v>
      </c>
      <c r="BE222" s="272">
        <f t="shared" si="117"/>
        <v>69546.369246512986</v>
      </c>
      <c r="BF222" s="272">
        <f t="shared" si="117"/>
        <v>69086.823101973714</v>
      </c>
      <c r="BG222" s="272">
        <f t="shared" si="117"/>
        <v>68652.551995384114</v>
      </c>
      <c r="BH222" s="272">
        <f t="shared" si="117"/>
        <v>68242.165799656941</v>
      </c>
      <c r="BI222" s="272">
        <f t="shared" si="117"/>
        <v>67854.350844694738</v>
      </c>
      <c r="BJ222" s="272">
        <f t="shared" si="117"/>
        <v>67487.865712255472</v>
      </c>
      <c r="BK222" s="272">
        <f t="shared" si="117"/>
        <v>67141.537262100377</v>
      </c>
      <c r="BL222" s="272">
        <f t="shared" si="117"/>
        <v>66814.256876703803</v>
      </c>
      <c r="BM222" s="272">
        <f t="shared" si="117"/>
        <v>66504.976912504033</v>
      </c>
      <c r="BN222" s="324">
        <f t="shared" si="117"/>
        <v>66212.707346335257</v>
      </c>
    </row>
    <row r="223" spans="1:87" ht="20.100000000000001" customHeight="1">
      <c r="AF223" s="376" t="s">
        <v>1217</v>
      </c>
      <c r="AG223" s="777"/>
      <c r="AH223" s="270"/>
      <c r="AI223" s="777"/>
      <c r="AJ223" s="777"/>
      <c r="AK223" s="777"/>
      <c r="AL223" s="272">
        <f t="shared" ref="AL223:BN223" si="118">AL107</f>
        <v>0</v>
      </c>
      <c r="AM223" s="272">
        <f t="shared" si="118"/>
        <v>119258.03736097951</v>
      </c>
      <c r="AN223" s="272">
        <f t="shared" si="118"/>
        <v>118903.2457699808</v>
      </c>
      <c r="AO223" s="272">
        <f t="shared" si="118"/>
        <v>118552.00209489209</v>
      </c>
      <c r="AP223" s="272">
        <f t="shared" si="118"/>
        <v>118204.27085655424</v>
      </c>
      <c r="AQ223" s="272">
        <f t="shared" si="118"/>
        <v>117860.0169305998</v>
      </c>
      <c r="AR223" s="272">
        <f t="shared" si="118"/>
        <v>117519.20554390489</v>
      </c>
      <c r="AS223" s="272">
        <f t="shared" si="118"/>
        <v>117181.80227107693</v>
      </c>
      <c r="AT223" s="272">
        <f t="shared" si="118"/>
        <v>116847.77303097726</v>
      </c>
      <c r="AU223" s="272">
        <f t="shared" si="118"/>
        <v>115028.9838186345</v>
      </c>
      <c r="AV223" s="272">
        <f t="shared" si="118"/>
        <v>113310.22801297059</v>
      </c>
      <c r="AW223" s="272">
        <f t="shared" si="118"/>
        <v>111686.00377661819</v>
      </c>
      <c r="AX223" s="272">
        <f t="shared" si="118"/>
        <v>110151.11187326518</v>
      </c>
      <c r="AY223" s="272">
        <f t="shared" si="118"/>
        <v>108700.6390245966</v>
      </c>
      <c r="AZ223" s="272">
        <f t="shared" si="118"/>
        <v>107329.94218260478</v>
      </c>
      <c r="BA223" s="272">
        <f t="shared" si="118"/>
        <v>106034.63366692251</v>
      </c>
      <c r="BB223" s="272">
        <f t="shared" si="118"/>
        <v>104810.56711960275</v>
      </c>
      <c r="BC223" s="272">
        <f t="shared" si="118"/>
        <v>103653.8242323856</v>
      </c>
      <c r="BD223" s="272">
        <f t="shared" si="118"/>
        <v>102560.70220396538</v>
      </c>
      <c r="BE223" s="272">
        <f t="shared" si="118"/>
        <v>101527.70188710827</v>
      </c>
      <c r="BF223" s="272">
        <f t="shared" si="118"/>
        <v>100551.51658767831</v>
      </c>
      <c r="BG223" s="272">
        <f t="shared" si="118"/>
        <v>99629.02147971699</v>
      </c>
      <c r="BH223" s="272">
        <f t="shared" si="118"/>
        <v>98757.263602693565</v>
      </c>
      <c r="BI223" s="272">
        <f t="shared" si="118"/>
        <v>97933.452408906393</v>
      </c>
      <c r="BJ223" s="272">
        <f t="shared" si="118"/>
        <v>97154.95083077754</v>
      </c>
      <c r="BK223" s="272">
        <f t="shared" si="118"/>
        <v>96419.266839445772</v>
      </c>
      <c r="BL223" s="272">
        <f t="shared" si="118"/>
        <v>95724.045467637246</v>
      </c>
      <c r="BM223" s="272">
        <f t="shared" si="118"/>
        <v>95067.061271278188</v>
      </c>
      <c r="BN223" s="324">
        <f t="shared" si="118"/>
        <v>94446.211205718879</v>
      </c>
    </row>
    <row r="224" spans="1:87" ht="20.100000000000001" customHeight="1">
      <c r="AF224" s="376" t="s">
        <v>1228</v>
      </c>
      <c r="AG224" s="777"/>
      <c r="AH224" s="270"/>
      <c r="AI224" s="777"/>
      <c r="AJ224" s="777"/>
      <c r="AK224" s="777"/>
      <c r="AL224" s="272">
        <f t="shared" ref="AL224:BN224" si="119">AL151</f>
        <v>0</v>
      </c>
      <c r="AM224" s="272">
        <f t="shared" si="119"/>
        <v>0</v>
      </c>
      <c r="AN224" s="272">
        <f t="shared" si="119"/>
        <v>0</v>
      </c>
      <c r="AO224" s="272">
        <f t="shared" si="119"/>
        <v>0</v>
      </c>
      <c r="AP224" s="272">
        <f t="shared" si="119"/>
        <v>0</v>
      </c>
      <c r="AQ224" s="272">
        <f t="shared" si="119"/>
        <v>0</v>
      </c>
      <c r="AR224" s="272">
        <f t="shared" si="119"/>
        <v>0</v>
      </c>
      <c r="AS224" s="272">
        <f t="shared" si="119"/>
        <v>0</v>
      </c>
      <c r="AT224" s="272">
        <f t="shared" si="119"/>
        <v>0</v>
      </c>
      <c r="AU224" s="272">
        <f t="shared" si="119"/>
        <v>0</v>
      </c>
      <c r="AV224" s="272">
        <f t="shared" si="119"/>
        <v>0</v>
      </c>
      <c r="AW224" s="272">
        <f t="shared" si="119"/>
        <v>0</v>
      </c>
      <c r="AX224" s="272">
        <f t="shared" si="119"/>
        <v>0</v>
      </c>
      <c r="AY224" s="272">
        <f t="shared" si="119"/>
        <v>0</v>
      </c>
      <c r="AZ224" s="272">
        <f t="shared" si="119"/>
        <v>0</v>
      </c>
      <c r="BA224" s="272">
        <f t="shared" si="119"/>
        <v>0</v>
      </c>
      <c r="BB224" s="272">
        <f t="shared" si="119"/>
        <v>0</v>
      </c>
      <c r="BC224" s="272">
        <f t="shared" si="119"/>
        <v>0</v>
      </c>
      <c r="BD224" s="272">
        <f t="shared" si="119"/>
        <v>0</v>
      </c>
      <c r="BE224" s="272">
        <f t="shared" si="119"/>
        <v>0</v>
      </c>
      <c r="BF224" s="272">
        <f t="shared" si="119"/>
        <v>0</v>
      </c>
      <c r="BG224" s="272">
        <f t="shared" si="119"/>
        <v>0</v>
      </c>
      <c r="BH224" s="272">
        <f t="shared" si="119"/>
        <v>0</v>
      </c>
      <c r="BI224" s="272">
        <f t="shared" si="119"/>
        <v>0</v>
      </c>
      <c r="BJ224" s="272">
        <f t="shared" si="119"/>
        <v>0</v>
      </c>
      <c r="BK224" s="272">
        <f t="shared" si="119"/>
        <v>0</v>
      </c>
      <c r="BL224" s="272">
        <f t="shared" si="119"/>
        <v>0</v>
      </c>
      <c r="BM224" s="272">
        <f t="shared" si="119"/>
        <v>0</v>
      </c>
      <c r="BN224" s="324">
        <f t="shared" si="119"/>
        <v>0</v>
      </c>
    </row>
    <row r="225" spans="32:66" ht="20.100000000000001" customHeight="1">
      <c r="AF225" s="376" t="s">
        <v>1229</v>
      </c>
      <c r="AG225" s="777"/>
      <c r="AH225" s="270"/>
      <c r="AI225" s="777"/>
      <c r="AJ225" s="777"/>
      <c r="AK225" s="777"/>
      <c r="AL225" s="272">
        <f t="shared" ref="AL225:BN225" si="120">AL164</f>
        <v>0</v>
      </c>
      <c r="AM225" s="272">
        <f t="shared" si="120"/>
        <v>0</v>
      </c>
      <c r="AN225" s="272">
        <f t="shared" si="120"/>
        <v>0</v>
      </c>
      <c r="AO225" s="272">
        <f t="shared" si="120"/>
        <v>0</v>
      </c>
      <c r="AP225" s="272">
        <f t="shared" si="120"/>
        <v>0</v>
      </c>
      <c r="AQ225" s="272">
        <f t="shared" si="120"/>
        <v>0</v>
      </c>
      <c r="AR225" s="272">
        <f t="shared" si="120"/>
        <v>0</v>
      </c>
      <c r="AS225" s="272">
        <f t="shared" si="120"/>
        <v>0</v>
      </c>
      <c r="AT225" s="272">
        <f t="shared" si="120"/>
        <v>0</v>
      </c>
      <c r="AU225" s="272">
        <f t="shared" si="120"/>
        <v>0</v>
      </c>
      <c r="AV225" s="272">
        <f t="shared" si="120"/>
        <v>0</v>
      </c>
      <c r="AW225" s="272">
        <f t="shared" si="120"/>
        <v>0</v>
      </c>
      <c r="AX225" s="272">
        <f t="shared" si="120"/>
        <v>0</v>
      </c>
      <c r="AY225" s="272">
        <f t="shared" si="120"/>
        <v>0</v>
      </c>
      <c r="AZ225" s="272">
        <f t="shared" si="120"/>
        <v>0</v>
      </c>
      <c r="BA225" s="272">
        <f t="shared" si="120"/>
        <v>0</v>
      </c>
      <c r="BB225" s="272">
        <f t="shared" si="120"/>
        <v>0</v>
      </c>
      <c r="BC225" s="272">
        <f t="shared" si="120"/>
        <v>0</v>
      </c>
      <c r="BD225" s="272">
        <f t="shared" si="120"/>
        <v>0</v>
      </c>
      <c r="BE225" s="272">
        <f t="shared" si="120"/>
        <v>0</v>
      </c>
      <c r="BF225" s="272">
        <f t="shared" si="120"/>
        <v>0</v>
      </c>
      <c r="BG225" s="272">
        <f t="shared" si="120"/>
        <v>0</v>
      </c>
      <c r="BH225" s="272">
        <f t="shared" si="120"/>
        <v>0</v>
      </c>
      <c r="BI225" s="272">
        <f t="shared" si="120"/>
        <v>0</v>
      </c>
      <c r="BJ225" s="272">
        <f t="shared" si="120"/>
        <v>0</v>
      </c>
      <c r="BK225" s="272">
        <f t="shared" si="120"/>
        <v>0</v>
      </c>
      <c r="BL225" s="272">
        <f t="shared" si="120"/>
        <v>0</v>
      </c>
      <c r="BM225" s="272">
        <f t="shared" si="120"/>
        <v>0</v>
      </c>
      <c r="BN225" s="324">
        <f t="shared" si="120"/>
        <v>0</v>
      </c>
    </row>
    <row r="226" spans="32:66" ht="20.100000000000001" customHeight="1">
      <c r="AF226" s="376" t="s">
        <v>1230</v>
      </c>
      <c r="AG226" s="777"/>
      <c r="AH226" s="270"/>
      <c r="AI226" s="777"/>
      <c r="AJ226" s="777"/>
      <c r="AK226" s="777"/>
      <c r="AL226" s="272">
        <f t="shared" ref="AL226:BN226" si="121">AL177</f>
        <v>0</v>
      </c>
      <c r="AM226" s="272">
        <f t="shared" si="121"/>
        <v>0</v>
      </c>
      <c r="AN226" s="272">
        <f t="shared" si="121"/>
        <v>0</v>
      </c>
      <c r="AO226" s="272">
        <f t="shared" si="121"/>
        <v>0</v>
      </c>
      <c r="AP226" s="272">
        <f t="shared" si="121"/>
        <v>0</v>
      </c>
      <c r="AQ226" s="272">
        <f t="shared" si="121"/>
        <v>0</v>
      </c>
      <c r="AR226" s="272">
        <f t="shared" si="121"/>
        <v>0</v>
      </c>
      <c r="AS226" s="272">
        <f t="shared" si="121"/>
        <v>0</v>
      </c>
      <c r="AT226" s="272">
        <f t="shared" si="121"/>
        <v>0</v>
      </c>
      <c r="AU226" s="272">
        <f t="shared" si="121"/>
        <v>0</v>
      </c>
      <c r="AV226" s="272">
        <f t="shared" si="121"/>
        <v>0</v>
      </c>
      <c r="AW226" s="272">
        <f t="shared" si="121"/>
        <v>0</v>
      </c>
      <c r="AX226" s="272">
        <f t="shared" si="121"/>
        <v>0</v>
      </c>
      <c r="AY226" s="272">
        <f t="shared" si="121"/>
        <v>0</v>
      </c>
      <c r="AZ226" s="272">
        <f t="shared" si="121"/>
        <v>0</v>
      </c>
      <c r="BA226" s="272">
        <f t="shared" si="121"/>
        <v>0</v>
      </c>
      <c r="BB226" s="272">
        <f t="shared" si="121"/>
        <v>0</v>
      </c>
      <c r="BC226" s="272">
        <f t="shared" si="121"/>
        <v>0</v>
      </c>
      <c r="BD226" s="272">
        <f t="shared" si="121"/>
        <v>0</v>
      </c>
      <c r="BE226" s="272">
        <f t="shared" si="121"/>
        <v>0</v>
      </c>
      <c r="BF226" s="272">
        <f t="shared" si="121"/>
        <v>0</v>
      </c>
      <c r="BG226" s="272">
        <f t="shared" si="121"/>
        <v>0</v>
      </c>
      <c r="BH226" s="272">
        <f t="shared" si="121"/>
        <v>0</v>
      </c>
      <c r="BI226" s="272">
        <f t="shared" si="121"/>
        <v>0</v>
      </c>
      <c r="BJ226" s="272">
        <f t="shared" si="121"/>
        <v>0</v>
      </c>
      <c r="BK226" s="272">
        <f t="shared" si="121"/>
        <v>0</v>
      </c>
      <c r="BL226" s="272">
        <f t="shared" si="121"/>
        <v>0</v>
      </c>
      <c r="BM226" s="272">
        <f t="shared" si="121"/>
        <v>0</v>
      </c>
      <c r="BN226" s="324">
        <f t="shared" si="121"/>
        <v>0</v>
      </c>
    </row>
    <row r="227" spans="32:66" ht="20.100000000000001" customHeight="1">
      <c r="AF227" s="376" t="s">
        <v>1231</v>
      </c>
      <c r="AG227" s="777"/>
      <c r="AH227" s="270"/>
      <c r="AI227" s="777"/>
      <c r="AJ227" s="777"/>
      <c r="AK227" s="777"/>
      <c r="AL227" s="272">
        <f t="shared" ref="AL227:BN227" si="122">AL190</f>
        <v>0</v>
      </c>
      <c r="AM227" s="272">
        <f t="shared" si="122"/>
        <v>0</v>
      </c>
      <c r="AN227" s="272">
        <f t="shared" si="122"/>
        <v>0</v>
      </c>
      <c r="AO227" s="272">
        <f t="shared" si="122"/>
        <v>0</v>
      </c>
      <c r="AP227" s="272">
        <f t="shared" si="122"/>
        <v>0</v>
      </c>
      <c r="AQ227" s="272">
        <f t="shared" si="122"/>
        <v>0</v>
      </c>
      <c r="AR227" s="272">
        <f t="shared" si="122"/>
        <v>0</v>
      </c>
      <c r="AS227" s="272">
        <f t="shared" si="122"/>
        <v>0</v>
      </c>
      <c r="AT227" s="272">
        <f t="shared" si="122"/>
        <v>0</v>
      </c>
      <c r="AU227" s="272">
        <f t="shared" si="122"/>
        <v>0</v>
      </c>
      <c r="AV227" s="272">
        <f t="shared" si="122"/>
        <v>0</v>
      </c>
      <c r="AW227" s="272">
        <f t="shared" si="122"/>
        <v>0</v>
      </c>
      <c r="AX227" s="272">
        <f t="shared" si="122"/>
        <v>0</v>
      </c>
      <c r="AY227" s="272">
        <f t="shared" si="122"/>
        <v>0</v>
      </c>
      <c r="AZ227" s="272">
        <f t="shared" si="122"/>
        <v>0</v>
      </c>
      <c r="BA227" s="272">
        <f t="shared" si="122"/>
        <v>0</v>
      </c>
      <c r="BB227" s="272">
        <f t="shared" si="122"/>
        <v>0</v>
      </c>
      <c r="BC227" s="272">
        <f t="shared" si="122"/>
        <v>0</v>
      </c>
      <c r="BD227" s="272">
        <f t="shared" si="122"/>
        <v>0</v>
      </c>
      <c r="BE227" s="272">
        <f t="shared" si="122"/>
        <v>0</v>
      </c>
      <c r="BF227" s="272">
        <f t="shared" si="122"/>
        <v>0</v>
      </c>
      <c r="BG227" s="272">
        <f t="shared" si="122"/>
        <v>0</v>
      </c>
      <c r="BH227" s="272">
        <f t="shared" si="122"/>
        <v>0</v>
      </c>
      <c r="BI227" s="272">
        <f t="shared" si="122"/>
        <v>0</v>
      </c>
      <c r="BJ227" s="272">
        <f t="shared" si="122"/>
        <v>0</v>
      </c>
      <c r="BK227" s="272">
        <f t="shared" si="122"/>
        <v>0</v>
      </c>
      <c r="BL227" s="272">
        <f t="shared" si="122"/>
        <v>0</v>
      </c>
      <c r="BM227" s="272">
        <f t="shared" si="122"/>
        <v>0</v>
      </c>
      <c r="BN227" s="324">
        <f t="shared" si="122"/>
        <v>0</v>
      </c>
    </row>
    <row r="228" spans="32:66" ht="20.100000000000001" customHeight="1">
      <c r="AF228" s="376" t="s">
        <v>1232</v>
      </c>
      <c r="AG228" s="777"/>
      <c r="AH228" s="270"/>
      <c r="AI228" s="777"/>
      <c r="AJ228" s="777"/>
      <c r="AK228" s="777"/>
      <c r="AL228" s="272">
        <f t="shared" ref="AL228:BN228" si="123">AL203</f>
        <v>0</v>
      </c>
      <c r="AM228" s="272">
        <f t="shared" si="123"/>
        <v>0</v>
      </c>
      <c r="AN228" s="272">
        <f t="shared" si="123"/>
        <v>0</v>
      </c>
      <c r="AO228" s="272">
        <f t="shared" si="123"/>
        <v>0</v>
      </c>
      <c r="AP228" s="272">
        <f t="shared" si="123"/>
        <v>0</v>
      </c>
      <c r="AQ228" s="272">
        <f t="shared" si="123"/>
        <v>0</v>
      </c>
      <c r="AR228" s="272">
        <f t="shared" si="123"/>
        <v>0</v>
      </c>
      <c r="AS228" s="272">
        <f t="shared" si="123"/>
        <v>0</v>
      </c>
      <c r="AT228" s="272">
        <f t="shared" si="123"/>
        <v>0</v>
      </c>
      <c r="AU228" s="272">
        <f t="shared" si="123"/>
        <v>0</v>
      </c>
      <c r="AV228" s="272">
        <f t="shared" si="123"/>
        <v>0</v>
      </c>
      <c r="AW228" s="272">
        <f t="shared" si="123"/>
        <v>0</v>
      </c>
      <c r="AX228" s="272">
        <f t="shared" si="123"/>
        <v>0</v>
      </c>
      <c r="AY228" s="272">
        <f t="shared" si="123"/>
        <v>0</v>
      </c>
      <c r="AZ228" s="272">
        <f t="shared" si="123"/>
        <v>0</v>
      </c>
      <c r="BA228" s="272">
        <f t="shared" si="123"/>
        <v>0</v>
      </c>
      <c r="BB228" s="272">
        <f t="shared" si="123"/>
        <v>0</v>
      </c>
      <c r="BC228" s="272">
        <f t="shared" si="123"/>
        <v>0</v>
      </c>
      <c r="BD228" s="272">
        <f t="shared" si="123"/>
        <v>0</v>
      </c>
      <c r="BE228" s="272">
        <f t="shared" si="123"/>
        <v>0</v>
      </c>
      <c r="BF228" s="272">
        <f t="shared" si="123"/>
        <v>0</v>
      </c>
      <c r="BG228" s="272">
        <f t="shared" si="123"/>
        <v>0</v>
      </c>
      <c r="BH228" s="272">
        <f t="shared" si="123"/>
        <v>0</v>
      </c>
      <c r="BI228" s="272">
        <f t="shared" si="123"/>
        <v>0</v>
      </c>
      <c r="BJ228" s="272">
        <f t="shared" si="123"/>
        <v>0</v>
      </c>
      <c r="BK228" s="272">
        <f t="shared" si="123"/>
        <v>0</v>
      </c>
      <c r="BL228" s="272">
        <f t="shared" si="123"/>
        <v>0</v>
      </c>
      <c r="BM228" s="272">
        <f t="shared" si="123"/>
        <v>0</v>
      </c>
      <c r="BN228" s="324">
        <f t="shared" si="123"/>
        <v>0</v>
      </c>
    </row>
    <row r="229" spans="32:66" ht="20.100000000000001" customHeight="1" thickBot="1">
      <c r="AF229" s="377" t="s">
        <v>1233</v>
      </c>
      <c r="AG229" s="320"/>
      <c r="AH229" s="320"/>
      <c r="AI229" s="320"/>
      <c r="AJ229" s="320"/>
      <c r="AK229" s="320"/>
      <c r="AL229" s="325">
        <f t="shared" ref="AL229:BN229" si="124">AL216</f>
        <v>0</v>
      </c>
      <c r="AM229" s="325">
        <f t="shared" si="124"/>
        <v>0</v>
      </c>
      <c r="AN229" s="325">
        <f t="shared" si="124"/>
        <v>0</v>
      </c>
      <c r="AO229" s="325">
        <f t="shared" si="124"/>
        <v>0</v>
      </c>
      <c r="AP229" s="325">
        <f t="shared" si="124"/>
        <v>0</v>
      </c>
      <c r="AQ229" s="325">
        <f t="shared" si="124"/>
        <v>0</v>
      </c>
      <c r="AR229" s="325">
        <f t="shared" si="124"/>
        <v>0</v>
      </c>
      <c r="AS229" s="325">
        <f t="shared" si="124"/>
        <v>0</v>
      </c>
      <c r="AT229" s="325">
        <f t="shared" si="124"/>
        <v>0</v>
      </c>
      <c r="AU229" s="325">
        <f t="shared" si="124"/>
        <v>0</v>
      </c>
      <c r="AV229" s="325">
        <f t="shared" si="124"/>
        <v>0</v>
      </c>
      <c r="AW229" s="325">
        <f t="shared" si="124"/>
        <v>0</v>
      </c>
      <c r="AX229" s="325">
        <f t="shared" si="124"/>
        <v>0</v>
      </c>
      <c r="AY229" s="325">
        <f t="shared" si="124"/>
        <v>0</v>
      </c>
      <c r="AZ229" s="325">
        <f t="shared" si="124"/>
        <v>0</v>
      </c>
      <c r="BA229" s="325">
        <f t="shared" si="124"/>
        <v>0</v>
      </c>
      <c r="BB229" s="325">
        <f t="shared" si="124"/>
        <v>0</v>
      </c>
      <c r="BC229" s="325">
        <f t="shared" si="124"/>
        <v>0</v>
      </c>
      <c r="BD229" s="325">
        <f t="shared" si="124"/>
        <v>0</v>
      </c>
      <c r="BE229" s="325">
        <f t="shared" si="124"/>
        <v>0</v>
      </c>
      <c r="BF229" s="325">
        <f t="shared" si="124"/>
        <v>0</v>
      </c>
      <c r="BG229" s="325">
        <f t="shared" si="124"/>
        <v>0</v>
      </c>
      <c r="BH229" s="325">
        <f t="shared" si="124"/>
        <v>0</v>
      </c>
      <c r="BI229" s="325">
        <f t="shared" si="124"/>
        <v>0</v>
      </c>
      <c r="BJ229" s="325">
        <f t="shared" si="124"/>
        <v>0</v>
      </c>
      <c r="BK229" s="325">
        <f t="shared" si="124"/>
        <v>0</v>
      </c>
      <c r="BL229" s="325">
        <f t="shared" si="124"/>
        <v>0</v>
      </c>
      <c r="BM229" s="325">
        <f t="shared" si="124"/>
        <v>0</v>
      </c>
      <c r="BN229" s="326">
        <f t="shared" si="124"/>
        <v>0</v>
      </c>
    </row>
    <row r="230" spans="32:66" ht="20.100000000000001" customHeight="1">
      <c r="AF230" s="373" t="s">
        <v>1395</v>
      </c>
      <c r="AG230" s="285"/>
      <c r="AH230" s="285"/>
      <c r="AI230" s="285"/>
      <c r="AJ230" s="285"/>
      <c r="AK230" s="285"/>
      <c r="AL230" s="327" t="str">
        <f>IF(SUM(AL220:AL229)=0,"",SUM(AL220:AL229))</f>
        <v/>
      </c>
      <c r="AM230" s="327">
        <f t="shared" ref="AM230:BN230" si="125">IF(SUM(AM220:AM229)=0,"",SUM(AM220:AM229))</f>
        <v>227608.68651562839</v>
      </c>
      <c r="AN230" s="327">
        <f t="shared" si="125"/>
        <v>227021.56615728958</v>
      </c>
      <c r="AO230" s="327">
        <f t="shared" si="125"/>
        <v>226440.31700253417</v>
      </c>
      <c r="AP230" s="327">
        <f t="shared" si="125"/>
        <v>225864.88033932631</v>
      </c>
      <c r="AQ230" s="327">
        <f t="shared" si="125"/>
        <v>225295.19804275053</v>
      </c>
      <c r="AR230" s="327">
        <f t="shared" si="125"/>
        <v>224731.21256914048</v>
      </c>
      <c r="AS230" s="327">
        <f t="shared" si="125"/>
        <v>224172.86695026659</v>
      </c>
      <c r="AT230" s="327">
        <f t="shared" si="125"/>
        <v>223620.1047875814</v>
      </c>
      <c r="AU230" s="327">
        <f t="shared" si="125"/>
        <v>220610.31481176056</v>
      </c>
      <c r="AV230" s="327">
        <f t="shared" si="125"/>
        <v>217766.06328460987</v>
      </c>
      <c r="AW230" s="327">
        <f t="shared" si="125"/>
        <v>215078.24559145246</v>
      </c>
      <c r="AX230" s="327">
        <f t="shared" si="125"/>
        <v>212538.25787141873</v>
      </c>
      <c r="AY230" s="327">
        <f t="shared" si="125"/>
        <v>210137.96947598684</v>
      </c>
      <c r="AZ230" s="327">
        <f t="shared" si="125"/>
        <v>207869.69694230371</v>
      </c>
      <c r="BA230" s="327">
        <f t="shared" si="125"/>
        <v>205726.17939797317</v>
      </c>
      <c r="BB230" s="327">
        <f t="shared" si="125"/>
        <v>203700.55531858077</v>
      </c>
      <c r="BC230" s="327">
        <f t="shared" si="125"/>
        <v>201786.34056355499</v>
      </c>
      <c r="BD230" s="327">
        <f t="shared" si="125"/>
        <v>199977.4076200556</v>
      </c>
      <c r="BE230" s="327">
        <f t="shared" si="125"/>
        <v>198267.96598844868</v>
      </c>
      <c r="BF230" s="327">
        <f t="shared" si="125"/>
        <v>196652.54364658016</v>
      </c>
      <c r="BG230" s="327">
        <f t="shared" si="125"/>
        <v>195125.96953351441</v>
      </c>
      <c r="BH230" s="327">
        <f t="shared" si="125"/>
        <v>193683.35699666728</v>
      </c>
      <c r="BI230" s="327">
        <f t="shared" si="125"/>
        <v>192320.08814934667</v>
      </c>
      <c r="BJ230" s="327">
        <f t="shared" si="125"/>
        <v>191031.79908862876</v>
      </c>
      <c r="BK230" s="327">
        <f t="shared" si="125"/>
        <v>189814.36592625035</v>
      </c>
      <c r="BL230" s="327">
        <f t="shared" si="125"/>
        <v>188663.89158780273</v>
      </c>
      <c r="BM230" s="327">
        <f t="shared" si="125"/>
        <v>187576.69333796971</v>
      </c>
      <c r="BN230" s="327">
        <f t="shared" si="125"/>
        <v>186549.2909918775</v>
      </c>
    </row>
    <row r="233" spans="32:66" ht="20.100000000000001" customHeight="1">
      <c r="AF233" s="290" t="s">
        <v>1447</v>
      </c>
    </row>
    <row r="234" spans="32:66" ht="20.100000000000001" customHeight="1">
      <c r="AF234" s="1507" t="s">
        <v>1434</v>
      </c>
      <c r="AG234" s="1508"/>
      <c r="AH234" s="1508"/>
      <c r="AI234" s="1508"/>
      <c r="AJ234" s="1508"/>
      <c r="AK234" s="1509"/>
    </row>
    <row r="235" spans="32:66" ht="20.100000000000001" customHeight="1">
      <c r="AF235" s="387"/>
      <c r="AG235" s="1543" t="s">
        <v>1234</v>
      </c>
      <c r="AH235" s="1543" t="s">
        <v>1235</v>
      </c>
      <c r="AI235" s="1543" t="s">
        <v>1236</v>
      </c>
      <c r="AJ235" s="1543" t="s">
        <v>1237</v>
      </c>
      <c r="AK235" s="1544" t="s">
        <v>170</v>
      </c>
    </row>
    <row r="236" spans="32:66" ht="20.100000000000001" customHeight="1">
      <c r="AF236" s="387"/>
      <c r="AG236" s="1543"/>
      <c r="AH236" s="1543"/>
      <c r="AI236" s="1543"/>
      <c r="AJ236" s="1543"/>
      <c r="AK236" s="1544"/>
    </row>
    <row r="237" spans="32:66" ht="20.100000000000001" customHeight="1">
      <c r="AF237" s="387" t="s">
        <v>1432</v>
      </c>
      <c r="AG237" s="388"/>
      <c r="AH237" s="388"/>
      <c r="AI237" s="388"/>
      <c r="AJ237" s="388"/>
      <c r="AK237" s="388">
        <f>SUM(AG237:AJ237)</f>
        <v>0</v>
      </c>
    </row>
    <row r="239" spans="32:66" ht="20.100000000000001" customHeight="1">
      <c r="AF239" s="290" t="s">
        <v>1500</v>
      </c>
    </row>
    <row r="240" spans="32:66" ht="20.100000000000001" customHeight="1">
      <c r="AF240" s="291" t="s">
        <v>1466</v>
      </c>
      <c r="AG240" s="292" t="s">
        <v>1484</v>
      </c>
      <c r="AH240" s="292"/>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c r="BN240" s="294"/>
    </row>
    <row r="241" spans="11:87" ht="20.100000000000001" customHeight="1">
      <c r="K241" s="281"/>
      <c r="L241" s="281"/>
      <c r="M241" s="281"/>
      <c r="N241" s="281"/>
      <c r="O241" s="281"/>
      <c r="P241" s="281"/>
      <c r="Q241" s="281"/>
      <c r="R241" s="281"/>
      <c r="S241" s="281"/>
      <c r="T241" s="281"/>
      <c r="U241" s="281"/>
      <c r="V241" s="281"/>
      <c r="W241" s="281"/>
      <c r="X241" s="281"/>
      <c r="Y241" s="281"/>
      <c r="Z241" s="281"/>
      <c r="AA241" s="281"/>
      <c r="AB241" s="281"/>
      <c r="AC241" s="281"/>
      <c r="AD241" s="281"/>
      <c r="AE241" s="281"/>
      <c r="AF241" s="295" t="s">
        <v>1477</v>
      </c>
      <c r="AG241" s="296" t="s">
        <v>1486</v>
      </c>
      <c r="AH241" s="297"/>
      <c r="AI241" s="296"/>
      <c r="AJ241" s="298"/>
      <c r="AK241" s="298"/>
      <c r="AL241" s="298"/>
      <c r="AM241" s="298"/>
      <c r="AN241" s="298"/>
      <c r="AO241" s="298"/>
      <c r="AP241" s="298"/>
      <c r="AQ241" s="298"/>
      <c r="AR241" s="298"/>
      <c r="AS241" s="298"/>
      <c r="AT241" s="298"/>
      <c r="AU241" s="298"/>
      <c r="AV241" s="298"/>
      <c r="AW241" s="298"/>
      <c r="AX241" s="298"/>
      <c r="AY241" s="298"/>
      <c r="AZ241" s="298"/>
      <c r="BA241" s="298"/>
      <c r="BB241" s="298"/>
      <c r="BC241" s="298"/>
      <c r="BD241" s="298"/>
      <c r="BE241" s="298"/>
      <c r="BF241" s="298"/>
      <c r="BG241" s="298"/>
      <c r="BH241" s="298"/>
      <c r="BI241" s="298"/>
      <c r="BJ241" s="298"/>
      <c r="BK241" s="298"/>
      <c r="BL241" s="298"/>
      <c r="BM241" s="298"/>
      <c r="BN241" s="299"/>
    </row>
    <row r="242" spans="11:87" ht="20.100000000000001" customHeight="1">
      <c r="K242" s="281"/>
      <c r="L242" s="281"/>
      <c r="M242" s="281"/>
      <c r="N242" s="281"/>
      <c r="O242" s="281"/>
      <c r="P242" s="281"/>
      <c r="Q242" s="281"/>
      <c r="R242" s="281"/>
      <c r="S242" s="281"/>
      <c r="T242" s="281"/>
      <c r="U242" s="281"/>
      <c r="V242" s="281"/>
      <c r="W242" s="281"/>
      <c r="X242" s="281"/>
      <c r="Y242" s="281"/>
      <c r="Z242" s="281"/>
      <c r="AA242" s="281"/>
      <c r="AB242" s="281"/>
      <c r="AC242" s="281"/>
      <c r="AD242" s="281"/>
      <c r="AE242" s="281"/>
      <c r="AF242" s="295" t="s">
        <v>1487</v>
      </c>
      <c r="AG242" s="296" t="s">
        <v>1476</v>
      </c>
      <c r="AH242" s="297"/>
      <c r="AI242" s="296"/>
      <c r="AJ242" s="298"/>
      <c r="AK242" s="298"/>
      <c r="AL242" s="298"/>
      <c r="AM242" s="298"/>
      <c r="AN242" s="298"/>
      <c r="AO242" s="298"/>
      <c r="AP242" s="298"/>
      <c r="AQ242" s="298"/>
      <c r="AR242" s="298"/>
      <c r="AS242" s="298"/>
      <c r="AT242" s="298"/>
      <c r="AU242" s="298"/>
      <c r="AV242" s="298"/>
      <c r="AW242" s="298"/>
      <c r="AX242" s="298"/>
      <c r="AY242" s="298"/>
      <c r="AZ242" s="298"/>
      <c r="BA242" s="298"/>
      <c r="BB242" s="298"/>
      <c r="BC242" s="298"/>
      <c r="BD242" s="298"/>
      <c r="BE242" s="298"/>
      <c r="BF242" s="298"/>
      <c r="BG242" s="298"/>
      <c r="BH242" s="298"/>
      <c r="BI242" s="298"/>
      <c r="BJ242" s="298"/>
      <c r="BK242" s="298"/>
      <c r="BL242" s="298"/>
      <c r="BM242" s="298"/>
      <c r="BN242" s="299"/>
    </row>
    <row r="243" spans="11:87" ht="20.100000000000001" customHeight="1">
      <c r="AF243" s="295" t="s">
        <v>1468</v>
      </c>
      <c r="AG243" s="300" t="s">
        <v>1480</v>
      </c>
      <c r="AH243" s="297"/>
      <c r="AI243" s="296"/>
      <c r="AJ243" s="298"/>
      <c r="AK243" s="298"/>
      <c r="AL243" s="298"/>
      <c r="AM243" s="298"/>
      <c r="AN243" s="298"/>
      <c r="AO243" s="298"/>
      <c r="AP243" s="298"/>
      <c r="AQ243" s="298"/>
      <c r="AR243" s="298"/>
      <c r="AS243" s="298"/>
      <c r="AT243" s="298"/>
      <c r="AU243" s="298"/>
      <c r="AV243" s="298"/>
      <c r="AW243" s="298"/>
      <c r="AX243" s="298"/>
      <c r="AY243" s="298"/>
      <c r="AZ243" s="298"/>
      <c r="BA243" s="298"/>
      <c r="BB243" s="298"/>
      <c r="BC243" s="298"/>
      <c r="BD243" s="298"/>
      <c r="BE243" s="298"/>
      <c r="BF243" s="298"/>
      <c r="BG243" s="298"/>
      <c r="BH243" s="298"/>
      <c r="BI243" s="298"/>
      <c r="BJ243" s="298"/>
      <c r="BK243" s="298"/>
      <c r="BL243" s="298"/>
      <c r="BM243" s="298"/>
      <c r="BN243" s="299"/>
      <c r="BP243" s="279" t="s">
        <v>1878</v>
      </c>
      <c r="BQ243" s="279"/>
      <c r="BR243" s="17"/>
      <c r="BS243" s="17"/>
      <c r="BT243" s="17"/>
    </row>
    <row r="244" spans="11:87" ht="20.100000000000001" customHeight="1">
      <c r="AF244" s="295" t="s">
        <v>1469</v>
      </c>
      <c r="AG244" s="300" t="s">
        <v>1488</v>
      </c>
      <c r="AH244" s="297"/>
      <c r="AI244" s="296"/>
      <c r="AJ244" s="298"/>
      <c r="AK244" s="298"/>
      <c r="AL244" s="298"/>
      <c r="AM244" s="298"/>
      <c r="AN244" s="298"/>
      <c r="AO244" s="298"/>
      <c r="AP244" s="298"/>
      <c r="AQ244" s="298"/>
      <c r="AR244" s="298"/>
      <c r="AS244" s="298"/>
      <c r="AT244" s="298"/>
      <c r="AU244" s="298"/>
      <c r="AV244" s="298"/>
      <c r="AW244" s="298"/>
      <c r="AX244" s="298"/>
      <c r="AY244" s="298"/>
      <c r="AZ244" s="298"/>
      <c r="BA244" s="298"/>
      <c r="BB244" s="298"/>
      <c r="BC244" s="298"/>
      <c r="BD244" s="298"/>
      <c r="BE244" s="298"/>
      <c r="BF244" s="298"/>
      <c r="BG244" s="298"/>
      <c r="BH244" s="298"/>
      <c r="BI244" s="298"/>
      <c r="BJ244" s="298"/>
      <c r="BK244" s="298"/>
      <c r="BL244" s="298"/>
      <c r="BM244" s="298"/>
      <c r="BN244" s="299"/>
      <c r="BP244" s="279" t="s">
        <v>1879</v>
      </c>
      <c r="BQ244" s="279"/>
      <c r="BR244" s="17"/>
      <c r="BS244" s="17"/>
      <c r="BT244" s="17"/>
    </row>
    <row r="245" spans="11:87" ht="20.100000000000001" customHeight="1">
      <c r="AF245" s="301" t="s">
        <v>1470</v>
      </c>
      <c r="AG245" s="300" t="s">
        <v>1490</v>
      </c>
      <c r="AH245" s="297"/>
      <c r="AI245" s="298"/>
      <c r="AJ245" s="298"/>
      <c r="AK245" s="298"/>
      <c r="AL245" s="298"/>
      <c r="AM245" s="298"/>
      <c r="AN245" s="298"/>
      <c r="AO245" s="298"/>
      <c r="AP245" s="298"/>
      <c r="AQ245" s="298"/>
      <c r="AR245" s="298"/>
      <c r="AS245" s="298"/>
      <c r="AT245" s="298"/>
      <c r="AU245" s="298"/>
      <c r="AV245" s="298"/>
      <c r="AW245" s="298"/>
      <c r="AX245" s="298"/>
      <c r="AY245" s="298"/>
      <c r="AZ245" s="298"/>
      <c r="BA245" s="298"/>
      <c r="BB245" s="298"/>
      <c r="BC245" s="298"/>
      <c r="BD245" s="298"/>
      <c r="BE245" s="298"/>
      <c r="BF245" s="298"/>
      <c r="BG245" s="298"/>
      <c r="BH245" s="298"/>
      <c r="BI245" s="298"/>
      <c r="BJ245" s="298"/>
      <c r="BK245" s="298"/>
      <c r="BL245" s="298"/>
      <c r="BM245" s="298"/>
      <c r="BN245" s="299"/>
      <c r="BP245" s="279" t="s">
        <v>1883</v>
      </c>
      <c r="BQ245" s="279"/>
      <c r="BR245" s="17"/>
      <c r="BS245" s="17"/>
      <c r="BT245" s="17"/>
    </row>
    <row r="246" spans="11:87" ht="20.100000000000001" customHeight="1">
      <c r="AF246" s="301" t="s">
        <v>1489</v>
      </c>
      <c r="AG246" s="300" t="s">
        <v>1491</v>
      </c>
      <c r="AH246" s="296"/>
      <c r="AI246" s="296"/>
      <c r="AJ246" s="298"/>
      <c r="AK246" s="298"/>
      <c r="AL246" s="298"/>
      <c r="AM246" s="298"/>
      <c r="AN246" s="298"/>
      <c r="AO246" s="298"/>
      <c r="AP246" s="298"/>
      <c r="AQ246" s="298"/>
      <c r="AR246" s="298"/>
      <c r="AS246" s="298"/>
      <c r="AT246" s="298"/>
      <c r="AU246" s="298"/>
      <c r="AV246" s="298"/>
      <c r="AW246" s="298"/>
      <c r="AX246" s="298"/>
      <c r="AY246" s="298"/>
      <c r="AZ246" s="298"/>
      <c r="BA246" s="298"/>
      <c r="BB246" s="298"/>
      <c r="BC246" s="298"/>
      <c r="BD246" s="298"/>
      <c r="BE246" s="298"/>
      <c r="BF246" s="298"/>
      <c r="BG246" s="298"/>
      <c r="BH246" s="298"/>
      <c r="BI246" s="298"/>
      <c r="BJ246" s="298"/>
      <c r="BK246" s="298"/>
      <c r="BL246" s="298"/>
      <c r="BM246" s="298"/>
      <c r="BN246" s="299"/>
      <c r="BQ246" s="553">
        <v>2022</v>
      </c>
      <c r="BR246" s="553">
        <v>2023</v>
      </c>
      <c r="BS246" s="553">
        <v>2024</v>
      </c>
      <c r="BT246" s="553">
        <v>2025</v>
      </c>
      <c r="BU246" s="553">
        <v>2026</v>
      </c>
      <c r="BV246" s="553">
        <v>2027</v>
      </c>
      <c r="BW246" s="553">
        <v>2028</v>
      </c>
      <c r="BX246" s="553">
        <v>2029</v>
      </c>
      <c r="BY246" s="556">
        <v>2030</v>
      </c>
      <c r="BZ246" s="556">
        <v>2031</v>
      </c>
      <c r="CA246" s="556">
        <v>2032</v>
      </c>
      <c r="CB246" s="553">
        <v>2033</v>
      </c>
      <c r="CC246" s="553">
        <v>2034</v>
      </c>
      <c r="CD246" s="553">
        <v>2035</v>
      </c>
      <c r="CE246" s="553">
        <v>2036</v>
      </c>
    </row>
    <row r="247" spans="11:87" ht="20.100000000000001" customHeight="1">
      <c r="AF247" s="295" t="s">
        <v>1492</v>
      </c>
      <c r="AG247" s="296" t="s">
        <v>1493</v>
      </c>
      <c r="AH247" s="297"/>
      <c r="AI247" s="296"/>
      <c r="AJ247" s="298"/>
      <c r="AK247" s="298"/>
      <c r="AL247" s="298"/>
      <c r="AM247" s="298"/>
      <c r="AN247" s="298"/>
      <c r="AO247" s="298"/>
      <c r="AP247" s="298"/>
      <c r="AQ247" s="298"/>
      <c r="AR247" s="298"/>
      <c r="AS247" s="298"/>
      <c r="AT247" s="298"/>
      <c r="AU247" s="298"/>
      <c r="AV247" s="298"/>
      <c r="AW247" s="298"/>
      <c r="AX247" s="298"/>
      <c r="AY247" s="298"/>
      <c r="AZ247" s="298"/>
      <c r="BA247" s="298"/>
      <c r="BB247" s="298"/>
      <c r="BC247" s="298"/>
      <c r="BD247" s="298"/>
      <c r="BE247" s="298"/>
      <c r="BF247" s="298"/>
      <c r="BG247" s="298"/>
      <c r="BH247" s="298"/>
      <c r="BI247" s="298"/>
      <c r="BJ247" s="298"/>
      <c r="BK247" s="298"/>
      <c r="BL247" s="298"/>
      <c r="BM247" s="298"/>
      <c r="BN247" s="299"/>
      <c r="BQ247" s="553">
        <v>0</v>
      </c>
      <c r="BR247" s="553">
        <v>0</v>
      </c>
      <c r="BS247" s="553">
        <v>0</v>
      </c>
      <c r="BT247" s="553">
        <v>0</v>
      </c>
      <c r="BU247" s="553">
        <v>0</v>
      </c>
      <c r="BV247" s="553">
        <v>0</v>
      </c>
      <c r="BW247" s="553">
        <v>0</v>
      </c>
      <c r="BX247" s="553">
        <v>0</v>
      </c>
      <c r="BY247" s="556">
        <v>4</v>
      </c>
      <c r="BZ247" s="556">
        <v>8</v>
      </c>
      <c r="CA247" s="556">
        <v>12</v>
      </c>
      <c r="CB247" s="553">
        <v>12</v>
      </c>
      <c r="CC247" s="553">
        <v>12</v>
      </c>
      <c r="CD247" s="553">
        <v>12</v>
      </c>
      <c r="CE247" s="553">
        <v>12</v>
      </c>
    </row>
    <row r="248" spans="11:87" ht="20.100000000000001" customHeight="1">
      <c r="AF248" s="295" t="s">
        <v>1471</v>
      </c>
      <c r="AG248" s="300" t="s">
        <v>1472</v>
      </c>
      <c r="AH248" s="296"/>
      <c r="AI248" s="298"/>
      <c r="AJ248" s="298"/>
      <c r="AK248" s="298"/>
      <c r="AL248" s="298"/>
      <c r="AM248" s="298"/>
      <c r="AN248" s="298"/>
      <c r="AO248" s="298"/>
      <c r="AP248" s="298"/>
      <c r="AQ248" s="298"/>
      <c r="AR248" s="298"/>
      <c r="AS248" s="298"/>
      <c r="AT248" s="298"/>
      <c r="AU248" s="298"/>
      <c r="AV248" s="298"/>
      <c r="AW248" s="298"/>
      <c r="AX248" s="298"/>
      <c r="AY248" s="298"/>
      <c r="AZ248" s="298"/>
      <c r="BA248" s="298"/>
      <c r="BB248" s="298"/>
      <c r="BC248" s="298"/>
      <c r="BD248" s="298"/>
      <c r="BE248" s="298"/>
      <c r="BF248" s="298"/>
      <c r="BG248" s="298"/>
      <c r="BH248" s="298"/>
      <c r="BI248" s="298"/>
      <c r="BJ248" s="298"/>
      <c r="BK248" s="298"/>
      <c r="BL248" s="298"/>
      <c r="BM248" s="298"/>
      <c r="BN248" s="299"/>
    </row>
    <row r="249" spans="11:87" ht="20.100000000000001" customHeight="1">
      <c r="AF249" s="301" t="s">
        <v>1494</v>
      </c>
      <c r="AG249" s="296"/>
      <c r="AH249" s="296"/>
      <c r="AI249" s="298"/>
      <c r="AJ249" s="298"/>
      <c r="AK249" s="298"/>
      <c r="AL249" s="298"/>
      <c r="AM249" s="298"/>
      <c r="AN249" s="298"/>
      <c r="AO249" s="298"/>
      <c r="AP249" s="298"/>
      <c r="AQ249" s="298"/>
      <c r="AR249" s="298"/>
      <c r="AS249" s="298"/>
      <c r="AT249" s="298"/>
      <c r="AU249" s="298"/>
      <c r="AV249" s="298"/>
      <c r="AW249" s="298"/>
      <c r="AX249" s="298"/>
      <c r="AY249" s="298"/>
      <c r="AZ249" s="298"/>
      <c r="BA249" s="298"/>
      <c r="BB249" s="298"/>
      <c r="BC249" s="298"/>
      <c r="BD249" s="298"/>
      <c r="BE249" s="298"/>
      <c r="BF249" s="298"/>
      <c r="BG249" s="298"/>
      <c r="BH249" s="298"/>
      <c r="BI249" s="298"/>
      <c r="BJ249" s="298"/>
      <c r="BK249" s="298"/>
      <c r="BL249" s="298"/>
      <c r="BM249" s="298"/>
      <c r="BN249" s="299"/>
      <c r="BX249" s="29"/>
      <c r="BY249" s="25"/>
      <c r="BZ249" s="557" t="s">
        <v>1892</v>
      </c>
      <c r="CA249" s="565" t="s">
        <v>1899</v>
      </c>
      <c r="CB249" s="565" t="s">
        <v>1630</v>
      </c>
      <c r="CC249" s="565" t="s">
        <v>1900</v>
      </c>
      <c r="CD249" s="565" t="s">
        <v>1745</v>
      </c>
      <c r="CE249" s="29"/>
    </row>
    <row r="250" spans="11:87" ht="20.100000000000001" customHeight="1">
      <c r="AF250" s="301" t="s">
        <v>1475</v>
      </c>
      <c r="AG250" s="296"/>
      <c r="AH250" s="296"/>
      <c r="AI250" s="298"/>
      <c r="AJ250" s="298"/>
      <c r="AK250" s="298"/>
      <c r="AL250" s="298"/>
      <c r="AM250" s="298"/>
      <c r="AN250" s="298"/>
      <c r="AO250" s="298"/>
      <c r="AP250" s="298"/>
      <c r="AQ250" s="298"/>
      <c r="AR250" s="298"/>
      <c r="AS250" s="298"/>
      <c r="AT250" s="298"/>
      <c r="AU250" s="298"/>
      <c r="AV250" s="298"/>
      <c r="AW250" s="298"/>
      <c r="AX250" s="298"/>
      <c r="AY250" s="298"/>
      <c r="AZ250" s="298"/>
      <c r="BA250" s="298"/>
      <c r="BB250" s="298"/>
      <c r="BC250" s="298"/>
      <c r="BD250" s="298"/>
      <c r="BE250" s="298"/>
      <c r="BF250" s="298"/>
      <c r="BG250" s="298"/>
      <c r="BH250" s="298"/>
      <c r="BI250" s="298"/>
      <c r="BJ250" s="298"/>
      <c r="BK250" s="298"/>
      <c r="BL250" s="298"/>
      <c r="BM250" s="298"/>
      <c r="BN250" s="299"/>
      <c r="BX250" s="29"/>
      <c r="BY250" s="25"/>
      <c r="BZ250" s="557" t="s">
        <v>1893</v>
      </c>
      <c r="CA250" s="553" t="s">
        <v>1487</v>
      </c>
      <c r="CB250" s="553" t="s">
        <v>1901</v>
      </c>
      <c r="CC250" s="553" t="s">
        <v>1905</v>
      </c>
      <c r="CD250" s="553" t="s">
        <v>1906</v>
      </c>
      <c r="CE250" s="29"/>
    </row>
    <row r="251" spans="11:87" ht="20.100000000000001" customHeight="1">
      <c r="AF251" s="302" t="s">
        <v>1504</v>
      </c>
      <c r="AG251" s="305"/>
      <c r="AH251" s="305"/>
      <c r="AI251" s="303"/>
      <c r="AJ251" s="303"/>
      <c r="AK251" s="303"/>
      <c r="AL251" s="303"/>
      <c r="AM251" s="303"/>
      <c r="AN251" s="303"/>
      <c r="AO251" s="303"/>
      <c r="AP251" s="303"/>
      <c r="AQ251" s="303"/>
      <c r="AR251" s="303"/>
      <c r="AS251" s="303"/>
      <c r="AT251" s="303"/>
      <c r="AU251" s="303"/>
      <c r="AV251" s="303"/>
      <c r="AW251" s="303"/>
      <c r="AX251" s="303"/>
      <c r="AY251" s="303"/>
      <c r="AZ251" s="303"/>
      <c r="BA251" s="303"/>
      <c r="BB251" s="303"/>
      <c r="BC251" s="303"/>
      <c r="BD251" s="303"/>
      <c r="BE251" s="303"/>
      <c r="BF251" s="303"/>
      <c r="BG251" s="303"/>
      <c r="BH251" s="303"/>
      <c r="BI251" s="303"/>
      <c r="BJ251" s="303"/>
      <c r="BK251" s="303"/>
      <c r="BL251" s="303"/>
      <c r="BM251" s="303"/>
      <c r="BN251" s="304"/>
      <c r="BX251" s="29"/>
      <c r="BY251" s="25"/>
      <c r="BZ251" s="557" t="s">
        <v>1895</v>
      </c>
      <c r="CA251" s="553" t="s">
        <v>1894</v>
      </c>
      <c r="CB251" s="553" t="s">
        <v>1902</v>
      </c>
      <c r="CC251" s="553" t="s">
        <v>1907</v>
      </c>
      <c r="CD251" s="553" t="s">
        <v>1908</v>
      </c>
      <c r="CE251" s="29"/>
    </row>
    <row r="252" spans="11:87" ht="20.100000000000001" customHeight="1">
      <c r="BX252" s="29"/>
      <c r="BY252" s="25"/>
      <c r="BZ252" s="557" t="s">
        <v>1897</v>
      </c>
      <c r="CA252" s="553" t="s">
        <v>1896</v>
      </c>
      <c r="CB252" s="553" t="s">
        <v>1903</v>
      </c>
      <c r="CC252" s="553" t="s">
        <v>1909</v>
      </c>
      <c r="CD252" s="553" t="s">
        <v>1910</v>
      </c>
      <c r="CE252" s="29"/>
      <c r="CH252" s="1560" t="s">
        <v>1767</v>
      </c>
      <c r="CI252" s="17"/>
    </row>
    <row r="253" spans="11:87" ht="20.100000000000001" customHeight="1">
      <c r="AF253" s="290" t="s">
        <v>1498</v>
      </c>
      <c r="AG253" s="279"/>
      <c r="AH253" s="279"/>
      <c r="AI253" s="279"/>
      <c r="AJ253" s="279"/>
      <c r="AK253" s="279"/>
      <c r="AL253" s="279"/>
      <c r="AM253" s="279"/>
      <c r="BQ253" s="402" t="s">
        <v>2570</v>
      </c>
      <c r="BX253" s="29"/>
      <c r="BY253" s="25"/>
      <c r="BZ253" s="557" t="s">
        <v>1448</v>
      </c>
      <c r="CA253" s="553" t="s">
        <v>1898</v>
      </c>
      <c r="CB253" s="553" t="s">
        <v>1904</v>
      </c>
      <c r="CC253" s="553" t="s">
        <v>1911</v>
      </c>
      <c r="CD253" s="553" t="s">
        <v>1912</v>
      </c>
      <c r="CE253" s="29"/>
      <c r="CH253" s="1560"/>
      <c r="CI253" s="17"/>
    </row>
    <row r="254" spans="11:87" ht="20.100000000000001" customHeight="1" thickBot="1">
      <c r="AF254" s="306" t="s">
        <v>1467</v>
      </c>
      <c r="AG254" s="307"/>
      <c r="AH254" s="307"/>
      <c r="AI254" s="314" t="s">
        <v>977</v>
      </c>
      <c r="AJ254" s="307" t="s">
        <v>1495</v>
      </c>
      <c r="AK254" s="337">
        <v>2021</v>
      </c>
      <c r="AL254" s="284">
        <v>2022</v>
      </c>
      <c r="AM254" s="284">
        <f>AL254+1</f>
        <v>2023</v>
      </c>
      <c r="AN254" s="284">
        <f t="shared" ref="AN254:BN254" si="126">AM254+1</f>
        <v>2024</v>
      </c>
      <c r="AO254" s="284">
        <f t="shared" si="126"/>
        <v>2025</v>
      </c>
      <c r="AP254" s="284">
        <f t="shared" si="126"/>
        <v>2026</v>
      </c>
      <c r="AQ254" s="284">
        <f t="shared" si="126"/>
        <v>2027</v>
      </c>
      <c r="AR254" s="284">
        <f t="shared" si="126"/>
        <v>2028</v>
      </c>
      <c r="AS254" s="284">
        <f t="shared" si="126"/>
        <v>2029</v>
      </c>
      <c r="AT254" s="284">
        <f t="shared" si="126"/>
        <v>2030</v>
      </c>
      <c r="AU254" s="284">
        <f t="shared" si="126"/>
        <v>2031</v>
      </c>
      <c r="AV254" s="284">
        <f t="shared" si="126"/>
        <v>2032</v>
      </c>
      <c r="AW254" s="284">
        <f t="shared" si="126"/>
        <v>2033</v>
      </c>
      <c r="AX254" s="284">
        <f t="shared" si="126"/>
        <v>2034</v>
      </c>
      <c r="AY254" s="284">
        <f t="shared" si="126"/>
        <v>2035</v>
      </c>
      <c r="AZ254" s="284">
        <f t="shared" si="126"/>
        <v>2036</v>
      </c>
      <c r="BA254" s="284">
        <f t="shared" si="126"/>
        <v>2037</v>
      </c>
      <c r="BB254" s="284">
        <f t="shared" si="126"/>
        <v>2038</v>
      </c>
      <c r="BC254" s="284">
        <f t="shared" si="126"/>
        <v>2039</v>
      </c>
      <c r="BD254" s="284">
        <f t="shared" si="126"/>
        <v>2040</v>
      </c>
      <c r="BE254" s="284">
        <f t="shared" si="126"/>
        <v>2041</v>
      </c>
      <c r="BF254" s="284">
        <f t="shared" si="126"/>
        <v>2042</v>
      </c>
      <c r="BG254" s="284">
        <f t="shared" si="126"/>
        <v>2043</v>
      </c>
      <c r="BH254" s="284">
        <f t="shared" si="126"/>
        <v>2044</v>
      </c>
      <c r="BI254" s="284">
        <f t="shared" si="126"/>
        <v>2045</v>
      </c>
      <c r="BJ254" s="284">
        <f t="shared" si="126"/>
        <v>2046</v>
      </c>
      <c r="BK254" s="284">
        <f t="shared" si="126"/>
        <v>2047</v>
      </c>
      <c r="BL254" s="284">
        <f t="shared" si="126"/>
        <v>2048</v>
      </c>
      <c r="BM254" s="284">
        <f t="shared" si="126"/>
        <v>2049</v>
      </c>
      <c r="BN254" s="284">
        <f t="shared" si="126"/>
        <v>2050</v>
      </c>
      <c r="BP254" s="14" t="s">
        <v>1899</v>
      </c>
      <c r="CH254" s="555" t="s">
        <v>1592</v>
      </c>
      <c r="CI254" s="17" t="s">
        <v>1598</v>
      </c>
    </row>
    <row r="255" spans="11:87" ht="20.100000000000001" customHeight="1">
      <c r="AF255" s="1491" t="str">
        <f>AF220</f>
        <v>Apartment</v>
      </c>
      <c r="AG255" s="286" t="s">
        <v>933</v>
      </c>
      <c r="AH255" s="286"/>
      <c r="AI255" s="286" t="s">
        <v>1496</v>
      </c>
      <c r="AJ255" s="313">
        <f>INDEX('DEFAULT DATA'!$XC$9:$XJ$41,START!$C$3,1)</f>
        <v>0</v>
      </c>
      <c r="AK255" s="338">
        <v>0</v>
      </c>
      <c r="AL255" s="322">
        <f>IF(AND(AL$254&gt;($D$75+2020),AL$254&lt;($E$75+2022)),AK255+(AL$5*$AJ$255*((100-$F$75)/100)*ROUND($B$75/($E$75-$D$75+1),0)/1000000),AK255*((100+INDEX('DEFAULT DATA'!$VR$9:$VT$41,START!$C$3,1))/100))</f>
        <v>0</v>
      </c>
      <c r="AM255" s="322">
        <f>IF(AND(AM$254&gt;($D$75+2020),AM$254&lt;($E$75+2022)),AL255+(AM$5*$AJ$255*((100-$F$75)/100)*ROUND($B$75/($E$75-$D$75+1),0)/1000000),AL255*((100+INDEX('DEFAULT DATA'!$VR$9:$VT$41,START!$C$3,1))/100))</f>
        <v>0</v>
      </c>
      <c r="AN255" s="322">
        <f>IF(AND(AN$254&gt;($D$75+2020),AN$254&lt;($E$75+2022)),AM255+(AN$5*$AJ$255*((100-$F$75)/100)*ROUND($B$75/($E$75-$D$75+1),0)/1000000),AM255*((100+INDEX('DEFAULT DATA'!$VR$9:$VT$41,START!$C$3,1))/100))</f>
        <v>0</v>
      </c>
      <c r="AO255" s="322">
        <f>IF(AND(AO$254&gt;($D$75+2020),AO$254&lt;($E$75+2022)),AN255+(AO$5*$AJ$255*((100-$F$75)/100)*ROUND($B$75/($E$75-$D$75+1),0)/1000000),AN255*((100+INDEX('DEFAULT DATA'!$VR$9:$VT$41,START!$C$3,1))/100))</f>
        <v>0</v>
      </c>
      <c r="AP255" s="322">
        <f>IF(AND(AP$254&gt;($D$75+2020),AP$254&lt;($E$75+2022)),AO255+(AP$5*$AJ$255*((100-$F$75)/100)*ROUND($B$75/($E$75-$D$75+1),0)/1000000),AO255*((100+INDEX('DEFAULT DATA'!$VR$9:$VT$41,START!$C$3,1))/100))</f>
        <v>0</v>
      </c>
      <c r="AQ255" s="322">
        <f>IF(AND(AQ$254&gt;($D$75+2020),AQ$254&lt;($E$75+2022)),AP255+(AQ$5*$AJ$255*((100-$F$75)/100)*ROUND($B$75/($E$75-$D$75+1),0)/1000000),AP255*((100+INDEX('DEFAULT DATA'!$VR$9:$VT$41,START!$C$3,1))/100))</f>
        <v>0</v>
      </c>
      <c r="AR255" s="322">
        <f>IF(AND(AR$254&gt;($D$75+2020),AR$254&lt;($E$75+2022)),AQ255+(AR$5*$AJ$255*((100-$F$75)/100)*ROUND($B$75/($E$75-$D$75+1),0)/1000000),AQ255*((100+INDEX('DEFAULT DATA'!$VR$9:$VT$41,START!$C$3,1))/100))</f>
        <v>0</v>
      </c>
      <c r="AS255" s="322">
        <f>IF(AND(AS$254&gt;($D$75+2020),AS$254&lt;($E$75+2022)),AR255+(AS$5*$AJ$255*((100-$F$75)/100)*ROUND($B$75/($E$75-$D$75+1),0)/1000000),AR255*((100+INDEX('DEFAULT DATA'!$VR$9:$VT$41,START!$C$3,1))/100))</f>
        <v>0</v>
      </c>
      <c r="AT255" s="322">
        <f>IF(AND(AT$254&gt;($D$75+2020),AT$254&lt;($E$75+2022)),AS255+(AT$5*$AJ$255*((100-$F$75)/100)*ROUND($B$75/($E$75-$D$75+1),0)/1000000),AS255*((100+INDEX('DEFAULT DATA'!$VR$9:$VT$41,START!$C$3,1))/100))</f>
        <v>0</v>
      </c>
      <c r="AU255" s="322">
        <f>IF(AND(AU$254&gt;($D$75+2020),AU$254&lt;($E$75+2022)),AT255+(AU$5*$AJ$255*((100-$F$75)/100)*ROUND($B$75/($E$75-$D$75+1),0)/1000000),AT255*((100+INDEX('DEFAULT DATA'!$VR$9:$VT$41,START!$C$3,2))/100))</f>
        <v>0</v>
      </c>
      <c r="AV255" s="322">
        <f>IF(AND(AV$254&gt;($D$75+2020),AV$254&lt;($E$75+2022)),AU255+(AV$5*$AJ$255*((100-$F$75)/100)*ROUND($B$75/($E$75-$D$75+1),0)/1000000),AU255*((100+INDEX('DEFAULT DATA'!$VR$9:$VT$41,START!$C$3,2))/100))</f>
        <v>0</v>
      </c>
      <c r="AW255" s="322">
        <f>IF(AND(AW$254&gt;($D$75+2020),AW$254&lt;($E$75+2022)),AV255+(AW$5*$AJ$255*((100-$F$75)/100)*ROUND($B$75/($E$75-$D$75+1),0)/1000000),AV255*((100+INDEX('DEFAULT DATA'!$VR$9:$VT$41,START!$C$3,2))/100))</f>
        <v>0</v>
      </c>
      <c r="AX255" s="322">
        <f>IF(AND(AX$254&gt;($D$75+2020),AX$254&lt;($E$75+2022)),AW255+(AX$5*$AJ$255*((100-$F$75)/100)*ROUND($B$75/($E$75-$D$75+1),0)/1000000),AW255*((100+INDEX('DEFAULT DATA'!$VR$9:$VT$41,START!$C$3,2))/100))</f>
        <v>0</v>
      </c>
      <c r="AY255" s="322">
        <f>IF(AND(AY$254&gt;($D$75+2020),AY$254&lt;($E$75+2022)),AX255+(AY$5*$AJ$255*((100-$F$75)/100)*ROUND($B$75/($E$75-$D$75+1),0)/1000000),AX255*((100+INDEX('DEFAULT DATA'!$VR$9:$VT$41,START!$C$3,2))/100))</f>
        <v>0</v>
      </c>
      <c r="AZ255" s="322">
        <f>IF(AND(AZ$254&gt;($D$75+2020),AZ$254&lt;($E$75+2022)),AY255+(AZ$5*$AJ$255*((100-$F$75)/100)*ROUND($B$75/($E$75-$D$75+1),0)/1000000),AY255*((100+INDEX('DEFAULT DATA'!$VR$9:$VT$41,START!$C$3,2))/100))</f>
        <v>0</v>
      </c>
      <c r="BA255" s="322">
        <f>IF(AND(BA$254&gt;($D$75+2020),BA$254&lt;($E$75+2022)),AZ255+(BA$5*$AJ$255*((100-$F$75)/100)*ROUND($B$75/($E$75-$D$75+1),0)/1000000),AZ255*((100+INDEX('DEFAULT DATA'!$VR$9:$VT$41,START!$C$3,2))/100))</f>
        <v>0</v>
      </c>
      <c r="BB255" s="322">
        <f>IF(AND(BB$254&gt;($D$75+2020),BB$254&lt;($E$75+2022)),BA255+(BB$5*$AJ$255*((100-$F$75)/100)*ROUND($B$75/($E$75-$D$75+1),0)/1000000),BA255*((100+INDEX('DEFAULT DATA'!$VR$9:$VT$41,START!$C$3,2))/100))</f>
        <v>0</v>
      </c>
      <c r="BC255" s="322">
        <f>IF(AND(BC$254&gt;($D$75+2020),BC$254&lt;($E$75+2022)),BB255+(BC$5*$AJ$255*((100-$F$75)/100)*ROUND($B$75/($E$75-$D$75+1),0)/1000000),BB255*((100+INDEX('DEFAULT DATA'!$VR$9:$VT$41,START!$C$3,2))/100))</f>
        <v>0</v>
      </c>
      <c r="BD255" s="322">
        <f>IF(AND(BD$254&gt;($D$75+2020),BD$254&lt;($E$75+2022)),BC255+(BD$5*$AJ$255*((100-$F$75)/100)*ROUND($B$75/($E$75-$D$75+1),0)/1000000),BC255*((100+INDEX('DEFAULT DATA'!$VR$9:$VT$41,START!$C$3,2))/100))</f>
        <v>0</v>
      </c>
      <c r="BE255" s="322">
        <f>IF(AND(BE$254&gt;($D$75+2020),BE$254&lt;($E$75+2022)),BD255+(BE$5*$AJ$255*((100-$F$75)/100)*ROUND($B$75/($E$75-$D$75+1),0)/1000000),BD255*((100+INDEX('DEFAULT DATA'!$VR$9:$VT$41,START!$C$3,3))/100))</f>
        <v>0</v>
      </c>
      <c r="BF255" s="322">
        <f>IF(AND(BF$254&gt;($D$75+2020),BF$254&lt;($E$75+2022)),BE255+(BF$5*$AJ$255*((100-$F$75)/100)*ROUND($B$75/($E$75-$D$75+1),0)/1000000),BE255*((100+INDEX('DEFAULT DATA'!$VR$9:$VT$41,START!$C$3,3))/100))</f>
        <v>0</v>
      </c>
      <c r="BG255" s="322">
        <f>IF(AND(BG$254&gt;($D$75+2020),BG$254&lt;($E$75+2022)),BF255+(BG$5*$AJ$255*((100-$F$75)/100)*ROUND($B$75/($E$75-$D$75+1),0)/1000000),BF255*((100+INDEX('DEFAULT DATA'!$VR$9:$VT$41,START!$C$3,3))/100))</f>
        <v>0</v>
      </c>
      <c r="BH255" s="322">
        <f>IF(AND(BH$254&gt;($D$75+2020),BH$254&lt;($E$75+2022)),BG255+(BH$5*$AJ$255*((100-$F$75)/100)*ROUND($B$75/($E$75-$D$75+1),0)/1000000),BG255*((100+INDEX('DEFAULT DATA'!$VR$9:$VT$41,START!$C$3,3))/100))</f>
        <v>0</v>
      </c>
      <c r="BI255" s="322">
        <f>IF(AND(BI$254&gt;($D$75+2020),BI$254&lt;($E$75+2022)),BH255+(BI$5*$AJ$255*((100-$F$75)/100)*ROUND($B$75/($E$75-$D$75+1),0)/1000000),BH255*((100+INDEX('DEFAULT DATA'!$VR$9:$VT$41,START!$C$3,3))/100))</f>
        <v>0</v>
      </c>
      <c r="BJ255" s="322">
        <f>IF(AND(BJ$254&gt;($D$75+2020),BJ$254&lt;($E$75+2022)),BI255+(BJ$5*$AJ$255*((100-$F$75)/100)*ROUND($B$75/($E$75-$D$75+1),0)/1000000),BI255*((100+INDEX('DEFAULT DATA'!$VR$9:$VT$41,START!$C$3,3))/100))</f>
        <v>0</v>
      </c>
      <c r="BK255" s="322">
        <f>IF(AND(BK$254&gt;($D$75+2020),BK$254&lt;($E$75+2022)),BJ255+(BK$5*$AJ$255*((100-$F$75)/100)*ROUND($B$75/($E$75-$D$75+1),0)/1000000),BJ255*((100+INDEX('DEFAULT DATA'!$VR$9:$VT$41,START!$C$3,3))/100))</f>
        <v>0</v>
      </c>
      <c r="BL255" s="322">
        <f>IF(AND(BL$254&gt;($D$75+2020),BL$254&lt;($E$75+2022)),BK255+(BL$5*$AJ$255*((100-$F$75)/100)*ROUND($B$75/($E$75-$D$75+1),0)/1000000),BK255*((100+INDEX('DEFAULT DATA'!$VR$9:$VT$41,START!$C$3,3))/100))</f>
        <v>0</v>
      </c>
      <c r="BM255" s="322">
        <f>IF(AND(BM$254&gt;($D$75+2020),BM$254&lt;($E$75+2022)),BL255+(BM$5*$AJ$255*((100-$F$75)/100)*ROUND($B$75/($E$75-$D$75+1),0)/1000000),BL255*((100+INDEX('DEFAULT DATA'!$VR$9:$VT$41,START!$C$3,3))/100))</f>
        <v>0</v>
      </c>
      <c r="BN255" s="322">
        <f>IF(AND(BN$254&gt;($D$75+2020),BN$254&lt;($E$75+2022)),BM255+(BN$5*$AJ$255*((100-$F$75)/100)*ROUND($B$75/($E$75-$D$75+1),0)/1000000),BM255*((100+INDEX('DEFAULT DATA'!$VR$9:$VT$41,START!$C$3,3))/100))</f>
        <v>0</v>
      </c>
      <c r="BP255" s="552" t="s">
        <v>933</v>
      </c>
      <c r="BQ255" s="1482" t="s">
        <v>1884</v>
      </c>
      <c r="BR255" s="1483"/>
      <c r="BS255" s="1483"/>
      <c r="BT255" s="1483"/>
      <c r="BU255" s="1483"/>
      <c r="BV255" s="1483"/>
      <c r="BW255" s="1483"/>
      <c r="BX255" s="1483"/>
      <c r="BY255" s="1483"/>
      <c r="BZ255" s="1483"/>
      <c r="CA255" s="1483"/>
      <c r="CB255" s="1483"/>
      <c r="CC255" s="1483"/>
      <c r="CD255" s="1483"/>
      <c r="CE255" s="1483"/>
      <c r="CF255" s="1483"/>
      <c r="CG255" s="1484"/>
      <c r="CH255" s="554" t="s">
        <v>1596</v>
      </c>
      <c r="CI255" s="554" t="s">
        <v>1881</v>
      </c>
    </row>
    <row r="256" spans="11:87" ht="20.100000000000001" customHeight="1">
      <c r="AF256" s="1492"/>
      <c r="AG256" s="251" t="s">
        <v>1220</v>
      </c>
      <c r="AH256" s="251"/>
      <c r="AI256" s="251">
        <f>INDEX('DEFAULT DATA'!$VE$9:$VK$41,START!$C$3,1)</f>
        <v>202</v>
      </c>
      <c r="AJ256" s="195">
        <f>INDEX('DEFAULT DATA'!$XC$9:$XJ$41,START!$C$3,2)</f>
        <v>0</v>
      </c>
      <c r="AK256" s="157">
        <v>0</v>
      </c>
      <c r="AL256" s="272">
        <f>IF(AND(AL$254&gt;($D$75+2020),AL$254&lt;($E$75+2022)),AK256+($AI$256*$AJ$256*((100-$F$75)/100)*ROUND($B$75/($E$75-$D$75+1),0)/1000000),AK256*((100+INDEX('DEFAULT DATA'!$VR$9:$VT$41,START!$C$3,1))/100))</f>
        <v>0</v>
      </c>
      <c r="AM256" s="272">
        <f>IF(AND(AM$254&gt;($D$75+2020),AM$254&lt;($E$75+2022)),AL256+($AI$256*$AJ$256*((100-$F$75)/100)*ROUND($B$75/($E$75-$D$75+1),0)/1000000),AL256*((100+INDEX('DEFAULT DATA'!$VR$9:$VT$41,START!$C$3,1))/100))</f>
        <v>0</v>
      </c>
      <c r="AN256" s="272">
        <f>IF(AND(AN$254&gt;($D$75+2020),AN$254&lt;($E$75+2022)),AM256+($AI$256*$AJ$256*((100-$F$75)/100)*ROUND($B$75/($E$75-$D$75+1),0)/1000000),AM256*((100+INDEX('DEFAULT DATA'!$VR$9:$VT$41,START!$C$3,1))/100))</f>
        <v>0</v>
      </c>
      <c r="AO256" s="272">
        <f>IF(AND(AO$254&gt;($D$75+2020),AO$254&lt;($E$75+2022)),AN256+($AI$256*$AJ$256*((100-$F$75)/100)*ROUND($B$75/($E$75-$D$75+1),0)/1000000),AN256*((100+INDEX('DEFAULT DATA'!$VR$9:$VT$41,START!$C$3,1))/100))</f>
        <v>0</v>
      </c>
      <c r="AP256" s="272">
        <f>IF(AND(AP$254&gt;($D$75+2020),AP$254&lt;($E$75+2022)),AO256+($AI$256*$AJ$256*((100-$F$75)/100)*ROUND($B$75/($E$75-$D$75+1),0)/1000000),AO256*((100+INDEX('DEFAULT DATA'!$VR$9:$VT$41,START!$C$3,1))/100))</f>
        <v>0</v>
      </c>
      <c r="AQ256" s="272">
        <f>IF(AND(AQ$254&gt;($D$75+2020),AQ$254&lt;($E$75+2022)),AP256+($AI$256*$AJ$256*((100-$F$75)/100)*ROUND($B$75/($E$75-$D$75+1),0)/1000000),AP256*((100+INDEX('DEFAULT DATA'!$VR$9:$VT$41,START!$C$3,1))/100))</f>
        <v>0</v>
      </c>
      <c r="AR256" s="272">
        <f>IF(AND(AR$254&gt;($D$75+2020),AR$254&lt;($E$75+2022)),AQ256+($AI$256*$AJ$256*((100-$F$75)/100)*ROUND($B$75/($E$75-$D$75+1),0)/1000000),AQ256*((100+INDEX('DEFAULT DATA'!$VR$9:$VT$41,START!$C$3,1))/100))</f>
        <v>0</v>
      </c>
      <c r="AS256" s="272">
        <f>IF(AND(AS$254&gt;($D$75+2020),AS$254&lt;($E$75+2022)),AR256+($AI$256*$AJ$256*((100-$F$75)/100)*ROUND($B$75/($E$75-$D$75+1),0)/1000000),AR256*((100+INDEX('DEFAULT DATA'!$VR$9:$VT$41,START!$C$3,1))/100))</f>
        <v>0</v>
      </c>
      <c r="AT256" s="272">
        <f>IF(AND(AT$254&gt;($D$75+2020),AT$254&lt;($E$75+2022)),AS256+($AI$256*$AJ$256*((100-$F$75)/100)*ROUND($B$75/($E$75-$D$75+1),0)/1000000),AS256*((100+INDEX('DEFAULT DATA'!$VR$9:$VT$41,START!$C$3,1))/100))</f>
        <v>0</v>
      </c>
      <c r="AU256" s="272">
        <f>IF(AND(AU$254&gt;($D$75+2020),AU$254&lt;($E$75+2022)),AT256+($AI$256*$AJ$256*((100-$F$75)/100)*ROUND($B$75/($E$75-$D$75+1),0)/1000000),AT256*((100+INDEX('DEFAULT DATA'!$VR$9:$VT$41,START!$C$3,2))/100))</f>
        <v>0</v>
      </c>
      <c r="AV256" s="272">
        <f>IF(AND(AV$254&gt;($D$75+2020),AV$254&lt;($E$75+2022)),AU256+($AI$256*$AJ$256*((100-$F$75)/100)*ROUND($B$75/($E$75-$D$75+1),0)/1000000),AU256*((100+INDEX('DEFAULT DATA'!$VR$9:$VT$41,START!$C$3,2))/100))</f>
        <v>0</v>
      </c>
      <c r="AW256" s="272">
        <f>IF(AND(AW$254&gt;($D$75+2020),AW$254&lt;($E$75+2022)),AV256+($AI$256*$AJ$256*((100-$F$75)/100)*ROUND($B$75/($E$75-$D$75+1),0)/1000000),AV256*((100+INDEX('DEFAULT DATA'!$VR$9:$VT$41,START!$C$3,2))/100))</f>
        <v>0</v>
      </c>
      <c r="AX256" s="272">
        <f>IF(AND(AX$254&gt;($D$75+2020),AX$254&lt;($E$75+2022)),AW256+($AI$256*$AJ$256*((100-$F$75)/100)*ROUND($B$75/($E$75-$D$75+1),0)/1000000),AW256*((100+INDEX('DEFAULT DATA'!$VR$9:$VT$41,START!$C$3,2))/100))</f>
        <v>0</v>
      </c>
      <c r="AY256" s="272">
        <f>IF(AND(AY$254&gt;($D$75+2020),AY$254&lt;($E$75+2022)),AX256+($AI$256*$AJ$256*((100-$F$75)/100)*ROUND($B$75/($E$75-$D$75+1),0)/1000000),AX256*((100+INDEX('DEFAULT DATA'!$VR$9:$VT$41,START!$C$3,2))/100))</f>
        <v>0</v>
      </c>
      <c r="AZ256" s="272">
        <f>IF(AND(AZ$254&gt;($D$75+2020),AZ$254&lt;($E$75+2022)),AY256+($AI$256*$AJ$256*((100-$F$75)/100)*ROUND($B$75/($E$75-$D$75+1),0)/1000000),AY256*((100+INDEX('DEFAULT DATA'!$VR$9:$VT$41,START!$C$3,2))/100))</f>
        <v>0</v>
      </c>
      <c r="BA256" s="272">
        <f>IF(AND(BA$254&gt;($D$75+2020),BA$254&lt;($E$75+2022)),AZ256+($AI$256*$AJ$256*((100-$F$75)/100)*ROUND($B$75/($E$75-$D$75+1),0)/1000000),AZ256*((100+INDEX('DEFAULT DATA'!$VR$9:$VT$41,START!$C$3,2))/100))</f>
        <v>0</v>
      </c>
      <c r="BB256" s="272">
        <f>IF(AND(BB$254&gt;($D$75+2020),BB$254&lt;($E$75+2022)),BA256+($AI$256*$AJ$256*((100-$F$75)/100)*ROUND($B$75/($E$75-$D$75+1),0)/1000000),BA256*((100+INDEX('DEFAULT DATA'!$VR$9:$VT$41,START!$C$3,2))/100))</f>
        <v>0</v>
      </c>
      <c r="BC256" s="272">
        <f>IF(AND(BC$254&gt;($D$75+2020),BC$254&lt;($E$75+2022)),BB256+($AI$256*$AJ$256*((100-$F$75)/100)*ROUND($B$75/($E$75-$D$75+1),0)/1000000),BB256*((100+INDEX('DEFAULT DATA'!$VR$9:$VT$41,START!$C$3,2))/100))</f>
        <v>0</v>
      </c>
      <c r="BD256" s="272">
        <f>IF(AND(BD$254&gt;($D$75+2020),BD$254&lt;($E$75+2022)),BC256+($AI$256*$AJ$256*((100-$F$75)/100)*ROUND($B$75/($E$75-$D$75+1),0)/1000000),BC256*((100+INDEX('DEFAULT DATA'!$VR$9:$VT$41,START!$C$3,2))/100))</f>
        <v>0</v>
      </c>
      <c r="BE256" s="272">
        <f>IF(AND(BE$254&gt;($D$75+2020),BE$254&lt;($E$75+2022)),BD256+($AI$256*$AJ$256*((100-$F$75)/100)*ROUND($B$75/($E$75-$D$75+1),0)/1000000),BD256*((100+INDEX('DEFAULT DATA'!$VR$9:$VT$41,START!$C$3,3))/100))</f>
        <v>0</v>
      </c>
      <c r="BF256" s="272">
        <f>IF(AND(BF$254&gt;($D$75+2020),BF$254&lt;($E$75+2022)),BE256+($AI$256*$AJ$256*((100-$F$75)/100)*ROUND($B$75/($E$75-$D$75+1),0)/1000000),BE256*((100+INDEX('DEFAULT DATA'!$VR$9:$VT$41,START!$C$3,3))/100))</f>
        <v>0</v>
      </c>
      <c r="BG256" s="272">
        <f>IF(AND(BG$254&gt;($D$75+2020),BG$254&lt;($E$75+2022)),BF256+($AI$256*$AJ$256*((100-$F$75)/100)*ROUND($B$75/($E$75-$D$75+1),0)/1000000),BF256*((100+INDEX('DEFAULT DATA'!$VR$9:$VT$41,START!$C$3,3))/100))</f>
        <v>0</v>
      </c>
      <c r="BH256" s="272">
        <f>IF(AND(BH$254&gt;($D$75+2020),BH$254&lt;($E$75+2022)),BG256+($AI$256*$AJ$256*((100-$F$75)/100)*ROUND($B$75/($E$75-$D$75+1),0)/1000000),BG256*((100+INDEX('DEFAULT DATA'!$VR$9:$VT$41,START!$C$3,3))/100))</f>
        <v>0</v>
      </c>
      <c r="BI256" s="272">
        <f>IF(AND(BI$254&gt;($D$75+2020),BI$254&lt;($E$75+2022)),BH256+($AI$256*$AJ$256*((100-$F$75)/100)*ROUND($B$75/($E$75-$D$75+1),0)/1000000),BH256*((100+INDEX('DEFAULT DATA'!$VR$9:$VT$41,START!$C$3,3))/100))</f>
        <v>0</v>
      </c>
      <c r="BJ256" s="272">
        <f>IF(AND(BJ$254&gt;($D$75+2020),BJ$254&lt;($E$75+2022)),BI256+($AI$256*$AJ$256*((100-$F$75)/100)*ROUND($B$75/($E$75-$D$75+1),0)/1000000),BI256*((100+INDEX('DEFAULT DATA'!$VR$9:$VT$41,START!$C$3,3))/100))</f>
        <v>0</v>
      </c>
      <c r="BK256" s="272">
        <f>IF(AND(BK$254&gt;($D$75+2020),BK$254&lt;($E$75+2022)),BJ256+($AI$256*$AJ$256*((100-$F$75)/100)*ROUND($B$75/($E$75-$D$75+1),0)/1000000),BJ256*((100+INDEX('DEFAULT DATA'!$VR$9:$VT$41,START!$C$3,3))/100))</f>
        <v>0</v>
      </c>
      <c r="BL256" s="272">
        <f>IF(AND(BL$254&gt;($D$75+2020),BL$254&lt;($E$75+2022)),BK256+($AI$256*$AJ$256*((100-$F$75)/100)*ROUND($B$75/($E$75-$D$75+1),0)/1000000),BK256*((100+INDEX('DEFAULT DATA'!$VR$9:$VT$41,START!$C$3,3))/100))</f>
        <v>0</v>
      </c>
      <c r="BM256" s="272">
        <f>IF(AND(BM$254&gt;($D$75+2020),BM$254&lt;($E$75+2022)),BL256+($AI$256*$AJ$256*((100-$F$75)/100)*ROUND($B$75/($E$75-$D$75+1),0)/1000000),BL256*((100+INDEX('DEFAULT DATA'!$VR$9:$VT$41,START!$C$3,3))/100))</f>
        <v>0</v>
      </c>
      <c r="BN256" s="272">
        <f>IF(AND(BN$254&gt;($D$75+2020),BN$254&lt;($E$75+2022)),BM256+($AI$256*$AJ$256*((100-$F$75)/100)*ROUND($B$75/($E$75-$D$75+1),0)/1000000),BM256*((100+INDEX('DEFAULT DATA'!$VR$9:$VT$41,START!$C$3,3))/100))</f>
        <v>0</v>
      </c>
      <c r="BP256" s="552" t="s">
        <v>1220</v>
      </c>
      <c r="BQ256" s="1482" t="s">
        <v>1885</v>
      </c>
      <c r="BR256" s="1483"/>
      <c r="BS256" s="1483"/>
      <c r="BT256" s="1483"/>
      <c r="BU256" s="1483"/>
      <c r="BV256" s="1483"/>
      <c r="BW256" s="1483"/>
      <c r="BX256" s="1483"/>
      <c r="BY256" s="1483"/>
      <c r="BZ256" s="1483"/>
      <c r="CA256" s="1483"/>
      <c r="CB256" s="1483"/>
      <c r="CC256" s="1483"/>
      <c r="CD256" s="1483"/>
      <c r="CE256" s="1483"/>
      <c r="CF256" s="1483"/>
      <c r="CG256" s="1484"/>
      <c r="CH256" s="554" t="s">
        <v>1607</v>
      </c>
      <c r="CI256" s="554" t="s">
        <v>1248</v>
      </c>
    </row>
    <row r="257" spans="32:87" ht="20.100000000000001" customHeight="1">
      <c r="AF257" s="1492"/>
      <c r="AG257" s="251" t="s">
        <v>1221</v>
      </c>
      <c r="AH257" s="251"/>
      <c r="AI257" s="251">
        <f>INDEX('DEFAULT DATA'!$VE$9:$VK$41,START!$C$3,2)</f>
        <v>279</v>
      </c>
      <c r="AJ257" s="195">
        <f>INDEX('DEFAULT DATA'!$XC$9:$XJ$41,START!$C$3,3)</f>
        <v>0</v>
      </c>
      <c r="AK257" s="157">
        <v>0</v>
      </c>
      <c r="AL257" s="272">
        <f>IF(AND(AL$254&gt;($D$75+2020),AL$254&lt;($E$75+2022)),AK257+($AI$257*$AJ$257*((100-$F$75)/100)*ROUND($B$75/($E$75-$D$75+1),0)/1000000),AK257*((100+INDEX('DEFAULT DATA'!$VR$9:$VT$41,START!$C$3,1))/100))</f>
        <v>0</v>
      </c>
      <c r="AM257" s="272">
        <f>IF(AND(AM$254&gt;($D$75+2020),AM$254&lt;($E$75+2022)),AL257+($AI$257*$AJ$257*((100-$F$75)/100)*ROUND($B$75/($E$75-$D$75+1),0)/1000000),AL257*((100+INDEX('DEFAULT DATA'!$VR$9:$VT$41,START!$C$3,1))/100))</f>
        <v>0</v>
      </c>
      <c r="AN257" s="272">
        <f>IF(AND(AN$254&gt;($D$75+2020),AN$254&lt;($E$75+2022)),AM257+($AI$257*$AJ$257*((100-$F$75)/100)*ROUND($B$75/($E$75-$D$75+1),0)/1000000),AM257*((100+INDEX('DEFAULT DATA'!$VR$9:$VT$41,START!$C$3,1))/100))</f>
        <v>0</v>
      </c>
      <c r="AO257" s="272">
        <f>IF(AND(AO$254&gt;($D$75+2020),AO$254&lt;($E$75+2022)),AN257+($AI$257*$AJ$257*((100-$F$75)/100)*ROUND($B$75/($E$75-$D$75+1),0)/1000000),AN257*((100+INDEX('DEFAULT DATA'!$VR$9:$VT$41,START!$C$3,1))/100))</f>
        <v>0</v>
      </c>
      <c r="AP257" s="272">
        <f>IF(AND(AP$254&gt;($D$75+2020),AP$254&lt;($E$75+2022)),AO257+($AI$257*$AJ$257*((100-$F$75)/100)*ROUND($B$75/($E$75-$D$75+1),0)/1000000),AO257*((100+INDEX('DEFAULT DATA'!$VR$9:$VT$41,START!$C$3,1))/100))</f>
        <v>0</v>
      </c>
      <c r="AQ257" s="272">
        <f>IF(AND(AQ$254&gt;($D$75+2020),AQ$254&lt;($E$75+2022)),AP257+($AI$257*$AJ$257*((100-$F$75)/100)*ROUND($B$75/($E$75-$D$75+1),0)/1000000),AP257*((100+INDEX('DEFAULT DATA'!$VR$9:$VT$41,START!$C$3,1))/100))</f>
        <v>0</v>
      </c>
      <c r="AR257" s="272">
        <f>IF(AND(AR$254&gt;($D$75+2020),AR$254&lt;($E$75+2022)),AQ257+($AI$257*$AJ$257*((100-$F$75)/100)*ROUND($B$75/($E$75-$D$75+1),0)/1000000),AQ257*((100+INDEX('DEFAULT DATA'!$VR$9:$VT$41,START!$C$3,1))/100))</f>
        <v>0</v>
      </c>
      <c r="AS257" s="272">
        <f>IF(AND(AS$254&gt;($D$75+2020),AS$254&lt;($E$75+2022)),AR257+($AI$257*$AJ$257*((100-$F$75)/100)*ROUND($B$75/($E$75-$D$75+1),0)/1000000),AR257*((100+INDEX('DEFAULT DATA'!$VR$9:$VT$41,START!$C$3,1))/100))</f>
        <v>0</v>
      </c>
      <c r="AT257" s="272">
        <f>IF(AND(AT$254&gt;($D$75+2020),AT$254&lt;($E$75+2022)),AS257+($AI$257*$AJ$257*((100-$F$75)/100)*ROUND($B$75/($E$75-$D$75+1),0)/1000000),AS257*((100+INDEX('DEFAULT DATA'!$VR$9:$VT$41,START!$C$3,1))/100))</f>
        <v>0</v>
      </c>
      <c r="AU257" s="272">
        <f>IF(AND(AU$254&gt;($D$75+2020),AU$254&lt;($E$75+2022)),AT257+($AI$257*$AJ$257*((100-$F$75)/100)*ROUND($B$75/($E$75-$D$75+1),0)/1000000),AT257*((100+INDEX('DEFAULT DATA'!$VR$9:$VT$41,START!$C$3,2))/100))</f>
        <v>0</v>
      </c>
      <c r="AV257" s="272">
        <f>IF(AND(AV$254&gt;($D$75+2020),AV$254&lt;($E$75+2022)),AU257+($AI$257*$AJ$257*((100-$F$75)/100)*ROUND($B$75/($E$75-$D$75+1),0)/1000000),AU257*((100+INDEX('DEFAULT DATA'!$VR$9:$VT$41,START!$C$3,2))/100))</f>
        <v>0</v>
      </c>
      <c r="AW257" s="272">
        <f>IF(AND(AW$254&gt;($D$75+2020),AW$254&lt;($E$75+2022)),AV257+($AI$257*$AJ$257*((100-$F$75)/100)*ROUND($B$75/($E$75-$D$75+1),0)/1000000),AV257*((100+INDEX('DEFAULT DATA'!$VR$9:$VT$41,START!$C$3,2))/100))</f>
        <v>0</v>
      </c>
      <c r="AX257" s="272">
        <f>IF(AND(AX$254&gt;($D$75+2020),AX$254&lt;($E$75+2022)),AW257+($AI$257*$AJ$257*((100-$F$75)/100)*ROUND($B$75/($E$75-$D$75+1),0)/1000000),AW257*((100+INDEX('DEFAULT DATA'!$VR$9:$VT$41,START!$C$3,2))/100))</f>
        <v>0</v>
      </c>
      <c r="AY257" s="272">
        <f>IF(AND(AY$254&gt;($D$75+2020),AY$254&lt;($E$75+2022)),AX257+($AI$257*$AJ$257*((100-$F$75)/100)*ROUND($B$75/($E$75-$D$75+1),0)/1000000),AX257*((100+INDEX('DEFAULT DATA'!$VR$9:$VT$41,START!$C$3,2))/100))</f>
        <v>0</v>
      </c>
      <c r="AZ257" s="272">
        <f>IF(AND(AZ$254&gt;($D$75+2020),AZ$254&lt;($E$75+2022)),AY257+($AI$257*$AJ$257*((100-$F$75)/100)*ROUND($B$75/($E$75-$D$75+1),0)/1000000),AY257*((100+INDEX('DEFAULT DATA'!$VR$9:$VT$41,START!$C$3,2))/100))</f>
        <v>0</v>
      </c>
      <c r="BA257" s="272">
        <f>IF(AND(BA$254&gt;($D$75+2020),BA$254&lt;($E$75+2022)),AZ257+($AI$257*$AJ$257*((100-$F$75)/100)*ROUND($B$75/($E$75-$D$75+1),0)/1000000),AZ257*((100+INDEX('DEFAULT DATA'!$VR$9:$VT$41,START!$C$3,2))/100))</f>
        <v>0</v>
      </c>
      <c r="BB257" s="272">
        <f>IF(AND(BB$254&gt;($D$75+2020),BB$254&lt;($E$75+2022)),BA257+($AI$257*$AJ$257*((100-$F$75)/100)*ROUND($B$75/($E$75-$D$75+1),0)/1000000),BA257*((100+INDEX('DEFAULT DATA'!$VR$9:$VT$41,START!$C$3,2))/100))</f>
        <v>0</v>
      </c>
      <c r="BC257" s="272">
        <f>IF(AND(BC$254&gt;($D$75+2020),BC$254&lt;($E$75+2022)),BB257+($AI$257*$AJ$257*((100-$F$75)/100)*ROUND($B$75/($E$75-$D$75+1),0)/1000000),BB257*((100+INDEX('DEFAULT DATA'!$VR$9:$VT$41,START!$C$3,2))/100))</f>
        <v>0</v>
      </c>
      <c r="BD257" s="272">
        <f>IF(AND(BD$254&gt;($D$75+2020),BD$254&lt;($E$75+2022)),BC257+($AI$257*$AJ$257*((100-$F$75)/100)*ROUND($B$75/($E$75-$D$75+1),0)/1000000),BC257*((100+INDEX('DEFAULT DATA'!$VR$9:$VT$41,START!$C$3,2))/100))</f>
        <v>0</v>
      </c>
      <c r="BE257" s="272">
        <f>IF(AND(BE$254&gt;($D$75+2020),BE$254&lt;($E$75+2022)),BD257+($AI$257*$AJ$257*((100-$F$75)/100)*ROUND($B$75/($E$75-$D$75+1),0)/1000000),BD257*((100+INDEX('DEFAULT DATA'!$VR$9:$VT$41,START!$C$3,3))/100))</f>
        <v>0</v>
      </c>
      <c r="BF257" s="272">
        <f>IF(AND(BF$254&gt;($D$75+2020),BF$254&lt;($E$75+2022)),BE257+($AI$257*$AJ$257*((100-$F$75)/100)*ROUND($B$75/($E$75-$D$75+1),0)/1000000),BE257*((100+INDEX('DEFAULT DATA'!$VR$9:$VT$41,START!$C$3,3))/100))</f>
        <v>0</v>
      </c>
      <c r="BG257" s="272">
        <f>IF(AND(BG$254&gt;($D$75+2020),BG$254&lt;($E$75+2022)),BF257+($AI$257*$AJ$257*((100-$F$75)/100)*ROUND($B$75/($E$75-$D$75+1),0)/1000000),BF257*((100+INDEX('DEFAULT DATA'!$VR$9:$VT$41,START!$C$3,3))/100))</f>
        <v>0</v>
      </c>
      <c r="BH257" s="272">
        <f>IF(AND(BH$254&gt;($D$75+2020),BH$254&lt;($E$75+2022)),BG257+($AI$257*$AJ$257*((100-$F$75)/100)*ROUND($B$75/($E$75-$D$75+1),0)/1000000),BG257*((100+INDEX('DEFAULT DATA'!$VR$9:$VT$41,START!$C$3,3))/100))</f>
        <v>0</v>
      </c>
      <c r="BI257" s="272">
        <f>IF(AND(BI$254&gt;($D$75+2020),BI$254&lt;($E$75+2022)),BH257+($AI$257*$AJ$257*((100-$F$75)/100)*ROUND($B$75/($E$75-$D$75+1),0)/1000000),BH257*((100+INDEX('DEFAULT DATA'!$VR$9:$VT$41,START!$C$3,3))/100))</f>
        <v>0</v>
      </c>
      <c r="BJ257" s="272">
        <f>IF(AND(BJ$254&gt;($D$75+2020),BJ$254&lt;($E$75+2022)),BI257+($AI$257*$AJ$257*((100-$F$75)/100)*ROUND($B$75/($E$75-$D$75+1),0)/1000000),BI257*((100+INDEX('DEFAULT DATA'!$VR$9:$VT$41,START!$C$3,3))/100))</f>
        <v>0</v>
      </c>
      <c r="BK257" s="272">
        <f>IF(AND(BK$254&gt;($D$75+2020),BK$254&lt;($E$75+2022)),BJ257+($AI$257*$AJ$257*((100-$F$75)/100)*ROUND($B$75/($E$75-$D$75+1),0)/1000000),BJ257*((100+INDEX('DEFAULT DATA'!$VR$9:$VT$41,START!$C$3,3))/100))</f>
        <v>0</v>
      </c>
      <c r="BL257" s="272">
        <f>IF(AND(BL$254&gt;($D$75+2020),BL$254&lt;($E$75+2022)),BK257+($AI$257*$AJ$257*((100-$F$75)/100)*ROUND($B$75/($E$75-$D$75+1),0)/1000000),BK257*((100+INDEX('DEFAULT DATA'!$VR$9:$VT$41,START!$C$3,3))/100))</f>
        <v>0</v>
      </c>
      <c r="BM257" s="272">
        <f>IF(AND(BM$254&gt;($D$75+2020),BM$254&lt;($E$75+2022)),BL257+($AI$257*$AJ$257*((100-$F$75)/100)*ROUND($B$75/($E$75-$D$75+1),0)/1000000),BL257*((100+INDEX('DEFAULT DATA'!$VR$9:$VT$41,START!$C$3,3))/100))</f>
        <v>0</v>
      </c>
      <c r="BN257" s="272">
        <f>IF(AND(BN$254&gt;($D$75+2020),BN$254&lt;($E$75+2022)),BM257+($AI$257*$AJ$257*((100-$F$75)/100)*ROUND($B$75/($E$75-$D$75+1),0)/1000000),BM257*((100+INDEX('DEFAULT DATA'!$VR$9:$VT$41,START!$C$3,3))/100))</f>
        <v>0</v>
      </c>
      <c r="BP257" s="552" t="s">
        <v>1221</v>
      </c>
      <c r="BQ257" s="1482" t="s">
        <v>1887</v>
      </c>
      <c r="BR257" s="1483"/>
      <c r="BS257" s="1483"/>
      <c r="BT257" s="1483"/>
      <c r="BU257" s="1483"/>
      <c r="BV257" s="1483"/>
      <c r="BW257" s="1483"/>
      <c r="BX257" s="1483"/>
      <c r="BY257" s="1483"/>
      <c r="BZ257" s="1483"/>
      <c r="CA257" s="1483"/>
      <c r="CB257" s="1483"/>
      <c r="CC257" s="1483"/>
      <c r="CD257" s="1483"/>
      <c r="CE257" s="1483"/>
      <c r="CF257" s="1483"/>
      <c r="CG257" s="1484"/>
      <c r="CH257" s="554" t="s">
        <v>1608</v>
      </c>
      <c r="CI257" s="554" t="s">
        <v>1621</v>
      </c>
    </row>
    <row r="258" spans="32:87" ht="20.100000000000001" customHeight="1">
      <c r="AF258" s="1492"/>
      <c r="AG258" s="251" t="s">
        <v>1222</v>
      </c>
      <c r="AH258" s="251"/>
      <c r="AI258" s="251">
        <f>INDEX('DEFAULT DATA'!$VE$9:$VK$41,START!$C$3,3)</f>
        <v>354</v>
      </c>
      <c r="AJ258" s="195">
        <f>INDEX('DEFAULT DATA'!$XC$9:$XJ$41,START!$C$3,4)</f>
        <v>0</v>
      </c>
      <c r="AK258" s="157">
        <v>0</v>
      </c>
      <c r="AL258" s="272">
        <f>IF(AND(AL$254&gt;($D$75+2020),AL$254&lt;($E$75+2022)),AK258+($AI$258*$AJ$258*((100-$F$75)/100)*ROUND($B$75/($E$75-$D$75+1),0)/1000000),AK258*((100+INDEX('DEFAULT DATA'!$VR$9:$VT$41,START!$C$3,1))/100))</f>
        <v>0</v>
      </c>
      <c r="AM258" s="272">
        <f>IF(AND(AM$254&gt;($D$75+2020),AM$254&lt;($E$75+2022)),AL258+($AI$258*$AJ$258*((100-$F$75)/100)*ROUND($B$75/($E$75-$D$75+1),0)/1000000),AL258*((100+INDEX('DEFAULT DATA'!$VR$9:$VT$41,START!$C$3,1))/100))</f>
        <v>0</v>
      </c>
      <c r="AN258" s="272">
        <f>IF(AND(AN$254&gt;($D$75+2020),AN$254&lt;($E$75+2022)),AM258+($AI$258*$AJ$258*((100-$F$75)/100)*ROUND($B$75/($E$75-$D$75+1),0)/1000000),AM258*((100+INDEX('DEFAULT DATA'!$VR$9:$VT$41,START!$C$3,1))/100))</f>
        <v>0</v>
      </c>
      <c r="AO258" s="272">
        <f>IF(AND(AO$254&gt;($D$75+2020),AO$254&lt;($E$75+2022)),AN258+($AI$258*$AJ$258*((100-$F$75)/100)*ROUND($B$75/($E$75-$D$75+1),0)/1000000),AN258*((100+INDEX('DEFAULT DATA'!$VR$9:$VT$41,START!$C$3,1))/100))</f>
        <v>0</v>
      </c>
      <c r="AP258" s="272">
        <f>IF(AND(AP$254&gt;($D$75+2020),AP$254&lt;($E$75+2022)),AO258+($AI$258*$AJ$258*((100-$F$75)/100)*ROUND($B$75/($E$75-$D$75+1),0)/1000000),AO258*((100+INDEX('DEFAULT DATA'!$VR$9:$VT$41,START!$C$3,1))/100))</f>
        <v>0</v>
      </c>
      <c r="AQ258" s="272">
        <f>IF(AND(AQ$254&gt;($D$75+2020),AQ$254&lt;($E$75+2022)),AP258+($AI$258*$AJ$258*((100-$F$75)/100)*ROUND($B$75/($E$75-$D$75+1),0)/1000000),AP258*((100+INDEX('DEFAULT DATA'!$VR$9:$VT$41,START!$C$3,1))/100))</f>
        <v>0</v>
      </c>
      <c r="AR258" s="272">
        <f>IF(AND(AR$254&gt;($D$75+2020),AR$254&lt;($E$75+2022)),AQ258+($AI$258*$AJ$258*((100-$F$75)/100)*ROUND($B$75/($E$75-$D$75+1),0)/1000000),AQ258*((100+INDEX('DEFAULT DATA'!$VR$9:$VT$41,START!$C$3,1))/100))</f>
        <v>0</v>
      </c>
      <c r="AS258" s="272">
        <f>IF(AND(AS$254&gt;($D$75+2020),AS$254&lt;($E$75+2022)),AR258+($AI$258*$AJ$258*((100-$F$75)/100)*ROUND($B$75/($E$75-$D$75+1),0)/1000000),AR258*((100+INDEX('DEFAULT DATA'!$VR$9:$VT$41,START!$C$3,1))/100))</f>
        <v>0</v>
      </c>
      <c r="AT258" s="272">
        <f>IF(AND(AT$254&gt;($D$75+2020),AT$254&lt;($E$75+2022)),AS258+($AI$258*$AJ$258*((100-$F$75)/100)*ROUND($B$75/($E$75-$D$75+1),0)/1000000),AS258*((100+INDEX('DEFAULT DATA'!$VR$9:$VT$41,START!$C$3,1))/100))</f>
        <v>0</v>
      </c>
      <c r="AU258" s="272">
        <f>IF(AND(AU$254&gt;($D$75+2020),AU$254&lt;($E$75+2022)),AT258+($AI$258*$AJ$258*((100-$F$75)/100)*ROUND($B$75/($E$75-$D$75+1),0)/1000000),AT258*((100+INDEX('DEFAULT DATA'!$VR$9:$VT$41,START!$C$3,2))/100))</f>
        <v>0</v>
      </c>
      <c r="AV258" s="272">
        <f>IF(AND(AV$254&gt;($D$75+2020),AV$254&lt;($E$75+2022)),AU258+($AI$258*$AJ$258*((100-$F$75)/100)*ROUND($B$75/($E$75-$D$75+1),0)/1000000),AU258*((100+INDEX('DEFAULT DATA'!$VR$9:$VT$41,START!$C$3,2))/100))</f>
        <v>0</v>
      </c>
      <c r="AW258" s="272">
        <f>IF(AND(AW$254&gt;($D$75+2020),AW$254&lt;($E$75+2022)),AV258+($AI$258*$AJ$258*((100-$F$75)/100)*ROUND($B$75/($E$75-$D$75+1),0)/1000000),AV258*((100+INDEX('DEFAULT DATA'!$VR$9:$VT$41,START!$C$3,2))/100))</f>
        <v>0</v>
      </c>
      <c r="AX258" s="272">
        <f>IF(AND(AX$254&gt;($D$75+2020),AX$254&lt;($E$75+2022)),AW258+($AI$258*$AJ$258*((100-$F$75)/100)*ROUND($B$75/($E$75-$D$75+1),0)/1000000),AW258*((100+INDEX('DEFAULT DATA'!$VR$9:$VT$41,START!$C$3,2))/100))</f>
        <v>0</v>
      </c>
      <c r="AY258" s="272">
        <f>IF(AND(AY$254&gt;($D$75+2020),AY$254&lt;($E$75+2022)),AX258+($AI$258*$AJ$258*((100-$F$75)/100)*ROUND($B$75/($E$75-$D$75+1),0)/1000000),AX258*((100+INDEX('DEFAULT DATA'!$VR$9:$VT$41,START!$C$3,2))/100))</f>
        <v>0</v>
      </c>
      <c r="AZ258" s="272">
        <f>IF(AND(AZ$254&gt;($D$75+2020),AZ$254&lt;($E$75+2022)),AY258+($AI$258*$AJ$258*((100-$F$75)/100)*ROUND($B$75/($E$75-$D$75+1),0)/1000000),AY258*((100+INDEX('DEFAULT DATA'!$VR$9:$VT$41,START!$C$3,2))/100))</f>
        <v>0</v>
      </c>
      <c r="BA258" s="272">
        <f>IF(AND(BA$254&gt;($D$75+2020),BA$254&lt;($E$75+2022)),AZ258+($AI$258*$AJ$258*((100-$F$75)/100)*ROUND($B$75/($E$75-$D$75+1),0)/1000000),AZ258*((100+INDEX('DEFAULT DATA'!$VR$9:$VT$41,START!$C$3,2))/100))</f>
        <v>0</v>
      </c>
      <c r="BB258" s="272">
        <f>IF(AND(BB$254&gt;($D$75+2020),BB$254&lt;($E$75+2022)),BA258+($AI$258*$AJ$258*((100-$F$75)/100)*ROUND($B$75/($E$75-$D$75+1),0)/1000000),BA258*((100+INDEX('DEFAULT DATA'!$VR$9:$VT$41,START!$C$3,2))/100))</f>
        <v>0</v>
      </c>
      <c r="BC258" s="272">
        <f>IF(AND(BC$254&gt;($D$75+2020),BC$254&lt;($E$75+2022)),BB258+($AI$258*$AJ$258*((100-$F$75)/100)*ROUND($B$75/($E$75-$D$75+1),0)/1000000),BB258*((100+INDEX('DEFAULT DATA'!$VR$9:$VT$41,START!$C$3,2))/100))</f>
        <v>0</v>
      </c>
      <c r="BD258" s="272">
        <f>IF(AND(BD$254&gt;($D$75+2020),BD$254&lt;($E$75+2022)),BC258+($AI$258*$AJ$258*((100-$F$75)/100)*ROUND($B$75/($E$75-$D$75+1),0)/1000000),BC258*((100+INDEX('DEFAULT DATA'!$VR$9:$VT$41,START!$C$3,2))/100))</f>
        <v>0</v>
      </c>
      <c r="BE258" s="272">
        <f>IF(AND(BE$254&gt;($D$75+2020),BE$254&lt;($E$75+2022)),BD258+($AI$258*$AJ$258*((100-$F$75)/100)*ROUND($B$75/($E$75-$D$75+1),0)/1000000),BD258*((100+INDEX('DEFAULT DATA'!$VR$9:$VT$41,START!$C$3,3))/100))</f>
        <v>0</v>
      </c>
      <c r="BF258" s="272">
        <f>IF(AND(BF$254&gt;($D$75+2020),BF$254&lt;($E$75+2022)),BE258+($AI$258*$AJ$258*((100-$F$75)/100)*ROUND($B$75/($E$75-$D$75+1),0)/1000000),BE258*((100+INDEX('DEFAULT DATA'!$VR$9:$VT$41,START!$C$3,3))/100))</f>
        <v>0</v>
      </c>
      <c r="BG258" s="272">
        <f>IF(AND(BG$254&gt;($D$75+2020),BG$254&lt;($E$75+2022)),BF258+($AI$258*$AJ$258*((100-$F$75)/100)*ROUND($B$75/($E$75-$D$75+1),0)/1000000),BF258*((100+INDEX('DEFAULT DATA'!$VR$9:$VT$41,START!$C$3,3))/100))</f>
        <v>0</v>
      </c>
      <c r="BH258" s="272">
        <f>IF(AND(BH$254&gt;($D$75+2020),BH$254&lt;($E$75+2022)),BG258+($AI$258*$AJ$258*((100-$F$75)/100)*ROUND($B$75/($E$75-$D$75+1),0)/1000000),BG258*((100+INDEX('DEFAULT DATA'!$VR$9:$VT$41,START!$C$3,3))/100))</f>
        <v>0</v>
      </c>
      <c r="BI258" s="272">
        <f>IF(AND(BI$254&gt;($D$75+2020),BI$254&lt;($E$75+2022)),BH258+($AI$258*$AJ$258*((100-$F$75)/100)*ROUND($B$75/($E$75-$D$75+1),0)/1000000),BH258*((100+INDEX('DEFAULT DATA'!$VR$9:$VT$41,START!$C$3,3))/100))</f>
        <v>0</v>
      </c>
      <c r="BJ258" s="272">
        <f>IF(AND(BJ$254&gt;($D$75+2020),BJ$254&lt;($E$75+2022)),BI258+($AI$258*$AJ$258*((100-$F$75)/100)*ROUND($B$75/($E$75-$D$75+1),0)/1000000),BI258*((100+INDEX('DEFAULT DATA'!$VR$9:$VT$41,START!$C$3,3))/100))</f>
        <v>0</v>
      </c>
      <c r="BK258" s="272">
        <f>IF(AND(BK$254&gt;($D$75+2020),BK$254&lt;($E$75+2022)),BJ258+($AI$258*$AJ$258*((100-$F$75)/100)*ROUND($B$75/($E$75-$D$75+1),0)/1000000),BJ258*((100+INDEX('DEFAULT DATA'!$VR$9:$VT$41,START!$C$3,3))/100))</f>
        <v>0</v>
      </c>
      <c r="BL258" s="272">
        <f>IF(AND(BL$254&gt;($D$75+2020),BL$254&lt;($E$75+2022)),BK258+($AI$258*$AJ$258*((100-$F$75)/100)*ROUND($B$75/($E$75-$D$75+1),0)/1000000),BK258*((100+INDEX('DEFAULT DATA'!$VR$9:$VT$41,START!$C$3,3))/100))</f>
        <v>0</v>
      </c>
      <c r="BM258" s="272">
        <f>IF(AND(BM$254&gt;($D$75+2020),BM$254&lt;($E$75+2022)),BL258+($AI$258*$AJ$258*((100-$F$75)/100)*ROUND($B$75/($E$75-$D$75+1),0)/1000000),BL258*((100+INDEX('DEFAULT DATA'!$VR$9:$VT$41,START!$C$3,3))/100))</f>
        <v>0</v>
      </c>
      <c r="BN258" s="272">
        <f>IF(AND(BN$254&gt;($D$75+2020),BN$254&lt;($E$75+2022)),BM258+($AI$258*$AJ$258*((100-$F$75)/100)*ROUND($B$75/($E$75-$D$75+1),0)/1000000),BM258*((100+INDEX('DEFAULT DATA'!$VR$9:$VT$41,START!$C$3,3))/100))</f>
        <v>0</v>
      </c>
      <c r="BP258" s="552" t="s">
        <v>1222</v>
      </c>
      <c r="BQ258" s="1482" t="s">
        <v>1888</v>
      </c>
      <c r="BR258" s="1483"/>
      <c r="BS258" s="1483"/>
      <c r="BT258" s="1483"/>
      <c r="BU258" s="1483"/>
      <c r="BV258" s="1483"/>
      <c r="BW258" s="1483"/>
      <c r="BX258" s="1483"/>
      <c r="BY258" s="1483"/>
      <c r="BZ258" s="1483"/>
      <c r="CA258" s="1483"/>
      <c r="CB258" s="1483"/>
      <c r="CC258" s="1483"/>
      <c r="CD258" s="1483"/>
      <c r="CE258" s="1483"/>
      <c r="CF258" s="1483"/>
      <c r="CG258" s="1484"/>
      <c r="CH258" s="554" t="s">
        <v>1609</v>
      </c>
      <c r="CI258" s="554" t="s">
        <v>1622</v>
      </c>
    </row>
    <row r="259" spans="32:87" ht="20.100000000000001" customHeight="1">
      <c r="AF259" s="1492"/>
      <c r="AG259" s="251" t="s">
        <v>1223</v>
      </c>
      <c r="AH259" s="251"/>
      <c r="AI259" s="251">
        <f>INDEX('DEFAULT DATA'!$VE$9:$VK$41,START!$C$3,4)</f>
        <v>0</v>
      </c>
      <c r="AJ259" s="195">
        <f>INDEX('DEFAULT DATA'!$XC$9:$XJ$41,START!$C$3,5)</f>
        <v>0</v>
      </c>
      <c r="AK259" s="157">
        <v>0</v>
      </c>
      <c r="AL259" s="272">
        <f>IF(AND(AL$254&gt;($D$75+2020),AL$254&lt;($E$75+2022)),AK259+($AI$259*$AJ$259*((100-$F$75)/100)*ROUND($B$75/($E$75-$D$75+1),0)/1000000),AK259*((100+INDEX('DEFAULT DATA'!$VR$9:$VT$41,START!$C$3,1))/100))</f>
        <v>0</v>
      </c>
      <c r="AM259" s="272">
        <f>IF(AND(AM$254&gt;($D$75+2020),AM$254&lt;($E$75+2022)),AL259+($AI$259*$AJ$259*((100-$F$75)/100)*ROUND($B$75/($E$75-$D$75+1),0)/1000000),AL259*((100+INDEX('DEFAULT DATA'!$VR$9:$VT$41,START!$C$3,1))/100))</f>
        <v>0</v>
      </c>
      <c r="AN259" s="272">
        <f>IF(AND(AN$254&gt;($D$75+2020),AN$254&lt;($E$75+2022)),AM259+($AI$259*$AJ$259*((100-$F$75)/100)*ROUND($B$75/($E$75-$D$75+1),0)/1000000),AM259*((100+INDEX('DEFAULT DATA'!$VR$9:$VT$41,START!$C$3,1))/100))</f>
        <v>0</v>
      </c>
      <c r="AO259" s="272">
        <f>IF(AND(AO$254&gt;($D$75+2020),AO$254&lt;($E$75+2022)),AN259+($AI$259*$AJ$259*((100-$F$75)/100)*ROUND($B$75/($E$75-$D$75+1),0)/1000000),AN259*((100+INDEX('DEFAULT DATA'!$VR$9:$VT$41,START!$C$3,1))/100))</f>
        <v>0</v>
      </c>
      <c r="AP259" s="272">
        <f>IF(AND(AP$254&gt;($D$75+2020),AP$254&lt;($E$75+2022)),AO259+($AI$259*$AJ$259*((100-$F$75)/100)*ROUND($B$75/($E$75-$D$75+1),0)/1000000),AO259*((100+INDEX('DEFAULT DATA'!$VR$9:$VT$41,START!$C$3,1))/100))</f>
        <v>0</v>
      </c>
      <c r="AQ259" s="272">
        <f>IF(AND(AQ$254&gt;($D$75+2020),AQ$254&lt;($E$75+2022)),AP259+($AI$259*$AJ$259*((100-$F$75)/100)*ROUND($B$75/($E$75-$D$75+1),0)/1000000),AP259*((100+INDEX('DEFAULT DATA'!$VR$9:$VT$41,START!$C$3,1))/100))</f>
        <v>0</v>
      </c>
      <c r="AR259" s="272">
        <f>IF(AND(AR$254&gt;($D$75+2020),AR$254&lt;($E$75+2022)),AQ259+($AI$259*$AJ$259*((100-$F$75)/100)*ROUND($B$75/($E$75-$D$75+1),0)/1000000),AQ259*((100+INDEX('DEFAULT DATA'!$VR$9:$VT$41,START!$C$3,1))/100))</f>
        <v>0</v>
      </c>
      <c r="AS259" s="272">
        <f>IF(AND(AS$254&gt;($D$75+2020),AS$254&lt;($E$75+2022)),AR259+($AI$259*$AJ$259*((100-$F$75)/100)*ROUND($B$75/($E$75-$D$75+1),0)/1000000),AR259*((100+INDEX('DEFAULT DATA'!$VR$9:$VT$41,START!$C$3,1))/100))</f>
        <v>0</v>
      </c>
      <c r="AT259" s="272">
        <f>IF(AND(AT$254&gt;($D$75+2020),AT$254&lt;($E$75+2022)),AS259+($AI$259*$AJ$259*((100-$F$75)/100)*ROUND($B$75/($E$75-$D$75+1),0)/1000000),AS259*((100+INDEX('DEFAULT DATA'!$VR$9:$VT$41,START!$C$3,1))/100))</f>
        <v>0</v>
      </c>
      <c r="AU259" s="272">
        <f>IF(AND(AU$254&gt;($D$75+2020),AU$254&lt;($E$75+2022)),AT259+($AI$259*$AJ$259*((100-$F$75)/100)*ROUND($B$75/($E$75-$D$75+1),0)/1000000),AT259*((100+INDEX('DEFAULT DATA'!$VR$9:$VT$41,START!$C$3,2))/100))</f>
        <v>0</v>
      </c>
      <c r="AV259" s="272">
        <f>IF(AND(AV$254&gt;($D$75+2020),AV$254&lt;($E$75+2022)),AU259+($AI$259*$AJ$259*((100-$F$75)/100)*ROUND($B$75/($E$75-$D$75+1),0)/1000000),AU259*((100+INDEX('DEFAULT DATA'!$VR$9:$VT$41,START!$C$3,2))/100))</f>
        <v>0</v>
      </c>
      <c r="AW259" s="272">
        <f>IF(AND(AW$254&gt;($D$75+2020),AW$254&lt;($E$75+2022)),AV259+($AI$259*$AJ$259*((100-$F$75)/100)*ROUND($B$75/($E$75-$D$75+1),0)/1000000),AV259*((100+INDEX('DEFAULT DATA'!$VR$9:$VT$41,START!$C$3,2))/100))</f>
        <v>0</v>
      </c>
      <c r="AX259" s="272">
        <f>IF(AND(AX$254&gt;($D$75+2020),AX$254&lt;($E$75+2022)),AW259+($AI$259*$AJ$259*((100-$F$75)/100)*ROUND($B$75/($E$75-$D$75+1),0)/1000000),AW259*((100+INDEX('DEFAULT DATA'!$VR$9:$VT$41,START!$C$3,2))/100))</f>
        <v>0</v>
      </c>
      <c r="AY259" s="272">
        <f>IF(AND(AY$254&gt;($D$75+2020),AY$254&lt;($E$75+2022)),AX259+($AI$259*$AJ$259*((100-$F$75)/100)*ROUND($B$75/($E$75-$D$75+1),0)/1000000),AX259*((100+INDEX('DEFAULT DATA'!$VR$9:$VT$41,START!$C$3,2))/100))</f>
        <v>0</v>
      </c>
      <c r="AZ259" s="272">
        <f>IF(AND(AZ$254&gt;($D$75+2020),AZ$254&lt;($E$75+2022)),AY259+($AI$259*$AJ$259*((100-$F$75)/100)*ROUND($B$75/($E$75-$D$75+1),0)/1000000),AY259*((100+INDEX('DEFAULT DATA'!$VR$9:$VT$41,START!$C$3,2))/100))</f>
        <v>0</v>
      </c>
      <c r="BA259" s="272">
        <f>IF(AND(BA$254&gt;($D$75+2020),BA$254&lt;($E$75+2022)),AZ259+($AI$259*$AJ$259*((100-$F$75)/100)*ROUND($B$75/($E$75-$D$75+1),0)/1000000),AZ259*((100+INDEX('DEFAULT DATA'!$VR$9:$VT$41,START!$C$3,2))/100))</f>
        <v>0</v>
      </c>
      <c r="BB259" s="272">
        <f>IF(AND(BB$254&gt;($D$75+2020),BB$254&lt;($E$75+2022)),BA259+($AI$259*$AJ$259*((100-$F$75)/100)*ROUND($B$75/($E$75-$D$75+1),0)/1000000),BA259*((100+INDEX('DEFAULT DATA'!$VR$9:$VT$41,START!$C$3,2))/100))</f>
        <v>0</v>
      </c>
      <c r="BC259" s="272">
        <f>IF(AND(BC$254&gt;($D$75+2020),BC$254&lt;($E$75+2022)),BB259+($AI$259*$AJ$259*((100-$F$75)/100)*ROUND($B$75/($E$75-$D$75+1),0)/1000000),BB259*((100+INDEX('DEFAULT DATA'!$VR$9:$VT$41,START!$C$3,2))/100))</f>
        <v>0</v>
      </c>
      <c r="BD259" s="272">
        <f>IF(AND(BD$254&gt;($D$75+2020),BD$254&lt;($E$75+2022)),BC259+($AI$259*$AJ$259*((100-$F$75)/100)*ROUND($B$75/($E$75-$D$75+1),0)/1000000),BC259*((100+INDEX('DEFAULT DATA'!$VR$9:$VT$41,START!$C$3,2))/100))</f>
        <v>0</v>
      </c>
      <c r="BE259" s="272">
        <f>IF(AND(BE$254&gt;($D$75+2020),BE$254&lt;($E$75+2022)),BD259+($AI$259*$AJ$259*((100-$F$75)/100)*ROUND($B$75/($E$75-$D$75+1),0)/1000000),BD259*((100+INDEX('DEFAULT DATA'!$VR$9:$VT$41,START!$C$3,3))/100))</f>
        <v>0</v>
      </c>
      <c r="BF259" s="272">
        <f>IF(AND(BF$254&gt;($D$75+2020),BF$254&lt;($E$75+2022)),BE259+($AI$259*$AJ$259*((100-$F$75)/100)*ROUND($B$75/($E$75-$D$75+1),0)/1000000),BE259*((100+INDEX('DEFAULT DATA'!$VR$9:$VT$41,START!$C$3,3))/100))</f>
        <v>0</v>
      </c>
      <c r="BG259" s="272">
        <f>IF(AND(BG$254&gt;($D$75+2020),BG$254&lt;($E$75+2022)),BF259+($AI$259*$AJ$259*((100-$F$75)/100)*ROUND($B$75/($E$75-$D$75+1),0)/1000000),BF259*((100+INDEX('DEFAULT DATA'!$VR$9:$VT$41,START!$C$3,3))/100))</f>
        <v>0</v>
      </c>
      <c r="BH259" s="272">
        <f>IF(AND(BH$254&gt;($D$75+2020),BH$254&lt;($E$75+2022)),BG259+($AI$259*$AJ$259*((100-$F$75)/100)*ROUND($B$75/($E$75-$D$75+1),0)/1000000),BG259*((100+INDEX('DEFAULT DATA'!$VR$9:$VT$41,START!$C$3,3))/100))</f>
        <v>0</v>
      </c>
      <c r="BI259" s="272">
        <f>IF(AND(BI$254&gt;($D$75+2020),BI$254&lt;($E$75+2022)),BH259+($AI$259*$AJ$259*((100-$F$75)/100)*ROUND($B$75/($E$75-$D$75+1),0)/1000000),BH259*((100+INDEX('DEFAULT DATA'!$VR$9:$VT$41,START!$C$3,3))/100))</f>
        <v>0</v>
      </c>
      <c r="BJ259" s="272">
        <f>IF(AND(BJ$254&gt;($D$75+2020),BJ$254&lt;($E$75+2022)),BI259+($AI$259*$AJ$259*((100-$F$75)/100)*ROUND($B$75/($E$75-$D$75+1),0)/1000000),BI259*((100+INDEX('DEFAULT DATA'!$VR$9:$VT$41,START!$C$3,3))/100))</f>
        <v>0</v>
      </c>
      <c r="BK259" s="272">
        <f>IF(AND(BK$254&gt;($D$75+2020),BK$254&lt;($E$75+2022)),BJ259+($AI$259*$AJ$259*((100-$F$75)/100)*ROUND($B$75/($E$75-$D$75+1),0)/1000000),BJ259*((100+INDEX('DEFAULT DATA'!$VR$9:$VT$41,START!$C$3,3))/100))</f>
        <v>0</v>
      </c>
      <c r="BL259" s="272">
        <f>IF(AND(BL$254&gt;($D$75+2020),BL$254&lt;($E$75+2022)),BK259+($AI$259*$AJ$259*((100-$F$75)/100)*ROUND($B$75/($E$75-$D$75+1),0)/1000000),BK259*((100+INDEX('DEFAULT DATA'!$VR$9:$VT$41,START!$C$3,3))/100))</f>
        <v>0</v>
      </c>
      <c r="BM259" s="272">
        <f>IF(AND(BM$254&gt;($D$75+2020),BM$254&lt;($E$75+2022)),BL259+($AI$259*$AJ$259*((100-$F$75)/100)*ROUND($B$75/($E$75-$D$75+1),0)/1000000),BL259*((100+INDEX('DEFAULT DATA'!$VR$9:$VT$41,START!$C$3,3))/100))</f>
        <v>0</v>
      </c>
      <c r="BN259" s="272">
        <f>IF(AND(BN$254&gt;($D$75+2020),BN$254&lt;($E$75+2022)),BM259+($AI$259*$AJ$259*((100-$F$75)/100)*ROUND($B$75/($E$75-$D$75+1),0)/1000000),BM259*((100+INDEX('DEFAULT DATA'!$VR$9:$VT$41,START!$C$3,3))/100))</f>
        <v>0</v>
      </c>
      <c r="BP259" s="552" t="s">
        <v>1223</v>
      </c>
      <c r="BQ259" s="1482" t="s">
        <v>1889</v>
      </c>
      <c r="BR259" s="1483"/>
      <c r="BS259" s="1483"/>
      <c r="BT259" s="1483"/>
      <c r="BU259" s="1483"/>
      <c r="BV259" s="1483"/>
      <c r="BW259" s="1483"/>
      <c r="BX259" s="1483"/>
      <c r="BY259" s="1483"/>
      <c r="BZ259" s="1483"/>
      <c r="CA259" s="1483"/>
      <c r="CB259" s="1483"/>
      <c r="CC259" s="1483"/>
      <c r="CD259" s="1483"/>
      <c r="CE259" s="1483"/>
      <c r="CF259" s="1483"/>
      <c r="CG259" s="1484"/>
      <c r="CH259" s="554" t="s">
        <v>1610</v>
      </c>
      <c r="CI259" s="554" t="s">
        <v>1623</v>
      </c>
    </row>
    <row r="260" spans="32:87" ht="20.100000000000001" customHeight="1">
      <c r="AF260" s="1492"/>
      <c r="AG260" s="251" t="s">
        <v>1224</v>
      </c>
      <c r="AH260" s="251"/>
      <c r="AI260" s="251">
        <f>INDEX('DEFAULT DATA'!$VE$9:$VK$41,START!$C$3,5)</f>
        <v>403</v>
      </c>
      <c r="AJ260" s="195">
        <f>INDEX('DEFAULT DATA'!$XC$9:$XJ$41,START!$C$3,6)</f>
        <v>0</v>
      </c>
      <c r="AK260" s="157">
        <v>0</v>
      </c>
      <c r="AL260" s="272">
        <f>IF(AND(AL$254&gt;($D$75+2020),AL$254&lt;($E$75+2022)),AK260+($AI$260*$AJ$260*((100-$F$75)/100)*ROUND($B$75/($E$75-$D$75+1),0)/1000000),AK260*((100+INDEX('DEFAULT DATA'!$VR$9:$VT$41,START!$C$3,1))/100))</f>
        <v>0</v>
      </c>
      <c r="AM260" s="272">
        <f>IF(AND(AM$254&gt;($D$75+2020),AM$254&lt;($E$75+2022)),AL260+($AI$260*$AJ$260*((100-$F$75)/100)*ROUND($B$75/($E$75-$D$75+1),0)/1000000),AL260*((100+INDEX('DEFAULT DATA'!$VR$9:$VT$41,START!$C$3,1))/100))</f>
        <v>0</v>
      </c>
      <c r="AN260" s="272">
        <f>IF(AND(AN$254&gt;($D$75+2020),AN$254&lt;($E$75+2022)),AM260+($AI$260*$AJ$260*((100-$F$75)/100)*ROUND($B$75/($E$75-$D$75+1),0)/1000000),AM260*((100+INDEX('DEFAULT DATA'!$VR$9:$VT$41,START!$C$3,1))/100))</f>
        <v>0</v>
      </c>
      <c r="AO260" s="272">
        <f>IF(AND(AO$254&gt;($D$75+2020),AO$254&lt;($E$75+2022)),AN260+($AI$260*$AJ$260*((100-$F$75)/100)*ROUND($B$75/($E$75-$D$75+1),0)/1000000),AN260*((100+INDEX('DEFAULT DATA'!$VR$9:$VT$41,START!$C$3,1))/100))</f>
        <v>0</v>
      </c>
      <c r="AP260" s="272">
        <f>IF(AND(AP$254&gt;($D$75+2020),AP$254&lt;($E$75+2022)),AO260+($AI$260*$AJ$260*((100-$F$75)/100)*ROUND($B$75/($E$75-$D$75+1),0)/1000000),AO260*((100+INDEX('DEFAULT DATA'!$VR$9:$VT$41,START!$C$3,1))/100))</f>
        <v>0</v>
      </c>
      <c r="AQ260" s="272">
        <f>IF(AND(AQ$254&gt;($D$75+2020),AQ$254&lt;($E$75+2022)),AP260+($AI$260*$AJ$260*((100-$F$75)/100)*ROUND($B$75/($E$75-$D$75+1),0)/1000000),AP260*((100+INDEX('DEFAULT DATA'!$VR$9:$VT$41,START!$C$3,1))/100))</f>
        <v>0</v>
      </c>
      <c r="AR260" s="272">
        <f>IF(AND(AR$254&gt;($D$75+2020),AR$254&lt;($E$75+2022)),AQ260+($AI$260*$AJ$260*((100-$F$75)/100)*ROUND($B$75/($E$75-$D$75+1),0)/1000000),AQ260*((100+INDEX('DEFAULT DATA'!$VR$9:$VT$41,START!$C$3,1))/100))</f>
        <v>0</v>
      </c>
      <c r="AS260" s="272">
        <f>IF(AND(AS$254&gt;($D$75+2020),AS$254&lt;($E$75+2022)),AR260+($AI$260*$AJ$260*((100-$F$75)/100)*ROUND($B$75/($E$75-$D$75+1),0)/1000000),AR260*((100+INDEX('DEFAULT DATA'!$VR$9:$VT$41,START!$C$3,1))/100))</f>
        <v>0</v>
      </c>
      <c r="AT260" s="272">
        <f>IF(AND(AT$254&gt;($D$75+2020),AT$254&lt;($E$75+2022)),AS260+($AI$260*$AJ$260*((100-$F$75)/100)*ROUND($B$75/($E$75-$D$75+1),0)/1000000),AS260*((100+INDEX('DEFAULT DATA'!$VR$9:$VT$41,START!$C$3,1))/100))</f>
        <v>0</v>
      </c>
      <c r="AU260" s="272">
        <f>IF(AND(AU$254&gt;($D$75+2020),AU$254&lt;($E$75+2022)),AT260+($AI$260*$AJ$260*((100-$F$75)/100)*ROUND($B$75/($E$75-$D$75+1),0)/1000000),AT260*((100+INDEX('DEFAULT DATA'!$VR$9:$VT$41,START!$C$3,2))/100))</f>
        <v>0</v>
      </c>
      <c r="AV260" s="272">
        <f>IF(AND(AV$254&gt;($D$75+2020),AV$254&lt;($E$75+2022)),AU260+($AI$260*$AJ$260*((100-$F$75)/100)*ROUND($B$75/($E$75-$D$75+1),0)/1000000),AU260*((100+INDEX('DEFAULT DATA'!$VR$9:$VT$41,START!$C$3,2))/100))</f>
        <v>0</v>
      </c>
      <c r="AW260" s="272">
        <f>IF(AND(AW$254&gt;($D$75+2020),AW$254&lt;($E$75+2022)),AV260+($AI$260*$AJ$260*((100-$F$75)/100)*ROUND($B$75/($E$75-$D$75+1),0)/1000000),AV260*((100+INDEX('DEFAULT DATA'!$VR$9:$VT$41,START!$C$3,2))/100))</f>
        <v>0</v>
      </c>
      <c r="AX260" s="272">
        <f>IF(AND(AX$254&gt;($D$75+2020),AX$254&lt;($E$75+2022)),AW260+($AI$260*$AJ$260*((100-$F$75)/100)*ROUND($B$75/($E$75-$D$75+1),0)/1000000),AW260*((100+INDEX('DEFAULT DATA'!$VR$9:$VT$41,START!$C$3,2))/100))</f>
        <v>0</v>
      </c>
      <c r="AY260" s="272">
        <f>IF(AND(AY$254&gt;($D$75+2020),AY$254&lt;($E$75+2022)),AX260+($AI$260*$AJ$260*((100-$F$75)/100)*ROUND($B$75/($E$75-$D$75+1),0)/1000000),AX260*((100+INDEX('DEFAULT DATA'!$VR$9:$VT$41,START!$C$3,2))/100))</f>
        <v>0</v>
      </c>
      <c r="AZ260" s="272">
        <f>IF(AND(AZ$254&gt;($D$75+2020),AZ$254&lt;($E$75+2022)),AY260+($AI$260*$AJ$260*((100-$F$75)/100)*ROUND($B$75/($E$75-$D$75+1),0)/1000000),AY260*((100+INDEX('DEFAULT DATA'!$VR$9:$VT$41,START!$C$3,2))/100))</f>
        <v>0</v>
      </c>
      <c r="BA260" s="272">
        <f>IF(AND(BA$254&gt;($D$75+2020),BA$254&lt;($E$75+2022)),AZ260+($AI$260*$AJ$260*((100-$F$75)/100)*ROUND($B$75/($E$75-$D$75+1),0)/1000000),AZ260*((100+INDEX('DEFAULT DATA'!$VR$9:$VT$41,START!$C$3,2))/100))</f>
        <v>0</v>
      </c>
      <c r="BB260" s="272">
        <f>IF(AND(BB$254&gt;($D$75+2020),BB$254&lt;($E$75+2022)),BA260+($AI$260*$AJ$260*((100-$F$75)/100)*ROUND($B$75/($E$75-$D$75+1),0)/1000000),BA260*((100+INDEX('DEFAULT DATA'!$VR$9:$VT$41,START!$C$3,2))/100))</f>
        <v>0</v>
      </c>
      <c r="BC260" s="272">
        <f>IF(AND(BC$254&gt;($D$75+2020),BC$254&lt;($E$75+2022)),BB260+($AI$260*$AJ$260*((100-$F$75)/100)*ROUND($B$75/($E$75-$D$75+1),0)/1000000),BB260*((100+INDEX('DEFAULT DATA'!$VR$9:$VT$41,START!$C$3,2))/100))</f>
        <v>0</v>
      </c>
      <c r="BD260" s="272">
        <f>IF(AND(BD$254&gt;($D$75+2020),BD$254&lt;($E$75+2022)),BC260+($AI$260*$AJ$260*((100-$F$75)/100)*ROUND($B$75/($E$75-$D$75+1),0)/1000000),BC260*((100+INDEX('DEFAULT DATA'!$VR$9:$VT$41,START!$C$3,2))/100))</f>
        <v>0</v>
      </c>
      <c r="BE260" s="272">
        <f>IF(AND(BE$254&gt;($D$75+2020),BE$254&lt;($E$75+2022)),BD260+($AI$260*$AJ$260*((100-$F$75)/100)*ROUND($B$75/($E$75-$D$75+1),0)/1000000),BD260*((100+INDEX('DEFAULT DATA'!$VR$9:$VT$41,START!$C$3,3))/100))</f>
        <v>0</v>
      </c>
      <c r="BF260" s="272">
        <f>IF(AND(BF$254&gt;($D$75+2020),BF$254&lt;($E$75+2022)),BE260+($AI$260*$AJ$260*((100-$F$75)/100)*ROUND($B$75/($E$75-$D$75+1),0)/1000000),BE260*((100+INDEX('DEFAULT DATA'!$VR$9:$VT$41,START!$C$3,3))/100))</f>
        <v>0</v>
      </c>
      <c r="BG260" s="272">
        <f>IF(AND(BG$254&gt;($D$75+2020),BG$254&lt;($E$75+2022)),BF260+($AI$260*$AJ$260*((100-$F$75)/100)*ROUND($B$75/($E$75-$D$75+1),0)/1000000),BF260*((100+INDEX('DEFAULT DATA'!$VR$9:$VT$41,START!$C$3,3))/100))</f>
        <v>0</v>
      </c>
      <c r="BH260" s="272">
        <f>IF(AND(BH$254&gt;($D$75+2020),BH$254&lt;($E$75+2022)),BG260+($AI$260*$AJ$260*((100-$F$75)/100)*ROUND($B$75/($E$75-$D$75+1),0)/1000000),BG260*((100+INDEX('DEFAULT DATA'!$VR$9:$VT$41,START!$C$3,3))/100))</f>
        <v>0</v>
      </c>
      <c r="BI260" s="272">
        <f>IF(AND(BI$254&gt;($D$75+2020),BI$254&lt;($E$75+2022)),BH260+($AI$260*$AJ$260*((100-$F$75)/100)*ROUND($B$75/($E$75-$D$75+1),0)/1000000),BH260*((100+INDEX('DEFAULT DATA'!$VR$9:$VT$41,START!$C$3,3))/100))</f>
        <v>0</v>
      </c>
      <c r="BJ260" s="272">
        <f>IF(AND(BJ$254&gt;($D$75+2020),BJ$254&lt;($E$75+2022)),BI260+($AI$260*$AJ$260*((100-$F$75)/100)*ROUND($B$75/($E$75-$D$75+1),0)/1000000),BI260*((100+INDEX('DEFAULT DATA'!$VR$9:$VT$41,START!$C$3,3))/100))</f>
        <v>0</v>
      </c>
      <c r="BK260" s="272">
        <f>IF(AND(BK$254&gt;($D$75+2020),BK$254&lt;($E$75+2022)),BJ260+($AI$260*$AJ$260*((100-$F$75)/100)*ROUND($B$75/($E$75-$D$75+1),0)/1000000),BJ260*((100+INDEX('DEFAULT DATA'!$VR$9:$VT$41,START!$C$3,3))/100))</f>
        <v>0</v>
      </c>
      <c r="BL260" s="272">
        <f>IF(AND(BL$254&gt;($D$75+2020),BL$254&lt;($E$75+2022)),BK260+($AI$260*$AJ$260*((100-$F$75)/100)*ROUND($B$75/($E$75-$D$75+1),0)/1000000),BK260*((100+INDEX('DEFAULT DATA'!$VR$9:$VT$41,START!$C$3,3))/100))</f>
        <v>0</v>
      </c>
      <c r="BM260" s="272">
        <f>IF(AND(BM$254&gt;($D$75+2020),BM$254&lt;($E$75+2022)),BL260+($AI$260*$AJ$260*((100-$F$75)/100)*ROUND($B$75/($E$75-$D$75+1),0)/1000000),BL260*((100+INDEX('DEFAULT DATA'!$VR$9:$VT$41,START!$C$3,3))/100))</f>
        <v>0</v>
      </c>
      <c r="BN260" s="272">
        <f>IF(AND(BN$254&gt;($D$75+2020),BN$254&lt;($E$75+2022)),BM260+($AI$260*$AJ$260*((100-$F$75)/100)*ROUND($B$75/($E$75-$D$75+1),0)/1000000),BM260*((100+INDEX('DEFAULT DATA'!$VR$9:$VT$41,START!$C$3,3))/100))</f>
        <v>0</v>
      </c>
      <c r="BP260" s="552" t="s">
        <v>1224</v>
      </c>
      <c r="BQ260" s="1482" t="s">
        <v>1890</v>
      </c>
      <c r="BR260" s="1483"/>
      <c r="BS260" s="1483"/>
      <c r="BT260" s="1483"/>
      <c r="BU260" s="1483"/>
      <c r="BV260" s="1483"/>
      <c r="BW260" s="1483"/>
      <c r="BX260" s="1483"/>
      <c r="BY260" s="1483"/>
      <c r="BZ260" s="1483"/>
      <c r="CA260" s="1483"/>
      <c r="CB260" s="1483"/>
      <c r="CC260" s="1483"/>
      <c r="CD260" s="1483"/>
      <c r="CE260" s="1483"/>
      <c r="CF260" s="1483"/>
      <c r="CG260" s="1484"/>
      <c r="CH260" s="554" t="s">
        <v>1611</v>
      </c>
      <c r="CI260" s="554" t="s">
        <v>1624</v>
      </c>
    </row>
    <row r="261" spans="32:87" ht="20.100000000000001" customHeight="1">
      <c r="AF261" s="1492"/>
      <c r="AG261" s="251" t="s">
        <v>1225</v>
      </c>
      <c r="AH261" s="251"/>
      <c r="AI261" s="251">
        <f>INDEX('DEFAULT DATA'!$VE$9:$VK$41,START!$C$3,6)</f>
        <v>0</v>
      </c>
      <c r="AJ261" s="195">
        <f>INDEX('DEFAULT DATA'!$XC$9:$XJ$41,START!$C$3,7)</f>
        <v>0</v>
      </c>
      <c r="AK261" s="157">
        <v>0</v>
      </c>
      <c r="AL261" s="272">
        <f>IF(AND(AL$254&gt;($D$75+2020),AL$254&lt;($E$75+2022)),AK261+($AI$261*$AJ$261*((100-$F$75)/100)*ROUND($B$75/($E$75-$D$75+1),0)/1000000),AK261*((100+INDEX('DEFAULT DATA'!$VR$9:$VT$41,START!$C$3,1))/100))</f>
        <v>0</v>
      </c>
      <c r="AM261" s="272">
        <f>IF(AND(AM$254&gt;($D$75+2020),AM$254&lt;($E$75+2022)),AL261+($AI$261*$AJ$261*((100-$F$75)/100)*ROUND($B$75/($E$75-$D$75+1),0)/1000000),AL261*((100+INDEX('DEFAULT DATA'!$VR$9:$VT$41,START!$C$3,1))/100))</f>
        <v>0</v>
      </c>
      <c r="AN261" s="272">
        <f>IF(AND(AN$254&gt;($D$75+2020),AN$254&lt;($E$75+2022)),AM261+($AI$261*$AJ$261*((100-$F$75)/100)*ROUND($B$75/($E$75-$D$75+1),0)/1000000),AM261*((100+INDEX('DEFAULT DATA'!$VR$9:$VT$41,START!$C$3,1))/100))</f>
        <v>0</v>
      </c>
      <c r="AO261" s="272">
        <f>IF(AND(AO$254&gt;($D$75+2020),AO$254&lt;($E$75+2022)),AN261+($AI$261*$AJ$261*((100-$F$75)/100)*ROUND($B$75/($E$75-$D$75+1),0)/1000000),AN261*((100+INDEX('DEFAULT DATA'!$VR$9:$VT$41,START!$C$3,1))/100))</f>
        <v>0</v>
      </c>
      <c r="AP261" s="272">
        <f>IF(AND(AP$254&gt;($D$75+2020),AP$254&lt;($E$75+2022)),AO261+($AI$261*$AJ$261*((100-$F$75)/100)*ROUND($B$75/($E$75-$D$75+1),0)/1000000),AO261*((100+INDEX('DEFAULT DATA'!$VR$9:$VT$41,START!$C$3,1))/100))</f>
        <v>0</v>
      </c>
      <c r="AQ261" s="272">
        <f>IF(AND(AQ$254&gt;($D$75+2020),AQ$254&lt;($E$75+2022)),AP261+($AI$261*$AJ$261*((100-$F$75)/100)*ROUND($B$75/($E$75-$D$75+1),0)/1000000),AP261*((100+INDEX('DEFAULT DATA'!$VR$9:$VT$41,START!$C$3,1))/100))</f>
        <v>0</v>
      </c>
      <c r="AR261" s="272">
        <f>IF(AND(AR$254&gt;($D$75+2020),AR$254&lt;($E$75+2022)),AQ261+($AI$261*$AJ$261*((100-$F$75)/100)*ROUND($B$75/($E$75-$D$75+1),0)/1000000),AQ261*((100+INDEX('DEFAULT DATA'!$VR$9:$VT$41,START!$C$3,1))/100))</f>
        <v>0</v>
      </c>
      <c r="AS261" s="272">
        <f>IF(AND(AS$254&gt;($D$75+2020),AS$254&lt;($E$75+2022)),AR261+($AI$261*$AJ$261*((100-$F$75)/100)*ROUND($B$75/($E$75-$D$75+1),0)/1000000),AR261*((100+INDEX('DEFAULT DATA'!$VR$9:$VT$41,START!$C$3,1))/100))</f>
        <v>0</v>
      </c>
      <c r="AT261" s="272">
        <f>IF(AND(AT$254&gt;($D$75+2020),AT$254&lt;($E$75+2022)),AS261+($AI$261*$AJ$261*((100-$F$75)/100)*ROUND($B$75/($E$75-$D$75+1),0)/1000000),AS261*((100+INDEX('DEFAULT DATA'!$VR$9:$VT$41,START!$C$3,1))/100))</f>
        <v>0</v>
      </c>
      <c r="AU261" s="272">
        <f>IF(AND(AU$254&gt;($D$75+2020),AU$254&lt;($E$75+2022)),AT261+($AI$261*$AJ$261*((100-$F$75)/100)*ROUND($B$75/($E$75-$D$75+1),0)/1000000),AT261*((100+INDEX('DEFAULT DATA'!$VR$9:$VT$41,START!$C$3,2))/100))</f>
        <v>0</v>
      </c>
      <c r="AV261" s="272">
        <f>IF(AND(AV$254&gt;($D$75+2020),AV$254&lt;($E$75+2022)),AU261+($AI$261*$AJ$261*((100-$F$75)/100)*ROUND($B$75/($E$75-$D$75+1),0)/1000000),AU261*((100+INDEX('DEFAULT DATA'!$VR$9:$VT$41,START!$C$3,2))/100))</f>
        <v>0</v>
      </c>
      <c r="AW261" s="272">
        <f>IF(AND(AW$254&gt;($D$75+2020),AW$254&lt;($E$75+2022)),AV261+($AI$261*$AJ$261*((100-$F$75)/100)*ROUND($B$75/($E$75-$D$75+1),0)/1000000),AV261*((100+INDEX('DEFAULT DATA'!$VR$9:$VT$41,START!$C$3,2))/100))</f>
        <v>0</v>
      </c>
      <c r="AX261" s="272">
        <f>IF(AND(AX$254&gt;($D$75+2020),AX$254&lt;($E$75+2022)),AW261+($AI$261*$AJ$261*((100-$F$75)/100)*ROUND($B$75/($E$75-$D$75+1),0)/1000000),AW261*((100+INDEX('DEFAULT DATA'!$VR$9:$VT$41,START!$C$3,2))/100))</f>
        <v>0</v>
      </c>
      <c r="AY261" s="272">
        <f>IF(AND(AY$254&gt;($D$75+2020),AY$254&lt;($E$75+2022)),AX261+($AI$261*$AJ$261*((100-$F$75)/100)*ROUND($B$75/($E$75-$D$75+1),0)/1000000),AX261*((100+INDEX('DEFAULT DATA'!$VR$9:$VT$41,START!$C$3,2))/100))</f>
        <v>0</v>
      </c>
      <c r="AZ261" s="272">
        <f>IF(AND(AZ$254&gt;($D$75+2020),AZ$254&lt;($E$75+2022)),AY261+($AI$261*$AJ$261*((100-$F$75)/100)*ROUND($B$75/($E$75-$D$75+1),0)/1000000),AY261*((100+INDEX('DEFAULT DATA'!$VR$9:$VT$41,START!$C$3,2))/100))</f>
        <v>0</v>
      </c>
      <c r="BA261" s="272">
        <f>IF(AND(BA$254&gt;($D$75+2020),BA$254&lt;($E$75+2022)),AZ261+($AI$261*$AJ$261*((100-$F$75)/100)*ROUND($B$75/($E$75-$D$75+1),0)/1000000),AZ261*((100+INDEX('DEFAULT DATA'!$VR$9:$VT$41,START!$C$3,2))/100))</f>
        <v>0</v>
      </c>
      <c r="BB261" s="272">
        <f>IF(AND(BB$254&gt;($D$75+2020),BB$254&lt;($E$75+2022)),BA261+($AI$261*$AJ$261*((100-$F$75)/100)*ROUND($B$75/($E$75-$D$75+1),0)/1000000),BA261*((100+INDEX('DEFAULT DATA'!$VR$9:$VT$41,START!$C$3,2))/100))</f>
        <v>0</v>
      </c>
      <c r="BC261" s="272">
        <f>IF(AND(BC$254&gt;($D$75+2020),BC$254&lt;($E$75+2022)),BB261+($AI$261*$AJ$261*((100-$F$75)/100)*ROUND($B$75/($E$75-$D$75+1),0)/1000000),BB261*((100+INDEX('DEFAULT DATA'!$VR$9:$VT$41,START!$C$3,2))/100))</f>
        <v>0</v>
      </c>
      <c r="BD261" s="272">
        <f>IF(AND(BD$254&gt;($D$75+2020),BD$254&lt;($E$75+2022)),BC261+($AI$261*$AJ$261*((100-$F$75)/100)*ROUND($B$75/($E$75-$D$75+1),0)/1000000),BC261*((100+INDEX('DEFAULT DATA'!$VR$9:$VT$41,START!$C$3,2))/100))</f>
        <v>0</v>
      </c>
      <c r="BE261" s="272">
        <f>IF(AND(BE$254&gt;($D$75+2020),BE$254&lt;($E$75+2022)),BD261+($AI$261*$AJ$261*((100-$F$75)/100)*ROUND($B$75/($E$75-$D$75+1),0)/1000000),BD261*((100+INDEX('DEFAULT DATA'!$VR$9:$VT$41,START!$C$3,3))/100))</f>
        <v>0</v>
      </c>
      <c r="BF261" s="272">
        <f>IF(AND(BF$254&gt;($D$75+2020),BF$254&lt;($E$75+2022)),BE261+($AI$261*$AJ$261*((100-$F$75)/100)*ROUND($B$75/($E$75-$D$75+1),0)/1000000),BE261*((100+INDEX('DEFAULT DATA'!$VR$9:$VT$41,START!$C$3,3))/100))</f>
        <v>0</v>
      </c>
      <c r="BG261" s="272">
        <f>IF(AND(BG$254&gt;($D$75+2020),BG$254&lt;($E$75+2022)),BF261+($AI$261*$AJ$261*((100-$F$75)/100)*ROUND($B$75/($E$75-$D$75+1),0)/1000000),BF261*((100+INDEX('DEFAULT DATA'!$VR$9:$VT$41,START!$C$3,3))/100))</f>
        <v>0</v>
      </c>
      <c r="BH261" s="272">
        <f>IF(AND(BH$254&gt;($D$75+2020),BH$254&lt;($E$75+2022)),BG261+($AI$261*$AJ$261*((100-$F$75)/100)*ROUND($B$75/($E$75-$D$75+1),0)/1000000),BG261*((100+INDEX('DEFAULT DATA'!$VR$9:$VT$41,START!$C$3,3))/100))</f>
        <v>0</v>
      </c>
      <c r="BI261" s="272">
        <f>IF(AND(BI$254&gt;($D$75+2020),BI$254&lt;($E$75+2022)),BH261+($AI$261*$AJ$261*((100-$F$75)/100)*ROUND($B$75/($E$75-$D$75+1),0)/1000000),BH261*((100+INDEX('DEFAULT DATA'!$VR$9:$VT$41,START!$C$3,3))/100))</f>
        <v>0</v>
      </c>
      <c r="BJ261" s="272">
        <f>IF(AND(BJ$254&gt;($D$75+2020),BJ$254&lt;($E$75+2022)),BI261+($AI$261*$AJ$261*((100-$F$75)/100)*ROUND($B$75/($E$75-$D$75+1),0)/1000000),BI261*((100+INDEX('DEFAULT DATA'!$VR$9:$VT$41,START!$C$3,3))/100))</f>
        <v>0</v>
      </c>
      <c r="BK261" s="272">
        <f>IF(AND(BK$254&gt;($D$75+2020),BK$254&lt;($E$75+2022)),BJ261+($AI$261*$AJ$261*((100-$F$75)/100)*ROUND($B$75/($E$75-$D$75+1),0)/1000000),BJ261*((100+INDEX('DEFAULT DATA'!$VR$9:$VT$41,START!$C$3,3))/100))</f>
        <v>0</v>
      </c>
      <c r="BL261" s="272">
        <f>IF(AND(BL$254&gt;($D$75+2020),BL$254&lt;($E$75+2022)),BK261+($AI$261*$AJ$261*((100-$F$75)/100)*ROUND($B$75/($E$75-$D$75+1),0)/1000000),BK261*((100+INDEX('DEFAULT DATA'!$VR$9:$VT$41,START!$C$3,3))/100))</f>
        <v>0</v>
      </c>
      <c r="BM261" s="272">
        <f>IF(AND(BM$254&gt;($D$75+2020),BM$254&lt;($E$75+2022)),BL261+($AI$261*$AJ$261*((100-$F$75)/100)*ROUND($B$75/($E$75-$D$75+1),0)/1000000),BL261*((100+INDEX('DEFAULT DATA'!$VR$9:$VT$41,START!$C$3,3))/100))</f>
        <v>0</v>
      </c>
      <c r="BN261" s="272">
        <f>IF(AND(BN$254&gt;($D$75+2020),BN$254&lt;($E$75+2022)),BM261+($AI$261*$AJ$261*((100-$F$75)/100)*ROUND($B$75/($E$75-$D$75+1),0)/1000000),BM261*((100+INDEX('DEFAULT DATA'!$VR$9:$VT$41,START!$C$3,3))/100))</f>
        <v>0</v>
      </c>
      <c r="BP261" s="552" t="s">
        <v>1225</v>
      </c>
      <c r="BQ261" s="1482" t="s">
        <v>1891</v>
      </c>
      <c r="BR261" s="1483"/>
      <c r="BS261" s="1483"/>
      <c r="BT261" s="1483"/>
      <c r="BU261" s="1483"/>
      <c r="BV261" s="1483"/>
      <c r="BW261" s="1483"/>
      <c r="BX261" s="1483"/>
      <c r="BY261" s="1483"/>
      <c r="BZ261" s="1483"/>
      <c r="CA261" s="1483"/>
      <c r="CB261" s="1483"/>
      <c r="CC261" s="1483"/>
      <c r="CD261" s="1483"/>
      <c r="CE261" s="1483"/>
      <c r="CF261" s="1483"/>
      <c r="CG261" s="1484"/>
      <c r="CH261" s="554" t="s">
        <v>1612</v>
      </c>
      <c r="CI261" s="554" t="s">
        <v>1625</v>
      </c>
    </row>
    <row r="262" spans="32:87" ht="20.100000000000001" customHeight="1" thickBot="1">
      <c r="AF262" s="1493"/>
      <c r="AG262" s="310" t="s">
        <v>1226</v>
      </c>
      <c r="AH262" s="310"/>
      <c r="AI262" s="310" t="s">
        <v>1497</v>
      </c>
      <c r="AJ262" s="260">
        <f>INDEX('DEFAULT DATA'!$XC$9:$XJ$41,START!$C$3,8)</f>
        <v>0</v>
      </c>
      <c r="AK262" s="158">
        <v>0</v>
      </c>
      <c r="AL262" s="325">
        <f>IF(AND(AL$254&gt;($D$75+2020),AL$254&lt;($E$75+2022)),AK262+(AL$6*$AJ$262*((100-$F$75)/100)*ROUND($B$75/($E$75-$D$75+1),0)/1000000),AK262*((100+INDEX('DEFAULT DATA'!$VR$9:$VT$41,START!$C$3,1))/100))</f>
        <v>0</v>
      </c>
      <c r="AM262" s="325">
        <f>IF(AND(AM$254&gt;($D$75+2020),AM$254&lt;($E$75+2022)),AL262+(AM$6*$AJ$262*((100-$F$75)/100)*ROUND($B$75/($E$75-$D$75+1),0)/1000000),AL262*((100+INDEX('DEFAULT DATA'!$VR$9:$VT$41,START!$C$3,1))/100))</f>
        <v>0</v>
      </c>
      <c r="AN262" s="325">
        <f>IF(AND(AN$254&gt;($D$75+2020),AN$254&lt;($E$75+2022)),AM262+(AN$6*$AJ$262*((100-$F$75)/100)*ROUND($B$75/($E$75-$D$75+1),0)/1000000),AM262*((100+INDEX('DEFAULT DATA'!$VR$9:$VT$41,START!$C$3,1))/100))</f>
        <v>0</v>
      </c>
      <c r="AO262" s="325">
        <f>IF(AND(AO$254&gt;($D$75+2020),AO$254&lt;($E$75+2022)),AN262+(AO$6*$AJ$262*((100-$F$75)/100)*ROUND($B$75/($E$75-$D$75+1),0)/1000000),AN262*((100+INDEX('DEFAULT DATA'!$VR$9:$VT$41,START!$C$3,1))/100))</f>
        <v>0</v>
      </c>
      <c r="AP262" s="325">
        <f>IF(AND(AP$254&gt;($D$75+2020),AP$254&lt;($E$75+2022)),AO262+(AP$6*$AJ$262*((100-$F$75)/100)*ROUND($B$75/($E$75-$D$75+1),0)/1000000),AO262*((100+INDEX('DEFAULT DATA'!$VR$9:$VT$41,START!$C$3,1))/100))</f>
        <v>0</v>
      </c>
      <c r="AQ262" s="325">
        <f>IF(AND(AQ$254&gt;($D$75+2020),AQ$254&lt;($E$75+2022)),AP262+(AQ$6*$AJ$262*((100-$F$75)/100)*ROUND($B$75/($E$75-$D$75+1),0)/1000000),AP262*((100+INDEX('DEFAULT DATA'!$VR$9:$VT$41,START!$C$3,1))/100))</f>
        <v>0</v>
      </c>
      <c r="AR262" s="325">
        <f>IF(AND(AR$254&gt;($D$75+2020),AR$254&lt;($E$75+2022)),AQ262+(AR$6*$AJ$262*((100-$F$75)/100)*ROUND($B$75/($E$75-$D$75+1),0)/1000000),AQ262*((100+INDEX('DEFAULT DATA'!$VR$9:$VT$41,START!$C$3,1))/100))</f>
        <v>0</v>
      </c>
      <c r="AS262" s="325">
        <f>IF(AND(AS$254&gt;($D$75+2020),AS$254&lt;($E$75+2022)),AR262+(AS$6*$AJ$262*((100-$F$75)/100)*ROUND($B$75/($E$75-$D$75+1),0)/1000000),AR262*((100+INDEX('DEFAULT DATA'!$VR$9:$VT$41,START!$C$3,1))/100))</f>
        <v>0</v>
      </c>
      <c r="AT262" s="325">
        <f>IF(AND(AT$254&gt;($D$75+2020),AT$254&lt;($E$75+2022)),AS262+(AT$6*$AJ$262*((100-$F$75)/100)*ROUND($B$75/($E$75-$D$75+1),0)/1000000),AS262*((100+INDEX('DEFAULT DATA'!$VR$9:$VT$41,START!$C$3,1))/100))</f>
        <v>0</v>
      </c>
      <c r="AU262" s="325">
        <f>IF(AND(AU$254&gt;($D$75+2020),AU$254&lt;($E$75+2022)),AT262+(AU$6*$AJ$262*((100-$F$75)/100)*ROUND($B$75/($E$75-$D$75+1),0)/1000000),AT262*((100+INDEX('DEFAULT DATA'!$VR$9:$VT$41,START!$C$3,2))/100))</f>
        <v>0</v>
      </c>
      <c r="AV262" s="325">
        <f>IF(AND(AV$254&gt;($D$75+2020),AV$254&lt;($E$75+2022)),AU262+(AV$6*$AJ$262*((100-$F$75)/100)*ROUND($B$75/($E$75-$D$75+1),0)/1000000),AU262*((100+INDEX('DEFAULT DATA'!$VR$9:$VT$41,START!$C$3,2))/100))</f>
        <v>0</v>
      </c>
      <c r="AW262" s="325">
        <f>IF(AND(AW$254&gt;($D$75+2020),AW$254&lt;($E$75+2022)),AV262+(AW$6*$AJ$262*((100-$F$75)/100)*ROUND($B$75/($E$75-$D$75+1),0)/1000000),AV262*((100+INDEX('DEFAULT DATA'!$VR$9:$VT$41,START!$C$3,2))/100))</f>
        <v>0</v>
      </c>
      <c r="AX262" s="325">
        <f>IF(AND(AX$254&gt;($D$75+2020),AX$254&lt;($E$75+2022)),AW262+(AX$6*$AJ$262*((100-$F$75)/100)*ROUND($B$75/($E$75-$D$75+1),0)/1000000),AW262*((100+INDEX('DEFAULT DATA'!$VR$9:$VT$41,START!$C$3,2))/100))</f>
        <v>0</v>
      </c>
      <c r="AY262" s="325">
        <f>IF(AND(AY$254&gt;($D$75+2020),AY$254&lt;($E$75+2022)),AX262+(AY$6*$AJ$262*((100-$F$75)/100)*ROUND($B$75/($E$75-$D$75+1),0)/1000000),AX262*((100+INDEX('DEFAULT DATA'!$VR$9:$VT$41,START!$C$3,2))/100))</f>
        <v>0</v>
      </c>
      <c r="AZ262" s="325">
        <f>IF(AND(AZ$254&gt;($D$75+2020),AZ$254&lt;($E$75+2022)),AY262+(AZ$6*$AJ$262*((100-$F$75)/100)*ROUND($B$75/($E$75-$D$75+1),0)/1000000),AY262*((100+INDEX('DEFAULT DATA'!$VR$9:$VT$41,START!$C$3,2))/100))</f>
        <v>0</v>
      </c>
      <c r="BA262" s="325">
        <f>IF(AND(BA$254&gt;($D$75+2020),BA$254&lt;($E$75+2022)),AZ262+(BA$6*$AJ$262*((100-$F$75)/100)*ROUND($B$75/($E$75-$D$75+1),0)/1000000),AZ262*((100+INDEX('DEFAULT DATA'!$VR$9:$VT$41,START!$C$3,2))/100))</f>
        <v>0</v>
      </c>
      <c r="BB262" s="325">
        <f>IF(AND(BB$254&gt;($D$75+2020),BB$254&lt;($E$75+2022)),BA262+(BB$6*$AJ$262*((100-$F$75)/100)*ROUND($B$75/($E$75-$D$75+1),0)/1000000),BA262*((100+INDEX('DEFAULT DATA'!$VR$9:$VT$41,START!$C$3,2))/100))</f>
        <v>0</v>
      </c>
      <c r="BC262" s="325">
        <f>IF(AND(BC$254&gt;($D$75+2020),BC$254&lt;($E$75+2022)),BB262+(BC$6*$AJ$262*((100-$F$75)/100)*ROUND($B$75/($E$75-$D$75+1),0)/1000000),BB262*((100+INDEX('DEFAULT DATA'!$VR$9:$VT$41,START!$C$3,2))/100))</f>
        <v>0</v>
      </c>
      <c r="BD262" s="325">
        <f>IF(AND(BD$254&gt;($D$75+2020),BD$254&lt;($E$75+2022)),BC262+(BD$6*$AJ$262*((100-$F$75)/100)*ROUND($B$75/($E$75-$D$75+1),0)/1000000),BC262*((100+INDEX('DEFAULT DATA'!$VR$9:$VT$41,START!$C$3,2))/100))</f>
        <v>0</v>
      </c>
      <c r="BE262" s="325">
        <f>IF(AND(BE$254&gt;($D$75+2020),BE$254&lt;($E$75+2022)),BD262+(BE$6*$AJ$262*((100-$F$75)/100)*ROUND($B$75/($E$75-$D$75+1),0)/1000000),BD262*((100+INDEX('DEFAULT DATA'!$VR$9:$VT$41,START!$C$3,3))/100))</f>
        <v>0</v>
      </c>
      <c r="BF262" s="325">
        <f>IF(AND(BF$254&gt;($D$75+2020),BF$254&lt;($E$75+2022)),BE262+(BF$6*$AJ$262*((100-$F$75)/100)*ROUND($B$75/($E$75-$D$75+1),0)/1000000),BE262*((100+INDEX('DEFAULT DATA'!$VR$9:$VT$41,START!$C$3,3))/100))</f>
        <v>0</v>
      </c>
      <c r="BG262" s="325">
        <f>IF(AND(BG$254&gt;($D$75+2020),BG$254&lt;($E$75+2022)),BF262+(BG$6*$AJ$262*((100-$F$75)/100)*ROUND($B$75/($E$75-$D$75+1),0)/1000000),BF262*((100+INDEX('DEFAULT DATA'!$VR$9:$VT$41,START!$C$3,3))/100))</f>
        <v>0</v>
      </c>
      <c r="BH262" s="325">
        <f>IF(AND(BH$254&gt;($D$75+2020),BH$254&lt;($E$75+2022)),BG262+(BH$6*$AJ$262*((100-$F$75)/100)*ROUND($B$75/($E$75-$D$75+1),0)/1000000),BG262*((100+INDEX('DEFAULT DATA'!$VR$9:$VT$41,START!$C$3,3))/100))</f>
        <v>0</v>
      </c>
      <c r="BI262" s="325">
        <f>IF(AND(BI$254&gt;($D$75+2020),BI$254&lt;($E$75+2022)),BH262+(BI$6*$AJ$262*((100-$F$75)/100)*ROUND($B$75/($E$75-$D$75+1),0)/1000000),BH262*((100+INDEX('DEFAULT DATA'!$VR$9:$VT$41,START!$C$3,3))/100))</f>
        <v>0</v>
      </c>
      <c r="BJ262" s="325">
        <f>IF(AND(BJ$254&gt;($D$75+2020),BJ$254&lt;($E$75+2022)),BI262+(BJ$6*$AJ$262*((100-$F$75)/100)*ROUND($B$75/($E$75-$D$75+1),0)/1000000),BI262*((100+INDEX('DEFAULT DATA'!$VR$9:$VT$41,START!$C$3,3))/100))</f>
        <v>0</v>
      </c>
      <c r="BK262" s="325">
        <f>IF(AND(BK$254&gt;($D$75+2020),BK$254&lt;($E$75+2022)),BJ262+(BK$6*$AJ$262*((100-$F$75)/100)*ROUND($B$75/($E$75-$D$75+1),0)/1000000),BJ262*((100+INDEX('DEFAULT DATA'!$VR$9:$VT$41,START!$C$3,3))/100))</f>
        <v>0</v>
      </c>
      <c r="BL262" s="325">
        <f>IF(AND(BL$254&gt;($D$75+2020),BL$254&lt;($E$75+2022)),BK262+(BL$6*$AJ$262*((100-$F$75)/100)*ROUND($B$75/($E$75-$D$75+1),0)/1000000),BK262*((100+INDEX('DEFAULT DATA'!$VR$9:$VT$41,START!$C$3,3))/100))</f>
        <v>0</v>
      </c>
      <c r="BM262" s="325">
        <f>IF(AND(BM$254&gt;($D$75+2020),BM$254&lt;($E$75+2022)),BL262+(BM$6*$AJ$262*((100-$F$75)/100)*ROUND($B$75/($E$75-$D$75+1),0)/1000000),BL262*((100+INDEX('DEFAULT DATA'!$VR$9:$VT$41,START!$C$3,3))/100))</f>
        <v>0</v>
      </c>
      <c r="BN262" s="325">
        <f>IF(AND(BN$254&gt;($D$75+2020),BN$254&lt;($E$75+2022)),BM262+(BN$6*$AJ$262*((100-$F$75)/100)*ROUND($B$75/($E$75-$D$75+1),0)/1000000),BM262*((100+INDEX('DEFAULT DATA'!$VR$9:$VT$41,START!$C$3,3))/100))</f>
        <v>0</v>
      </c>
      <c r="BP262" s="552" t="s">
        <v>1226</v>
      </c>
      <c r="BQ262" s="1482" t="s">
        <v>1886</v>
      </c>
      <c r="BR262" s="1483"/>
      <c r="BS262" s="1483"/>
      <c r="BT262" s="1483"/>
      <c r="BU262" s="1483"/>
      <c r="BV262" s="1483"/>
      <c r="BW262" s="1483"/>
      <c r="BX262" s="1483"/>
      <c r="BY262" s="1483"/>
      <c r="BZ262" s="1483"/>
      <c r="CA262" s="1483"/>
      <c r="CB262" s="1483"/>
      <c r="CC262" s="1483"/>
      <c r="CD262" s="1483"/>
      <c r="CE262" s="1483"/>
      <c r="CF262" s="1483"/>
      <c r="CG262" s="1484"/>
      <c r="CH262" s="554" t="s">
        <v>1613</v>
      </c>
      <c r="CI262" s="554" t="s">
        <v>1882</v>
      </c>
    </row>
    <row r="263" spans="32:87" ht="20.100000000000001" customHeight="1">
      <c r="AF263" s="289"/>
      <c r="AG263" s="308" t="s">
        <v>1454</v>
      </c>
      <c r="AH263" s="308"/>
      <c r="AI263" s="309"/>
      <c r="AJ263" s="309"/>
      <c r="AK263" s="338">
        <f>SUM(AK255:AK262)</f>
        <v>0</v>
      </c>
      <c r="AL263" s="327">
        <f>SUM(AL255:AL262)</f>
        <v>0</v>
      </c>
      <c r="AM263" s="327">
        <f t="shared" ref="AM263:BN263" si="127">SUM(AM255:AM262)</f>
        <v>0</v>
      </c>
      <c r="AN263" s="327">
        <f t="shared" si="127"/>
        <v>0</v>
      </c>
      <c r="AO263" s="327">
        <f t="shared" si="127"/>
        <v>0</v>
      </c>
      <c r="AP263" s="327">
        <f t="shared" si="127"/>
        <v>0</v>
      </c>
      <c r="AQ263" s="327">
        <f t="shared" si="127"/>
        <v>0</v>
      </c>
      <c r="AR263" s="327">
        <f t="shared" si="127"/>
        <v>0</v>
      </c>
      <c r="AS263" s="327">
        <f t="shared" si="127"/>
        <v>0</v>
      </c>
      <c r="AT263" s="327">
        <f t="shared" si="127"/>
        <v>0</v>
      </c>
      <c r="AU263" s="327">
        <f t="shared" si="127"/>
        <v>0</v>
      </c>
      <c r="AV263" s="327">
        <f t="shared" si="127"/>
        <v>0</v>
      </c>
      <c r="AW263" s="327">
        <f t="shared" si="127"/>
        <v>0</v>
      </c>
      <c r="AX263" s="327">
        <f t="shared" si="127"/>
        <v>0</v>
      </c>
      <c r="AY263" s="327">
        <f t="shared" si="127"/>
        <v>0</v>
      </c>
      <c r="AZ263" s="327">
        <f t="shared" si="127"/>
        <v>0</v>
      </c>
      <c r="BA263" s="327">
        <f t="shared" si="127"/>
        <v>0</v>
      </c>
      <c r="BB263" s="327">
        <f t="shared" si="127"/>
        <v>0</v>
      </c>
      <c r="BC263" s="327">
        <f t="shared" si="127"/>
        <v>0</v>
      </c>
      <c r="BD263" s="327">
        <f t="shared" si="127"/>
        <v>0</v>
      </c>
      <c r="BE263" s="327">
        <f t="shared" si="127"/>
        <v>0</v>
      </c>
      <c r="BF263" s="327">
        <f t="shared" si="127"/>
        <v>0</v>
      </c>
      <c r="BG263" s="327">
        <f t="shared" si="127"/>
        <v>0</v>
      </c>
      <c r="BH263" s="327">
        <f t="shared" si="127"/>
        <v>0</v>
      </c>
      <c r="BI263" s="327">
        <f t="shared" si="127"/>
        <v>0</v>
      </c>
      <c r="BJ263" s="327">
        <f t="shared" si="127"/>
        <v>0</v>
      </c>
      <c r="BK263" s="327">
        <f t="shared" si="127"/>
        <v>0</v>
      </c>
      <c r="BL263" s="327">
        <f t="shared" si="127"/>
        <v>0</v>
      </c>
      <c r="BM263" s="327">
        <f t="shared" si="127"/>
        <v>0</v>
      </c>
      <c r="BN263" s="327">
        <f t="shared" si="127"/>
        <v>0</v>
      </c>
    </row>
    <row r="264" spans="32:87" ht="20.100000000000001" customHeight="1" thickBot="1">
      <c r="AK264" s="336"/>
      <c r="BP264" s="14" t="s">
        <v>1630</v>
      </c>
      <c r="CH264" s="555" t="s">
        <v>1592</v>
      </c>
      <c r="CI264" s="17" t="s">
        <v>1598</v>
      </c>
    </row>
    <row r="265" spans="32:87" ht="20.100000000000001" customHeight="1">
      <c r="AF265" s="1491" t="str">
        <f>AF221</f>
        <v>Terraced</v>
      </c>
      <c r="AG265" s="286" t="s">
        <v>933</v>
      </c>
      <c r="AH265" s="286"/>
      <c r="AI265" s="286" t="s">
        <v>1496</v>
      </c>
      <c r="AJ265" s="313">
        <f>INDEX('DEFAULT DATA'!$XK$9:$XR$41,START!$C$3,1)</f>
        <v>1891.6286897665766</v>
      </c>
      <c r="AK265" s="338">
        <v>0</v>
      </c>
      <c r="AL265" s="322">
        <f t="shared" ref="AL265:BN265" si="128">IF(AND(AL$254&gt;($D$76+2020),AL$254&lt;($E$76+2022)),AK265+(AL$5*$AJ$265*((100-$F$76)/100)*ROUND($B$76/($E$76-$D$76+1),0)/1000000),AK265)</f>
        <v>0</v>
      </c>
      <c r="AM265" s="322">
        <f t="shared" si="128"/>
        <v>0</v>
      </c>
      <c r="AN265" s="322">
        <f t="shared" si="128"/>
        <v>0</v>
      </c>
      <c r="AO265" s="322">
        <f t="shared" si="128"/>
        <v>0</v>
      </c>
      <c r="AP265" s="322">
        <f t="shared" si="128"/>
        <v>0</v>
      </c>
      <c r="AQ265" s="322">
        <f t="shared" si="128"/>
        <v>0</v>
      </c>
      <c r="AR265" s="322">
        <f t="shared" si="128"/>
        <v>0</v>
      </c>
      <c r="AS265" s="322">
        <f t="shared" si="128"/>
        <v>0</v>
      </c>
      <c r="AT265" s="322">
        <f t="shared" si="128"/>
        <v>0</v>
      </c>
      <c r="AU265" s="322">
        <f t="shared" si="128"/>
        <v>0</v>
      </c>
      <c r="AV265" s="322">
        <f t="shared" si="128"/>
        <v>0</v>
      </c>
      <c r="AW265" s="322">
        <f t="shared" si="128"/>
        <v>0</v>
      </c>
      <c r="AX265" s="322">
        <f t="shared" si="128"/>
        <v>0</v>
      </c>
      <c r="AY265" s="322">
        <f t="shared" si="128"/>
        <v>0</v>
      </c>
      <c r="AZ265" s="322">
        <f t="shared" si="128"/>
        <v>0</v>
      </c>
      <c r="BA265" s="322">
        <f t="shared" si="128"/>
        <v>0</v>
      </c>
      <c r="BB265" s="322">
        <f t="shared" si="128"/>
        <v>0</v>
      </c>
      <c r="BC265" s="322">
        <f t="shared" si="128"/>
        <v>0</v>
      </c>
      <c r="BD265" s="322">
        <f t="shared" si="128"/>
        <v>0</v>
      </c>
      <c r="BE265" s="322">
        <f t="shared" si="128"/>
        <v>0</v>
      </c>
      <c r="BF265" s="322">
        <f t="shared" si="128"/>
        <v>0</v>
      </c>
      <c r="BG265" s="322">
        <f t="shared" si="128"/>
        <v>0</v>
      </c>
      <c r="BH265" s="322">
        <f t="shared" si="128"/>
        <v>0</v>
      </c>
      <c r="BI265" s="322">
        <f t="shared" si="128"/>
        <v>0</v>
      </c>
      <c r="BJ265" s="322">
        <f t="shared" si="128"/>
        <v>0</v>
      </c>
      <c r="BK265" s="322">
        <f t="shared" si="128"/>
        <v>0</v>
      </c>
      <c r="BL265" s="322">
        <f t="shared" si="128"/>
        <v>0</v>
      </c>
      <c r="BM265" s="322">
        <f t="shared" si="128"/>
        <v>0</v>
      </c>
      <c r="BN265" s="323">
        <f t="shared" si="128"/>
        <v>0</v>
      </c>
      <c r="BP265" s="552" t="s">
        <v>933</v>
      </c>
      <c r="BQ265" s="1482" t="s">
        <v>1913</v>
      </c>
      <c r="BR265" s="1483"/>
      <c r="BS265" s="1483"/>
      <c r="BT265" s="1483"/>
      <c r="BU265" s="1483"/>
      <c r="BV265" s="1483"/>
      <c r="BW265" s="1483"/>
      <c r="BX265" s="1483"/>
      <c r="BY265" s="1483"/>
      <c r="BZ265" s="1483"/>
      <c r="CA265" s="1483"/>
      <c r="CB265" s="1483"/>
      <c r="CC265" s="1483"/>
      <c r="CD265" s="1483"/>
      <c r="CE265" s="1483"/>
      <c r="CF265" s="1483"/>
      <c r="CG265" s="1484"/>
      <c r="CH265" s="554" t="s">
        <v>1639</v>
      </c>
      <c r="CI265" s="554" t="s">
        <v>1881</v>
      </c>
    </row>
    <row r="266" spans="32:87" ht="20.100000000000001" customHeight="1">
      <c r="AF266" s="1492"/>
      <c r="AG266" s="251" t="s">
        <v>1220</v>
      </c>
      <c r="AH266" s="251"/>
      <c r="AI266" s="251">
        <f>INDEX('DEFAULT DATA'!$VE$9:$VK$41,START!$C$3,1)</f>
        <v>202</v>
      </c>
      <c r="AJ266" s="195">
        <f>INDEX('DEFAULT DATA'!$XK$9:$XR$41,START!$C$3,2)</f>
        <v>0</v>
      </c>
      <c r="AK266" s="157">
        <v>0</v>
      </c>
      <c r="AL266" s="272">
        <f t="shared" ref="AL266:BN266" si="129">IF(AND(AL$254&gt;($D$76+2020),AL$254&lt;($E$76+2022)),AK266+($AI$266*$AJ$266*((100-$F$76)/100)*ROUND($B$76/($E$76-$D$76+1),0)/1000000),AK266)</f>
        <v>0</v>
      </c>
      <c r="AM266" s="272">
        <f t="shared" si="129"/>
        <v>0</v>
      </c>
      <c r="AN266" s="272">
        <f t="shared" si="129"/>
        <v>0</v>
      </c>
      <c r="AO266" s="272">
        <f t="shared" si="129"/>
        <v>0</v>
      </c>
      <c r="AP266" s="272">
        <f t="shared" si="129"/>
        <v>0</v>
      </c>
      <c r="AQ266" s="272">
        <f t="shared" si="129"/>
        <v>0</v>
      </c>
      <c r="AR266" s="272">
        <f t="shared" si="129"/>
        <v>0</v>
      </c>
      <c r="AS266" s="272">
        <f t="shared" si="129"/>
        <v>0</v>
      </c>
      <c r="AT266" s="272">
        <f t="shared" si="129"/>
        <v>0</v>
      </c>
      <c r="AU266" s="272">
        <f t="shared" si="129"/>
        <v>0</v>
      </c>
      <c r="AV266" s="272">
        <f t="shared" si="129"/>
        <v>0</v>
      </c>
      <c r="AW266" s="272">
        <f t="shared" si="129"/>
        <v>0</v>
      </c>
      <c r="AX266" s="272">
        <f t="shared" si="129"/>
        <v>0</v>
      </c>
      <c r="AY266" s="272">
        <f t="shared" si="129"/>
        <v>0</v>
      </c>
      <c r="AZ266" s="272">
        <f t="shared" si="129"/>
        <v>0</v>
      </c>
      <c r="BA266" s="272">
        <f t="shared" si="129"/>
        <v>0</v>
      </c>
      <c r="BB266" s="272">
        <f t="shared" si="129"/>
        <v>0</v>
      </c>
      <c r="BC266" s="272">
        <f t="shared" si="129"/>
        <v>0</v>
      </c>
      <c r="BD266" s="272">
        <f t="shared" si="129"/>
        <v>0</v>
      </c>
      <c r="BE266" s="272">
        <f t="shared" si="129"/>
        <v>0</v>
      </c>
      <c r="BF266" s="272">
        <f t="shared" si="129"/>
        <v>0</v>
      </c>
      <c r="BG266" s="272">
        <f t="shared" si="129"/>
        <v>0</v>
      </c>
      <c r="BH266" s="272">
        <f t="shared" si="129"/>
        <v>0</v>
      </c>
      <c r="BI266" s="272">
        <f t="shared" si="129"/>
        <v>0</v>
      </c>
      <c r="BJ266" s="272">
        <f t="shared" si="129"/>
        <v>0</v>
      </c>
      <c r="BK266" s="272">
        <f t="shared" si="129"/>
        <v>0</v>
      </c>
      <c r="BL266" s="272">
        <f t="shared" si="129"/>
        <v>0</v>
      </c>
      <c r="BM266" s="272">
        <f t="shared" si="129"/>
        <v>0</v>
      </c>
      <c r="BN266" s="324">
        <f t="shared" si="129"/>
        <v>0</v>
      </c>
      <c r="BP266" s="552" t="s">
        <v>1220</v>
      </c>
      <c r="BQ266" s="1482" t="s">
        <v>1914</v>
      </c>
      <c r="BR266" s="1483"/>
      <c r="BS266" s="1483"/>
      <c r="BT266" s="1483"/>
      <c r="BU266" s="1483"/>
      <c r="BV266" s="1483"/>
      <c r="BW266" s="1483"/>
      <c r="BX266" s="1483"/>
      <c r="BY266" s="1483"/>
      <c r="BZ266" s="1483"/>
      <c r="CA266" s="1483"/>
      <c r="CB266" s="1483"/>
      <c r="CC266" s="1483"/>
      <c r="CD266" s="1483"/>
      <c r="CE266" s="1483"/>
      <c r="CF266" s="1483"/>
      <c r="CG266" s="1484"/>
      <c r="CH266" s="554" t="s">
        <v>1640</v>
      </c>
      <c r="CI266" s="554" t="s">
        <v>1248</v>
      </c>
    </row>
    <row r="267" spans="32:87" ht="20.100000000000001" customHeight="1">
      <c r="AF267" s="1492"/>
      <c r="AG267" s="251" t="s">
        <v>1221</v>
      </c>
      <c r="AH267" s="251"/>
      <c r="AI267" s="251">
        <f>INDEX('DEFAULT DATA'!$VE$9:$VK$41,START!$C$3,2)</f>
        <v>279</v>
      </c>
      <c r="AJ267" s="195">
        <f>INDEX('DEFAULT DATA'!$XK$9:$XR$41,START!$C$3,3)</f>
        <v>0</v>
      </c>
      <c r="AK267" s="157">
        <v>0</v>
      </c>
      <c r="AL267" s="272">
        <f t="shared" ref="AL267:BN267" si="130">IF(AND(AL$254&gt;($D$76+2020),AL$254&lt;($E$76+2022)),AK267+($AI$267*$AJ$267*((100-$F$76)/100)*ROUND($B$76/($E$76-$D$76+1),0)/1000000),AK267)</f>
        <v>0</v>
      </c>
      <c r="AM267" s="272">
        <f t="shared" si="130"/>
        <v>0</v>
      </c>
      <c r="AN267" s="272">
        <f t="shared" si="130"/>
        <v>0</v>
      </c>
      <c r="AO267" s="272">
        <f t="shared" si="130"/>
        <v>0</v>
      </c>
      <c r="AP267" s="272">
        <f t="shared" si="130"/>
        <v>0</v>
      </c>
      <c r="AQ267" s="272">
        <f t="shared" si="130"/>
        <v>0</v>
      </c>
      <c r="AR267" s="272">
        <f t="shared" si="130"/>
        <v>0</v>
      </c>
      <c r="AS267" s="272">
        <f t="shared" si="130"/>
        <v>0</v>
      </c>
      <c r="AT267" s="272">
        <f t="shared" si="130"/>
        <v>0</v>
      </c>
      <c r="AU267" s="272">
        <f t="shared" si="130"/>
        <v>0</v>
      </c>
      <c r="AV267" s="272">
        <f t="shared" si="130"/>
        <v>0</v>
      </c>
      <c r="AW267" s="272">
        <f t="shared" si="130"/>
        <v>0</v>
      </c>
      <c r="AX267" s="272">
        <f t="shared" si="130"/>
        <v>0</v>
      </c>
      <c r="AY267" s="272">
        <f t="shared" si="130"/>
        <v>0</v>
      </c>
      <c r="AZ267" s="272">
        <f t="shared" si="130"/>
        <v>0</v>
      </c>
      <c r="BA267" s="272">
        <f t="shared" si="130"/>
        <v>0</v>
      </c>
      <c r="BB267" s="272">
        <f t="shared" si="130"/>
        <v>0</v>
      </c>
      <c r="BC267" s="272">
        <f t="shared" si="130"/>
        <v>0</v>
      </c>
      <c r="BD267" s="272">
        <f t="shared" si="130"/>
        <v>0</v>
      </c>
      <c r="BE267" s="272">
        <f t="shared" si="130"/>
        <v>0</v>
      </c>
      <c r="BF267" s="272">
        <f t="shared" si="130"/>
        <v>0</v>
      </c>
      <c r="BG267" s="272">
        <f t="shared" si="130"/>
        <v>0</v>
      </c>
      <c r="BH267" s="272">
        <f t="shared" si="130"/>
        <v>0</v>
      </c>
      <c r="BI267" s="272">
        <f t="shared" si="130"/>
        <v>0</v>
      </c>
      <c r="BJ267" s="272">
        <f t="shared" si="130"/>
        <v>0</v>
      </c>
      <c r="BK267" s="272">
        <f t="shared" si="130"/>
        <v>0</v>
      </c>
      <c r="BL267" s="272">
        <f t="shared" si="130"/>
        <v>0</v>
      </c>
      <c r="BM267" s="272">
        <f t="shared" si="130"/>
        <v>0</v>
      </c>
      <c r="BN267" s="324">
        <f t="shared" si="130"/>
        <v>0</v>
      </c>
      <c r="BP267" s="552" t="s">
        <v>1221</v>
      </c>
      <c r="BQ267" s="1482" t="s">
        <v>1915</v>
      </c>
      <c r="BR267" s="1483"/>
      <c r="BS267" s="1483"/>
      <c r="BT267" s="1483"/>
      <c r="BU267" s="1483"/>
      <c r="BV267" s="1483"/>
      <c r="BW267" s="1483"/>
      <c r="BX267" s="1483"/>
      <c r="BY267" s="1483"/>
      <c r="BZ267" s="1483"/>
      <c r="CA267" s="1483"/>
      <c r="CB267" s="1483"/>
      <c r="CC267" s="1483"/>
      <c r="CD267" s="1483"/>
      <c r="CE267" s="1483"/>
      <c r="CF267" s="1483"/>
      <c r="CG267" s="1484"/>
      <c r="CH267" s="554" t="s">
        <v>1641</v>
      </c>
      <c r="CI267" s="554" t="s">
        <v>1621</v>
      </c>
    </row>
    <row r="268" spans="32:87" ht="20.100000000000001" customHeight="1">
      <c r="AF268" s="1492"/>
      <c r="AG268" s="251" t="s">
        <v>1222</v>
      </c>
      <c r="AH268" s="251"/>
      <c r="AI268" s="251">
        <f>INDEX('DEFAULT DATA'!$VE$9:$VK$41,START!$C$3,3)</f>
        <v>354</v>
      </c>
      <c r="AJ268" s="195">
        <f>INDEX('DEFAULT DATA'!$XK$9:$XR$41,START!$C$3,4)</f>
        <v>0</v>
      </c>
      <c r="AK268" s="157">
        <v>0</v>
      </c>
      <c r="AL268" s="272">
        <f t="shared" ref="AL268:BN268" si="131">IF(AND(AL$254&gt;($D$76+2020),AL$254&lt;($E$76+2022)),AK268+($AI$268*$AJ$268*((100-$F$76)/100)*ROUND($B$76/($E$76-$D$76+1),0)/1000000),AK268)</f>
        <v>0</v>
      </c>
      <c r="AM268" s="272">
        <f t="shared" si="131"/>
        <v>0</v>
      </c>
      <c r="AN268" s="272">
        <f t="shared" si="131"/>
        <v>0</v>
      </c>
      <c r="AO268" s="272">
        <f t="shared" si="131"/>
        <v>0</v>
      </c>
      <c r="AP268" s="272">
        <f t="shared" si="131"/>
        <v>0</v>
      </c>
      <c r="AQ268" s="272">
        <f t="shared" si="131"/>
        <v>0</v>
      </c>
      <c r="AR268" s="272">
        <f t="shared" si="131"/>
        <v>0</v>
      </c>
      <c r="AS268" s="272">
        <f t="shared" si="131"/>
        <v>0</v>
      </c>
      <c r="AT268" s="272">
        <f t="shared" si="131"/>
        <v>0</v>
      </c>
      <c r="AU268" s="272">
        <f t="shared" si="131"/>
        <v>0</v>
      </c>
      <c r="AV268" s="272">
        <f t="shared" si="131"/>
        <v>0</v>
      </c>
      <c r="AW268" s="272">
        <f t="shared" si="131"/>
        <v>0</v>
      </c>
      <c r="AX268" s="272">
        <f t="shared" si="131"/>
        <v>0</v>
      </c>
      <c r="AY268" s="272">
        <f t="shared" si="131"/>
        <v>0</v>
      </c>
      <c r="AZ268" s="272">
        <f t="shared" si="131"/>
        <v>0</v>
      </c>
      <c r="BA268" s="272">
        <f t="shared" si="131"/>
        <v>0</v>
      </c>
      <c r="BB268" s="272">
        <f t="shared" si="131"/>
        <v>0</v>
      </c>
      <c r="BC268" s="272">
        <f t="shared" si="131"/>
        <v>0</v>
      </c>
      <c r="BD268" s="272">
        <f t="shared" si="131"/>
        <v>0</v>
      </c>
      <c r="BE268" s="272">
        <f t="shared" si="131"/>
        <v>0</v>
      </c>
      <c r="BF268" s="272">
        <f t="shared" si="131"/>
        <v>0</v>
      </c>
      <c r="BG268" s="272">
        <f t="shared" si="131"/>
        <v>0</v>
      </c>
      <c r="BH268" s="272">
        <f t="shared" si="131"/>
        <v>0</v>
      </c>
      <c r="BI268" s="272">
        <f t="shared" si="131"/>
        <v>0</v>
      </c>
      <c r="BJ268" s="272">
        <f t="shared" si="131"/>
        <v>0</v>
      </c>
      <c r="BK268" s="272">
        <f t="shared" si="131"/>
        <v>0</v>
      </c>
      <c r="BL268" s="272">
        <f t="shared" si="131"/>
        <v>0</v>
      </c>
      <c r="BM268" s="272">
        <f t="shared" si="131"/>
        <v>0</v>
      </c>
      <c r="BN268" s="324">
        <f t="shared" si="131"/>
        <v>0</v>
      </c>
      <c r="BP268" s="552" t="s">
        <v>1222</v>
      </c>
      <c r="BQ268" s="1482" t="s">
        <v>1916</v>
      </c>
      <c r="BR268" s="1483"/>
      <c r="BS268" s="1483"/>
      <c r="BT268" s="1483"/>
      <c r="BU268" s="1483"/>
      <c r="BV268" s="1483"/>
      <c r="BW268" s="1483"/>
      <c r="BX268" s="1483"/>
      <c r="BY268" s="1483"/>
      <c r="BZ268" s="1483"/>
      <c r="CA268" s="1483"/>
      <c r="CB268" s="1483"/>
      <c r="CC268" s="1483"/>
      <c r="CD268" s="1483"/>
      <c r="CE268" s="1483"/>
      <c r="CF268" s="1483"/>
      <c r="CG268" s="1484"/>
      <c r="CH268" s="554" t="s">
        <v>1642</v>
      </c>
      <c r="CI268" s="554" t="s">
        <v>1622</v>
      </c>
    </row>
    <row r="269" spans="32:87" ht="20.100000000000001" customHeight="1">
      <c r="AF269" s="1492"/>
      <c r="AG269" s="251" t="s">
        <v>1223</v>
      </c>
      <c r="AH269" s="251"/>
      <c r="AI269" s="251">
        <f>INDEX('DEFAULT DATA'!$VE$9:$VK$41,START!$C$3,4)</f>
        <v>0</v>
      </c>
      <c r="AJ269" s="195">
        <f>INDEX('DEFAULT DATA'!$XK$9:$XR$41,START!$C$3,5)</f>
        <v>0</v>
      </c>
      <c r="AK269" s="157">
        <v>0</v>
      </c>
      <c r="AL269" s="272">
        <f t="shared" ref="AL269:BN269" si="132">IF(AND(AL$254&gt;($D$76+2020),AL$254&lt;($E$76+2022)),AK269+($AI$269*$AJ$269*((100-$F$76)/100)*ROUND($B$76/($E$76-$D$76+1),0)/1000000),AK269)</f>
        <v>0</v>
      </c>
      <c r="AM269" s="272">
        <f t="shared" si="132"/>
        <v>0</v>
      </c>
      <c r="AN269" s="272">
        <f t="shared" si="132"/>
        <v>0</v>
      </c>
      <c r="AO269" s="272">
        <f t="shared" si="132"/>
        <v>0</v>
      </c>
      <c r="AP269" s="272">
        <f t="shared" si="132"/>
        <v>0</v>
      </c>
      <c r="AQ269" s="272">
        <f t="shared" si="132"/>
        <v>0</v>
      </c>
      <c r="AR269" s="272">
        <f t="shared" si="132"/>
        <v>0</v>
      </c>
      <c r="AS269" s="272">
        <f t="shared" si="132"/>
        <v>0</v>
      </c>
      <c r="AT269" s="272">
        <f t="shared" si="132"/>
        <v>0</v>
      </c>
      <c r="AU269" s="272">
        <f t="shared" si="132"/>
        <v>0</v>
      </c>
      <c r="AV269" s="272">
        <f t="shared" si="132"/>
        <v>0</v>
      </c>
      <c r="AW269" s="272">
        <f t="shared" si="132"/>
        <v>0</v>
      </c>
      <c r="AX269" s="272">
        <f t="shared" si="132"/>
        <v>0</v>
      </c>
      <c r="AY269" s="272">
        <f t="shared" si="132"/>
        <v>0</v>
      </c>
      <c r="AZ269" s="272">
        <f t="shared" si="132"/>
        <v>0</v>
      </c>
      <c r="BA269" s="272">
        <f t="shared" si="132"/>
        <v>0</v>
      </c>
      <c r="BB269" s="272">
        <f t="shared" si="132"/>
        <v>0</v>
      </c>
      <c r="BC269" s="272">
        <f t="shared" si="132"/>
        <v>0</v>
      </c>
      <c r="BD269" s="272">
        <f t="shared" si="132"/>
        <v>0</v>
      </c>
      <c r="BE269" s="272">
        <f t="shared" si="132"/>
        <v>0</v>
      </c>
      <c r="BF269" s="272">
        <f t="shared" si="132"/>
        <v>0</v>
      </c>
      <c r="BG269" s="272">
        <f t="shared" si="132"/>
        <v>0</v>
      </c>
      <c r="BH269" s="272">
        <f t="shared" si="132"/>
        <v>0</v>
      </c>
      <c r="BI269" s="272">
        <f t="shared" si="132"/>
        <v>0</v>
      </c>
      <c r="BJ269" s="272">
        <f t="shared" si="132"/>
        <v>0</v>
      </c>
      <c r="BK269" s="272">
        <f t="shared" si="132"/>
        <v>0</v>
      </c>
      <c r="BL269" s="272">
        <f t="shared" si="132"/>
        <v>0</v>
      </c>
      <c r="BM269" s="272">
        <f t="shared" si="132"/>
        <v>0</v>
      </c>
      <c r="BN269" s="324">
        <f t="shared" si="132"/>
        <v>0</v>
      </c>
      <c r="BP269" s="552" t="s">
        <v>1223</v>
      </c>
      <c r="BQ269" s="1482" t="s">
        <v>1917</v>
      </c>
      <c r="BR269" s="1483"/>
      <c r="BS269" s="1483"/>
      <c r="BT269" s="1483"/>
      <c r="BU269" s="1483"/>
      <c r="BV269" s="1483"/>
      <c r="BW269" s="1483"/>
      <c r="BX269" s="1483"/>
      <c r="BY269" s="1483"/>
      <c r="BZ269" s="1483"/>
      <c r="CA269" s="1483"/>
      <c r="CB269" s="1483"/>
      <c r="CC269" s="1483"/>
      <c r="CD269" s="1483"/>
      <c r="CE269" s="1483"/>
      <c r="CF269" s="1483"/>
      <c r="CG269" s="1484"/>
      <c r="CH269" s="554" t="s">
        <v>1643</v>
      </c>
      <c r="CI269" s="554" t="s">
        <v>1623</v>
      </c>
    </row>
    <row r="270" spans="32:87" ht="20.100000000000001" customHeight="1">
      <c r="AF270" s="1492"/>
      <c r="AG270" s="251" t="s">
        <v>1224</v>
      </c>
      <c r="AH270" s="251"/>
      <c r="AI270" s="251">
        <f>INDEX('DEFAULT DATA'!$VE$9:$VK$41,START!$C$3,5)</f>
        <v>403</v>
      </c>
      <c r="AJ270" s="195">
        <f>INDEX('DEFAULT DATA'!$XK$9:$XR$41,START!$C$3,6)</f>
        <v>0</v>
      </c>
      <c r="AK270" s="157">
        <v>0</v>
      </c>
      <c r="AL270" s="272">
        <f t="shared" ref="AL270:BN270" si="133">IF(AND(AL$254&gt;($D$76+2020),AL$254&lt;($E$76+2022)),AK270+($AI$270*$AJ$270*((100-$F$76)/100)*ROUND($B$76/($E$76-$D$76+1),0)/1000000),AK270)</f>
        <v>0</v>
      </c>
      <c r="AM270" s="272">
        <f t="shared" si="133"/>
        <v>0</v>
      </c>
      <c r="AN270" s="272">
        <f t="shared" si="133"/>
        <v>0</v>
      </c>
      <c r="AO270" s="272">
        <f t="shared" si="133"/>
        <v>0</v>
      </c>
      <c r="AP270" s="272">
        <f t="shared" si="133"/>
        <v>0</v>
      </c>
      <c r="AQ270" s="272">
        <f t="shared" si="133"/>
        <v>0</v>
      </c>
      <c r="AR270" s="272">
        <f t="shared" si="133"/>
        <v>0</v>
      </c>
      <c r="AS270" s="272">
        <f t="shared" si="133"/>
        <v>0</v>
      </c>
      <c r="AT270" s="272">
        <f t="shared" si="133"/>
        <v>0</v>
      </c>
      <c r="AU270" s="272">
        <f t="shared" si="133"/>
        <v>0</v>
      </c>
      <c r="AV270" s="272">
        <f t="shared" si="133"/>
        <v>0</v>
      </c>
      <c r="AW270" s="272">
        <f t="shared" si="133"/>
        <v>0</v>
      </c>
      <c r="AX270" s="272">
        <f t="shared" si="133"/>
        <v>0</v>
      </c>
      <c r="AY270" s="272">
        <f t="shared" si="133"/>
        <v>0</v>
      </c>
      <c r="AZ270" s="272">
        <f t="shared" si="133"/>
        <v>0</v>
      </c>
      <c r="BA270" s="272">
        <f t="shared" si="133"/>
        <v>0</v>
      </c>
      <c r="BB270" s="272">
        <f t="shared" si="133"/>
        <v>0</v>
      </c>
      <c r="BC270" s="272">
        <f t="shared" si="133"/>
        <v>0</v>
      </c>
      <c r="BD270" s="272">
        <f t="shared" si="133"/>
        <v>0</v>
      </c>
      <c r="BE270" s="272">
        <f t="shared" si="133"/>
        <v>0</v>
      </c>
      <c r="BF270" s="272">
        <f t="shared" si="133"/>
        <v>0</v>
      </c>
      <c r="BG270" s="272">
        <f t="shared" si="133"/>
        <v>0</v>
      </c>
      <c r="BH270" s="272">
        <f t="shared" si="133"/>
        <v>0</v>
      </c>
      <c r="BI270" s="272">
        <f t="shared" si="133"/>
        <v>0</v>
      </c>
      <c r="BJ270" s="272">
        <f t="shared" si="133"/>
        <v>0</v>
      </c>
      <c r="BK270" s="272">
        <f t="shared" si="133"/>
        <v>0</v>
      </c>
      <c r="BL270" s="272">
        <f t="shared" si="133"/>
        <v>0</v>
      </c>
      <c r="BM270" s="272">
        <f t="shared" si="133"/>
        <v>0</v>
      </c>
      <c r="BN270" s="324">
        <f t="shared" si="133"/>
        <v>0</v>
      </c>
      <c r="BP270" s="552" t="s">
        <v>1224</v>
      </c>
      <c r="BQ270" s="1482" t="s">
        <v>1918</v>
      </c>
      <c r="BR270" s="1483"/>
      <c r="BS270" s="1483"/>
      <c r="BT270" s="1483"/>
      <c r="BU270" s="1483"/>
      <c r="BV270" s="1483"/>
      <c r="BW270" s="1483"/>
      <c r="BX270" s="1483"/>
      <c r="BY270" s="1483"/>
      <c r="BZ270" s="1483"/>
      <c r="CA270" s="1483"/>
      <c r="CB270" s="1483"/>
      <c r="CC270" s="1483"/>
      <c r="CD270" s="1483"/>
      <c r="CE270" s="1483"/>
      <c r="CF270" s="1483"/>
      <c r="CG270" s="1484"/>
      <c r="CH270" s="554" t="s">
        <v>1644</v>
      </c>
      <c r="CI270" s="554" t="s">
        <v>1624</v>
      </c>
    </row>
    <row r="271" spans="32:87" ht="20.100000000000001" customHeight="1">
      <c r="AF271" s="1492"/>
      <c r="AG271" s="251" t="s">
        <v>1225</v>
      </c>
      <c r="AH271" s="251"/>
      <c r="AI271" s="251">
        <f>INDEX('DEFAULT DATA'!$VE$9:$VK$41,START!$C$3,6)</f>
        <v>0</v>
      </c>
      <c r="AJ271" s="195">
        <f>INDEX('DEFAULT DATA'!$XK$9:$XR$41,START!$C$3,7)</f>
        <v>1313.6310345601225</v>
      </c>
      <c r="AK271" s="157">
        <v>0</v>
      </c>
      <c r="AL271" s="272">
        <f t="shared" ref="AL271:BN271" si="134">IF(AND(AL$254&gt;($D$76+2020),AL$254&lt;($E$76+2022)),AK271+($AI$271*$AJ$271*((100-$F$76)/100)*ROUND($B$76/($E$76-$D$76+1),0)/1000000),AK271)</f>
        <v>0</v>
      </c>
      <c r="AM271" s="272">
        <f t="shared" si="134"/>
        <v>0</v>
      </c>
      <c r="AN271" s="272">
        <f t="shared" si="134"/>
        <v>0</v>
      </c>
      <c r="AO271" s="272">
        <f t="shared" si="134"/>
        <v>0</v>
      </c>
      <c r="AP271" s="272">
        <f t="shared" si="134"/>
        <v>0</v>
      </c>
      <c r="AQ271" s="272">
        <f t="shared" si="134"/>
        <v>0</v>
      </c>
      <c r="AR271" s="272">
        <f t="shared" si="134"/>
        <v>0</v>
      </c>
      <c r="AS271" s="272">
        <f t="shared" si="134"/>
        <v>0</v>
      </c>
      <c r="AT271" s="272">
        <f t="shared" si="134"/>
        <v>0</v>
      </c>
      <c r="AU271" s="272">
        <f t="shared" si="134"/>
        <v>0</v>
      </c>
      <c r="AV271" s="272">
        <f t="shared" si="134"/>
        <v>0</v>
      </c>
      <c r="AW271" s="272">
        <f t="shared" si="134"/>
        <v>0</v>
      </c>
      <c r="AX271" s="272">
        <f t="shared" si="134"/>
        <v>0</v>
      </c>
      <c r="AY271" s="272">
        <f t="shared" si="134"/>
        <v>0</v>
      </c>
      <c r="AZ271" s="272">
        <f t="shared" si="134"/>
        <v>0</v>
      </c>
      <c r="BA271" s="272">
        <f t="shared" si="134"/>
        <v>0</v>
      </c>
      <c r="BB271" s="272">
        <f t="shared" si="134"/>
        <v>0</v>
      </c>
      <c r="BC271" s="272">
        <f t="shared" si="134"/>
        <v>0</v>
      </c>
      <c r="BD271" s="272">
        <f t="shared" si="134"/>
        <v>0</v>
      </c>
      <c r="BE271" s="272">
        <f t="shared" si="134"/>
        <v>0</v>
      </c>
      <c r="BF271" s="272">
        <f t="shared" si="134"/>
        <v>0</v>
      </c>
      <c r="BG271" s="272">
        <f t="shared" si="134"/>
        <v>0</v>
      </c>
      <c r="BH271" s="272">
        <f t="shared" si="134"/>
        <v>0</v>
      </c>
      <c r="BI271" s="272">
        <f t="shared" si="134"/>
        <v>0</v>
      </c>
      <c r="BJ271" s="272">
        <f t="shared" si="134"/>
        <v>0</v>
      </c>
      <c r="BK271" s="272">
        <f t="shared" si="134"/>
        <v>0</v>
      </c>
      <c r="BL271" s="272">
        <f t="shared" si="134"/>
        <v>0</v>
      </c>
      <c r="BM271" s="272">
        <f t="shared" si="134"/>
        <v>0</v>
      </c>
      <c r="BN271" s="324">
        <f t="shared" si="134"/>
        <v>0</v>
      </c>
      <c r="BP271" s="552" t="s">
        <v>1225</v>
      </c>
      <c r="BQ271" s="1482" t="s">
        <v>1919</v>
      </c>
      <c r="BR271" s="1483"/>
      <c r="BS271" s="1483"/>
      <c r="BT271" s="1483"/>
      <c r="BU271" s="1483"/>
      <c r="BV271" s="1483"/>
      <c r="BW271" s="1483"/>
      <c r="BX271" s="1483"/>
      <c r="BY271" s="1483"/>
      <c r="BZ271" s="1483"/>
      <c r="CA271" s="1483"/>
      <c r="CB271" s="1483"/>
      <c r="CC271" s="1483"/>
      <c r="CD271" s="1483"/>
      <c r="CE271" s="1483"/>
      <c r="CF271" s="1483"/>
      <c r="CG271" s="1484"/>
      <c r="CH271" s="554" t="s">
        <v>1645</v>
      </c>
      <c r="CI271" s="554" t="s">
        <v>1625</v>
      </c>
    </row>
    <row r="272" spans="32:87" ht="20.100000000000001" customHeight="1" thickBot="1">
      <c r="AF272" s="1493"/>
      <c r="AG272" s="310" t="s">
        <v>1226</v>
      </c>
      <c r="AH272" s="310"/>
      <c r="AI272" s="310" t="s">
        <v>1497</v>
      </c>
      <c r="AJ272" s="260">
        <f>INDEX('DEFAULT DATA'!$XK$9:$XR$41,START!$C$3,8)</f>
        <v>1576.3572414721468</v>
      </c>
      <c r="AK272" s="158">
        <v>0</v>
      </c>
      <c r="AL272" s="325">
        <f t="shared" ref="AL272:BN272" si="135">IF(AND(AL$254&gt;($D$76+2020),AL$254&lt;($E$76+2022)),AK272+(AL$6*$AJ$272*((100-$F$76)/100)*ROUND($B$76/($E$76-$D$76+1),0)/1000000),AK272)</f>
        <v>0</v>
      </c>
      <c r="AM272" s="325">
        <f t="shared" si="135"/>
        <v>0</v>
      </c>
      <c r="AN272" s="325">
        <f t="shared" si="135"/>
        <v>0</v>
      </c>
      <c r="AO272" s="325">
        <f t="shared" si="135"/>
        <v>0</v>
      </c>
      <c r="AP272" s="325">
        <f t="shared" si="135"/>
        <v>0</v>
      </c>
      <c r="AQ272" s="325">
        <f t="shared" si="135"/>
        <v>0</v>
      </c>
      <c r="AR272" s="325">
        <f t="shared" si="135"/>
        <v>0</v>
      </c>
      <c r="AS272" s="325">
        <f t="shared" si="135"/>
        <v>0</v>
      </c>
      <c r="AT272" s="325">
        <f t="shared" si="135"/>
        <v>0</v>
      </c>
      <c r="AU272" s="325">
        <f t="shared" si="135"/>
        <v>0</v>
      </c>
      <c r="AV272" s="325">
        <f t="shared" si="135"/>
        <v>0</v>
      </c>
      <c r="AW272" s="325">
        <f t="shared" si="135"/>
        <v>0</v>
      </c>
      <c r="AX272" s="325">
        <f t="shared" si="135"/>
        <v>0</v>
      </c>
      <c r="AY272" s="325">
        <f t="shared" si="135"/>
        <v>0</v>
      </c>
      <c r="AZ272" s="325">
        <f t="shared" si="135"/>
        <v>0</v>
      </c>
      <c r="BA272" s="325">
        <f t="shared" si="135"/>
        <v>0</v>
      </c>
      <c r="BB272" s="325">
        <f t="shared" si="135"/>
        <v>0</v>
      </c>
      <c r="BC272" s="325">
        <f t="shared" si="135"/>
        <v>0</v>
      </c>
      <c r="BD272" s="325">
        <f t="shared" si="135"/>
        <v>0</v>
      </c>
      <c r="BE272" s="325">
        <f t="shared" si="135"/>
        <v>0</v>
      </c>
      <c r="BF272" s="325">
        <f t="shared" si="135"/>
        <v>0</v>
      </c>
      <c r="BG272" s="325">
        <f t="shared" si="135"/>
        <v>0</v>
      </c>
      <c r="BH272" s="325">
        <f t="shared" si="135"/>
        <v>0</v>
      </c>
      <c r="BI272" s="325">
        <f t="shared" si="135"/>
        <v>0</v>
      </c>
      <c r="BJ272" s="325">
        <f t="shared" si="135"/>
        <v>0</v>
      </c>
      <c r="BK272" s="325">
        <f t="shared" si="135"/>
        <v>0</v>
      </c>
      <c r="BL272" s="325">
        <f t="shared" si="135"/>
        <v>0</v>
      </c>
      <c r="BM272" s="325">
        <f t="shared" si="135"/>
        <v>0</v>
      </c>
      <c r="BN272" s="326">
        <f t="shared" si="135"/>
        <v>0</v>
      </c>
      <c r="BP272" s="552" t="s">
        <v>1226</v>
      </c>
      <c r="BQ272" s="1482" t="s">
        <v>1920</v>
      </c>
      <c r="BR272" s="1483"/>
      <c r="BS272" s="1483"/>
      <c r="BT272" s="1483"/>
      <c r="BU272" s="1483"/>
      <c r="BV272" s="1483"/>
      <c r="BW272" s="1483"/>
      <c r="BX272" s="1483"/>
      <c r="BY272" s="1483"/>
      <c r="BZ272" s="1483"/>
      <c r="CA272" s="1483"/>
      <c r="CB272" s="1483"/>
      <c r="CC272" s="1483"/>
      <c r="CD272" s="1483"/>
      <c r="CE272" s="1483"/>
      <c r="CF272" s="1483"/>
      <c r="CG272" s="1484"/>
      <c r="CH272" s="554" t="s">
        <v>1646</v>
      </c>
      <c r="CI272" s="554" t="s">
        <v>1882</v>
      </c>
    </row>
    <row r="273" spans="32:87" ht="20.100000000000001" customHeight="1">
      <c r="AF273" s="289"/>
      <c r="AG273" s="285" t="s">
        <v>1455</v>
      </c>
      <c r="AH273" s="285"/>
      <c r="AI273" s="285"/>
      <c r="AJ273" s="285"/>
      <c r="AK273" s="338">
        <f>SUM(AK265:AK272)</f>
        <v>0</v>
      </c>
      <c r="AL273" s="327">
        <f>SUM(AL265:AL272)</f>
        <v>0</v>
      </c>
      <c r="AM273" s="327">
        <f t="shared" ref="AM273:BN273" si="136">SUM(AM265:AM272)</f>
        <v>0</v>
      </c>
      <c r="AN273" s="327">
        <f t="shared" si="136"/>
        <v>0</v>
      </c>
      <c r="AO273" s="327">
        <f t="shared" si="136"/>
        <v>0</v>
      </c>
      <c r="AP273" s="327">
        <f t="shared" si="136"/>
        <v>0</v>
      </c>
      <c r="AQ273" s="327">
        <f t="shared" si="136"/>
        <v>0</v>
      </c>
      <c r="AR273" s="327">
        <f t="shared" si="136"/>
        <v>0</v>
      </c>
      <c r="AS273" s="327">
        <f t="shared" si="136"/>
        <v>0</v>
      </c>
      <c r="AT273" s="327">
        <f t="shared" si="136"/>
        <v>0</v>
      </c>
      <c r="AU273" s="327">
        <f t="shared" si="136"/>
        <v>0</v>
      </c>
      <c r="AV273" s="327">
        <f t="shared" si="136"/>
        <v>0</v>
      </c>
      <c r="AW273" s="327">
        <f t="shared" si="136"/>
        <v>0</v>
      </c>
      <c r="AX273" s="327">
        <f t="shared" si="136"/>
        <v>0</v>
      </c>
      <c r="AY273" s="327">
        <f t="shared" si="136"/>
        <v>0</v>
      </c>
      <c r="AZ273" s="327">
        <f t="shared" si="136"/>
        <v>0</v>
      </c>
      <c r="BA273" s="327">
        <f t="shared" si="136"/>
        <v>0</v>
      </c>
      <c r="BB273" s="327">
        <f t="shared" si="136"/>
        <v>0</v>
      </c>
      <c r="BC273" s="327">
        <f t="shared" si="136"/>
        <v>0</v>
      </c>
      <c r="BD273" s="327">
        <f t="shared" si="136"/>
        <v>0</v>
      </c>
      <c r="BE273" s="327">
        <f t="shared" si="136"/>
        <v>0</v>
      </c>
      <c r="BF273" s="327">
        <f t="shared" si="136"/>
        <v>0</v>
      </c>
      <c r="BG273" s="327">
        <f t="shared" si="136"/>
        <v>0</v>
      </c>
      <c r="BH273" s="327">
        <f t="shared" si="136"/>
        <v>0</v>
      </c>
      <c r="BI273" s="327">
        <f t="shared" si="136"/>
        <v>0</v>
      </c>
      <c r="BJ273" s="327">
        <f t="shared" si="136"/>
        <v>0</v>
      </c>
      <c r="BK273" s="327">
        <f t="shared" si="136"/>
        <v>0</v>
      </c>
      <c r="BL273" s="327">
        <f t="shared" si="136"/>
        <v>0</v>
      </c>
      <c r="BM273" s="327">
        <f t="shared" si="136"/>
        <v>0</v>
      </c>
      <c r="BN273" s="327">
        <f t="shared" si="136"/>
        <v>0</v>
      </c>
    </row>
    <row r="274" spans="32:87" ht="20.100000000000001" customHeight="1" thickBot="1">
      <c r="AK274" s="336"/>
      <c r="BP274" s="14" t="s">
        <v>1658</v>
      </c>
      <c r="CH274" s="555" t="s">
        <v>1592</v>
      </c>
      <c r="CI274" s="17" t="s">
        <v>1598</v>
      </c>
    </row>
    <row r="275" spans="32:87" ht="20.100000000000001" customHeight="1">
      <c r="AF275" s="1491" t="str">
        <f>AF222</f>
        <v>Semi-detached</v>
      </c>
      <c r="AG275" s="286" t="s">
        <v>933</v>
      </c>
      <c r="AH275" s="287"/>
      <c r="AI275" s="286" t="s">
        <v>1496</v>
      </c>
      <c r="AJ275" s="313">
        <f>INDEX('DEFAULT DATA'!$XS$9:$XZ$41,START!$C$3,1)</f>
        <v>1981.7062464221278</v>
      </c>
      <c r="AK275" s="338">
        <v>0</v>
      </c>
      <c r="AL275" s="328">
        <f t="shared" ref="AL275:BN275" si="137">IF(AND(AL$254&gt;($D$77+2020),AL$254&lt;($E$77+2022)),AK275+(AL$5*$AJ$275*((100-$F$77)/100)*ROUND($B$77/($E$77-$D$77+1),0)/1000000),AK275)</f>
        <v>0</v>
      </c>
      <c r="AM275" s="328">
        <f t="shared" si="137"/>
        <v>0</v>
      </c>
      <c r="AN275" s="328">
        <f t="shared" si="137"/>
        <v>0</v>
      </c>
      <c r="AO275" s="328">
        <f t="shared" si="137"/>
        <v>0</v>
      </c>
      <c r="AP275" s="328">
        <f t="shared" si="137"/>
        <v>0</v>
      </c>
      <c r="AQ275" s="328">
        <f t="shared" si="137"/>
        <v>0</v>
      </c>
      <c r="AR275" s="328">
        <f t="shared" si="137"/>
        <v>0</v>
      </c>
      <c r="AS275" s="328">
        <f t="shared" si="137"/>
        <v>0</v>
      </c>
      <c r="AT275" s="328">
        <f t="shared" si="137"/>
        <v>0</v>
      </c>
      <c r="AU275" s="328">
        <f t="shared" si="137"/>
        <v>0</v>
      </c>
      <c r="AV275" s="328">
        <f t="shared" si="137"/>
        <v>0</v>
      </c>
      <c r="AW275" s="328">
        <f t="shared" si="137"/>
        <v>0</v>
      </c>
      <c r="AX275" s="328">
        <f t="shared" si="137"/>
        <v>0</v>
      </c>
      <c r="AY275" s="328">
        <f t="shared" si="137"/>
        <v>0</v>
      </c>
      <c r="AZ275" s="328">
        <f t="shared" si="137"/>
        <v>0</v>
      </c>
      <c r="BA275" s="328">
        <f t="shared" si="137"/>
        <v>0</v>
      </c>
      <c r="BB275" s="328">
        <f t="shared" si="137"/>
        <v>0</v>
      </c>
      <c r="BC275" s="328">
        <f t="shared" si="137"/>
        <v>0</v>
      </c>
      <c r="BD275" s="328">
        <f t="shared" si="137"/>
        <v>0</v>
      </c>
      <c r="BE275" s="328">
        <f t="shared" si="137"/>
        <v>0</v>
      </c>
      <c r="BF275" s="328">
        <f t="shared" si="137"/>
        <v>0</v>
      </c>
      <c r="BG275" s="328">
        <f t="shared" si="137"/>
        <v>0</v>
      </c>
      <c r="BH275" s="328">
        <f t="shared" si="137"/>
        <v>0</v>
      </c>
      <c r="BI275" s="328">
        <f t="shared" si="137"/>
        <v>0</v>
      </c>
      <c r="BJ275" s="328">
        <f t="shared" si="137"/>
        <v>0</v>
      </c>
      <c r="BK275" s="328">
        <f t="shared" si="137"/>
        <v>0</v>
      </c>
      <c r="BL275" s="328">
        <f t="shared" si="137"/>
        <v>0</v>
      </c>
      <c r="BM275" s="328">
        <f t="shared" si="137"/>
        <v>0</v>
      </c>
      <c r="BN275" s="329">
        <f t="shared" si="137"/>
        <v>0</v>
      </c>
      <c r="BP275" s="552" t="s">
        <v>933</v>
      </c>
      <c r="BQ275" s="1482" t="s">
        <v>1921</v>
      </c>
      <c r="BR275" s="1483"/>
      <c r="BS275" s="1483"/>
      <c r="BT275" s="1483"/>
      <c r="BU275" s="1483"/>
      <c r="BV275" s="1483"/>
      <c r="BW275" s="1483"/>
      <c r="BX275" s="1483"/>
      <c r="BY275" s="1483"/>
      <c r="BZ275" s="1483"/>
      <c r="CA275" s="1483"/>
      <c r="CB275" s="1483"/>
      <c r="CC275" s="1483"/>
      <c r="CD275" s="1483"/>
      <c r="CE275" s="1483"/>
      <c r="CF275" s="1483"/>
      <c r="CG275" s="1484"/>
      <c r="CH275" s="554" t="s">
        <v>1667</v>
      </c>
      <c r="CI275" s="554" t="s">
        <v>1881</v>
      </c>
    </row>
    <row r="276" spans="32:87" ht="20.100000000000001" customHeight="1">
      <c r="AF276" s="1492"/>
      <c r="AG276" s="251" t="s">
        <v>1220</v>
      </c>
      <c r="AH276" s="280"/>
      <c r="AI276" s="251">
        <f>INDEX('DEFAULT DATA'!$VE$9:$VK$41,START!$C$3,1)</f>
        <v>202</v>
      </c>
      <c r="AJ276" s="195">
        <f>INDEX('DEFAULT DATA'!$XS$9:$XZ$41,START!$C$3,2)</f>
        <v>0</v>
      </c>
      <c r="AK276" s="157">
        <v>0</v>
      </c>
      <c r="AL276" s="272">
        <f t="shared" ref="AL276:BN276" si="138">IF(AND(AL$254&gt;($D$77+2020),AL$254&lt;($E$77+2022)),AK276+($AI$276*$AJ$276*((100-$F$77)/100)*ROUND($B$77/($E$77-$D$77+1),0)/1000000),AK276)</f>
        <v>0</v>
      </c>
      <c r="AM276" s="272">
        <f t="shared" si="138"/>
        <v>0</v>
      </c>
      <c r="AN276" s="272">
        <f t="shared" si="138"/>
        <v>0</v>
      </c>
      <c r="AO276" s="272">
        <f t="shared" si="138"/>
        <v>0</v>
      </c>
      <c r="AP276" s="272">
        <f t="shared" si="138"/>
        <v>0</v>
      </c>
      <c r="AQ276" s="272">
        <f t="shared" si="138"/>
        <v>0</v>
      </c>
      <c r="AR276" s="272">
        <f t="shared" si="138"/>
        <v>0</v>
      </c>
      <c r="AS276" s="272">
        <f t="shared" si="138"/>
        <v>0</v>
      </c>
      <c r="AT276" s="272">
        <f t="shared" si="138"/>
        <v>0</v>
      </c>
      <c r="AU276" s="272">
        <f t="shared" si="138"/>
        <v>0</v>
      </c>
      <c r="AV276" s="272">
        <f t="shared" si="138"/>
        <v>0</v>
      </c>
      <c r="AW276" s="272">
        <f t="shared" si="138"/>
        <v>0</v>
      </c>
      <c r="AX276" s="272">
        <f t="shared" si="138"/>
        <v>0</v>
      </c>
      <c r="AY276" s="272">
        <f t="shared" si="138"/>
        <v>0</v>
      </c>
      <c r="AZ276" s="272">
        <f t="shared" si="138"/>
        <v>0</v>
      </c>
      <c r="BA276" s="272">
        <f t="shared" si="138"/>
        <v>0</v>
      </c>
      <c r="BB276" s="272">
        <f t="shared" si="138"/>
        <v>0</v>
      </c>
      <c r="BC276" s="272">
        <f t="shared" si="138"/>
        <v>0</v>
      </c>
      <c r="BD276" s="272">
        <f t="shared" si="138"/>
        <v>0</v>
      </c>
      <c r="BE276" s="272">
        <f t="shared" si="138"/>
        <v>0</v>
      </c>
      <c r="BF276" s="272">
        <f t="shared" si="138"/>
        <v>0</v>
      </c>
      <c r="BG276" s="272">
        <f t="shared" si="138"/>
        <v>0</v>
      </c>
      <c r="BH276" s="272">
        <f t="shared" si="138"/>
        <v>0</v>
      </c>
      <c r="BI276" s="272">
        <f t="shared" si="138"/>
        <v>0</v>
      </c>
      <c r="BJ276" s="272">
        <f t="shared" si="138"/>
        <v>0</v>
      </c>
      <c r="BK276" s="272">
        <f t="shared" si="138"/>
        <v>0</v>
      </c>
      <c r="BL276" s="272">
        <f t="shared" si="138"/>
        <v>0</v>
      </c>
      <c r="BM276" s="272">
        <f t="shared" si="138"/>
        <v>0</v>
      </c>
      <c r="BN276" s="324">
        <f t="shared" si="138"/>
        <v>0</v>
      </c>
      <c r="BP276" s="552" t="s">
        <v>1220</v>
      </c>
      <c r="BQ276" s="1482" t="s">
        <v>1922</v>
      </c>
      <c r="BR276" s="1483"/>
      <c r="BS276" s="1483"/>
      <c r="BT276" s="1483"/>
      <c r="BU276" s="1483"/>
      <c r="BV276" s="1483"/>
      <c r="BW276" s="1483"/>
      <c r="BX276" s="1483"/>
      <c r="BY276" s="1483"/>
      <c r="BZ276" s="1483"/>
      <c r="CA276" s="1483"/>
      <c r="CB276" s="1483"/>
      <c r="CC276" s="1483"/>
      <c r="CD276" s="1483"/>
      <c r="CE276" s="1483"/>
      <c r="CF276" s="1483"/>
      <c r="CG276" s="1484"/>
      <c r="CH276" s="554" t="s">
        <v>1668</v>
      </c>
      <c r="CI276" s="554" t="s">
        <v>1248</v>
      </c>
    </row>
    <row r="277" spans="32:87" ht="20.100000000000001" customHeight="1">
      <c r="AF277" s="1492"/>
      <c r="AG277" s="251" t="s">
        <v>1221</v>
      </c>
      <c r="AH277" s="280"/>
      <c r="AI277" s="251">
        <f>INDEX('DEFAULT DATA'!$VE$9:$VK$41,START!$C$3,2)</f>
        <v>279</v>
      </c>
      <c r="AJ277" s="195">
        <f>INDEX('DEFAULT DATA'!$XS$9:$XZ$41,START!$C$3,3)</f>
        <v>0</v>
      </c>
      <c r="AK277" s="157">
        <v>0</v>
      </c>
      <c r="AL277" s="272">
        <f t="shared" ref="AL277:BN277" si="139">IF(AND(AL$254&gt;($D$77+2020),AL$254&lt;($E$77+2022)),AK277+($AI$277*$AJ$277*((100-$F$77)/100)*ROUND($B$77/($E$77-$D$77+1),0)/1000000),AK277)</f>
        <v>0</v>
      </c>
      <c r="AM277" s="272">
        <f t="shared" si="139"/>
        <v>0</v>
      </c>
      <c r="AN277" s="272">
        <f t="shared" si="139"/>
        <v>0</v>
      </c>
      <c r="AO277" s="272">
        <f t="shared" si="139"/>
        <v>0</v>
      </c>
      <c r="AP277" s="272">
        <f t="shared" si="139"/>
        <v>0</v>
      </c>
      <c r="AQ277" s="272">
        <f t="shared" si="139"/>
        <v>0</v>
      </c>
      <c r="AR277" s="272">
        <f t="shared" si="139"/>
        <v>0</v>
      </c>
      <c r="AS277" s="272">
        <f t="shared" si="139"/>
        <v>0</v>
      </c>
      <c r="AT277" s="272">
        <f t="shared" si="139"/>
        <v>0</v>
      </c>
      <c r="AU277" s="272">
        <f t="shared" si="139"/>
        <v>0</v>
      </c>
      <c r="AV277" s="272">
        <f t="shared" si="139"/>
        <v>0</v>
      </c>
      <c r="AW277" s="272">
        <f t="shared" si="139"/>
        <v>0</v>
      </c>
      <c r="AX277" s="272">
        <f t="shared" si="139"/>
        <v>0</v>
      </c>
      <c r="AY277" s="272">
        <f t="shared" si="139"/>
        <v>0</v>
      </c>
      <c r="AZ277" s="272">
        <f t="shared" si="139"/>
        <v>0</v>
      </c>
      <c r="BA277" s="272">
        <f t="shared" si="139"/>
        <v>0</v>
      </c>
      <c r="BB277" s="272">
        <f t="shared" si="139"/>
        <v>0</v>
      </c>
      <c r="BC277" s="272">
        <f t="shared" si="139"/>
        <v>0</v>
      </c>
      <c r="BD277" s="272">
        <f t="shared" si="139"/>
        <v>0</v>
      </c>
      <c r="BE277" s="272">
        <f t="shared" si="139"/>
        <v>0</v>
      </c>
      <c r="BF277" s="272">
        <f t="shared" si="139"/>
        <v>0</v>
      </c>
      <c r="BG277" s="272">
        <f t="shared" si="139"/>
        <v>0</v>
      </c>
      <c r="BH277" s="272">
        <f t="shared" si="139"/>
        <v>0</v>
      </c>
      <c r="BI277" s="272">
        <f t="shared" si="139"/>
        <v>0</v>
      </c>
      <c r="BJ277" s="272">
        <f t="shared" si="139"/>
        <v>0</v>
      </c>
      <c r="BK277" s="272">
        <f t="shared" si="139"/>
        <v>0</v>
      </c>
      <c r="BL277" s="272">
        <f t="shared" si="139"/>
        <v>0</v>
      </c>
      <c r="BM277" s="272">
        <f t="shared" si="139"/>
        <v>0</v>
      </c>
      <c r="BN277" s="324">
        <f t="shared" si="139"/>
        <v>0</v>
      </c>
      <c r="BP277" s="552" t="s">
        <v>1221</v>
      </c>
      <c r="BQ277" s="1482" t="s">
        <v>1923</v>
      </c>
      <c r="BR277" s="1483"/>
      <c r="BS277" s="1483"/>
      <c r="BT277" s="1483"/>
      <c r="BU277" s="1483"/>
      <c r="BV277" s="1483"/>
      <c r="BW277" s="1483"/>
      <c r="BX277" s="1483"/>
      <c r="BY277" s="1483"/>
      <c r="BZ277" s="1483"/>
      <c r="CA277" s="1483"/>
      <c r="CB277" s="1483"/>
      <c r="CC277" s="1483"/>
      <c r="CD277" s="1483"/>
      <c r="CE277" s="1483"/>
      <c r="CF277" s="1483"/>
      <c r="CG277" s="1484"/>
      <c r="CH277" s="554" t="s">
        <v>1669</v>
      </c>
      <c r="CI277" s="554" t="s">
        <v>1621</v>
      </c>
    </row>
    <row r="278" spans="32:87" ht="20.100000000000001" customHeight="1">
      <c r="AF278" s="1492"/>
      <c r="AG278" s="251" t="s">
        <v>1222</v>
      </c>
      <c r="AH278" s="280"/>
      <c r="AI278" s="251">
        <f>INDEX('DEFAULT DATA'!$VE$9:$VK$41,START!$C$3,3)</f>
        <v>354</v>
      </c>
      <c r="AJ278" s="195">
        <f>INDEX('DEFAULT DATA'!$XS$9:$XZ$41,START!$C$3,4)</f>
        <v>0</v>
      </c>
      <c r="AK278" s="157">
        <v>0</v>
      </c>
      <c r="AL278" s="272">
        <f t="shared" ref="AL278:BN278" si="140">IF(AND(AL$254&gt;($D$77+2020),AL$254&lt;($E$77+2022)),AK278+($AI$278*$AJ$278*((100-$F$77)/100)*ROUND($B$77/($E$77-$D$77+1),0)/1000000),AK278)</f>
        <v>0</v>
      </c>
      <c r="AM278" s="272">
        <f t="shared" si="140"/>
        <v>0</v>
      </c>
      <c r="AN278" s="272">
        <f t="shared" si="140"/>
        <v>0</v>
      </c>
      <c r="AO278" s="272">
        <f t="shared" si="140"/>
        <v>0</v>
      </c>
      <c r="AP278" s="272">
        <f t="shared" si="140"/>
        <v>0</v>
      </c>
      <c r="AQ278" s="272">
        <f t="shared" si="140"/>
        <v>0</v>
      </c>
      <c r="AR278" s="272">
        <f t="shared" si="140"/>
        <v>0</v>
      </c>
      <c r="AS278" s="272">
        <f t="shared" si="140"/>
        <v>0</v>
      </c>
      <c r="AT278" s="272">
        <f t="shared" si="140"/>
        <v>0</v>
      </c>
      <c r="AU278" s="272">
        <f t="shared" si="140"/>
        <v>0</v>
      </c>
      <c r="AV278" s="272">
        <f t="shared" si="140"/>
        <v>0</v>
      </c>
      <c r="AW278" s="272">
        <f t="shared" si="140"/>
        <v>0</v>
      </c>
      <c r="AX278" s="272">
        <f t="shared" si="140"/>
        <v>0</v>
      </c>
      <c r="AY278" s="272">
        <f t="shared" si="140"/>
        <v>0</v>
      </c>
      <c r="AZ278" s="272">
        <f t="shared" si="140"/>
        <v>0</v>
      </c>
      <c r="BA278" s="272">
        <f t="shared" si="140"/>
        <v>0</v>
      </c>
      <c r="BB278" s="272">
        <f t="shared" si="140"/>
        <v>0</v>
      </c>
      <c r="BC278" s="272">
        <f t="shared" si="140"/>
        <v>0</v>
      </c>
      <c r="BD278" s="272">
        <f t="shared" si="140"/>
        <v>0</v>
      </c>
      <c r="BE278" s="272">
        <f t="shared" si="140"/>
        <v>0</v>
      </c>
      <c r="BF278" s="272">
        <f t="shared" si="140"/>
        <v>0</v>
      </c>
      <c r="BG278" s="272">
        <f t="shared" si="140"/>
        <v>0</v>
      </c>
      <c r="BH278" s="272">
        <f t="shared" si="140"/>
        <v>0</v>
      </c>
      <c r="BI278" s="272">
        <f t="shared" si="140"/>
        <v>0</v>
      </c>
      <c r="BJ278" s="272">
        <f t="shared" si="140"/>
        <v>0</v>
      </c>
      <c r="BK278" s="272">
        <f t="shared" si="140"/>
        <v>0</v>
      </c>
      <c r="BL278" s="272">
        <f t="shared" si="140"/>
        <v>0</v>
      </c>
      <c r="BM278" s="272">
        <f t="shared" si="140"/>
        <v>0</v>
      </c>
      <c r="BN278" s="324">
        <f t="shared" si="140"/>
        <v>0</v>
      </c>
      <c r="BP278" s="552" t="s">
        <v>1222</v>
      </c>
      <c r="BQ278" s="1482" t="s">
        <v>1924</v>
      </c>
      <c r="BR278" s="1483"/>
      <c r="BS278" s="1483"/>
      <c r="BT278" s="1483"/>
      <c r="BU278" s="1483"/>
      <c r="BV278" s="1483"/>
      <c r="BW278" s="1483"/>
      <c r="BX278" s="1483"/>
      <c r="BY278" s="1483"/>
      <c r="BZ278" s="1483"/>
      <c r="CA278" s="1483"/>
      <c r="CB278" s="1483"/>
      <c r="CC278" s="1483"/>
      <c r="CD278" s="1483"/>
      <c r="CE278" s="1483"/>
      <c r="CF278" s="1483"/>
      <c r="CG278" s="1484"/>
      <c r="CH278" s="554" t="s">
        <v>1670</v>
      </c>
      <c r="CI278" s="554" t="s">
        <v>1622</v>
      </c>
    </row>
    <row r="279" spans="32:87" ht="20.100000000000001" customHeight="1">
      <c r="AF279" s="1492"/>
      <c r="AG279" s="251" t="s">
        <v>1223</v>
      </c>
      <c r="AH279" s="280"/>
      <c r="AI279" s="251">
        <f>INDEX('DEFAULT DATA'!$VE$9:$VK$41,START!$C$3,4)</f>
        <v>0</v>
      </c>
      <c r="AJ279" s="195">
        <f>INDEX('DEFAULT DATA'!$XS$9:$XZ$41,START!$C$3,5)</f>
        <v>0</v>
      </c>
      <c r="AK279" s="157">
        <v>0</v>
      </c>
      <c r="AL279" s="272">
        <f t="shared" ref="AL279:BN279" si="141">IF(AND(AL$254&gt;($D$77+2020),AL$254&lt;($E$77+2022)),AK279+($AI$279*$AJ$279*((100-$F$77)/100)*ROUND($B$77/($E$77-$D$77+1),0)/1000000),AK279)</f>
        <v>0</v>
      </c>
      <c r="AM279" s="272">
        <f t="shared" si="141"/>
        <v>0</v>
      </c>
      <c r="AN279" s="272">
        <f t="shared" si="141"/>
        <v>0</v>
      </c>
      <c r="AO279" s="272">
        <f t="shared" si="141"/>
        <v>0</v>
      </c>
      <c r="AP279" s="272">
        <f t="shared" si="141"/>
        <v>0</v>
      </c>
      <c r="AQ279" s="272">
        <f t="shared" si="141"/>
        <v>0</v>
      </c>
      <c r="AR279" s="272">
        <f t="shared" si="141"/>
        <v>0</v>
      </c>
      <c r="AS279" s="272">
        <f t="shared" si="141"/>
        <v>0</v>
      </c>
      <c r="AT279" s="272">
        <f t="shared" si="141"/>
        <v>0</v>
      </c>
      <c r="AU279" s="272">
        <f t="shared" si="141"/>
        <v>0</v>
      </c>
      <c r="AV279" s="272">
        <f t="shared" si="141"/>
        <v>0</v>
      </c>
      <c r="AW279" s="272">
        <f t="shared" si="141"/>
        <v>0</v>
      </c>
      <c r="AX279" s="272">
        <f t="shared" si="141"/>
        <v>0</v>
      </c>
      <c r="AY279" s="272">
        <f t="shared" si="141"/>
        <v>0</v>
      </c>
      <c r="AZ279" s="272">
        <f t="shared" si="141"/>
        <v>0</v>
      </c>
      <c r="BA279" s="272">
        <f t="shared" si="141"/>
        <v>0</v>
      </c>
      <c r="BB279" s="272">
        <f t="shared" si="141"/>
        <v>0</v>
      </c>
      <c r="BC279" s="272">
        <f t="shared" si="141"/>
        <v>0</v>
      </c>
      <c r="BD279" s="272">
        <f t="shared" si="141"/>
        <v>0</v>
      </c>
      <c r="BE279" s="272">
        <f t="shared" si="141"/>
        <v>0</v>
      </c>
      <c r="BF279" s="272">
        <f t="shared" si="141"/>
        <v>0</v>
      </c>
      <c r="BG279" s="272">
        <f t="shared" si="141"/>
        <v>0</v>
      </c>
      <c r="BH279" s="272">
        <f t="shared" si="141"/>
        <v>0</v>
      </c>
      <c r="BI279" s="272">
        <f t="shared" si="141"/>
        <v>0</v>
      </c>
      <c r="BJ279" s="272">
        <f t="shared" si="141"/>
        <v>0</v>
      </c>
      <c r="BK279" s="272">
        <f t="shared" si="141"/>
        <v>0</v>
      </c>
      <c r="BL279" s="272">
        <f t="shared" si="141"/>
        <v>0</v>
      </c>
      <c r="BM279" s="272">
        <f t="shared" si="141"/>
        <v>0</v>
      </c>
      <c r="BN279" s="324">
        <f t="shared" si="141"/>
        <v>0</v>
      </c>
      <c r="BP279" s="552" t="s">
        <v>1223</v>
      </c>
      <c r="BQ279" s="1482" t="s">
        <v>1925</v>
      </c>
      <c r="BR279" s="1483"/>
      <c r="BS279" s="1483"/>
      <c r="BT279" s="1483"/>
      <c r="BU279" s="1483"/>
      <c r="BV279" s="1483"/>
      <c r="BW279" s="1483"/>
      <c r="BX279" s="1483"/>
      <c r="BY279" s="1483"/>
      <c r="BZ279" s="1483"/>
      <c r="CA279" s="1483"/>
      <c r="CB279" s="1483"/>
      <c r="CC279" s="1483"/>
      <c r="CD279" s="1483"/>
      <c r="CE279" s="1483"/>
      <c r="CF279" s="1483"/>
      <c r="CG279" s="1484"/>
      <c r="CH279" s="554" t="s">
        <v>1671</v>
      </c>
      <c r="CI279" s="554" t="s">
        <v>1623</v>
      </c>
    </row>
    <row r="280" spans="32:87" ht="20.100000000000001" customHeight="1">
      <c r="AF280" s="1492"/>
      <c r="AG280" s="251" t="s">
        <v>1224</v>
      </c>
      <c r="AH280" s="280"/>
      <c r="AI280" s="251">
        <f>INDEX('DEFAULT DATA'!$VE$9:$VK$41,START!$C$3,5)</f>
        <v>403</v>
      </c>
      <c r="AJ280" s="195">
        <f>INDEX('DEFAULT DATA'!$XS$9:$XZ$41,START!$C$3,6)</f>
        <v>0</v>
      </c>
      <c r="AK280" s="157">
        <v>0</v>
      </c>
      <c r="AL280" s="272">
        <f t="shared" ref="AL280:BN280" si="142">IF(AND(AL$254&gt;($D$77+2020),AL$254&lt;($E$77+2022)),AK280+($AI$280*$AJ$280*((100-$F$77)/100)*ROUND($B$77/($E$77-$D$77+1),0)/1000000),AK280)</f>
        <v>0</v>
      </c>
      <c r="AM280" s="272">
        <f t="shared" si="142"/>
        <v>0</v>
      </c>
      <c r="AN280" s="272">
        <f t="shared" si="142"/>
        <v>0</v>
      </c>
      <c r="AO280" s="272">
        <f t="shared" si="142"/>
        <v>0</v>
      </c>
      <c r="AP280" s="272">
        <f t="shared" si="142"/>
        <v>0</v>
      </c>
      <c r="AQ280" s="272">
        <f t="shared" si="142"/>
        <v>0</v>
      </c>
      <c r="AR280" s="272">
        <f t="shared" si="142"/>
        <v>0</v>
      </c>
      <c r="AS280" s="272">
        <f t="shared" si="142"/>
        <v>0</v>
      </c>
      <c r="AT280" s="272">
        <f t="shared" si="142"/>
        <v>0</v>
      </c>
      <c r="AU280" s="272">
        <f t="shared" si="142"/>
        <v>0</v>
      </c>
      <c r="AV280" s="272">
        <f t="shared" si="142"/>
        <v>0</v>
      </c>
      <c r="AW280" s="272">
        <f t="shared" si="142"/>
        <v>0</v>
      </c>
      <c r="AX280" s="272">
        <f t="shared" si="142"/>
        <v>0</v>
      </c>
      <c r="AY280" s="272">
        <f t="shared" si="142"/>
        <v>0</v>
      </c>
      <c r="AZ280" s="272">
        <f t="shared" si="142"/>
        <v>0</v>
      </c>
      <c r="BA280" s="272">
        <f t="shared" si="142"/>
        <v>0</v>
      </c>
      <c r="BB280" s="272">
        <f t="shared" si="142"/>
        <v>0</v>
      </c>
      <c r="BC280" s="272">
        <f t="shared" si="142"/>
        <v>0</v>
      </c>
      <c r="BD280" s="272">
        <f t="shared" si="142"/>
        <v>0</v>
      </c>
      <c r="BE280" s="272">
        <f t="shared" si="142"/>
        <v>0</v>
      </c>
      <c r="BF280" s="272">
        <f t="shared" si="142"/>
        <v>0</v>
      </c>
      <c r="BG280" s="272">
        <f t="shared" si="142"/>
        <v>0</v>
      </c>
      <c r="BH280" s="272">
        <f t="shared" si="142"/>
        <v>0</v>
      </c>
      <c r="BI280" s="272">
        <f t="shared" si="142"/>
        <v>0</v>
      </c>
      <c r="BJ280" s="272">
        <f t="shared" si="142"/>
        <v>0</v>
      </c>
      <c r="BK280" s="272">
        <f t="shared" si="142"/>
        <v>0</v>
      </c>
      <c r="BL280" s="272">
        <f t="shared" si="142"/>
        <v>0</v>
      </c>
      <c r="BM280" s="272">
        <f t="shared" si="142"/>
        <v>0</v>
      </c>
      <c r="BN280" s="324">
        <f t="shared" si="142"/>
        <v>0</v>
      </c>
      <c r="BP280" s="552" t="s">
        <v>1224</v>
      </c>
      <c r="BQ280" s="1482" t="s">
        <v>1926</v>
      </c>
      <c r="BR280" s="1483"/>
      <c r="BS280" s="1483"/>
      <c r="BT280" s="1483"/>
      <c r="BU280" s="1483"/>
      <c r="BV280" s="1483"/>
      <c r="BW280" s="1483"/>
      <c r="BX280" s="1483"/>
      <c r="BY280" s="1483"/>
      <c r="BZ280" s="1483"/>
      <c r="CA280" s="1483"/>
      <c r="CB280" s="1483"/>
      <c r="CC280" s="1483"/>
      <c r="CD280" s="1483"/>
      <c r="CE280" s="1483"/>
      <c r="CF280" s="1483"/>
      <c r="CG280" s="1484"/>
      <c r="CH280" s="554" t="s">
        <v>1672</v>
      </c>
      <c r="CI280" s="554" t="s">
        <v>1624</v>
      </c>
    </row>
    <row r="281" spans="32:87" ht="20.100000000000001" customHeight="1">
      <c r="AF281" s="1492"/>
      <c r="AG281" s="251" t="s">
        <v>1225</v>
      </c>
      <c r="AH281" s="280"/>
      <c r="AI281" s="251">
        <f>INDEX('DEFAULT DATA'!$VE$9:$VK$41,START!$C$3,6)</f>
        <v>0</v>
      </c>
      <c r="AJ281" s="195">
        <f>INDEX('DEFAULT DATA'!$XS$9:$XZ$41,START!$C$3,7)</f>
        <v>1376.1848933486999</v>
      </c>
      <c r="AK281" s="157">
        <v>0</v>
      </c>
      <c r="AL281" s="272">
        <f t="shared" ref="AL281:BN281" si="143">IF(AND(AL$254&gt;($D$77+2020),AL$254&lt;($E$77+2022)),AK281+($AI$281*$AJ$281*((100-$F$77)/100)*ROUND($B$77/($E$77-$D$77+1),0)/1000000),AK281)</f>
        <v>0</v>
      </c>
      <c r="AM281" s="272">
        <f t="shared" si="143"/>
        <v>0</v>
      </c>
      <c r="AN281" s="272">
        <f t="shared" si="143"/>
        <v>0</v>
      </c>
      <c r="AO281" s="272">
        <f t="shared" si="143"/>
        <v>0</v>
      </c>
      <c r="AP281" s="272">
        <f t="shared" si="143"/>
        <v>0</v>
      </c>
      <c r="AQ281" s="272">
        <f t="shared" si="143"/>
        <v>0</v>
      </c>
      <c r="AR281" s="272">
        <f t="shared" si="143"/>
        <v>0</v>
      </c>
      <c r="AS281" s="272">
        <f t="shared" si="143"/>
        <v>0</v>
      </c>
      <c r="AT281" s="272">
        <f t="shared" si="143"/>
        <v>0</v>
      </c>
      <c r="AU281" s="272">
        <f t="shared" si="143"/>
        <v>0</v>
      </c>
      <c r="AV281" s="272">
        <f t="shared" si="143"/>
        <v>0</v>
      </c>
      <c r="AW281" s="272">
        <f t="shared" si="143"/>
        <v>0</v>
      </c>
      <c r="AX281" s="272">
        <f t="shared" si="143"/>
        <v>0</v>
      </c>
      <c r="AY281" s="272">
        <f t="shared" si="143"/>
        <v>0</v>
      </c>
      <c r="AZ281" s="272">
        <f t="shared" si="143"/>
        <v>0</v>
      </c>
      <c r="BA281" s="272">
        <f t="shared" si="143"/>
        <v>0</v>
      </c>
      <c r="BB281" s="272">
        <f t="shared" si="143"/>
        <v>0</v>
      </c>
      <c r="BC281" s="272">
        <f t="shared" si="143"/>
        <v>0</v>
      </c>
      <c r="BD281" s="272">
        <f t="shared" si="143"/>
        <v>0</v>
      </c>
      <c r="BE281" s="272">
        <f t="shared" si="143"/>
        <v>0</v>
      </c>
      <c r="BF281" s="272">
        <f t="shared" si="143"/>
        <v>0</v>
      </c>
      <c r="BG281" s="272">
        <f t="shared" si="143"/>
        <v>0</v>
      </c>
      <c r="BH281" s="272">
        <f t="shared" si="143"/>
        <v>0</v>
      </c>
      <c r="BI281" s="272">
        <f t="shared" si="143"/>
        <v>0</v>
      </c>
      <c r="BJ281" s="272">
        <f t="shared" si="143"/>
        <v>0</v>
      </c>
      <c r="BK281" s="272">
        <f t="shared" si="143"/>
        <v>0</v>
      </c>
      <c r="BL281" s="272">
        <f t="shared" si="143"/>
        <v>0</v>
      </c>
      <c r="BM281" s="272">
        <f t="shared" si="143"/>
        <v>0</v>
      </c>
      <c r="BN281" s="324">
        <f t="shared" si="143"/>
        <v>0</v>
      </c>
      <c r="BP281" s="552" t="s">
        <v>1225</v>
      </c>
      <c r="BQ281" s="1482" t="s">
        <v>1927</v>
      </c>
      <c r="BR281" s="1483"/>
      <c r="BS281" s="1483"/>
      <c r="BT281" s="1483"/>
      <c r="BU281" s="1483"/>
      <c r="BV281" s="1483"/>
      <c r="BW281" s="1483"/>
      <c r="BX281" s="1483"/>
      <c r="BY281" s="1483"/>
      <c r="BZ281" s="1483"/>
      <c r="CA281" s="1483"/>
      <c r="CB281" s="1483"/>
      <c r="CC281" s="1483"/>
      <c r="CD281" s="1483"/>
      <c r="CE281" s="1483"/>
      <c r="CF281" s="1483"/>
      <c r="CG281" s="1484"/>
      <c r="CH281" s="554" t="s">
        <v>1673</v>
      </c>
      <c r="CI281" s="554" t="s">
        <v>1625</v>
      </c>
    </row>
    <row r="282" spans="32:87" ht="20.100000000000001" customHeight="1" thickBot="1">
      <c r="AF282" s="1493"/>
      <c r="AG282" s="310" t="s">
        <v>1226</v>
      </c>
      <c r="AH282" s="288"/>
      <c r="AI282" s="310" t="s">
        <v>1497</v>
      </c>
      <c r="AJ282" s="260">
        <f>INDEX('DEFAULT DATA'!$XS$9:$XZ$41,START!$C$3,8)</f>
        <v>1651.4218720184397</v>
      </c>
      <c r="AK282" s="158">
        <v>0</v>
      </c>
      <c r="AL282" s="325">
        <f t="shared" ref="AL282:BN282" si="144">IF(AND(AL$254&gt;($D$77+2020),AL$254&lt;($E$77+2022)),AK282+(AL$6*$AJ$282*((100-$F$77)/100)*ROUND($B$77/($E$77-$D$77+1),0)/1000000),AK282)</f>
        <v>0</v>
      </c>
      <c r="AM282" s="325">
        <f t="shared" si="144"/>
        <v>0</v>
      </c>
      <c r="AN282" s="325">
        <f t="shared" si="144"/>
        <v>0</v>
      </c>
      <c r="AO282" s="325">
        <f t="shared" si="144"/>
        <v>0</v>
      </c>
      <c r="AP282" s="325">
        <f t="shared" si="144"/>
        <v>0</v>
      </c>
      <c r="AQ282" s="325">
        <f t="shared" si="144"/>
        <v>0</v>
      </c>
      <c r="AR282" s="325">
        <f t="shared" si="144"/>
        <v>0</v>
      </c>
      <c r="AS282" s="325">
        <f t="shared" si="144"/>
        <v>0</v>
      </c>
      <c r="AT282" s="325">
        <f t="shared" si="144"/>
        <v>0</v>
      </c>
      <c r="AU282" s="325">
        <f t="shared" si="144"/>
        <v>0</v>
      </c>
      <c r="AV282" s="325">
        <f t="shared" si="144"/>
        <v>0</v>
      </c>
      <c r="AW282" s="325">
        <f t="shared" si="144"/>
        <v>0</v>
      </c>
      <c r="AX282" s="325">
        <f t="shared" si="144"/>
        <v>0</v>
      </c>
      <c r="AY282" s="325">
        <f t="shared" si="144"/>
        <v>0</v>
      </c>
      <c r="AZ282" s="325">
        <f t="shared" si="144"/>
        <v>0</v>
      </c>
      <c r="BA282" s="325">
        <f t="shared" si="144"/>
        <v>0</v>
      </c>
      <c r="BB282" s="325">
        <f t="shared" si="144"/>
        <v>0</v>
      </c>
      <c r="BC282" s="325">
        <f t="shared" si="144"/>
        <v>0</v>
      </c>
      <c r="BD282" s="325">
        <f t="shared" si="144"/>
        <v>0</v>
      </c>
      <c r="BE282" s="325">
        <f t="shared" si="144"/>
        <v>0</v>
      </c>
      <c r="BF282" s="325">
        <f t="shared" si="144"/>
        <v>0</v>
      </c>
      <c r="BG282" s="325">
        <f t="shared" si="144"/>
        <v>0</v>
      </c>
      <c r="BH282" s="325">
        <f t="shared" si="144"/>
        <v>0</v>
      </c>
      <c r="BI282" s="325">
        <f t="shared" si="144"/>
        <v>0</v>
      </c>
      <c r="BJ282" s="325">
        <f t="shared" si="144"/>
        <v>0</v>
      </c>
      <c r="BK282" s="325">
        <f t="shared" si="144"/>
        <v>0</v>
      </c>
      <c r="BL282" s="325">
        <f t="shared" si="144"/>
        <v>0</v>
      </c>
      <c r="BM282" s="325">
        <f t="shared" si="144"/>
        <v>0</v>
      </c>
      <c r="BN282" s="326">
        <f t="shared" si="144"/>
        <v>0</v>
      </c>
      <c r="BP282" s="552" t="s">
        <v>1226</v>
      </c>
      <c r="BQ282" s="1482" t="s">
        <v>1928</v>
      </c>
      <c r="BR282" s="1483"/>
      <c r="BS282" s="1483"/>
      <c r="BT282" s="1483"/>
      <c r="BU282" s="1483"/>
      <c r="BV282" s="1483"/>
      <c r="BW282" s="1483"/>
      <c r="BX282" s="1483"/>
      <c r="BY282" s="1483"/>
      <c r="BZ282" s="1483"/>
      <c r="CA282" s="1483"/>
      <c r="CB282" s="1483"/>
      <c r="CC282" s="1483"/>
      <c r="CD282" s="1483"/>
      <c r="CE282" s="1483"/>
      <c r="CF282" s="1483"/>
      <c r="CG282" s="1484"/>
      <c r="CH282" s="554" t="s">
        <v>1674</v>
      </c>
      <c r="CI282" s="554" t="s">
        <v>1882</v>
      </c>
    </row>
    <row r="283" spans="32:87" ht="20.100000000000001" customHeight="1">
      <c r="AF283" s="289"/>
      <c r="AG283" s="285" t="s">
        <v>1456</v>
      </c>
      <c r="AH283" s="285"/>
      <c r="AI283" s="285"/>
      <c r="AJ283" s="285"/>
      <c r="AK283" s="338">
        <f>SUM(AK275:AK282)</f>
        <v>0</v>
      </c>
      <c r="AL283" s="327">
        <f>SUM(AL275:AL282)</f>
        <v>0</v>
      </c>
      <c r="AM283" s="327">
        <f t="shared" ref="AM283:BN283" si="145">SUM(AM275:AM282)</f>
        <v>0</v>
      </c>
      <c r="AN283" s="327">
        <f t="shared" si="145"/>
        <v>0</v>
      </c>
      <c r="AO283" s="327">
        <f t="shared" si="145"/>
        <v>0</v>
      </c>
      <c r="AP283" s="327">
        <f t="shared" si="145"/>
        <v>0</v>
      </c>
      <c r="AQ283" s="327">
        <f t="shared" si="145"/>
        <v>0</v>
      </c>
      <c r="AR283" s="327">
        <f t="shared" si="145"/>
        <v>0</v>
      </c>
      <c r="AS283" s="327">
        <f t="shared" si="145"/>
        <v>0</v>
      </c>
      <c r="AT283" s="327">
        <f t="shared" si="145"/>
        <v>0</v>
      </c>
      <c r="AU283" s="327">
        <f t="shared" si="145"/>
        <v>0</v>
      </c>
      <c r="AV283" s="327">
        <f t="shared" si="145"/>
        <v>0</v>
      </c>
      <c r="AW283" s="327">
        <f t="shared" si="145"/>
        <v>0</v>
      </c>
      <c r="AX283" s="327">
        <f t="shared" si="145"/>
        <v>0</v>
      </c>
      <c r="AY283" s="327">
        <f t="shared" si="145"/>
        <v>0</v>
      </c>
      <c r="AZ283" s="327">
        <f t="shared" si="145"/>
        <v>0</v>
      </c>
      <c r="BA283" s="327">
        <f t="shared" si="145"/>
        <v>0</v>
      </c>
      <c r="BB283" s="327">
        <f t="shared" si="145"/>
        <v>0</v>
      </c>
      <c r="BC283" s="327">
        <f t="shared" si="145"/>
        <v>0</v>
      </c>
      <c r="BD283" s="327">
        <f t="shared" si="145"/>
        <v>0</v>
      </c>
      <c r="BE283" s="327">
        <f t="shared" si="145"/>
        <v>0</v>
      </c>
      <c r="BF283" s="327">
        <f t="shared" si="145"/>
        <v>0</v>
      </c>
      <c r="BG283" s="327">
        <f t="shared" si="145"/>
        <v>0</v>
      </c>
      <c r="BH283" s="327">
        <f t="shared" si="145"/>
        <v>0</v>
      </c>
      <c r="BI283" s="327">
        <f t="shared" si="145"/>
        <v>0</v>
      </c>
      <c r="BJ283" s="327">
        <f t="shared" si="145"/>
        <v>0</v>
      </c>
      <c r="BK283" s="327">
        <f t="shared" si="145"/>
        <v>0</v>
      </c>
      <c r="BL283" s="327">
        <f t="shared" si="145"/>
        <v>0</v>
      </c>
      <c r="BM283" s="327">
        <f t="shared" si="145"/>
        <v>0</v>
      </c>
      <c r="BN283" s="327">
        <f t="shared" si="145"/>
        <v>0</v>
      </c>
    </row>
    <row r="284" spans="32:87" ht="20.100000000000001" customHeight="1" thickBot="1">
      <c r="AK284" s="336"/>
      <c r="BP284" s="14" t="s">
        <v>1745</v>
      </c>
      <c r="CH284" s="555" t="s">
        <v>1592</v>
      </c>
      <c r="CI284" s="17" t="s">
        <v>1598</v>
      </c>
    </row>
    <row r="285" spans="32:87" ht="20.100000000000001" customHeight="1">
      <c r="AF285" s="1491" t="str">
        <f>AF223</f>
        <v>Detached</v>
      </c>
      <c r="AG285" s="286" t="s">
        <v>933</v>
      </c>
      <c r="AH285" s="287"/>
      <c r="AI285" s="286" t="s">
        <v>1496</v>
      </c>
      <c r="AJ285" s="313">
        <f>INDEX('DEFAULT DATA'!$YA$9:$YH$41,START!$C$3,1)</f>
        <v>3044.6214149576331</v>
      </c>
      <c r="AK285" s="338">
        <v>0</v>
      </c>
      <c r="AL285" s="328">
        <f t="shared" ref="AL285:BN285" si="146">IF(AND(AL$254&gt;($D$78+2020),AL$254&lt;($E$78+2022)),AK285+(AL$5*$AJ$285*((100-$F$78)/100)*ROUND($B$78/($E$78-$D$78+1),0)/1000000),AK285)</f>
        <v>0</v>
      </c>
      <c r="AM285" s="328">
        <f t="shared" si="146"/>
        <v>0</v>
      </c>
      <c r="AN285" s="328">
        <f t="shared" si="146"/>
        <v>0</v>
      </c>
      <c r="AO285" s="328">
        <f t="shared" si="146"/>
        <v>0</v>
      </c>
      <c r="AP285" s="328">
        <f t="shared" si="146"/>
        <v>0</v>
      </c>
      <c r="AQ285" s="328">
        <f t="shared" si="146"/>
        <v>0</v>
      </c>
      <c r="AR285" s="328">
        <f t="shared" si="146"/>
        <v>0</v>
      </c>
      <c r="AS285" s="328">
        <f t="shared" si="146"/>
        <v>0</v>
      </c>
      <c r="AT285" s="328">
        <f t="shared" si="146"/>
        <v>0</v>
      </c>
      <c r="AU285" s="328">
        <f t="shared" si="146"/>
        <v>0</v>
      </c>
      <c r="AV285" s="328">
        <f t="shared" si="146"/>
        <v>0</v>
      </c>
      <c r="AW285" s="328">
        <f t="shared" si="146"/>
        <v>0</v>
      </c>
      <c r="AX285" s="328">
        <f t="shared" si="146"/>
        <v>0</v>
      </c>
      <c r="AY285" s="328">
        <f t="shared" si="146"/>
        <v>0</v>
      </c>
      <c r="AZ285" s="328">
        <f t="shared" si="146"/>
        <v>0</v>
      </c>
      <c r="BA285" s="328">
        <f t="shared" si="146"/>
        <v>0</v>
      </c>
      <c r="BB285" s="328">
        <f t="shared" si="146"/>
        <v>0</v>
      </c>
      <c r="BC285" s="328">
        <f t="shared" si="146"/>
        <v>0</v>
      </c>
      <c r="BD285" s="328">
        <f t="shared" si="146"/>
        <v>0</v>
      </c>
      <c r="BE285" s="328">
        <f t="shared" si="146"/>
        <v>0</v>
      </c>
      <c r="BF285" s="328">
        <f t="shared" si="146"/>
        <v>0</v>
      </c>
      <c r="BG285" s="328">
        <f t="shared" si="146"/>
        <v>0</v>
      </c>
      <c r="BH285" s="328">
        <f t="shared" si="146"/>
        <v>0</v>
      </c>
      <c r="BI285" s="328">
        <f t="shared" si="146"/>
        <v>0</v>
      </c>
      <c r="BJ285" s="328">
        <f t="shared" si="146"/>
        <v>0</v>
      </c>
      <c r="BK285" s="328">
        <f t="shared" si="146"/>
        <v>0</v>
      </c>
      <c r="BL285" s="328">
        <f t="shared" si="146"/>
        <v>0</v>
      </c>
      <c r="BM285" s="328">
        <f t="shared" si="146"/>
        <v>0</v>
      </c>
      <c r="BN285" s="329">
        <f t="shared" si="146"/>
        <v>0</v>
      </c>
      <c r="BP285" s="552" t="s">
        <v>933</v>
      </c>
      <c r="BQ285" s="1482" t="s">
        <v>1929</v>
      </c>
      <c r="BR285" s="1483"/>
      <c r="BS285" s="1483"/>
      <c r="BT285" s="1483"/>
      <c r="BU285" s="1483"/>
      <c r="BV285" s="1483"/>
      <c r="BW285" s="1483"/>
      <c r="BX285" s="1483"/>
      <c r="BY285" s="1483"/>
      <c r="BZ285" s="1483"/>
      <c r="CA285" s="1483"/>
      <c r="CB285" s="1483"/>
      <c r="CC285" s="1483"/>
      <c r="CD285" s="1483"/>
      <c r="CE285" s="1483"/>
      <c r="CF285" s="1483"/>
      <c r="CG285" s="1484"/>
      <c r="CH285" s="554" t="s">
        <v>1685</v>
      </c>
      <c r="CI285" s="554" t="s">
        <v>1881</v>
      </c>
    </row>
    <row r="286" spans="32:87" ht="20.100000000000001" customHeight="1">
      <c r="AF286" s="1492"/>
      <c r="AG286" s="251" t="s">
        <v>1220</v>
      </c>
      <c r="AH286" s="280"/>
      <c r="AI286" s="251">
        <f>INDEX('DEFAULT DATA'!$VE$9:$VK$41,START!$C$3,1)</f>
        <v>202</v>
      </c>
      <c r="AJ286" s="195">
        <f>INDEX('DEFAULT DATA'!$YA$9:$YH$41,START!$C$3,2)</f>
        <v>0</v>
      </c>
      <c r="AK286" s="157">
        <v>0</v>
      </c>
      <c r="AL286" s="272">
        <f t="shared" ref="AL286:BN286" si="147">IF(AND(AL$254&gt;($D$78+2020),AL$254&lt;($E$78+2022)),AK286+($AI$286*$AJ$286*((100-$F$78)/100)*ROUND($B$78/($E$78-$D$78+1),0)/1000000),AK286)</f>
        <v>0</v>
      </c>
      <c r="AM286" s="272">
        <f t="shared" si="147"/>
        <v>0</v>
      </c>
      <c r="AN286" s="272">
        <f t="shared" si="147"/>
        <v>0</v>
      </c>
      <c r="AO286" s="272">
        <f t="shared" si="147"/>
        <v>0</v>
      </c>
      <c r="AP286" s="272">
        <f t="shared" si="147"/>
        <v>0</v>
      </c>
      <c r="AQ286" s="272">
        <f t="shared" si="147"/>
        <v>0</v>
      </c>
      <c r="AR286" s="272">
        <f t="shared" si="147"/>
        <v>0</v>
      </c>
      <c r="AS286" s="272">
        <f t="shared" si="147"/>
        <v>0</v>
      </c>
      <c r="AT286" s="272">
        <f t="shared" si="147"/>
        <v>0</v>
      </c>
      <c r="AU286" s="272">
        <f t="shared" si="147"/>
        <v>0</v>
      </c>
      <c r="AV286" s="272">
        <f t="shared" si="147"/>
        <v>0</v>
      </c>
      <c r="AW286" s="272">
        <f t="shared" si="147"/>
        <v>0</v>
      </c>
      <c r="AX286" s="272">
        <f t="shared" si="147"/>
        <v>0</v>
      </c>
      <c r="AY286" s="272">
        <f t="shared" si="147"/>
        <v>0</v>
      </c>
      <c r="AZ286" s="272">
        <f t="shared" si="147"/>
        <v>0</v>
      </c>
      <c r="BA286" s="272">
        <f t="shared" si="147"/>
        <v>0</v>
      </c>
      <c r="BB286" s="272">
        <f t="shared" si="147"/>
        <v>0</v>
      </c>
      <c r="BC286" s="272">
        <f t="shared" si="147"/>
        <v>0</v>
      </c>
      <c r="BD286" s="272">
        <f t="shared" si="147"/>
        <v>0</v>
      </c>
      <c r="BE286" s="272">
        <f t="shared" si="147"/>
        <v>0</v>
      </c>
      <c r="BF286" s="272">
        <f t="shared" si="147"/>
        <v>0</v>
      </c>
      <c r="BG286" s="272">
        <f t="shared" si="147"/>
        <v>0</v>
      </c>
      <c r="BH286" s="272">
        <f t="shared" si="147"/>
        <v>0</v>
      </c>
      <c r="BI286" s="272">
        <f t="shared" si="147"/>
        <v>0</v>
      </c>
      <c r="BJ286" s="272">
        <f t="shared" si="147"/>
        <v>0</v>
      </c>
      <c r="BK286" s="272">
        <f t="shared" si="147"/>
        <v>0</v>
      </c>
      <c r="BL286" s="272">
        <f t="shared" si="147"/>
        <v>0</v>
      </c>
      <c r="BM286" s="272">
        <f t="shared" si="147"/>
        <v>0</v>
      </c>
      <c r="BN286" s="324">
        <f t="shared" si="147"/>
        <v>0</v>
      </c>
      <c r="BP286" s="552" t="s">
        <v>1220</v>
      </c>
      <c r="BQ286" s="1482" t="s">
        <v>1930</v>
      </c>
      <c r="BR286" s="1483"/>
      <c r="BS286" s="1483"/>
      <c r="BT286" s="1483"/>
      <c r="BU286" s="1483"/>
      <c r="BV286" s="1483"/>
      <c r="BW286" s="1483"/>
      <c r="BX286" s="1483"/>
      <c r="BY286" s="1483"/>
      <c r="BZ286" s="1483"/>
      <c r="CA286" s="1483"/>
      <c r="CB286" s="1483"/>
      <c r="CC286" s="1483"/>
      <c r="CD286" s="1483"/>
      <c r="CE286" s="1483"/>
      <c r="CF286" s="1483"/>
      <c r="CG286" s="1484"/>
      <c r="CH286" s="554" t="s">
        <v>1694</v>
      </c>
      <c r="CI286" s="554" t="s">
        <v>1248</v>
      </c>
    </row>
    <row r="287" spans="32:87" ht="20.100000000000001" customHeight="1">
      <c r="AF287" s="1492"/>
      <c r="AG287" s="251" t="s">
        <v>1221</v>
      </c>
      <c r="AH287" s="280"/>
      <c r="AI287" s="251">
        <f>INDEX('DEFAULT DATA'!$VE$9:$VK$41,START!$C$3,2)</f>
        <v>279</v>
      </c>
      <c r="AJ287" s="195">
        <f>INDEX('DEFAULT DATA'!$YA$9:$YH$41,START!$C$3,3)</f>
        <v>0</v>
      </c>
      <c r="AK287" s="157">
        <v>0</v>
      </c>
      <c r="AL287" s="272">
        <f t="shared" ref="AL287:BN287" si="148">IF(AND(AL$254&gt;($D$78+2020),AL$254&lt;($E$78+2022)),AK287+($AI$287*$AJ$287*((100-$F$78)/100)*ROUND($B$78/($E$78-$D$78+1),0)/1000000),AK287)</f>
        <v>0</v>
      </c>
      <c r="AM287" s="272">
        <f t="shared" si="148"/>
        <v>0</v>
      </c>
      <c r="AN287" s="272">
        <f t="shared" si="148"/>
        <v>0</v>
      </c>
      <c r="AO287" s="272">
        <f t="shared" si="148"/>
        <v>0</v>
      </c>
      <c r="AP287" s="272">
        <f t="shared" si="148"/>
        <v>0</v>
      </c>
      <c r="AQ287" s="272">
        <f t="shared" si="148"/>
        <v>0</v>
      </c>
      <c r="AR287" s="272">
        <f t="shared" si="148"/>
        <v>0</v>
      </c>
      <c r="AS287" s="272">
        <f t="shared" si="148"/>
        <v>0</v>
      </c>
      <c r="AT287" s="272">
        <f t="shared" si="148"/>
        <v>0</v>
      </c>
      <c r="AU287" s="272">
        <f t="shared" si="148"/>
        <v>0</v>
      </c>
      <c r="AV287" s="272">
        <f t="shared" si="148"/>
        <v>0</v>
      </c>
      <c r="AW287" s="272">
        <f t="shared" si="148"/>
        <v>0</v>
      </c>
      <c r="AX287" s="272">
        <f t="shared" si="148"/>
        <v>0</v>
      </c>
      <c r="AY287" s="272">
        <f t="shared" si="148"/>
        <v>0</v>
      </c>
      <c r="AZ287" s="272">
        <f t="shared" si="148"/>
        <v>0</v>
      </c>
      <c r="BA287" s="272">
        <f t="shared" si="148"/>
        <v>0</v>
      </c>
      <c r="BB287" s="272">
        <f t="shared" si="148"/>
        <v>0</v>
      </c>
      <c r="BC287" s="272">
        <f t="shared" si="148"/>
        <v>0</v>
      </c>
      <c r="BD287" s="272">
        <f t="shared" si="148"/>
        <v>0</v>
      </c>
      <c r="BE287" s="272">
        <f t="shared" si="148"/>
        <v>0</v>
      </c>
      <c r="BF287" s="272">
        <f t="shared" si="148"/>
        <v>0</v>
      </c>
      <c r="BG287" s="272">
        <f t="shared" si="148"/>
        <v>0</v>
      </c>
      <c r="BH287" s="272">
        <f t="shared" si="148"/>
        <v>0</v>
      </c>
      <c r="BI287" s="272">
        <f t="shared" si="148"/>
        <v>0</v>
      </c>
      <c r="BJ287" s="272">
        <f t="shared" si="148"/>
        <v>0</v>
      </c>
      <c r="BK287" s="272">
        <f t="shared" si="148"/>
        <v>0</v>
      </c>
      <c r="BL287" s="272">
        <f t="shared" si="148"/>
        <v>0</v>
      </c>
      <c r="BM287" s="272">
        <f t="shared" si="148"/>
        <v>0</v>
      </c>
      <c r="BN287" s="324">
        <f t="shared" si="148"/>
        <v>0</v>
      </c>
      <c r="BP287" s="552" t="s">
        <v>1221</v>
      </c>
      <c r="BQ287" s="1482" t="s">
        <v>1931</v>
      </c>
      <c r="BR287" s="1483"/>
      <c r="BS287" s="1483"/>
      <c r="BT287" s="1483"/>
      <c r="BU287" s="1483"/>
      <c r="BV287" s="1483"/>
      <c r="BW287" s="1483"/>
      <c r="BX287" s="1483"/>
      <c r="BY287" s="1483"/>
      <c r="BZ287" s="1483"/>
      <c r="CA287" s="1483"/>
      <c r="CB287" s="1483"/>
      <c r="CC287" s="1483"/>
      <c r="CD287" s="1483"/>
      <c r="CE287" s="1483"/>
      <c r="CF287" s="1483"/>
      <c r="CG287" s="1484"/>
      <c r="CH287" s="554" t="s">
        <v>1695</v>
      </c>
      <c r="CI287" s="554" t="s">
        <v>1621</v>
      </c>
    </row>
    <row r="288" spans="32:87" ht="20.100000000000001" customHeight="1">
      <c r="AF288" s="1492"/>
      <c r="AG288" s="251" t="s">
        <v>1222</v>
      </c>
      <c r="AH288" s="280"/>
      <c r="AI288" s="251">
        <f>INDEX('DEFAULT DATA'!$VE$9:$VK$41,START!$C$3,3)</f>
        <v>354</v>
      </c>
      <c r="AJ288" s="195">
        <f>INDEX('DEFAULT DATA'!$YA$9:$YH$41,START!$C$3,4)</f>
        <v>0</v>
      </c>
      <c r="AK288" s="157">
        <v>0</v>
      </c>
      <c r="AL288" s="272">
        <f t="shared" ref="AL288:BN288" si="149">IF(AND(AL$254&gt;($D$78+2020),AL$254&lt;($E$78+2022)),AK288+($AI$288*$AJ$288*((100-$F$78)/100)*ROUND($B$78/($E$78-$D$78+1),0)/1000000),AK288)</f>
        <v>0</v>
      </c>
      <c r="AM288" s="272">
        <f t="shared" si="149"/>
        <v>0</v>
      </c>
      <c r="AN288" s="272">
        <f t="shared" si="149"/>
        <v>0</v>
      </c>
      <c r="AO288" s="272">
        <f t="shared" si="149"/>
        <v>0</v>
      </c>
      <c r="AP288" s="272">
        <f t="shared" si="149"/>
        <v>0</v>
      </c>
      <c r="AQ288" s="272">
        <f t="shared" si="149"/>
        <v>0</v>
      </c>
      <c r="AR288" s="272">
        <f t="shared" si="149"/>
        <v>0</v>
      </c>
      <c r="AS288" s="272">
        <f t="shared" si="149"/>
        <v>0</v>
      </c>
      <c r="AT288" s="272">
        <f t="shared" si="149"/>
        <v>0</v>
      </c>
      <c r="AU288" s="272">
        <f t="shared" si="149"/>
        <v>0</v>
      </c>
      <c r="AV288" s="272">
        <f t="shared" si="149"/>
        <v>0</v>
      </c>
      <c r="AW288" s="272">
        <f t="shared" si="149"/>
        <v>0</v>
      </c>
      <c r="AX288" s="272">
        <f t="shared" si="149"/>
        <v>0</v>
      </c>
      <c r="AY288" s="272">
        <f t="shared" si="149"/>
        <v>0</v>
      </c>
      <c r="AZ288" s="272">
        <f t="shared" si="149"/>
        <v>0</v>
      </c>
      <c r="BA288" s="272">
        <f t="shared" si="149"/>
        <v>0</v>
      </c>
      <c r="BB288" s="272">
        <f t="shared" si="149"/>
        <v>0</v>
      </c>
      <c r="BC288" s="272">
        <f t="shared" si="149"/>
        <v>0</v>
      </c>
      <c r="BD288" s="272">
        <f t="shared" si="149"/>
        <v>0</v>
      </c>
      <c r="BE288" s="272">
        <f t="shared" si="149"/>
        <v>0</v>
      </c>
      <c r="BF288" s="272">
        <f t="shared" si="149"/>
        <v>0</v>
      </c>
      <c r="BG288" s="272">
        <f t="shared" si="149"/>
        <v>0</v>
      </c>
      <c r="BH288" s="272">
        <f t="shared" si="149"/>
        <v>0</v>
      </c>
      <c r="BI288" s="272">
        <f t="shared" si="149"/>
        <v>0</v>
      </c>
      <c r="BJ288" s="272">
        <f t="shared" si="149"/>
        <v>0</v>
      </c>
      <c r="BK288" s="272">
        <f t="shared" si="149"/>
        <v>0</v>
      </c>
      <c r="BL288" s="272">
        <f t="shared" si="149"/>
        <v>0</v>
      </c>
      <c r="BM288" s="272">
        <f t="shared" si="149"/>
        <v>0</v>
      </c>
      <c r="BN288" s="324">
        <f t="shared" si="149"/>
        <v>0</v>
      </c>
      <c r="BP288" s="552" t="s">
        <v>1222</v>
      </c>
      <c r="BQ288" s="1482" t="s">
        <v>1932</v>
      </c>
      <c r="BR288" s="1483"/>
      <c r="BS288" s="1483"/>
      <c r="BT288" s="1483"/>
      <c r="BU288" s="1483"/>
      <c r="BV288" s="1483"/>
      <c r="BW288" s="1483"/>
      <c r="BX288" s="1483"/>
      <c r="BY288" s="1483"/>
      <c r="BZ288" s="1483"/>
      <c r="CA288" s="1483"/>
      <c r="CB288" s="1483"/>
      <c r="CC288" s="1483"/>
      <c r="CD288" s="1483"/>
      <c r="CE288" s="1483"/>
      <c r="CF288" s="1483"/>
      <c r="CG288" s="1484"/>
      <c r="CH288" s="554" t="s">
        <v>1696</v>
      </c>
      <c r="CI288" s="554" t="s">
        <v>1622</v>
      </c>
    </row>
    <row r="289" spans="32:87" ht="20.100000000000001" customHeight="1">
      <c r="AF289" s="1492"/>
      <c r="AG289" s="251" t="s">
        <v>1223</v>
      </c>
      <c r="AH289" s="280"/>
      <c r="AI289" s="251">
        <f>INDEX('DEFAULT DATA'!$VE$9:$VK$41,START!$C$3,4)</f>
        <v>0</v>
      </c>
      <c r="AJ289" s="195">
        <f>INDEX('DEFAULT DATA'!$YA$9:$YH$41,START!$C$3,5)</f>
        <v>0</v>
      </c>
      <c r="AK289" s="157">
        <v>0</v>
      </c>
      <c r="AL289" s="272">
        <f t="shared" ref="AL289:BN289" si="150">IF(AND(AL$254&gt;($D$78+2020),AL$254&lt;($E$78+2022)),AK289+($AI$289*$AJ$289*((100-$F$78)/100)*ROUND($B$78/($E$78-$D$78+1),0)/1000000),AK289)</f>
        <v>0</v>
      </c>
      <c r="AM289" s="272">
        <f t="shared" si="150"/>
        <v>0</v>
      </c>
      <c r="AN289" s="272">
        <f t="shared" si="150"/>
        <v>0</v>
      </c>
      <c r="AO289" s="272">
        <f t="shared" si="150"/>
        <v>0</v>
      </c>
      <c r="AP289" s="272">
        <f t="shared" si="150"/>
        <v>0</v>
      </c>
      <c r="AQ289" s="272">
        <f t="shared" si="150"/>
        <v>0</v>
      </c>
      <c r="AR289" s="272">
        <f t="shared" si="150"/>
        <v>0</v>
      </c>
      <c r="AS289" s="272">
        <f t="shared" si="150"/>
        <v>0</v>
      </c>
      <c r="AT289" s="272">
        <f t="shared" si="150"/>
        <v>0</v>
      </c>
      <c r="AU289" s="272">
        <f t="shared" si="150"/>
        <v>0</v>
      </c>
      <c r="AV289" s="272">
        <f t="shared" si="150"/>
        <v>0</v>
      </c>
      <c r="AW289" s="272">
        <f t="shared" si="150"/>
        <v>0</v>
      </c>
      <c r="AX289" s="272">
        <f t="shared" si="150"/>
        <v>0</v>
      </c>
      <c r="AY289" s="272">
        <f t="shared" si="150"/>
        <v>0</v>
      </c>
      <c r="AZ289" s="272">
        <f t="shared" si="150"/>
        <v>0</v>
      </c>
      <c r="BA289" s="272">
        <f t="shared" si="150"/>
        <v>0</v>
      </c>
      <c r="BB289" s="272">
        <f t="shared" si="150"/>
        <v>0</v>
      </c>
      <c r="BC289" s="272">
        <f t="shared" si="150"/>
        <v>0</v>
      </c>
      <c r="BD289" s="272">
        <f t="shared" si="150"/>
        <v>0</v>
      </c>
      <c r="BE289" s="272">
        <f t="shared" si="150"/>
        <v>0</v>
      </c>
      <c r="BF289" s="272">
        <f t="shared" si="150"/>
        <v>0</v>
      </c>
      <c r="BG289" s="272">
        <f t="shared" si="150"/>
        <v>0</v>
      </c>
      <c r="BH289" s="272">
        <f t="shared" si="150"/>
        <v>0</v>
      </c>
      <c r="BI289" s="272">
        <f t="shared" si="150"/>
        <v>0</v>
      </c>
      <c r="BJ289" s="272">
        <f t="shared" si="150"/>
        <v>0</v>
      </c>
      <c r="BK289" s="272">
        <f t="shared" si="150"/>
        <v>0</v>
      </c>
      <c r="BL289" s="272">
        <f t="shared" si="150"/>
        <v>0</v>
      </c>
      <c r="BM289" s="272">
        <f t="shared" si="150"/>
        <v>0</v>
      </c>
      <c r="BN289" s="324">
        <f t="shared" si="150"/>
        <v>0</v>
      </c>
      <c r="BP289" s="552" t="s">
        <v>1223</v>
      </c>
      <c r="BQ289" s="1482" t="s">
        <v>1933</v>
      </c>
      <c r="BR289" s="1483"/>
      <c r="BS289" s="1483"/>
      <c r="BT289" s="1483"/>
      <c r="BU289" s="1483"/>
      <c r="BV289" s="1483"/>
      <c r="BW289" s="1483"/>
      <c r="BX289" s="1483"/>
      <c r="BY289" s="1483"/>
      <c r="BZ289" s="1483"/>
      <c r="CA289" s="1483"/>
      <c r="CB289" s="1483"/>
      <c r="CC289" s="1483"/>
      <c r="CD289" s="1483"/>
      <c r="CE289" s="1483"/>
      <c r="CF289" s="1483"/>
      <c r="CG289" s="1484"/>
      <c r="CH289" s="554" t="s">
        <v>1697</v>
      </c>
      <c r="CI289" s="554" t="s">
        <v>1623</v>
      </c>
    </row>
    <row r="290" spans="32:87" ht="20.100000000000001" customHeight="1">
      <c r="AF290" s="1492"/>
      <c r="AG290" s="251" t="s">
        <v>1224</v>
      </c>
      <c r="AH290" s="280"/>
      <c r="AI290" s="251">
        <f>INDEX('DEFAULT DATA'!$VE$9:$VK$41,START!$C$3,5)</f>
        <v>403</v>
      </c>
      <c r="AJ290" s="195">
        <f>INDEX('DEFAULT DATA'!$YA$9:$YH$41,START!$C$3,6)</f>
        <v>0</v>
      </c>
      <c r="AK290" s="157">
        <v>0</v>
      </c>
      <c r="AL290" s="272">
        <f t="shared" ref="AL290:BN290" si="151">IF(AND(AL$254&gt;($D$78+2020),AL$254&lt;($E$78+2022)),AK290+($AI$290*$AJ$290*((100-$F$78)/100)*ROUND($B$78/($E$78-$D$78+1),0)/1000000),AK290)</f>
        <v>0</v>
      </c>
      <c r="AM290" s="272">
        <f t="shared" si="151"/>
        <v>0</v>
      </c>
      <c r="AN290" s="272">
        <f t="shared" si="151"/>
        <v>0</v>
      </c>
      <c r="AO290" s="272">
        <f t="shared" si="151"/>
        <v>0</v>
      </c>
      <c r="AP290" s="272">
        <f t="shared" si="151"/>
        <v>0</v>
      </c>
      <c r="AQ290" s="272">
        <f t="shared" si="151"/>
        <v>0</v>
      </c>
      <c r="AR290" s="272">
        <f t="shared" si="151"/>
        <v>0</v>
      </c>
      <c r="AS290" s="272">
        <f t="shared" si="151"/>
        <v>0</v>
      </c>
      <c r="AT290" s="272">
        <f t="shared" si="151"/>
        <v>0</v>
      </c>
      <c r="AU290" s="272">
        <f t="shared" si="151"/>
        <v>0</v>
      </c>
      <c r="AV290" s="272">
        <f t="shared" si="151"/>
        <v>0</v>
      </c>
      <c r="AW290" s="272">
        <f t="shared" si="151"/>
        <v>0</v>
      </c>
      <c r="AX290" s="272">
        <f t="shared" si="151"/>
        <v>0</v>
      </c>
      <c r="AY290" s="272">
        <f t="shared" si="151"/>
        <v>0</v>
      </c>
      <c r="AZ290" s="272">
        <f t="shared" si="151"/>
        <v>0</v>
      </c>
      <c r="BA290" s="272">
        <f t="shared" si="151"/>
        <v>0</v>
      </c>
      <c r="BB290" s="272">
        <f t="shared" si="151"/>
        <v>0</v>
      </c>
      <c r="BC290" s="272">
        <f t="shared" si="151"/>
        <v>0</v>
      </c>
      <c r="BD290" s="272">
        <f t="shared" si="151"/>
        <v>0</v>
      </c>
      <c r="BE290" s="272">
        <f t="shared" si="151"/>
        <v>0</v>
      </c>
      <c r="BF290" s="272">
        <f t="shared" si="151"/>
        <v>0</v>
      </c>
      <c r="BG290" s="272">
        <f t="shared" si="151"/>
        <v>0</v>
      </c>
      <c r="BH290" s="272">
        <f t="shared" si="151"/>
        <v>0</v>
      </c>
      <c r="BI290" s="272">
        <f t="shared" si="151"/>
        <v>0</v>
      </c>
      <c r="BJ290" s="272">
        <f t="shared" si="151"/>
        <v>0</v>
      </c>
      <c r="BK290" s="272">
        <f t="shared" si="151"/>
        <v>0</v>
      </c>
      <c r="BL290" s="272">
        <f t="shared" si="151"/>
        <v>0</v>
      </c>
      <c r="BM290" s="272">
        <f t="shared" si="151"/>
        <v>0</v>
      </c>
      <c r="BN290" s="324">
        <f t="shared" si="151"/>
        <v>0</v>
      </c>
      <c r="BP290" s="552" t="s">
        <v>1224</v>
      </c>
      <c r="BQ290" s="1482" t="s">
        <v>1934</v>
      </c>
      <c r="BR290" s="1483"/>
      <c r="BS290" s="1483"/>
      <c r="BT290" s="1483"/>
      <c r="BU290" s="1483"/>
      <c r="BV290" s="1483"/>
      <c r="BW290" s="1483"/>
      <c r="BX290" s="1483"/>
      <c r="BY290" s="1483"/>
      <c r="BZ290" s="1483"/>
      <c r="CA290" s="1483"/>
      <c r="CB290" s="1483"/>
      <c r="CC290" s="1483"/>
      <c r="CD290" s="1483"/>
      <c r="CE290" s="1483"/>
      <c r="CF290" s="1483"/>
      <c r="CG290" s="1484"/>
      <c r="CH290" s="554" t="s">
        <v>1698</v>
      </c>
      <c r="CI290" s="554" t="s">
        <v>1624</v>
      </c>
    </row>
    <row r="291" spans="32:87" ht="20.100000000000001" customHeight="1">
      <c r="AF291" s="1492"/>
      <c r="AG291" s="251" t="s">
        <v>1225</v>
      </c>
      <c r="AH291" s="280"/>
      <c r="AI291" s="251">
        <f>INDEX('DEFAULT DATA'!$VE$9:$VK$41,START!$C$3,6)</f>
        <v>0</v>
      </c>
      <c r="AJ291" s="195">
        <f>INDEX('DEFAULT DATA'!$YA$9:$YH$41,START!$C$3,7)</f>
        <v>2114.3204270539118</v>
      </c>
      <c r="AK291" s="157">
        <v>0</v>
      </c>
      <c r="AL291" s="272">
        <f t="shared" ref="AL291:BN291" si="152">IF(AND(AL$254&gt;($D$78+2020),AL$254&lt;($E$78+2022)),AK291+($AI$291*$AJ$291*((100-$F$78)/100)*ROUND($B$78/($E$78-$D$78+1),0)/1000000),AK291)</f>
        <v>0</v>
      </c>
      <c r="AM291" s="272">
        <f t="shared" si="152"/>
        <v>0</v>
      </c>
      <c r="AN291" s="272">
        <f t="shared" si="152"/>
        <v>0</v>
      </c>
      <c r="AO291" s="272">
        <f t="shared" si="152"/>
        <v>0</v>
      </c>
      <c r="AP291" s="272">
        <f t="shared" si="152"/>
        <v>0</v>
      </c>
      <c r="AQ291" s="272">
        <f t="shared" si="152"/>
        <v>0</v>
      </c>
      <c r="AR291" s="272">
        <f t="shared" si="152"/>
        <v>0</v>
      </c>
      <c r="AS291" s="272">
        <f t="shared" si="152"/>
        <v>0</v>
      </c>
      <c r="AT291" s="272">
        <f t="shared" si="152"/>
        <v>0</v>
      </c>
      <c r="AU291" s="272">
        <f t="shared" si="152"/>
        <v>0</v>
      </c>
      <c r="AV291" s="272">
        <f t="shared" si="152"/>
        <v>0</v>
      </c>
      <c r="AW291" s="272">
        <f t="shared" si="152"/>
        <v>0</v>
      </c>
      <c r="AX291" s="272">
        <f t="shared" si="152"/>
        <v>0</v>
      </c>
      <c r="AY291" s="272">
        <f t="shared" si="152"/>
        <v>0</v>
      </c>
      <c r="AZ291" s="272">
        <f t="shared" si="152"/>
        <v>0</v>
      </c>
      <c r="BA291" s="272">
        <f t="shared" si="152"/>
        <v>0</v>
      </c>
      <c r="BB291" s="272">
        <f t="shared" si="152"/>
        <v>0</v>
      </c>
      <c r="BC291" s="272">
        <f t="shared" si="152"/>
        <v>0</v>
      </c>
      <c r="BD291" s="272">
        <f t="shared" si="152"/>
        <v>0</v>
      </c>
      <c r="BE291" s="272">
        <f t="shared" si="152"/>
        <v>0</v>
      </c>
      <c r="BF291" s="272">
        <f t="shared" si="152"/>
        <v>0</v>
      </c>
      <c r="BG291" s="272">
        <f t="shared" si="152"/>
        <v>0</v>
      </c>
      <c r="BH291" s="272">
        <f t="shared" si="152"/>
        <v>0</v>
      </c>
      <c r="BI291" s="272">
        <f t="shared" si="152"/>
        <v>0</v>
      </c>
      <c r="BJ291" s="272">
        <f t="shared" si="152"/>
        <v>0</v>
      </c>
      <c r="BK291" s="272">
        <f t="shared" si="152"/>
        <v>0</v>
      </c>
      <c r="BL291" s="272">
        <f t="shared" si="152"/>
        <v>0</v>
      </c>
      <c r="BM291" s="272">
        <f t="shared" si="152"/>
        <v>0</v>
      </c>
      <c r="BN291" s="324">
        <f t="shared" si="152"/>
        <v>0</v>
      </c>
      <c r="BP291" s="552" t="s">
        <v>1225</v>
      </c>
      <c r="BQ291" s="1482" t="s">
        <v>1935</v>
      </c>
      <c r="BR291" s="1483"/>
      <c r="BS291" s="1483"/>
      <c r="BT291" s="1483"/>
      <c r="BU291" s="1483"/>
      <c r="BV291" s="1483"/>
      <c r="BW291" s="1483"/>
      <c r="BX291" s="1483"/>
      <c r="BY291" s="1483"/>
      <c r="BZ291" s="1483"/>
      <c r="CA291" s="1483"/>
      <c r="CB291" s="1483"/>
      <c r="CC291" s="1483"/>
      <c r="CD291" s="1483"/>
      <c r="CE291" s="1483"/>
      <c r="CF291" s="1483"/>
      <c r="CG291" s="1484"/>
      <c r="CH291" s="554" t="s">
        <v>1699</v>
      </c>
      <c r="CI291" s="554" t="s">
        <v>1625</v>
      </c>
    </row>
    <row r="292" spans="32:87" ht="20.100000000000001" customHeight="1" thickBot="1">
      <c r="AF292" s="1493"/>
      <c r="AG292" s="310" t="s">
        <v>1226</v>
      </c>
      <c r="AH292" s="288"/>
      <c r="AI292" s="310" t="s">
        <v>1497</v>
      </c>
      <c r="AJ292" s="260">
        <f>INDEX('DEFAULT DATA'!$YA$9:$YH$41,START!$C$3,8)</f>
        <v>2537.1845124646939</v>
      </c>
      <c r="AK292" s="158">
        <v>0</v>
      </c>
      <c r="AL292" s="325">
        <f t="shared" ref="AL292:BN292" si="153">IF(AND(AL$254&gt;($D$78+2020),AL$254&lt;($E$78+2022)),AK292+(AL$6*$AJ$292*((100-$F$78)/100)*ROUND($B$78/($E$78-$D$78+1),0)/1000000),AK292)</f>
        <v>0</v>
      </c>
      <c r="AM292" s="325">
        <f t="shared" si="153"/>
        <v>0</v>
      </c>
      <c r="AN292" s="325">
        <f t="shared" si="153"/>
        <v>0</v>
      </c>
      <c r="AO292" s="325">
        <f t="shared" si="153"/>
        <v>0</v>
      </c>
      <c r="AP292" s="325">
        <f t="shared" si="153"/>
        <v>0</v>
      </c>
      <c r="AQ292" s="325">
        <f t="shared" si="153"/>
        <v>0</v>
      </c>
      <c r="AR292" s="325">
        <f t="shared" si="153"/>
        <v>0</v>
      </c>
      <c r="AS292" s="325">
        <f t="shared" si="153"/>
        <v>0</v>
      </c>
      <c r="AT292" s="325">
        <f t="shared" si="153"/>
        <v>0</v>
      </c>
      <c r="AU292" s="325">
        <f t="shared" si="153"/>
        <v>0</v>
      </c>
      <c r="AV292" s="325">
        <f t="shared" si="153"/>
        <v>0</v>
      </c>
      <c r="AW292" s="325">
        <f t="shared" si="153"/>
        <v>0</v>
      </c>
      <c r="AX292" s="325">
        <f t="shared" si="153"/>
        <v>0</v>
      </c>
      <c r="AY292" s="325">
        <f t="shared" si="153"/>
        <v>0</v>
      </c>
      <c r="AZ292" s="325">
        <f t="shared" si="153"/>
        <v>0</v>
      </c>
      <c r="BA292" s="325">
        <f t="shared" si="153"/>
        <v>0</v>
      </c>
      <c r="BB292" s="325">
        <f t="shared" si="153"/>
        <v>0</v>
      </c>
      <c r="BC292" s="325">
        <f t="shared" si="153"/>
        <v>0</v>
      </c>
      <c r="BD292" s="325">
        <f t="shared" si="153"/>
        <v>0</v>
      </c>
      <c r="BE292" s="325">
        <f t="shared" si="153"/>
        <v>0</v>
      </c>
      <c r="BF292" s="325">
        <f t="shared" si="153"/>
        <v>0</v>
      </c>
      <c r="BG292" s="325">
        <f t="shared" si="153"/>
        <v>0</v>
      </c>
      <c r="BH292" s="325">
        <f t="shared" si="153"/>
        <v>0</v>
      </c>
      <c r="BI292" s="325">
        <f t="shared" si="153"/>
        <v>0</v>
      </c>
      <c r="BJ292" s="325">
        <f t="shared" si="153"/>
        <v>0</v>
      </c>
      <c r="BK292" s="325">
        <f t="shared" si="153"/>
        <v>0</v>
      </c>
      <c r="BL292" s="325">
        <f t="shared" si="153"/>
        <v>0</v>
      </c>
      <c r="BM292" s="325">
        <f t="shared" si="153"/>
        <v>0</v>
      </c>
      <c r="BN292" s="326">
        <f t="shared" si="153"/>
        <v>0</v>
      </c>
      <c r="BP292" s="552" t="s">
        <v>1226</v>
      </c>
      <c r="BQ292" s="1482" t="s">
        <v>1936</v>
      </c>
      <c r="BR292" s="1483"/>
      <c r="BS292" s="1483"/>
      <c r="BT292" s="1483"/>
      <c r="BU292" s="1483"/>
      <c r="BV292" s="1483"/>
      <c r="BW292" s="1483"/>
      <c r="BX292" s="1483"/>
      <c r="BY292" s="1483"/>
      <c r="BZ292" s="1483"/>
      <c r="CA292" s="1483"/>
      <c r="CB292" s="1483"/>
      <c r="CC292" s="1483"/>
      <c r="CD292" s="1483"/>
      <c r="CE292" s="1483"/>
      <c r="CF292" s="1483"/>
      <c r="CG292" s="1484"/>
      <c r="CH292" s="554" t="s">
        <v>1700</v>
      </c>
      <c r="CI292" s="554" t="s">
        <v>1882</v>
      </c>
    </row>
    <row r="293" spans="32:87" ht="20.100000000000001" customHeight="1">
      <c r="AF293" s="289"/>
      <c r="AG293" s="285" t="s">
        <v>1457</v>
      </c>
      <c r="AH293" s="285"/>
      <c r="AI293" s="285"/>
      <c r="AJ293" s="285"/>
      <c r="AK293" s="338">
        <f>SUM(AK285:AK292)</f>
        <v>0</v>
      </c>
      <c r="AL293" s="327">
        <f>SUM(AL285:AL292)</f>
        <v>0</v>
      </c>
      <c r="AM293" s="327">
        <f t="shared" ref="AM293:BN293" si="154">SUM(AM285:AM292)</f>
        <v>0</v>
      </c>
      <c r="AN293" s="327">
        <f t="shared" si="154"/>
        <v>0</v>
      </c>
      <c r="AO293" s="327">
        <f t="shared" si="154"/>
        <v>0</v>
      </c>
      <c r="AP293" s="327">
        <f t="shared" si="154"/>
        <v>0</v>
      </c>
      <c r="AQ293" s="327">
        <f t="shared" si="154"/>
        <v>0</v>
      </c>
      <c r="AR293" s="327">
        <f t="shared" si="154"/>
        <v>0</v>
      </c>
      <c r="AS293" s="327">
        <f t="shared" si="154"/>
        <v>0</v>
      </c>
      <c r="AT293" s="327">
        <f t="shared" si="154"/>
        <v>0</v>
      </c>
      <c r="AU293" s="327">
        <f t="shared" si="154"/>
        <v>0</v>
      </c>
      <c r="AV293" s="327">
        <f t="shared" si="154"/>
        <v>0</v>
      </c>
      <c r="AW293" s="327">
        <f t="shared" si="154"/>
        <v>0</v>
      </c>
      <c r="AX293" s="327">
        <f t="shared" si="154"/>
        <v>0</v>
      </c>
      <c r="AY293" s="327">
        <f t="shared" si="154"/>
        <v>0</v>
      </c>
      <c r="AZ293" s="327">
        <f t="shared" si="154"/>
        <v>0</v>
      </c>
      <c r="BA293" s="327">
        <f t="shared" si="154"/>
        <v>0</v>
      </c>
      <c r="BB293" s="327">
        <f t="shared" si="154"/>
        <v>0</v>
      </c>
      <c r="BC293" s="327">
        <f t="shared" si="154"/>
        <v>0</v>
      </c>
      <c r="BD293" s="327">
        <f t="shared" si="154"/>
        <v>0</v>
      </c>
      <c r="BE293" s="327">
        <f t="shared" si="154"/>
        <v>0</v>
      </c>
      <c r="BF293" s="327">
        <f t="shared" si="154"/>
        <v>0</v>
      </c>
      <c r="BG293" s="327">
        <f t="shared" si="154"/>
        <v>0</v>
      </c>
      <c r="BH293" s="327">
        <f t="shared" si="154"/>
        <v>0</v>
      </c>
      <c r="BI293" s="327">
        <f t="shared" si="154"/>
        <v>0</v>
      </c>
      <c r="BJ293" s="327">
        <f t="shared" si="154"/>
        <v>0</v>
      </c>
      <c r="BK293" s="327">
        <f t="shared" si="154"/>
        <v>0</v>
      </c>
      <c r="BL293" s="327">
        <f t="shared" si="154"/>
        <v>0</v>
      </c>
      <c r="BM293" s="327">
        <f t="shared" si="154"/>
        <v>0</v>
      </c>
      <c r="BN293" s="327">
        <f t="shared" si="154"/>
        <v>0</v>
      </c>
    </row>
    <row r="295" spans="32:87" ht="20.100000000000001" customHeight="1">
      <c r="AF295" s="290" t="s">
        <v>1501</v>
      </c>
    </row>
    <row r="296" spans="32:87" ht="20.100000000000001" customHeight="1" thickBot="1">
      <c r="AF296" s="306" t="s">
        <v>1467</v>
      </c>
      <c r="AG296" s="307"/>
      <c r="AH296" s="307"/>
      <c r="AI296" s="314" t="s">
        <v>977</v>
      </c>
      <c r="AJ296" s="340" t="s">
        <v>1495</v>
      </c>
      <c r="AK296" s="339"/>
      <c r="AL296" s="284">
        <v>2022</v>
      </c>
      <c r="AM296" s="284">
        <f>AL296+1</f>
        <v>2023</v>
      </c>
      <c r="AN296" s="284">
        <f t="shared" ref="AN296" si="155">AM296+1</f>
        <v>2024</v>
      </c>
      <c r="AO296" s="284">
        <f t="shared" ref="AO296" si="156">AN296+1</f>
        <v>2025</v>
      </c>
      <c r="AP296" s="284">
        <f t="shared" ref="AP296" si="157">AO296+1</f>
        <v>2026</v>
      </c>
      <c r="AQ296" s="284">
        <f t="shared" ref="AQ296" si="158">AP296+1</f>
        <v>2027</v>
      </c>
      <c r="AR296" s="284">
        <f t="shared" ref="AR296" si="159">AQ296+1</f>
        <v>2028</v>
      </c>
      <c r="AS296" s="284">
        <f t="shared" ref="AS296" si="160">AR296+1</f>
        <v>2029</v>
      </c>
      <c r="AT296" s="284">
        <f t="shared" ref="AT296" si="161">AS296+1</f>
        <v>2030</v>
      </c>
      <c r="AU296" s="284">
        <f t="shared" ref="AU296" si="162">AT296+1</f>
        <v>2031</v>
      </c>
      <c r="AV296" s="284">
        <f t="shared" ref="AV296" si="163">AU296+1</f>
        <v>2032</v>
      </c>
      <c r="AW296" s="284">
        <f t="shared" ref="AW296" si="164">AV296+1</f>
        <v>2033</v>
      </c>
      <c r="AX296" s="284">
        <f t="shared" ref="AX296" si="165">AW296+1</f>
        <v>2034</v>
      </c>
      <c r="AY296" s="284">
        <f t="shared" ref="AY296" si="166">AX296+1</f>
        <v>2035</v>
      </c>
      <c r="AZ296" s="284">
        <f t="shared" ref="AZ296" si="167">AY296+1</f>
        <v>2036</v>
      </c>
      <c r="BA296" s="284">
        <f t="shared" ref="BA296" si="168">AZ296+1</f>
        <v>2037</v>
      </c>
      <c r="BB296" s="284">
        <f t="shared" ref="BB296" si="169">BA296+1</f>
        <v>2038</v>
      </c>
      <c r="BC296" s="284">
        <f t="shared" ref="BC296" si="170">BB296+1</f>
        <v>2039</v>
      </c>
      <c r="BD296" s="284">
        <f t="shared" ref="BD296" si="171">BC296+1</f>
        <v>2040</v>
      </c>
      <c r="BE296" s="284">
        <f t="shared" ref="BE296" si="172">BD296+1</f>
        <v>2041</v>
      </c>
      <c r="BF296" s="284">
        <f t="shared" ref="BF296" si="173">BE296+1</f>
        <v>2042</v>
      </c>
      <c r="BG296" s="284">
        <f t="shared" ref="BG296" si="174">BF296+1</f>
        <v>2043</v>
      </c>
      <c r="BH296" s="284">
        <f t="shared" ref="BH296" si="175">BG296+1</f>
        <v>2044</v>
      </c>
      <c r="BI296" s="284">
        <f t="shared" ref="BI296" si="176">BH296+1</f>
        <v>2045</v>
      </c>
      <c r="BJ296" s="284">
        <f t="shared" ref="BJ296" si="177">BI296+1</f>
        <v>2046</v>
      </c>
      <c r="BK296" s="284">
        <f t="shared" ref="BK296" si="178">BJ296+1</f>
        <v>2047</v>
      </c>
      <c r="BL296" s="284">
        <f t="shared" ref="BL296" si="179">BK296+1</f>
        <v>2048</v>
      </c>
      <c r="BM296" s="284">
        <f t="shared" ref="BM296" si="180">BL296+1</f>
        <v>2049</v>
      </c>
      <c r="BN296" s="284">
        <f t="shared" ref="BN296" si="181">BM296+1</f>
        <v>2050</v>
      </c>
      <c r="BP296" s="14" t="s">
        <v>1228</v>
      </c>
      <c r="CH296" s="555" t="s">
        <v>1880</v>
      </c>
      <c r="CI296" s="17" t="s">
        <v>1598</v>
      </c>
    </row>
    <row r="297" spans="32:87" ht="20.100000000000001" customHeight="1">
      <c r="AF297" s="1536" t="str">
        <f>AF224</f>
        <v>Retail</v>
      </c>
      <c r="AG297" s="286" t="s">
        <v>933</v>
      </c>
      <c r="AH297" s="287"/>
      <c r="AI297" s="286" t="s">
        <v>1496</v>
      </c>
      <c r="AJ297" s="313">
        <f>INDEX('DEFAULT DATA'!$AGY$9:$AHF$41,START!$C$3,1)</f>
        <v>0</v>
      </c>
      <c r="AK297" s="338">
        <v>0</v>
      </c>
      <c r="AL297" s="322">
        <f t="shared" ref="AL297:BN297" si="182">IF(AND(AL$296&gt;($D$83+2020),AL$296&lt;($E$83+2022)),AK297+(AL$5*$AJ$297*((100-$F$83)/100)*$B$83/($E$83-$D$83+1)/1000000),AK297)</f>
        <v>0</v>
      </c>
      <c r="AM297" s="322">
        <f t="shared" si="182"/>
        <v>0</v>
      </c>
      <c r="AN297" s="322">
        <f t="shared" si="182"/>
        <v>0</v>
      </c>
      <c r="AO297" s="322">
        <f t="shared" si="182"/>
        <v>0</v>
      </c>
      <c r="AP297" s="322">
        <f t="shared" si="182"/>
        <v>0</v>
      </c>
      <c r="AQ297" s="322">
        <f t="shared" si="182"/>
        <v>0</v>
      </c>
      <c r="AR297" s="322">
        <f t="shared" si="182"/>
        <v>0</v>
      </c>
      <c r="AS297" s="322">
        <f t="shared" si="182"/>
        <v>0</v>
      </c>
      <c r="AT297" s="322">
        <f t="shared" si="182"/>
        <v>0</v>
      </c>
      <c r="AU297" s="322">
        <f t="shared" si="182"/>
        <v>0</v>
      </c>
      <c r="AV297" s="322">
        <f t="shared" si="182"/>
        <v>0</v>
      </c>
      <c r="AW297" s="322">
        <f t="shared" si="182"/>
        <v>0</v>
      </c>
      <c r="AX297" s="322">
        <f t="shared" si="182"/>
        <v>0</v>
      </c>
      <c r="AY297" s="322">
        <f t="shared" si="182"/>
        <v>0</v>
      </c>
      <c r="AZ297" s="322">
        <f t="shared" si="182"/>
        <v>0</v>
      </c>
      <c r="BA297" s="322">
        <f t="shared" si="182"/>
        <v>0</v>
      </c>
      <c r="BB297" s="322">
        <f t="shared" si="182"/>
        <v>0</v>
      </c>
      <c r="BC297" s="322">
        <f t="shared" si="182"/>
        <v>0</v>
      </c>
      <c r="BD297" s="322">
        <f t="shared" si="182"/>
        <v>0</v>
      </c>
      <c r="BE297" s="322">
        <f t="shared" si="182"/>
        <v>0</v>
      </c>
      <c r="BF297" s="322">
        <f t="shared" si="182"/>
        <v>0</v>
      </c>
      <c r="BG297" s="322">
        <f t="shared" si="182"/>
        <v>0</v>
      </c>
      <c r="BH297" s="322">
        <f t="shared" si="182"/>
        <v>0</v>
      </c>
      <c r="BI297" s="322">
        <f t="shared" si="182"/>
        <v>0</v>
      </c>
      <c r="BJ297" s="322">
        <f t="shared" si="182"/>
        <v>0</v>
      </c>
      <c r="BK297" s="322">
        <f t="shared" si="182"/>
        <v>0</v>
      </c>
      <c r="BL297" s="322">
        <f t="shared" si="182"/>
        <v>0</v>
      </c>
      <c r="BM297" s="322">
        <f t="shared" si="182"/>
        <v>0</v>
      </c>
      <c r="BN297" s="323">
        <f t="shared" si="182"/>
        <v>0</v>
      </c>
      <c r="BP297" s="552" t="s">
        <v>933</v>
      </c>
      <c r="BQ297" s="1482" t="s">
        <v>1979</v>
      </c>
      <c r="BR297" s="1483"/>
      <c r="BS297" s="1483"/>
      <c r="BT297" s="1483"/>
      <c r="BU297" s="1483"/>
      <c r="BV297" s="1483"/>
      <c r="BW297" s="1483"/>
      <c r="BX297" s="1483"/>
      <c r="BY297" s="1483"/>
      <c r="BZ297" s="1483"/>
      <c r="CA297" s="1483"/>
      <c r="CB297" s="1483"/>
      <c r="CC297" s="1483"/>
      <c r="CD297" s="1483"/>
      <c r="CE297" s="1483"/>
      <c r="CF297" s="1483"/>
      <c r="CG297" s="1484"/>
      <c r="CH297" s="554" t="s">
        <v>1770</v>
      </c>
      <c r="CI297" s="554" t="s">
        <v>1881</v>
      </c>
    </row>
    <row r="298" spans="32:87" ht="20.100000000000001" customHeight="1">
      <c r="AF298" s="1537"/>
      <c r="AG298" s="251" t="s">
        <v>1220</v>
      </c>
      <c r="AH298" s="280"/>
      <c r="AI298" s="251">
        <f>INDEX('DEFAULT DATA'!$VE$9:$VK$41,START!$C$3,1)</f>
        <v>202</v>
      </c>
      <c r="AJ298" s="195">
        <f>INDEX('DEFAULT DATA'!$AGY$9:$AHF$41,START!$C$3,2)</f>
        <v>0</v>
      </c>
      <c r="AK298" s="157">
        <v>0</v>
      </c>
      <c r="AL298" s="272">
        <f t="shared" ref="AL298:BN298" si="183">IF(AND(AL$296&gt;($D$83+2020),AL$296&lt;($E$83+2022)),AK298+($AI$298*$AJ$298*((100-$F$83)/100)*$B$83/($E$83-$D$83+1)/1000000),AK298)</f>
        <v>0</v>
      </c>
      <c r="AM298" s="272">
        <f t="shared" si="183"/>
        <v>0</v>
      </c>
      <c r="AN298" s="272">
        <f t="shared" si="183"/>
        <v>0</v>
      </c>
      <c r="AO298" s="272">
        <f t="shared" si="183"/>
        <v>0</v>
      </c>
      <c r="AP298" s="272">
        <f t="shared" si="183"/>
        <v>0</v>
      </c>
      <c r="AQ298" s="272">
        <f t="shared" si="183"/>
        <v>0</v>
      </c>
      <c r="AR298" s="272">
        <f t="shared" si="183"/>
        <v>0</v>
      </c>
      <c r="AS298" s="272">
        <f t="shared" si="183"/>
        <v>0</v>
      </c>
      <c r="AT298" s="272">
        <f t="shared" si="183"/>
        <v>0</v>
      </c>
      <c r="AU298" s="272">
        <f t="shared" si="183"/>
        <v>0</v>
      </c>
      <c r="AV298" s="272">
        <f t="shared" si="183"/>
        <v>0</v>
      </c>
      <c r="AW298" s="272">
        <f t="shared" si="183"/>
        <v>0</v>
      </c>
      <c r="AX298" s="272">
        <f t="shared" si="183"/>
        <v>0</v>
      </c>
      <c r="AY298" s="272">
        <f t="shared" si="183"/>
        <v>0</v>
      </c>
      <c r="AZ298" s="272">
        <f t="shared" si="183"/>
        <v>0</v>
      </c>
      <c r="BA298" s="272">
        <f t="shared" si="183"/>
        <v>0</v>
      </c>
      <c r="BB298" s="272">
        <f t="shared" si="183"/>
        <v>0</v>
      </c>
      <c r="BC298" s="272">
        <f t="shared" si="183"/>
        <v>0</v>
      </c>
      <c r="BD298" s="272">
        <f t="shared" si="183"/>
        <v>0</v>
      </c>
      <c r="BE298" s="272">
        <f t="shared" si="183"/>
        <v>0</v>
      </c>
      <c r="BF298" s="272">
        <f t="shared" si="183"/>
        <v>0</v>
      </c>
      <c r="BG298" s="272">
        <f t="shared" si="183"/>
        <v>0</v>
      </c>
      <c r="BH298" s="272">
        <f t="shared" si="183"/>
        <v>0</v>
      </c>
      <c r="BI298" s="272">
        <f t="shared" si="183"/>
        <v>0</v>
      </c>
      <c r="BJ298" s="272">
        <f t="shared" si="183"/>
        <v>0</v>
      </c>
      <c r="BK298" s="272">
        <f t="shared" si="183"/>
        <v>0</v>
      </c>
      <c r="BL298" s="272">
        <f t="shared" si="183"/>
        <v>0</v>
      </c>
      <c r="BM298" s="272">
        <f t="shared" si="183"/>
        <v>0</v>
      </c>
      <c r="BN298" s="324">
        <f t="shared" si="183"/>
        <v>0</v>
      </c>
      <c r="BP298" s="552" t="s">
        <v>1220</v>
      </c>
      <c r="BQ298" s="1482" t="s">
        <v>1980</v>
      </c>
      <c r="BR298" s="1483"/>
      <c r="BS298" s="1483"/>
      <c r="BT298" s="1483"/>
      <c r="BU298" s="1483"/>
      <c r="BV298" s="1483"/>
      <c r="BW298" s="1483"/>
      <c r="BX298" s="1483"/>
      <c r="BY298" s="1483"/>
      <c r="BZ298" s="1483"/>
      <c r="CA298" s="1483"/>
      <c r="CB298" s="1483"/>
      <c r="CC298" s="1483"/>
      <c r="CD298" s="1483"/>
      <c r="CE298" s="1483"/>
      <c r="CF298" s="1483"/>
      <c r="CG298" s="1484"/>
      <c r="CH298" s="554" t="s">
        <v>1771</v>
      </c>
      <c r="CI298" s="554" t="s">
        <v>1248</v>
      </c>
    </row>
    <row r="299" spans="32:87" ht="20.100000000000001" customHeight="1">
      <c r="AF299" s="1537"/>
      <c r="AG299" s="251" t="s">
        <v>1221</v>
      </c>
      <c r="AH299" s="280"/>
      <c r="AI299" s="251">
        <f>INDEX('DEFAULT DATA'!$VE$9:$VK$41,START!$C$3,2)</f>
        <v>279</v>
      </c>
      <c r="AJ299" s="195">
        <f>INDEX('DEFAULT DATA'!$AGY$9:$AHF$41,START!$C$3,3)</f>
        <v>0</v>
      </c>
      <c r="AK299" s="157">
        <v>0</v>
      </c>
      <c r="AL299" s="272">
        <f t="shared" ref="AL299:BN299" si="184">IF(AND(AL$296&gt;($D$83+2020),AL$296&lt;($E$83+2022)),AK299+($AI$299*$AJ$299*((100-$F$83)/100)*$B$83/($E$83-$D$83+1)/1000000),AK299)</f>
        <v>0</v>
      </c>
      <c r="AM299" s="272">
        <f t="shared" si="184"/>
        <v>0</v>
      </c>
      <c r="AN299" s="272">
        <f t="shared" si="184"/>
        <v>0</v>
      </c>
      <c r="AO299" s="272">
        <f t="shared" si="184"/>
        <v>0</v>
      </c>
      <c r="AP299" s="272">
        <f t="shared" si="184"/>
        <v>0</v>
      </c>
      <c r="AQ299" s="272">
        <f t="shared" si="184"/>
        <v>0</v>
      </c>
      <c r="AR299" s="272">
        <f t="shared" si="184"/>
        <v>0</v>
      </c>
      <c r="AS299" s="272">
        <f t="shared" si="184"/>
        <v>0</v>
      </c>
      <c r="AT299" s="272">
        <f t="shared" si="184"/>
        <v>0</v>
      </c>
      <c r="AU299" s="272">
        <f t="shared" si="184"/>
        <v>0</v>
      </c>
      <c r="AV299" s="272">
        <f t="shared" si="184"/>
        <v>0</v>
      </c>
      <c r="AW299" s="272">
        <f t="shared" si="184"/>
        <v>0</v>
      </c>
      <c r="AX299" s="272">
        <f t="shared" si="184"/>
        <v>0</v>
      </c>
      <c r="AY299" s="272">
        <f t="shared" si="184"/>
        <v>0</v>
      </c>
      <c r="AZ299" s="272">
        <f t="shared" si="184"/>
        <v>0</v>
      </c>
      <c r="BA299" s="272">
        <f t="shared" si="184"/>
        <v>0</v>
      </c>
      <c r="BB299" s="272">
        <f t="shared" si="184"/>
        <v>0</v>
      </c>
      <c r="BC299" s="272">
        <f t="shared" si="184"/>
        <v>0</v>
      </c>
      <c r="BD299" s="272">
        <f t="shared" si="184"/>
        <v>0</v>
      </c>
      <c r="BE299" s="272">
        <f t="shared" si="184"/>
        <v>0</v>
      </c>
      <c r="BF299" s="272">
        <f t="shared" si="184"/>
        <v>0</v>
      </c>
      <c r="BG299" s="272">
        <f t="shared" si="184"/>
        <v>0</v>
      </c>
      <c r="BH299" s="272">
        <f t="shared" si="184"/>
        <v>0</v>
      </c>
      <c r="BI299" s="272">
        <f t="shared" si="184"/>
        <v>0</v>
      </c>
      <c r="BJ299" s="272">
        <f t="shared" si="184"/>
        <v>0</v>
      </c>
      <c r="BK299" s="272">
        <f t="shared" si="184"/>
        <v>0</v>
      </c>
      <c r="BL299" s="272">
        <f t="shared" si="184"/>
        <v>0</v>
      </c>
      <c r="BM299" s="272">
        <f t="shared" si="184"/>
        <v>0</v>
      </c>
      <c r="BN299" s="324">
        <f t="shared" si="184"/>
        <v>0</v>
      </c>
      <c r="BP299" s="552" t="s">
        <v>1221</v>
      </c>
      <c r="BQ299" s="1482" t="s">
        <v>1981</v>
      </c>
      <c r="BR299" s="1483"/>
      <c r="BS299" s="1483"/>
      <c r="BT299" s="1483"/>
      <c r="BU299" s="1483"/>
      <c r="BV299" s="1483"/>
      <c r="BW299" s="1483"/>
      <c r="BX299" s="1483"/>
      <c r="BY299" s="1483"/>
      <c r="BZ299" s="1483"/>
      <c r="CA299" s="1483"/>
      <c r="CB299" s="1483"/>
      <c r="CC299" s="1483"/>
      <c r="CD299" s="1483"/>
      <c r="CE299" s="1483"/>
      <c r="CF299" s="1483"/>
      <c r="CG299" s="1484"/>
      <c r="CH299" s="554" t="s">
        <v>1772</v>
      </c>
      <c r="CI299" s="554" t="s">
        <v>1621</v>
      </c>
    </row>
    <row r="300" spans="32:87" ht="20.100000000000001" customHeight="1">
      <c r="AF300" s="1537"/>
      <c r="AG300" s="251" t="s">
        <v>1222</v>
      </c>
      <c r="AH300" s="280"/>
      <c r="AI300" s="251">
        <f>INDEX('DEFAULT DATA'!$VE$9:$VK$41,START!$C$3,3)</f>
        <v>354</v>
      </c>
      <c r="AJ300" s="195">
        <f>INDEX('DEFAULT DATA'!$AGY$9:$AHF$41,START!$C$3,4)</f>
        <v>0</v>
      </c>
      <c r="AK300" s="157">
        <v>0</v>
      </c>
      <c r="AL300" s="272">
        <f t="shared" ref="AL300:BN300" si="185">IF(AND(AL$296&gt;($D$83+2020),AL$296&lt;($E$83+2022)),AK300+($AI$300*$AJ$300*((100-$F$83)/100)*$B$83/($E$83-$D$83+1)/1000000),AK300)</f>
        <v>0</v>
      </c>
      <c r="AM300" s="272">
        <f t="shared" si="185"/>
        <v>0</v>
      </c>
      <c r="AN300" s="272">
        <f t="shared" si="185"/>
        <v>0</v>
      </c>
      <c r="AO300" s="272">
        <f t="shared" si="185"/>
        <v>0</v>
      </c>
      <c r="AP300" s="272">
        <f t="shared" si="185"/>
        <v>0</v>
      </c>
      <c r="AQ300" s="272">
        <f t="shared" si="185"/>
        <v>0</v>
      </c>
      <c r="AR300" s="272">
        <f t="shared" si="185"/>
        <v>0</v>
      </c>
      <c r="AS300" s="272">
        <f t="shared" si="185"/>
        <v>0</v>
      </c>
      <c r="AT300" s="272">
        <f t="shared" si="185"/>
        <v>0</v>
      </c>
      <c r="AU300" s="272">
        <f t="shared" si="185"/>
        <v>0</v>
      </c>
      <c r="AV300" s="272">
        <f t="shared" si="185"/>
        <v>0</v>
      </c>
      <c r="AW300" s="272">
        <f t="shared" si="185"/>
        <v>0</v>
      </c>
      <c r="AX300" s="272">
        <f t="shared" si="185"/>
        <v>0</v>
      </c>
      <c r="AY300" s="272">
        <f t="shared" si="185"/>
        <v>0</v>
      </c>
      <c r="AZ300" s="272">
        <f t="shared" si="185"/>
        <v>0</v>
      </c>
      <c r="BA300" s="272">
        <f t="shared" si="185"/>
        <v>0</v>
      </c>
      <c r="BB300" s="272">
        <f t="shared" si="185"/>
        <v>0</v>
      </c>
      <c r="BC300" s="272">
        <f t="shared" si="185"/>
        <v>0</v>
      </c>
      <c r="BD300" s="272">
        <f t="shared" si="185"/>
        <v>0</v>
      </c>
      <c r="BE300" s="272">
        <f t="shared" si="185"/>
        <v>0</v>
      </c>
      <c r="BF300" s="272">
        <f t="shared" si="185"/>
        <v>0</v>
      </c>
      <c r="BG300" s="272">
        <f t="shared" si="185"/>
        <v>0</v>
      </c>
      <c r="BH300" s="272">
        <f t="shared" si="185"/>
        <v>0</v>
      </c>
      <c r="BI300" s="272">
        <f t="shared" si="185"/>
        <v>0</v>
      </c>
      <c r="BJ300" s="272">
        <f t="shared" si="185"/>
        <v>0</v>
      </c>
      <c r="BK300" s="272">
        <f t="shared" si="185"/>
        <v>0</v>
      </c>
      <c r="BL300" s="272">
        <f t="shared" si="185"/>
        <v>0</v>
      </c>
      <c r="BM300" s="272">
        <f t="shared" si="185"/>
        <v>0</v>
      </c>
      <c r="BN300" s="324">
        <f t="shared" si="185"/>
        <v>0</v>
      </c>
      <c r="BP300" s="552" t="s">
        <v>1222</v>
      </c>
      <c r="BQ300" s="1482" t="s">
        <v>1982</v>
      </c>
      <c r="BR300" s="1483"/>
      <c r="BS300" s="1483"/>
      <c r="BT300" s="1483"/>
      <c r="BU300" s="1483"/>
      <c r="BV300" s="1483"/>
      <c r="BW300" s="1483"/>
      <c r="BX300" s="1483"/>
      <c r="BY300" s="1483"/>
      <c r="BZ300" s="1483"/>
      <c r="CA300" s="1483"/>
      <c r="CB300" s="1483"/>
      <c r="CC300" s="1483"/>
      <c r="CD300" s="1483"/>
      <c r="CE300" s="1483"/>
      <c r="CF300" s="1483"/>
      <c r="CG300" s="1484"/>
      <c r="CH300" s="554" t="s">
        <v>1773</v>
      </c>
      <c r="CI300" s="554" t="s">
        <v>1622</v>
      </c>
    </row>
    <row r="301" spans="32:87" ht="20.100000000000001" customHeight="1">
      <c r="AF301" s="1537"/>
      <c r="AG301" s="251" t="s">
        <v>1223</v>
      </c>
      <c r="AH301" s="280"/>
      <c r="AI301" s="251">
        <f>INDEX('DEFAULT DATA'!$VE$9:$VK$41,START!$C$3,4)</f>
        <v>0</v>
      </c>
      <c r="AJ301" s="195">
        <f>INDEX('DEFAULT DATA'!$AGY$9:$AHF$41,START!$C$3,5)</f>
        <v>0</v>
      </c>
      <c r="AK301" s="157">
        <v>0</v>
      </c>
      <c r="AL301" s="272">
        <f t="shared" ref="AL301:BN301" si="186">IF(AND(AL$296&gt;($D$83+2020),AL$296&lt;($E$83+2022)),AK301+($AI$301*$AJ$301*((100-$F$83)/100)*$B$83/($E$83-$D$83+1)/1000000),AK301)</f>
        <v>0</v>
      </c>
      <c r="AM301" s="272">
        <f t="shared" si="186"/>
        <v>0</v>
      </c>
      <c r="AN301" s="272">
        <f t="shared" si="186"/>
        <v>0</v>
      </c>
      <c r="AO301" s="272">
        <f t="shared" si="186"/>
        <v>0</v>
      </c>
      <c r="AP301" s="272">
        <f t="shared" si="186"/>
        <v>0</v>
      </c>
      <c r="AQ301" s="272">
        <f t="shared" si="186"/>
        <v>0</v>
      </c>
      <c r="AR301" s="272">
        <f t="shared" si="186"/>
        <v>0</v>
      </c>
      <c r="AS301" s="272">
        <f t="shared" si="186"/>
        <v>0</v>
      </c>
      <c r="AT301" s="272">
        <f t="shared" si="186"/>
        <v>0</v>
      </c>
      <c r="AU301" s="272">
        <f t="shared" si="186"/>
        <v>0</v>
      </c>
      <c r="AV301" s="272">
        <f t="shared" si="186"/>
        <v>0</v>
      </c>
      <c r="AW301" s="272">
        <f t="shared" si="186"/>
        <v>0</v>
      </c>
      <c r="AX301" s="272">
        <f t="shared" si="186"/>
        <v>0</v>
      </c>
      <c r="AY301" s="272">
        <f t="shared" si="186"/>
        <v>0</v>
      </c>
      <c r="AZ301" s="272">
        <f t="shared" si="186"/>
        <v>0</v>
      </c>
      <c r="BA301" s="272">
        <f t="shared" si="186"/>
        <v>0</v>
      </c>
      <c r="BB301" s="272">
        <f t="shared" si="186"/>
        <v>0</v>
      </c>
      <c r="BC301" s="272">
        <f t="shared" si="186"/>
        <v>0</v>
      </c>
      <c r="BD301" s="272">
        <f t="shared" si="186"/>
        <v>0</v>
      </c>
      <c r="BE301" s="272">
        <f t="shared" si="186"/>
        <v>0</v>
      </c>
      <c r="BF301" s="272">
        <f t="shared" si="186"/>
        <v>0</v>
      </c>
      <c r="BG301" s="272">
        <f t="shared" si="186"/>
        <v>0</v>
      </c>
      <c r="BH301" s="272">
        <f t="shared" si="186"/>
        <v>0</v>
      </c>
      <c r="BI301" s="272">
        <f t="shared" si="186"/>
        <v>0</v>
      </c>
      <c r="BJ301" s="272">
        <f t="shared" si="186"/>
        <v>0</v>
      </c>
      <c r="BK301" s="272">
        <f t="shared" si="186"/>
        <v>0</v>
      </c>
      <c r="BL301" s="272">
        <f t="shared" si="186"/>
        <v>0</v>
      </c>
      <c r="BM301" s="272">
        <f t="shared" si="186"/>
        <v>0</v>
      </c>
      <c r="BN301" s="324">
        <f t="shared" si="186"/>
        <v>0</v>
      </c>
      <c r="BP301" s="552" t="s">
        <v>1223</v>
      </c>
      <c r="BQ301" s="1482" t="s">
        <v>1983</v>
      </c>
      <c r="BR301" s="1483"/>
      <c r="BS301" s="1483"/>
      <c r="BT301" s="1483"/>
      <c r="BU301" s="1483"/>
      <c r="BV301" s="1483"/>
      <c r="BW301" s="1483"/>
      <c r="BX301" s="1483"/>
      <c r="BY301" s="1483"/>
      <c r="BZ301" s="1483"/>
      <c r="CA301" s="1483"/>
      <c r="CB301" s="1483"/>
      <c r="CC301" s="1483"/>
      <c r="CD301" s="1483"/>
      <c r="CE301" s="1483"/>
      <c r="CF301" s="1483"/>
      <c r="CG301" s="1484"/>
      <c r="CH301" s="554" t="s">
        <v>1774</v>
      </c>
      <c r="CI301" s="554" t="s">
        <v>1623</v>
      </c>
    </row>
    <row r="302" spans="32:87" ht="20.100000000000001" customHeight="1">
      <c r="AF302" s="1537"/>
      <c r="AG302" s="251" t="s">
        <v>1224</v>
      </c>
      <c r="AH302" s="280"/>
      <c r="AI302" s="251">
        <f>INDEX('DEFAULT DATA'!$VE$9:$VK$41,START!$C$3,5)</f>
        <v>403</v>
      </c>
      <c r="AJ302" s="195">
        <f>INDEX('DEFAULT DATA'!$AGY$9:$AHF$41,START!$C$3,6)</f>
        <v>0</v>
      </c>
      <c r="AK302" s="157">
        <v>0</v>
      </c>
      <c r="AL302" s="272">
        <f t="shared" ref="AL302:BN302" si="187">IF(AND(AL$296&gt;($D$83+2020),AL$296&lt;($E$83+2022)),AK302+($AI$302*$AJ$302*((100-$F$83)/100)*$B$83/($E$83-$D$83+1)/1000000),AK302)</f>
        <v>0</v>
      </c>
      <c r="AM302" s="272">
        <f t="shared" si="187"/>
        <v>0</v>
      </c>
      <c r="AN302" s="272">
        <f t="shared" si="187"/>
        <v>0</v>
      </c>
      <c r="AO302" s="272">
        <f t="shared" si="187"/>
        <v>0</v>
      </c>
      <c r="AP302" s="272">
        <f t="shared" si="187"/>
        <v>0</v>
      </c>
      <c r="AQ302" s="272">
        <f t="shared" si="187"/>
        <v>0</v>
      </c>
      <c r="AR302" s="272">
        <f t="shared" si="187"/>
        <v>0</v>
      </c>
      <c r="AS302" s="272">
        <f t="shared" si="187"/>
        <v>0</v>
      </c>
      <c r="AT302" s="272">
        <f t="shared" si="187"/>
        <v>0</v>
      </c>
      <c r="AU302" s="272">
        <f t="shared" si="187"/>
        <v>0</v>
      </c>
      <c r="AV302" s="272">
        <f t="shared" si="187"/>
        <v>0</v>
      </c>
      <c r="AW302" s="272">
        <f t="shared" si="187"/>
        <v>0</v>
      </c>
      <c r="AX302" s="272">
        <f t="shared" si="187"/>
        <v>0</v>
      </c>
      <c r="AY302" s="272">
        <f t="shared" si="187"/>
        <v>0</v>
      </c>
      <c r="AZ302" s="272">
        <f t="shared" si="187"/>
        <v>0</v>
      </c>
      <c r="BA302" s="272">
        <f t="shared" si="187"/>
        <v>0</v>
      </c>
      <c r="BB302" s="272">
        <f t="shared" si="187"/>
        <v>0</v>
      </c>
      <c r="BC302" s="272">
        <f t="shared" si="187"/>
        <v>0</v>
      </c>
      <c r="BD302" s="272">
        <f t="shared" si="187"/>
        <v>0</v>
      </c>
      <c r="BE302" s="272">
        <f t="shared" si="187"/>
        <v>0</v>
      </c>
      <c r="BF302" s="272">
        <f t="shared" si="187"/>
        <v>0</v>
      </c>
      <c r="BG302" s="272">
        <f t="shared" si="187"/>
        <v>0</v>
      </c>
      <c r="BH302" s="272">
        <f t="shared" si="187"/>
        <v>0</v>
      </c>
      <c r="BI302" s="272">
        <f t="shared" si="187"/>
        <v>0</v>
      </c>
      <c r="BJ302" s="272">
        <f t="shared" si="187"/>
        <v>0</v>
      </c>
      <c r="BK302" s="272">
        <f t="shared" si="187"/>
        <v>0</v>
      </c>
      <c r="BL302" s="272">
        <f t="shared" si="187"/>
        <v>0</v>
      </c>
      <c r="BM302" s="272">
        <f t="shared" si="187"/>
        <v>0</v>
      </c>
      <c r="BN302" s="324">
        <f t="shared" si="187"/>
        <v>0</v>
      </c>
      <c r="BP302" s="552" t="s">
        <v>1224</v>
      </c>
      <c r="BQ302" s="1482" t="s">
        <v>1984</v>
      </c>
      <c r="BR302" s="1483"/>
      <c r="BS302" s="1483"/>
      <c r="BT302" s="1483"/>
      <c r="BU302" s="1483"/>
      <c r="BV302" s="1483"/>
      <c r="BW302" s="1483"/>
      <c r="BX302" s="1483"/>
      <c r="BY302" s="1483"/>
      <c r="BZ302" s="1483"/>
      <c r="CA302" s="1483"/>
      <c r="CB302" s="1483"/>
      <c r="CC302" s="1483"/>
      <c r="CD302" s="1483"/>
      <c r="CE302" s="1483"/>
      <c r="CF302" s="1483"/>
      <c r="CG302" s="1484"/>
      <c r="CH302" s="554" t="s">
        <v>1775</v>
      </c>
      <c r="CI302" s="554" t="s">
        <v>1624</v>
      </c>
    </row>
    <row r="303" spans="32:87" ht="20.100000000000001" customHeight="1">
      <c r="AF303" s="1537"/>
      <c r="AG303" s="251" t="s">
        <v>1225</v>
      </c>
      <c r="AH303" s="280"/>
      <c r="AI303" s="251">
        <f>INDEX('DEFAULT DATA'!$VE$9:$VK$41,START!$C$3,6)</f>
        <v>0</v>
      </c>
      <c r="AJ303" s="195">
        <f>INDEX('DEFAULT DATA'!$AGY$9:$AHF$41,START!$C$3,7)</f>
        <v>0</v>
      </c>
      <c r="AK303" s="157">
        <v>0</v>
      </c>
      <c r="AL303" s="272">
        <f t="shared" ref="AL303:BN303" si="188">IF(AND(AL$296&gt;($D$83+2020),AL$296&lt;($E$83+2022)),AK303+($AI$303*$AJ$303*((100-$F$83)/100)*$B$83/($E$83-$D$83+1)/1000000),AK303)</f>
        <v>0</v>
      </c>
      <c r="AM303" s="272">
        <f t="shared" si="188"/>
        <v>0</v>
      </c>
      <c r="AN303" s="272">
        <f t="shared" si="188"/>
        <v>0</v>
      </c>
      <c r="AO303" s="272">
        <f t="shared" si="188"/>
        <v>0</v>
      </c>
      <c r="AP303" s="272">
        <f t="shared" si="188"/>
        <v>0</v>
      </c>
      <c r="AQ303" s="272">
        <f t="shared" si="188"/>
        <v>0</v>
      </c>
      <c r="AR303" s="272">
        <f t="shared" si="188"/>
        <v>0</v>
      </c>
      <c r="AS303" s="272">
        <f t="shared" si="188"/>
        <v>0</v>
      </c>
      <c r="AT303" s="272">
        <f t="shared" si="188"/>
        <v>0</v>
      </c>
      <c r="AU303" s="272">
        <f t="shared" si="188"/>
        <v>0</v>
      </c>
      <c r="AV303" s="272">
        <f t="shared" si="188"/>
        <v>0</v>
      </c>
      <c r="AW303" s="272">
        <f t="shared" si="188"/>
        <v>0</v>
      </c>
      <c r="AX303" s="272">
        <f t="shared" si="188"/>
        <v>0</v>
      </c>
      <c r="AY303" s="272">
        <f t="shared" si="188"/>
        <v>0</v>
      </c>
      <c r="AZ303" s="272">
        <f t="shared" si="188"/>
        <v>0</v>
      </c>
      <c r="BA303" s="272">
        <f t="shared" si="188"/>
        <v>0</v>
      </c>
      <c r="BB303" s="272">
        <f t="shared" si="188"/>
        <v>0</v>
      </c>
      <c r="BC303" s="272">
        <f t="shared" si="188"/>
        <v>0</v>
      </c>
      <c r="BD303" s="272">
        <f t="shared" si="188"/>
        <v>0</v>
      </c>
      <c r="BE303" s="272">
        <f t="shared" si="188"/>
        <v>0</v>
      </c>
      <c r="BF303" s="272">
        <f t="shared" si="188"/>
        <v>0</v>
      </c>
      <c r="BG303" s="272">
        <f t="shared" si="188"/>
        <v>0</v>
      </c>
      <c r="BH303" s="272">
        <f t="shared" si="188"/>
        <v>0</v>
      </c>
      <c r="BI303" s="272">
        <f t="shared" si="188"/>
        <v>0</v>
      </c>
      <c r="BJ303" s="272">
        <f t="shared" si="188"/>
        <v>0</v>
      </c>
      <c r="BK303" s="272">
        <f t="shared" si="188"/>
        <v>0</v>
      </c>
      <c r="BL303" s="272">
        <f t="shared" si="188"/>
        <v>0</v>
      </c>
      <c r="BM303" s="272">
        <f t="shared" si="188"/>
        <v>0</v>
      </c>
      <c r="BN303" s="324">
        <f t="shared" si="188"/>
        <v>0</v>
      </c>
      <c r="BP303" s="552" t="s">
        <v>1225</v>
      </c>
      <c r="BQ303" s="1482" t="s">
        <v>1985</v>
      </c>
      <c r="BR303" s="1483"/>
      <c r="BS303" s="1483"/>
      <c r="BT303" s="1483"/>
      <c r="BU303" s="1483"/>
      <c r="BV303" s="1483"/>
      <c r="BW303" s="1483"/>
      <c r="BX303" s="1483"/>
      <c r="BY303" s="1483"/>
      <c r="BZ303" s="1483"/>
      <c r="CA303" s="1483"/>
      <c r="CB303" s="1483"/>
      <c r="CC303" s="1483"/>
      <c r="CD303" s="1483"/>
      <c r="CE303" s="1483"/>
      <c r="CF303" s="1483"/>
      <c r="CG303" s="1484"/>
      <c r="CH303" s="554" t="s">
        <v>1776</v>
      </c>
      <c r="CI303" s="554" t="s">
        <v>1625</v>
      </c>
    </row>
    <row r="304" spans="32:87" ht="20.100000000000001" customHeight="1" thickBot="1">
      <c r="AF304" s="1538"/>
      <c r="AG304" s="310" t="s">
        <v>1226</v>
      </c>
      <c r="AH304" s="288"/>
      <c r="AI304" s="310" t="s">
        <v>1497</v>
      </c>
      <c r="AJ304" s="260">
        <f>INDEX('DEFAULT DATA'!$AGY$9:$AHF$41,START!$C$3,8)</f>
        <v>0</v>
      </c>
      <c r="AK304" s="158">
        <v>0</v>
      </c>
      <c r="AL304" s="325">
        <f t="shared" ref="AL304:BN304" si="189">IF(AND(AL$296&gt;($D$83+2020),AL$296&lt;($E$83+2022)),AK304+(AL$6*$AJ$304*((100-$F$83)/100)*$B$83/($E$83-$D$83+1)/1000000),AK304)</f>
        <v>0</v>
      </c>
      <c r="AM304" s="325">
        <f t="shared" si="189"/>
        <v>0</v>
      </c>
      <c r="AN304" s="325">
        <f t="shared" si="189"/>
        <v>0</v>
      </c>
      <c r="AO304" s="325">
        <f t="shared" si="189"/>
        <v>0</v>
      </c>
      <c r="AP304" s="325">
        <f t="shared" si="189"/>
        <v>0</v>
      </c>
      <c r="AQ304" s="325">
        <f t="shared" si="189"/>
        <v>0</v>
      </c>
      <c r="AR304" s="325">
        <f t="shared" si="189"/>
        <v>0</v>
      </c>
      <c r="AS304" s="325">
        <f t="shared" si="189"/>
        <v>0</v>
      </c>
      <c r="AT304" s="325">
        <f t="shared" si="189"/>
        <v>0</v>
      </c>
      <c r="AU304" s="325">
        <f t="shared" si="189"/>
        <v>0</v>
      </c>
      <c r="AV304" s="325">
        <f t="shared" si="189"/>
        <v>0</v>
      </c>
      <c r="AW304" s="325">
        <f t="shared" si="189"/>
        <v>0</v>
      </c>
      <c r="AX304" s="325">
        <f t="shared" si="189"/>
        <v>0</v>
      </c>
      <c r="AY304" s="325">
        <f t="shared" si="189"/>
        <v>0</v>
      </c>
      <c r="AZ304" s="325">
        <f t="shared" si="189"/>
        <v>0</v>
      </c>
      <c r="BA304" s="325">
        <f t="shared" si="189"/>
        <v>0</v>
      </c>
      <c r="BB304" s="325">
        <f t="shared" si="189"/>
        <v>0</v>
      </c>
      <c r="BC304" s="325">
        <f t="shared" si="189"/>
        <v>0</v>
      </c>
      <c r="BD304" s="325">
        <f t="shared" si="189"/>
        <v>0</v>
      </c>
      <c r="BE304" s="325">
        <f t="shared" si="189"/>
        <v>0</v>
      </c>
      <c r="BF304" s="325">
        <f t="shared" si="189"/>
        <v>0</v>
      </c>
      <c r="BG304" s="325">
        <f t="shared" si="189"/>
        <v>0</v>
      </c>
      <c r="BH304" s="325">
        <f t="shared" si="189"/>
        <v>0</v>
      </c>
      <c r="BI304" s="325">
        <f t="shared" si="189"/>
        <v>0</v>
      </c>
      <c r="BJ304" s="325">
        <f t="shared" si="189"/>
        <v>0</v>
      </c>
      <c r="BK304" s="325">
        <f t="shared" si="189"/>
        <v>0</v>
      </c>
      <c r="BL304" s="325">
        <f t="shared" si="189"/>
        <v>0</v>
      </c>
      <c r="BM304" s="325">
        <f t="shared" si="189"/>
        <v>0</v>
      </c>
      <c r="BN304" s="326">
        <f t="shared" si="189"/>
        <v>0</v>
      </c>
      <c r="BP304" s="552" t="s">
        <v>1226</v>
      </c>
      <c r="BQ304" s="1482" t="s">
        <v>1986</v>
      </c>
      <c r="BR304" s="1483"/>
      <c r="BS304" s="1483"/>
      <c r="BT304" s="1483"/>
      <c r="BU304" s="1483"/>
      <c r="BV304" s="1483"/>
      <c r="BW304" s="1483"/>
      <c r="BX304" s="1483"/>
      <c r="BY304" s="1483"/>
      <c r="BZ304" s="1483"/>
      <c r="CA304" s="1483"/>
      <c r="CB304" s="1483"/>
      <c r="CC304" s="1483"/>
      <c r="CD304" s="1483"/>
      <c r="CE304" s="1483"/>
      <c r="CF304" s="1483"/>
      <c r="CG304" s="1484"/>
      <c r="CH304" s="554" t="s">
        <v>1777</v>
      </c>
      <c r="CI304" s="554" t="s">
        <v>1882</v>
      </c>
    </row>
    <row r="305" spans="32:87" ht="20.100000000000001" customHeight="1">
      <c r="AF305" s="311"/>
      <c r="AG305" s="285" t="s">
        <v>1458</v>
      </c>
      <c r="AH305" s="285"/>
      <c r="AI305" s="285"/>
      <c r="AJ305" s="285"/>
      <c r="AK305" s="338">
        <f>SUM(AK297:AK304)</f>
        <v>0</v>
      </c>
      <c r="AL305" s="327">
        <f>SUM(AL297:AL304)</f>
        <v>0</v>
      </c>
      <c r="AM305" s="327">
        <f t="shared" ref="AM305:BN305" si="190">SUM(AM297:AM304)</f>
        <v>0</v>
      </c>
      <c r="AN305" s="327">
        <f t="shared" si="190"/>
        <v>0</v>
      </c>
      <c r="AO305" s="327">
        <f t="shared" si="190"/>
        <v>0</v>
      </c>
      <c r="AP305" s="327">
        <f t="shared" si="190"/>
        <v>0</v>
      </c>
      <c r="AQ305" s="327">
        <f t="shared" si="190"/>
        <v>0</v>
      </c>
      <c r="AR305" s="327">
        <f t="shared" si="190"/>
        <v>0</v>
      </c>
      <c r="AS305" s="327">
        <f t="shared" si="190"/>
        <v>0</v>
      </c>
      <c r="AT305" s="327">
        <f t="shared" si="190"/>
        <v>0</v>
      </c>
      <c r="AU305" s="327">
        <f t="shared" si="190"/>
        <v>0</v>
      </c>
      <c r="AV305" s="327">
        <f t="shared" si="190"/>
        <v>0</v>
      </c>
      <c r="AW305" s="327">
        <f t="shared" si="190"/>
        <v>0</v>
      </c>
      <c r="AX305" s="327">
        <f t="shared" si="190"/>
        <v>0</v>
      </c>
      <c r="AY305" s="327">
        <f t="shared" si="190"/>
        <v>0</v>
      </c>
      <c r="AZ305" s="327">
        <f t="shared" si="190"/>
        <v>0</v>
      </c>
      <c r="BA305" s="327">
        <f t="shared" si="190"/>
        <v>0</v>
      </c>
      <c r="BB305" s="327">
        <f t="shared" si="190"/>
        <v>0</v>
      </c>
      <c r="BC305" s="327">
        <f t="shared" si="190"/>
        <v>0</v>
      </c>
      <c r="BD305" s="327">
        <f t="shared" si="190"/>
        <v>0</v>
      </c>
      <c r="BE305" s="327">
        <f t="shared" si="190"/>
        <v>0</v>
      </c>
      <c r="BF305" s="327">
        <f t="shared" si="190"/>
        <v>0</v>
      </c>
      <c r="BG305" s="327">
        <f t="shared" si="190"/>
        <v>0</v>
      </c>
      <c r="BH305" s="327">
        <f t="shared" si="190"/>
        <v>0</v>
      </c>
      <c r="BI305" s="327">
        <f t="shared" si="190"/>
        <v>0</v>
      </c>
      <c r="BJ305" s="327">
        <f t="shared" si="190"/>
        <v>0</v>
      </c>
      <c r="BK305" s="327">
        <f t="shared" si="190"/>
        <v>0</v>
      </c>
      <c r="BL305" s="327">
        <f t="shared" si="190"/>
        <v>0</v>
      </c>
      <c r="BM305" s="327">
        <f t="shared" si="190"/>
        <v>0</v>
      </c>
      <c r="BN305" s="327">
        <f t="shared" si="190"/>
        <v>0</v>
      </c>
    </row>
    <row r="306" spans="32:87" ht="20.100000000000001" customHeight="1" thickBot="1">
      <c r="AK306" s="336"/>
      <c r="BP306" s="14" t="s">
        <v>1229</v>
      </c>
      <c r="BQ306" s="14" t="s">
        <v>1987</v>
      </c>
      <c r="BT306" s="14" t="s">
        <v>1988</v>
      </c>
      <c r="CH306" s="555" t="s">
        <v>1880</v>
      </c>
      <c r="CI306" s="17" t="s">
        <v>1598</v>
      </c>
    </row>
    <row r="307" spans="32:87" ht="20.100000000000001" customHeight="1">
      <c r="AF307" s="1491" t="str">
        <f>AF225</f>
        <v>Health</v>
      </c>
      <c r="AG307" s="286" t="s">
        <v>933</v>
      </c>
      <c r="AH307" s="287"/>
      <c r="AI307" s="286" t="s">
        <v>1496</v>
      </c>
      <c r="AJ307" s="313">
        <f>INDEX('DEFAULT DATA'!$AHG$9:$AHN$41,START!$C$3,1)</f>
        <v>0</v>
      </c>
      <c r="AK307" s="338">
        <v>0</v>
      </c>
      <c r="AL307" s="322">
        <f t="shared" ref="AL307:BN307" si="191">IF(AND(AL$296&gt;($D$84+2020),AL$296&lt;($E$84+2022)),AK307+(AL$5*$AJ$307*((100-$F$84)/100)*$B$84/($E$84-$D$84+1)/1000000),AK307)</f>
        <v>0</v>
      </c>
      <c r="AM307" s="322">
        <f t="shared" si="191"/>
        <v>0</v>
      </c>
      <c r="AN307" s="322">
        <f t="shared" si="191"/>
        <v>0</v>
      </c>
      <c r="AO307" s="322">
        <f t="shared" si="191"/>
        <v>0</v>
      </c>
      <c r="AP307" s="322">
        <f t="shared" si="191"/>
        <v>0</v>
      </c>
      <c r="AQ307" s="322">
        <f t="shared" si="191"/>
        <v>0</v>
      </c>
      <c r="AR307" s="322">
        <f t="shared" si="191"/>
        <v>0</v>
      </c>
      <c r="AS307" s="322">
        <f t="shared" si="191"/>
        <v>0</v>
      </c>
      <c r="AT307" s="322">
        <f t="shared" si="191"/>
        <v>0</v>
      </c>
      <c r="AU307" s="322">
        <f t="shared" si="191"/>
        <v>0</v>
      </c>
      <c r="AV307" s="322">
        <f t="shared" si="191"/>
        <v>0</v>
      </c>
      <c r="AW307" s="322">
        <f t="shared" si="191"/>
        <v>0</v>
      </c>
      <c r="AX307" s="322">
        <f t="shared" si="191"/>
        <v>0</v>
      </c>
      <c r="AY307" s="322">
        <f t="shared" si="191"/>
        <v>0</v>
      </c>
      <c r="AZ307" s="322">
        <f t="shared" si="191"/>
        <v>0</v>
      </c>
      <c r="BA307" s="322">
        <f t="shared" si="191"/>
        <v>0</v>
      </c>
      <c r="BB307" s="322">
        <f t="shared" si="191"/>
        <v>0</v>
      </c>
      <c r="BC307" s="322">
        <f t="shared" si="191"/>
        <v>0</v>
      </c>
      <c r="BD307" s="322">
        <f t="shared" si="191"/>
        <v>0</v>
      </c>
      <c r="BE307" s="322">
        <f t="shared" si="191"/>
        <v>0</v>
      </c>
      <c r="BF307" s="322">
        <f t="shared" si="191"/>
        <v>0</v>
      </c>
      <c r="BG307" s="322">
        <f t="shared" si="191"/>
        <v>0</v>
      </c>
      <c r="BH307" s="322">
        <f t="shared" si="191"/>
        <v>0</v>
      </c>
      <c r="BI307" s="322">
        <f t="shared" si="191"/>
        <v>0</v>
      </c>
      <c r="BJ307" s="322">
        <f t="shared" si="191"/>
        <v>0</v>
      </c>
      <c r="BK307" s="322">
        <f t="shared" si="191"/>
        <v>0</v>
      </c>
      <c r="BL307" s="322">
        <f t="shared" si="191"/>
        <v>0</v>
      </c>
      <c r="BM307" s="322">
        <f t="shared" si="191"/>
        <v>0</v>
      </c>
      <c r="BN307" s="323">
        <f t="shared" si="191"/>
        <v>0</v>
      </c>
      <c r="BP307" s="552" t="s">
        <v>933</v>
      </c>
      <c r="BQ307" s="1482" t="s">
        <v>1939</v>
      </c>
      <c r="BR307" s="1483"/>
      <c r="BS307" s="1483"/>
      <c r="BT307" s="1483"/>
      <c r="BU307" s="1483"/>
      <c r="BV307" s="1483"/>
      <c r="BW307" s="1483"/>
      <c r="BX307" s="1483"/>
      <c r="BY307" s="1483"/>
      <c r="BZ307" s="1483"/>
      <c r="CA307" s="1483"/>
      <c r="CB307" s="1483"/>
      <c r="CC307" s="1483"/>
      <c r="CD307" s="1483"/>
      <c r="CE307" s="1483"/>
      <c r="CF307" s="1483"/>
      <c r="CG307" s="1484"/>
      <c r="CH307" s="554" t="s">
        <v>1783</v>
      </c>
      <c r="CI307" s="554" t="s">
        <v>1881</v>
      </c>
    </row>
    <row r="308" spans="32:87" ht="20.100000000000001" customHeight="1">
      <c r="AF308" s="1492"/>
      <c r="AG308" s="251" t="s">
        <v>1220</v>
      </c>
      <c r="AH308" s="280"/>
      <c r="AI308" s="251">
        <f>INDEX('DEFAULT DATA'!$VE$9:$VK$41,START!$C$3,1)</f>
        <v>202</v>
      </c>
      <c r="AJ308" s="195">
        <f>INDEX('DEFAULT DATA'!$AHG$9:$AHN$41,START!$C$3,2)</f>
        <v>0</v>
      </c>
      <c r="AK308" s="157">
        <v>0</v>
      </c>
      <c r="AL308" s="272">
        <f t="shared" ref="AL308:BN308" si="192">IF(AND(AL$296&gt;($D$84+2020),AL$296&lt;($E$84+2022)),AK308+($AI$308*$AJ$308*((100-$F$84)/100)*$B$84/($E$84-$D$84+1)/1000000),AK308)</f>
        <v>0</v>
      </c>
      <c r="AM308" s="272">
        <f t="shared" si="192"/>
        <v>0</v>
      </c>
      <c r="AN308" s="272">
        <f t="shared" si="192"/>
        <v>0</v>
      </c>
      <c r="AO308" s="272">
        <f t="shared" si="192"/>
        <v>0</v>
      </c>
      <c r="AP308" s="272">
        <f t="shared" si="192"/>
        <v>0</v>
      </c>
      <c r="AQ308" s="272">
        <f t="shared" si="192"/>
        <v>0</v>
      </c>
      <c r="AR308" s="272">
        <f t="shared" si="192"/>
        <v>0</v>
      </c>
      <c r="AS308" s="272">
        <f t="shared" si="192"/>
        <v>0</v>
      </c>
      <c r="AT308" s="272">
        <f t="shared" si="192"/>
        <v>0</v>
      </c>
      <c r="AU308" s="272">
        <f t="shared" si="192"/>
        <v>0</v>
      </c>
      <c r="AV308" s="272">
        <f t="shared" si="192"/>
        <v>0</v>
      </c>
      <c r="AW308" s="272">
        <f t="shared" si="192"/>
        <v>0</v>
      </c>
      <c r="AX308" s="272">
        <f t="shared" si="192"/>
        <v>0</v>
      </c>
      <c r="AY308" s="272">
        <f t="shared" si="192"/>
        <v>0</v>
      </c>
      <c r="AZ308" s="272">
        <f t="shared" si="192"/>
        <v>0</v>
      </c>
      <c r="BA308" s="272">
        <f t="shared" si="192"/>
        <v>0</v>
      </c>
      <c r="BB308" s="272">
        <f t="shared" si="192"/>
        <v>0</v>
      </c>
      <c r="BC308" s="272">
        <f t="shared" si="192"/>
        <v>0</v>
      </c>
      <c r="BD308" s="272">
        <f t="shared" si="192"/>
        <v>0</v>
      </c>
      <c r="BE308" s="272">
        <f t="shared" si="192"/>
        <v>0</v>
      </c>
      <c r="BF308" s="272">
        <f t="shared" si="192"/>
        <v>0</v>
      </c>
      <c r="BG308" s="272">
        <f t="shared" si="192"/>
        <v>0</v>
      </c>
      <c r="BH308" s="272">
        <f t="shared" si="192"/>
        <v>0</v>
      </c>
      <c r="BI308" s="272">
        <f t="shared" si="192"/>
        <v>0</v>
      </c>
      <c r="BJ308" s="272">
        <f t="shared" si="192"/>
        <v>0</v>
      </c>
      <c r="BK308" s="272">
        <f t="shared" si="192"/>
        <v>0</v>
      </c>
      <c r="BL308" s="272">
        <f t="shared" si="192"/>
        <v>0</v>
      </c>
      <c r="BM308" s="272">
        <f t="shared" si="192"/>
        <v>0</v>
      </c>
      <c r="BN308" s="324">
        <f t="shared" si="192"/>
        <v>0</v>
      </c>
      <c r="BP308" s="552" t="s">
        <v>1220</v>
      </c>
      <c r="BQ308" s="1482" t="s">
        <v>1940</v>
      </c>
      <c r="BR308" s="1483"/>
      <c r="BS308" s="1483"/>
      <c r="BT308" s="1483"/>
      <c r="BU308" s="1483"/>
      <c r="BV308" s="1483"/>
      <c r="BW308" s="1483"/>
      <c r="BX308" s="1483"/>
      <c r="BY308" s="1483"/>
      <c r="BZ308" s="1483"/>
      <c r="CA308" s="1483"/>
      <c r="CB308" s="1483"/>
      <c r="CC308" s="1483"/>
      <c r="CD308" s="1483"/>
      <c r="CE308" s="1483"/>
      <c r="CF308" s="1483"/>
      <c r="CG308" s="1484"/>
      <c r="CH308" s="554" t="s">
        <v>1784</v>
      </c>
      <c r="CI308" s="554" t="s">
        <v>1248</v>
      </c>
    </row>
    <row r="309" spans="32:87" ht="20.100000000000001" customHeight="1">
      <c r="AF309" s="1492"/>
      <c r="AG309" s="251" t="s">
        <v>1221</v>
      </c>
      <c r="AH309" s="280"/>
      <c r="AI309" s="251">
        <f>INDEX('DEFAULT DATA'!$VE$9:$VK$41,START!$C$3,2)</f>
        <v>279</v>
      </c>
      <c r="AJ309" s="195">
        <f>INDEX('DEFAULT DATA'!$AHG$9:$AHN$41,START!$C$3,3)</f>
        <v>0</v>
      </c>
      <c r="AK309" s="157">
        <v>0</v>
      </c>
      <c r="AL309" s="272">
        <f t="shared" ref="AL309:BN309" si="193">IF(AND(AL$296&gt;($D$84+2020),AL$296&lt;($E$84+2022)),AK309+($AI$309*$AJ$309*((100-$F$84)/100)*$B$84/($E$84-$D$84+1)/1000000),AK309)</f>
        <v>0</v>
      </c>
      <c r="AM309" s="272">
        <f t="shared" si="193"/>
        <v>0</v>
      </c>
      <c r="AN309" s="272">
        <f t="shared" si="193"/>
        <v>0</v>
      </c>
      <c r="AO309" s="272">
        <f t="shared" si="193"/>
        <v>0</v>
      </c>
      <c r="AP309" s="272">
        <f t="shared" si="193"/>
        <v>0</v>
      </c>
      <c r="AQ309" s="272">
        <f t="shared" si="193"/>
        <v>0</v>
      </c>
      <c r="AR309" s="272">
        <f t="shared" si="193"/>
        <v>0</v>
      </c>
      <c r="AS309" s="272">
        <f t="shared" si="193"/>
        <v>0</v>
      </c>
      <c r="AT309" s="272">
        <f t="shared" si="193"/>
        <v>0</v>
      </c>
      <c r="AU309" s="272">
        <f t="shared" si="193"/>
        <v>0</v>
      </c>
      <c r="AV309" s="272">
        <f t="shared" si="193"/>
        <v>0</v>
      </c>
      <c r="AW309" s="272">
        <f t="shared" si="193"/>
        <v>0</v>
      </c>
      <c r="AX309" s="272">
        <f t="shared" si="193"/>
        <v>0</v>
      </c>
      <c r="AY309" s="272">
        <f t="shared" si="193"/>
        <v>0</v>
      </c>
      <c r="AZ309" s="272">
        <f t="shared" si="193"/>
        <v>0</v>
      </c>
      <c r="BA309" s="272">
        <f t="shared" si="193"/>
        <v>0</v>
      </c>
      <c r="BB309" s="272">
        <f t="shared" si="193"/>
        <v>0</v>
      </c>
      <c r="BC309" s="272">
        <f t="shared" si="193"/>
        <v>0</v>
      </c>
      <c r="BD309" s="272">
        <f t="shared" si="193"/>
        <v>0</v>
      </c>
      <c r="BE309" s="272">
        <f t="shared" si="193"/>
        <v>0</v>
      </c>
      <c r="BF309" s="272">
        <f t="shared" si="193"/>
        <v>0</v>
      </c>
      <c r="BG309" s="272">
        <f t="shared" si="193"/>
        <v>0</v>
      </c>
      <c r="BH309" s="272">
        <f t="shared" si="193"/>
        <v>0</v>
      </c>
      <c r="BI309" s="272">
        <f t="shared" si="193"/>
        <v>0</v>
      </c>
      <c r="BJ309" s="272">
        <f t="shared" si="193"/>
        <v>0</v>
      </c>
      <c r="BK309" s="272">
        <f t="shared" si="193"/>
        <v>0</v>
      </c>
      <c r="BL309" s="272">
        <f t="shared" si="193"/>
        <v>0</v>
      </c>
      <c r="BM309" s="272">
        <f t="shared" si="193"/>
        <v>0</v>
      </c>
      <c r="BN309" s="324">
        <f t="shared" si="193"/>
        <v>0</v>
      </c>
      <c r="BP309" s="552" t="s">
        <v>1221</v>
      </c>
      <c r="BQ309" s="1482" t="s">
        <v>1941</v>
      </c>
      <c r="BR309" s="1483"/>
      <c r="BS309" s="1483"/>
      <c r="BT309" s="1483"/>
      <c r="BU309" s="1483"/>
      <c r="BV309" s="1483"/>
      <c r="BW309" s="1483"/>
      <c r="BX309" s="1483"/>
      <c r="BY309" s="1483"/>
      <c r="BZ309" s="1483"/>
      <c r="CA309" s="1483"/>
      <c r="CB309" s="1483"/>
      <c r="CC309" s="1483"/>
      <c r="CD309" s="1483"/>
      <c r="CE309" s="1483"/>
      <c r="CF309" s="1483"/>
      <c r="CG309" s="1484"/>
      <c r="CH309" s="554" t="s">
        <v>1785</v>
      </c>
      <c r="CI309" s="554" t="s">
        <v>1621</v>
      </c>
    </row>
    <row r="310" spans="32:87" ht="20.100000000000001" customHeight="1">
      <c r="AF310" s="1492"/>
      <c r="AG310" s="251" t="s">
        <v>1222</v>
      </c>
      <c r="AH310" s="280"/>
      <c r="AI310" s="251">
        <f>INDEX('DEFAULT DATA'!$VE$9:$VK$41,START!$C$3,3)</f>
        <v>354</v>
      </c>
      <c r="AJ310" s="195">
        <f>INDEX('DEFAULT DATA'!$AHG$9:$AHN$41,START!$C$3,4)</f>
        <v>0</v>
      </c>
      <c r="AK310" s="157">
        <v>0</v>
      </c>
      <c r="AL310" s="272">
        <f t="shared" ref="AL310:BN310" si="194">IF(AND(AL$296&gt;($D$84+2020),AL$296&lt;($E$84+2022)),AK310+($AI$310*$AJ$310*((100-$F$84)/100)*$B$84/($E$84-$D$84+1)/1000000),AK310)</f>
        <v>0</v>
      </c>
      <c r="AM310" s="272">
        <f t="shared" si="194"/>
        <v>0</v>
      </c>
      <c r="AN310" s="272">
        <f t="shared" si="194"/>
        <v>0</v>
      </c>
      <c r="AO310" s="272">
        <f t="shared" si="194"/>
        <v>0</v>
      </c>
      <c r="AP310" s="272">
        <f t="shared" si="194"/>
        <v>0</v>
      </c>
      <c r="AQ310" s="272">
        <f t="shared" si="194"/>
        <v>0</v>
      </c>
      <c r="AR310" s="272">
        <f t="shared" si="194"/>
        <v>0</v>
      </c>
      <c r="AS310" s="272">
        <f t="shared" si="194"/>
        <v>0</v>
      </c>
      <c r="AT310" s="272">
        <f t="shared" si="194"/>
        <v>0</v>
      </c>
      <c r="AU310" s="272">
        <f t="shared" si="194"/>
        <v>0</v>
      </c>
      <c r="AV310" s="272">
        <f t="shared" si="194"/>
        <v>0</v>
      </c>
      <c r="AW310" s="272">
        <f t="shared" si="194"/>
        <v>0</v>
      </c>
      <c r="AX310" s="272">
        <f t="shared" si="194"/>
        <v>0</v>
      </c>
      <c r="AY310" s="272">
        <f t="shared" si="194"/>
        <v>0</v>
      </c>
      <c r="AZ310" s="272">
        <f t="shared" si="194"/>
        <v>0</v>
      </c>
      <c r="BA310" s="272">
        <f t="shared" si="194"/>
        <v>0</v>
      </c>
      <c r="BB310" s="272">
        <f t="shared" si="194"/>
        <v>0</v>
      </c>
      <c r="BC310" s="272">
        <f t="shared" si="194"/>
        <v>0</v>
      </c>
      <c r="BD310" s="272">
        <f t="shared" si="194"/>
        <v>0</v>
      </c>
      <c r="BE310" s="272">
        <f t="shared" si="194"/>
        <v>0</v>
      </c>
      <c r="BF310" s="272">
        <f t="shared" si="194"/>
        <v>0</v>
      </c>
      <c r="BG310" s="272">
        <f t="shared" si="194"/>
        <v>0</v>
      </c>
      <c r="BH310" s="272">
        <f t="shared" si="194"/>
        <v>0</v>
      </c>
      <c r="BI310" s="272">
        <f t="shared" si="194"/>
        <v>0</v>
      </c>
      <c r="BJ310" s="272">
        <f t="shared" si="194"/>
        <v>0</v>
      </c>
      <c r="BK310" s="272">
        <f t="shared" si="194"/>
        <v>0</v>
      </c>
      <c r="BL310" s="272">
        <f t="shared" si="194"/>
        <v>0</v>
      </c>
      <c r="BM310" s="272">
        <f t="shared" si="194"/>
        <v>0</v>
      </c>
      <c r="BN310" s="324">
        <f t="shared" si="194"/>
        <v>0</v>
      </c>
      <c r="BP310" s="552" t="s">
        <v>1222</v>
      </c>
      <c r="BQ310" s="1482" t="s">
        <v>1942</v>
      </c>
      <c r="BR310" s="1483"/>
      <c r="BS310" s="1483"/>
      <c r="BT310" s="1483"/>
      <c r="BU310" s="1483"/>
      <c r="BV310" s="1483"/>
      <c r="BW310" s="1483"/>
      <c r="BX310" s="1483"/>
      <c r="BY310" s="1483"/>
      <c r="BZ310" s="1483"/>
      <c r="CA310" s="1483"/>
      <c r="CB310" s="1483"/>
      <c r="CC310" s="1483"/>
      <c r="CD310" s="1483"/>
      <c r="CE310" s="1483"/>
      <c r="CF310" s="1483"/>
      <c r="CG310" s="1484"/>
      <c r="CH310" s="554" t="s">
        <v>1786</v>
      </c>
      <c r="CI310" s="554" t="s">
        <v>1622</v>
      </c>
    </row>
    <row r="311" spans="32:87" ht="20.100000000000001" customHeight="1">
      <c r="AF311" s="1492"/>
      <c r="AG311" s="251" t="s">
        <v>1223</v>
      </c>
      <c r="AH311" s="280"/>
      <c r="AI311" s="251">
        <f>INDEX('DEFAULT DATA'!$VE$9:$VK$41,START!$C$3,4)</f>
        <v>0</v>
      </c>
      <c r="AJ311" s="195">
        <f>INDEX('DEFAULT DATA'!$AHG$9:$AHN$41,START!$C$3,5)</f>
        <v>0</v>
      </c>
      <c r="AK311" s="157">
        <v>0</v>
      </c>
      <c r="AL311" s="272">
        <f t="shared" ref="AL311:BN311" si="195">IF(AND(AL$296&gt;($D$84+2020),AL$296&lt;($E$84+2022)),AK311+($AI$311*$AJ$311*((100-$F$84)/100)*$B$84/($E$84-$D$84+1)/1000000),AK311)</f>
        <v>0</v>
      </c>
      <c r="AM311" s="272">
        <f t="shared" si="195"/>
        <v>0</v>
      </c>
      <c r="AN311" s="272">
        <f t="shared" si="195"/>
        <v>0</v>
      </c>
      <c r="AO311" s="272">
        <f t="shared" si="195"/>
        <v>0</v>
      </c>
      <c r="AP311" s="272">
        <f t="shared" si="195"/>
        <v>0</v>
      </c>
      <c r="AQ311" s="272">
        <f t="shared" si="195"/>
        <v>0</v>
      </c>
      <c r="AR311" s="272">
        <f t="shared" si="195"/>
        <v>0</v>
      </c>
      <c r="AS311" s="272">
        <f t="shared" si="195"/>
        <v>0</v>
      </c>
      <c r="AT311" s="272">
        <f t="shared" si="195"/>
        <v>0</v>
      </c>
      <c r="AU311" s="272">
        <f t="shared" si="195"/>
        <v>0</v>
      </c>
      <c r="AV311" s="272">
        <f t="shared" si="195"/>
        <v>0</v>
      </c>
      <c r="AW311" s="272">
        <f t="shared" si="195"/>
        <v>0</v>
      </c>
      <c r="AX311" s="272">
        <f t="shared" si="195"/>
        <v>0</v>
      </c>
      <c r="AY311" s="272">
        <f t="shared" si="195"/>
        <v>0</v>
      </c>
      <c r="AZ311" s="272">
        <f t="shared" si="195"/>
        <v>0</v>
      </c>
      <c r="BA311" s="272">
        <f t="shared" si="195"/>
        <v>0</v>
      </c>
      <c r="BB311" s="272">
        <f t="shared" si="195"/>
        <v>0</v>
      </c>
      <c r="BC311" s="272">
        <f t="shared" si="195"/>
        <v>0</v>
      </c>
      <c r="BD311" s="272">
        <f t="shared" si="195"/>
        <v>0</v>
      </c>
      <c r="BE311" s="272">
        <f t="shared" si="195"/>
        <v>0</v>
      </c>
      <c r="BF311" s="272">
        <f t="shared" si="195"/>
        <v>0</v>
      </c>
      <c r="BG311" s="272">
        <f t="shared" si="195"/>
        <v>0</v>
      </c>
      <c r="BH311" s="272">
        <f t="shared" si="195"/>
        <v>0</v>
      </c>
      <c r="BI311" s="272">
        <f t="shared" si="195"/>
        <v>0</v>
      </c>
      <c r="BJ311" s="272">
        <f t="shared" si="195"/>
        <v>0</v>
      </c>
      <c r="BK311" s="272">
        <f t="shared" si="195"/>
        <v>0</v>
      </c>
      <c r="BL311" s="272">
        <f t="shared" si="195"/>
        <v>0</v>
      </c>
      <c r="BM311" s="272">
        <f t="shared" si="195"/>
        <v>0</v>
      </c>
      <c r="BN311" s="324">
        <f t="shared" si="195"/>
        <v>0</v>
      </c>
      <c r="BP311" s="552" t="s">
        <v>1223</v>
      </c>
      <c r="BQ311" s="1482" t="s">
        <v>1943</v>
      </c>
      <c r="BR311" s="1483"/>
      <c r="BS311" s="1483"/>
      <c r="BT311" s="1483"/>
      <c r="BU311" s="1483"/>
      <c r="BV311" s="1483"/>
      <c r="BW311" s="1483"/>
      <c r="BX311" s="1483"/>
      <c r="BY311" s="1483"/>
      <c r="BZ311" s="1483"/>
      <c r="CA311" s="1483"/>
      <c r="CB311" s="1483"/>
      <c r="CC311" s="1483"/>
      <c r="CD311" s="1483"/>
      <c r="CE311" s="1483"/>
      <c r="CF311" s="1483"/>
      <c r="CG311" s="1484"/>
      <c r="CH311" s="554" t="s">
        <v>1787</v>
      </c>
      <c r="CI311" s="554" t="s">
        <v>1623</v>
      </c>
    </row>
    <row r="312" spans="32:87" ht="20.100000000000001" customHeight="1">
      <c r="AF312" s="1492"/>
      <c r="AG312" s="251" t="s">
        <v>1224</v>
      </c>
      <c r="AH312" s="280"/>
      <c r="AI312" s="251">
        <f>INDEX('DEFAULT DATA'!$VE$9:$VK$41,START!$C$3,5)</f>
        <v>403</v>
      </c>
      <c r="AJ312" s="195">
        <f>INDEX('DEFAULT DATA'!$AHG$9:$AHN$41,START!$C$3,6)</f>
        <v>0</v>
      </c>
      <c r="AK312" s="157">
        <v>0</v>
      </c>
      <c r="AL312" s="272">
        <f t="shared" ref="AL312:BN312" si="196">IF(AND(AL$296&gt;($D$84+2020),AL$296&lt;($E$84+2022)),AK312+($AI$312*$AJ$312*((100-$F$84)/100)*$B$84/($E$84-$D$84+1)/1000000),AK312)</f>
        <v>0</v>
      </c>
      <c r="AM312" s="272">
        <f t="shared" si="196"/>
        <v>0</v>
      </c>
      <c r="AN312" s="272">
        <f t="shared" si="196"/>
        <v>0</v>
      </c>
      <c r="AO312" s="272">
        <f t="shared" si="196"/>
        <v>0</v>
      </c>
      <c r="AP312" s="272">
        <f t="shared" si="196"/>
        <v>0</v>
      </c>
      <c r="AQ312" s="272">
        <f t="shared" si="196"/>
        <v>0</v>
      </c>
      <c r="AR312" s="272">
        <f t="shared" si="196"/>
        <v>0</v>
      </c>
      <c r="AS312" s="272">
        <f t="shared" si="196"/>
        <v>0</v>
      </c>
      <c r="AT312" s="272">
        <f t="shared" si="196"/>
        <v>0</v>
      </c>
      <c r="AU312" s="272">
        <f t="shared" si="196"/>
        <v>0</v>
      </c>
      <c r="AV312" s="272">
        <f t="shared" si="196"/>
        <v>0</v>
      </c>
      <c r="AW312" s="272">
        <f t="shared" si="196"/>
        <v>0</v>
      </c>
      <c r="AX312" s="272">
        <f t="shared" si="196"/>
        <v>0</v>
      </c>
      <c r="AY312" s="272">
        <f t="shared" si="196"/>
        <v>0</v>
      </c>
      <c r="AZ312" s="272">
        <f t="shared" si="196"/>
        <v>0</v>
      </c>
      <c r="BA312" s="272">
        <f t="shared" si="196"/>
        <v>0</v>
      </c>
      <c r="BB312" s="272">
        <f t="shared" si="196"/>
        <v>0</v>
      </c>
      <c r="BC312" s="272">
        <f t="shared" si="196"/>
        <v>0</v>
      </c>
      <c r="BD312" s="272">
        <f t="shared" si="196"/>
        <v>0</v>
      </c>
      <c r="BE312" s="272">
        <f t="shared" si="196"/>
        <v>0</v>
      </c>
      <c r="BF312" s="272">
        <f t="shared" si="196"/>
        <v>0</v>
      </c>
      <c r="BG312" s="272">
        <f t="shared" si="196"/>
        <v>0</v>
      </c>
      <c r="BH312" s="272">
        <f t="shared" si="196"/>
        <v>0</v>
      </c>
      <c r="BI312" s="272">
        <f t="shared" si="196"/>
        <v>0</v>
      </c>
      <c r="BJ312" s="272">
        <f t="shared" si="196"/>
        <v>0</v>
      </c>
      <c r="BK312" s="272">
        <f t="shared" si="196"/>
        <v>0</v>
      </c>
      <c r="BL312" s="272">
        <f t="shared" si="196"/>
        <v>0</v>
      </c>
      <c r="BM312" s="272">
        <f t="shared" si="196"/>
        <v>0</v>
      </c>
      <c r="BN312" s="324">
        <f t="shared" si="196"/>
        <v>0</v>
      </c>
      <c r="BP312" s="552" t="s">
        <v>1224</v>
      </c>
      <c r="BQ312" s="1482" t="s">
        <v>1944</v>
      </c>
      <c r="BR312" s="1483"/>
      <c r="BS312" s="1483"/>
      <c r="BT312" s="1483"/>
      <c r="BU312" s="1483"/>
      <c r="BV312" s="1483"/>
      <c r="BW312" s="1483"/>
      <c r="BX312" s="1483"/>
      <c r="BY312" s="1483"/>
      <c r="BZ312" s="1483"/>
      <c r="CA312" s="1483"/>
      <c r="CB312" s="1483"/>
      <c r="CC312" s="1483"/>
      <c r="CD312" s="1483"/>
      <c r="CE312" s="1483"/>
      <c r="CF312" s="1483"/>
      <c r="CG312" s="1484"/>
      <c r="CH312" s="554" t="s">
        <v>1788</v>
      </c>
      <c r="CI312" s="554" t="s">
        <v>1624</v>
      </c>
    </row>
    <row r="313" spans="32:87" ht="20.100000000000001" customHeight="1">
      <c r="AF313" s="1492"/>
      <c r="AG313" s="251" t="s">
        <v>1225</v>
      </c>
      <c r="AH313" s="280"/>
      <c r="AI313" s="251">
        <f>INDEX('DEFAULT DATA'!$VE$9:$VK$41,START!$C$3,6)</f>
        <v>0</v>
      </c>
      <c r="AJ313" s="195">
        <f>INDEX('DEFAULT DATA'!$AHG$9:$AHN$41,START!$C$3,7)</f>
        <v>0</v>
      </c>
      <c r="AK313" s="157">
        <v>0</v>
      </c>
      <c r="AL313" s="272">
        <f t="shared" ref="AL313:BN313" si="197">IF(AND(AL$296&gt;($D$84+2020),AL$296&lt;($E$84+2022)),AK313+($AI$313*$AJ$313*((100-$F$84)/100)*$B$84/($E$84-$D$84+1)/1000000),AK313)</f>
        <v>0</v>
      </c>
      <c r="AM313" s="272">
        <f t="shared" si="197"/>
        <v>0</v>
      </c>
      <c r="AN313" s="272">
        <f t="shared" si="197"/>
        <v>0</v>
      </c>
      <c r="AO313" s="272">
        <f t="shared" si="197"/>
        <v>0</v>
      </c>
      <c r="AP313" s="272">
        <f t="shared" si="197"/>
        <v>0</v>
      </c>
      <c r="AQ313" s="272">
        <f t="shared" si="197"/>
        <v>0</v>
      </c>
      <c r="AR313" s="272">
        <f t="shared" si="197"/>
        <v>0</v>
      </c>
      <c r="AS313" s="272">
        <f t="shared" si="197"/>
        <v>0</v>
      </c>
      <c r="AT313" s="272">
        <f t="shared" si="197"/>
        <v>0</v>
      </c>
      <c r="AU313" s="272">
        <f t="shared" si="197"/>
        <v>0</v>
      </c>
      <c r="AV313" s="272">
        <f t="shared" si="197"/>
        <v>0</v>
      </c>
      <c r="AW313" s="272">
        <f t="shared" si="197"/>
        <v>0</v>
      </c>
      <c r="AX313" s="272">
        <f t="shared" si="197"/>
        <v>0</v>
      </c>
      <c r="AY313" s="272">
        <f t="shared" si="197"/>
        <v>0</v>
      </c>
      <c r="AZ313" s="272">
        <f t="shared" si="197"/>
        <v>0</v>
      </c>
      <c r="BA313" s="272">
        <f t="shared" si="197"/>
        <v>0</v>
      </c>
      <c r="BB313" s="272">
        <f t="shared" si="197"/>
        <v>0</v>
      </c>
      <c r="BC313" s="272">
        <f t="shared" si="197"/>
        <v>0</v>
      </c>
      <c r="BD313" s="272">
        <f t="shared" si="197"/>
        <v>0</v>
      </c>
      <c r="BE313" s="272">
        <f t="shared" si="197"/>
        <v>0</v>
      </c>
      <c r="BF313" s="272">
        <f t="shared" si="197"/>
        <v>0</v>
      </c>
      <c r="BG313" s="272">
        <f t="shared" si="197"/>
        <v>0</v>
      </c>
      <c r="BH313" s="272">
        <f t="shared" si="197"/>
        <v>0</v>
      </c>
      <c r="BI313" s="272">
        <f t="shared" si="197"/>
        <v>0</v>
      </c>
      <c r="BJ313" s="272">
        <f t="shared" si="197"/>
        <v>0</v>
      </c>
      <c r="BK313" s="272">
        <f t="shared" si="197"/>
        <v>0</v>
      </c>
      <c r="BL313" s="272">
        <f t="shared" si="197"/>
        <v>0</v>
      </c>
      <c r="BM313" s="272">
        <f t="shared" si="197"/>
        <v>0</v>
      </c>
      <c r="BN313" s="324">
        <f t="shared" si="197"/>
        <v>0</v>
      </c>
      <c r="BP313" s="552" t="s">
        <v>1225</v>
      </c>
      <c r="BQ313" s="1482" t="s">
        <v>1945</v>
      </c>
      <c r="BR313" s="1483"/>
      <c r="BS313" s="1483"/>
      <c r="BT313" s="1483"/>
      <c r="BU313" s="1483"/>
      <c r="BV313" s="1483"/>
      <c r="BW313" s="1483"/>
      <c r="BX313" s="1483"/>
      <c r="BY313" s="1483"/>
      <c r="BZ313" s="1483"/>
      <c r="CA313" s="1483"/>
      <c r="CB313" s="1483"/>
      <c r="CC313" s="1483"/>
      <c r="CD313" s="1483"/>
      <c r="CE313" s="1483"/>
      <c r="CF313" s="1483"/>
      <c r="CG313" s="1484"/>
      <c r="CH313" s="554" t="s">
        <v>1789</v>
      </c>
      <c r="CI313" s="554" t="s">
        <v>1625</v>
      </c>
    </row>
    <row r="314" spans="32:87" ht="20.100000000000001" customHeight="1" thickBot="1">
      <c r="AF314" s="1493"/>
      <c r="AG314" s="310" t="s">
        <v>1226</v>
      </c>
      <c r="AH314" s="288"/>
      <c r="AI314" s="310" t="s">
        <v>1497</v>
      </c>
      <c r="AJ314" s="260">
        <f>INDEX('DEFAULT DATA'!$AHG$9:$AHN$41,START!$C$3,8)</f>
        <v>0</v>
      </c>
      <c r="AK314" s="158">
        <v>0</v>
      </c>
      <c r="AL314" s="325">
        <f t="shared" ref="AL314:BN314" si="198">IF(AND(AL$296&gt;($D$84+2020),AL$296&lt;($E$84+2022)),AK314+(AL$6*$AJ$314*((100-$F$84)/100)*$B$84/($E$84-$D$84+1)/1000000),AK314)</f>
        <v>0</v>
      </c>
      <c r="AM314" s="325">
        <f t="shared" si="198"/>
        <v>0</v>
      </c>
      <c r="AN314" s="325">
        <f t="shared" si="198"/>
        <v>0</v>
      </c>
      <c r="AO314" s="325">
        <f t="shared" si="198"/>
        <v>0</v>
      </c>
      <c r="AP314" s="325">
        <f t="shared" si="198"/>
        <v>0</v>
      </c>
      <c r="AQ314" s="325">
        <f t="shared" si="198"/>
        <v>0</v>
      </c>
      <c r="AR314" s="325">
        <f t="shared" si="198"/>
        <v>0</v>
      </c>
      <c r="AS314" s="325">
        <f t="shared" si="198"/>
        <v>0</v>
      </c>
      <c r="AT314" s="325">
        <f t="shared" si="198"/>
        <v>0</v>
      </c>
      <c r="AU314" s="325">
        <f t="shared" si="198"/>
        <v>0</v>
      </c>
      <c r="AV314" s="325">
        <f t="shared" si="198"/>
        <v>0</v>
      </c>
      <c r="AW314" s="325">
        <f t="shared" si="198"/>
        <v>0</v>
      </c>
      <c r="AX314" s="325">
        <f t="shared" si="198"/>
        <v>0</v>
      </c>
      <c r="AY314" s="325">
        <f t="shared" si="198"/>
        <v>0</v>
      </c>
      <c r="AZ314" s="325">
        <f t="shared" si="198"/>
        <v>0</v>
      </c>
      <c r="BA314" s="325">
        <f t="shared" si="198"/>
        <v>0</v>
      </c>
      <c r="BB314" s="325">
        <f t="shared" si="198"/>
        <v>0</v>
      </c>
      <c r="BC314" s="325">
        <f t="shared" si="198"/>
        <v>0</v>
      </c>
      <c r="BD314" s="325">
        <f t="shared" si="198"/>
        <v>0</v>
      </c>
      <c r="BE314" s="325">
        <f t="shared" si="198"/>
        <v>0</v>
      </c>
      <c r="BF314" s="325">
        <f t="shared" si="198"/>
        <v>0</v>
      </c>
      <c r="BG314" s="325">
        <f t="shared" si="198"/>
        <v>0</v>
      </c>
      <c r="BH314" s="325">
        <f t="shared" si="198"/>
        <v>0</v>
      </c>
      <c r="BI314" s="325">
        <f t="shared" si="198"/>
        <v>0</v>
      </c>
      <c r="BJ314" s="325">
        <f t="shared" si="198"/>
        <v>0</v>
      </c>
      <c r="BK314" s="325">
        <f t="shared" si="198"/>
        <v>0</v>
      </c>
      <c r="BL314" s="325">
        <f t="shared" si="198"/>
        <v>0</v>
      </c>
      <c r="BM314" s="325">
        <f t="shared" si="198"/>
        <v>0</v>
      </c>
      <c r="BN314" s="326">
        <f t="shared" si="198"/>
        <v>0</v>
      </c>
      <c r="BP314" s="552" t="s">
        <v>1226</v>
      </c>
      <c r="BQ314" s="1482" t="s">
        <v>1946</v>
      </c>
      <c r="BR314" s="1483"/>
      <c r="BS314" s="1483"/>
      <c r="BT314" s="1483"/>
      <c r="BU314" s="1483"/>
      <c r="BV314" s="1483"/>
      <c r="BW314" s="1483"/>
      <c r="BX314" s="1483"/>
      <c r="BY314" s="1483"/>
      <c r="BZ314" s="1483"/>
      <c r="CA314" s="1483"/>
      <c r="CB314" s="1483"/>
      <c r="CC314" s="1483"/>
      <c r="CD314" s="1483"/>
      <c r="CE314" s="1483"/>
      <c r="CF314" s="1483"/>
      <c r="CG314" s="1484"/>
      <c r="CH314" s="554" t="s">
        <v>1790</v>
      </c>
      <c r="CI314" s="554" t="s">
        <v>1882</v>
      </c>
    </row>
    <row r="315" spans="32:87" ht="20.100000000000001" customHeight="1">
      <c r="AF315" s="311"/>
      <c r="AG315" s="285" t="s">
        <v>1459</v>
      </c>
      <c r="AH315" s="285"/>
      <c r="AI315" s="285"/>
      <c r="AJ315" s="285"/>
      <c r="AK315" s="338">
        <f>SUM(AK307:AK314)</f>
        <v>0</v>
      </c>
      <c r="AL315" s="327">
        <f>SUM(AL307:AL314)</f>
        <v>0</v>
      </c>
      <c r="AM315" s="327">
        <f t="shared" ref="AM315:BN315" si="199">SUM(AM307:AM314)</f>
        <v>0</v>
      </c>
      <c r="AN315" s="327">
        <f t="shared" si="199"/>
        <v>0</v>
      </c>
      <c r="AO315" s="327">
        <f t="shared" si="199"/>
        <v>0</v>
      </c>
      <c r="AP315" s="327">
        <f t="shared" si="199"/>
        <v>0</v>
      </c>
      <c r="AQ315" s="327">
        <f t="shared" si="199"/>
        <v>0</v>
      </c>
      <c r="AR315" s="327">
        <f t="shared" si="199"/>
        <v>0</v>
      </c>
      <c r="AS315" s="327">
        <f t="shared" si="199"/>
        <v>0</v>
      </c>
      <c r="AT315" s="327">
        <f t="shared" si="199"/>
        <v>0</v>
      </c>
      <c r="AU315" s="327">
        <f t="shared" si="199"/>
        <v>0</v>
      </c>
      <c r="AV315" s="327">
        <f t="shared" si="199"/>
        <v>0</v>
      </c>
      <c r="AW315" s="327">
        <f t="shared" si="199"/>
        <v>0</v>
      </c>
      <c r="AX315" s="327">
        <f t="shared" si="199"/>
        <v>0</v>
      </c>
      <c r="AY315" s="327">
        <f t="shared" si="199"/>
        <v>0</v>
      </c>
      <c r="AZ315" s="327">
        <f t="shared" si="199"/>
        <v>0</v>
      </c>
      <c r="BA315" s="327">
        <f t="shared" si="199"/>
        <v>0</v>
      </c>
      <c r="BB315" s="327">
        <f t="shared" si="199"/>
        <v>0</v>
      </c>
      <c r="BC315" s="327">
        <f t="shared" si="199"/>
        <v>0</v>
      </c>
      <c r="BD315" s="327">
        <f t="shared" si="199"/>
        <v>0</v>
      </c>
      <c r="BE315" s="327">
        <f t="shared" si="199"/>
        <v>0</v>
      </c>
      <c r="BF315" s="327">
        <f t="shared" si="199"/>
        <v>0</v>
      </c>
      <c r="BG315" s="327">
        <f t="shared" si="199"/>
        <v>0</v>
      </c>
      <c r="BH315" s="327">
        <f t="shared" si="199"/>
        <v>0</v>
      </c>
      <c r="BI315" s="327">
        <f t="shared" si="199"/>
        <v>0</v>
      </c>
      <c r="BJ315" s="327">
        <f t="shared" si="199"/>
        <v>0</v>
      </c>
      <c r="BK315" s="327">
        <f t="shared" si="199"/>
        <v>0</v>
      </c>
      <c r="BL315" s="327">
        <f t="shared" si="199"/>
        <v>0</v>
      </c>
      <c r="BM315" s="327">
        <f t="shared" si="199"/>
        <v>0</v>
      </c>
      <c r="BN315" s="327">
        <f t="shared" si="199"/>
        <v>0</v>
      </c>
    </row>
    <row r="316" spans="32:87" ht="20.100000000000001" customHeight="1" thickBot="1">
      <c r="AK316" s="336"/>
      <c r="BP316" s="14" t="s">
        <v>1230</v>
      </c>
      <c r="CH316" s="555" t="s">
        <v>1880</v>
      </c>
      <c r="CI316" s="17" t="s">
        <v>1598</v>
      </c>
    </row>
    <row r="317" spans="32:87" ht="20.100000000000001" customHeight="1">
      <c r="AF317" s="1491" t="str">
        <f>AF226</f>
        <v>Hospitality</v>
      </c>
      <c r="AG317" s="286" t="s">
        <v>933</v>
      </c>
      <c r="AH317" s="287"/>
      <c r="AI317" s="286" t="s">
        <v>1496</v>
      </c>
      <c r="AJ317" s="313">
        <f>INDEX('DEFAULT DATA'!$AHO$9:$AHV$41,START!$C$3,1)</f>
        <v>0</v>
      </c>
      <c r="AK317" s="338">
        <v>0</v>
      </c>
      <c r="AL317" s="322">
        <f t="shared" ref="AL317:BN317" si="200">IF(AND(AL$296&gt;($D$85+2020),AL$296&lt;($E$85+2022)),AK317+(AL$5*$AJ$317*((100-$F$85)/100)*$B$85/($E$85-$D$85+1)/1000000),AK317)</f>
        <v>0</v>
      </c>
      <c r="AM317" s="322">
        <f t="shared" si="200"/>
        <v>0</v>
      </c>
      <c r="AN317" s="322">
        <f t="shared" si="200"/>
        <v>0</v>
      </c>
      <c r="AO317" s="322">
        <f t="shared" si="200"/>
        <v>0</v>
      </c>
      <c r="AP317" s="322">
        <f t="shared" si="200"/>
        <v>0</v>
      </c>
      <c r="AQ317" s="322">
        <f t="shared" si="200"/>
        <v>0</v>
      </c>
      <c r="AR317" s="322">
        <f t="shared" si="200"/>
        <v>0</v>
      </c>
      <c r="AS317" s="322">
        <f t="shared" si="200"/>
        <v>0</v>
      </c>
      <c r="AT317" s="322">
        <f t="shared" si="200"/>
        <v>0</v>
      </c>
      <c r="AU317" s="322">
        <f t="shared" si="200"/>
        <v>0</v>
      </c>
      <c r="AV317" s="322">
        <f t="shared" si="200"/>
        <v>0</v>
      </c>
      <c r="AW317" s="322">
        <f t="shared" si="200"/>
        <v>0</v>
      </c>
      <c r="AX317" s="322">
        <f t="shared" si="200"/>
        <v>0</v>
      </c>
      <c r="AY317" s="322">
        <f t="shared" si="200"/>
        <v>0</v>
      </c>
      <c r="AZ317" s="322">
        <f t="shared" si="200"/>
        <v>0</v>
      </c>
      <c r="BA317" s="322">
        <f t="shared" si="200"/>
        <v>0</v>
      </c>
      <c r="BB317" s="322">
        <f t="shared" si="200"/>
        <v>0</v>
      </c>
      <c r="BC317" s="322">
        <f t="shared" si="200"/>
        <v>0</v>
      </c>
      <c r="BD317" s="322">
        <f t="shared" si="200"/>
        <v>0</v>
      </c>
      <c r="BE317" s="322">
        <f t="shared" si="200"/>
        <v>0</v>
      </c>
      <c r="BF317" s="322">
        <f t="shared" si="200"/>
        <v>0</v>
      </c>
      <c r="BG317" s="322">
        <f t="shared" si="200"/>
        <v>0</v>
      </c>
      <c r="BH317" s="322">
        <f t="shared" si="200"/>
        <v>0</v>
      </c>
      <c r="BI317" s="322">
        <f t="shared" si="200"/>
        <v>0</v>
      </c>
      <c r="BJ317" s="322">
        <f t="shared" si="200"/>
        <v>0</v>
      </c>
      <c r="BK317" s="322">
        <f t="shared" si="200"/>
        <v>0</v>
      </c>
      <c r="BL317" s="322">
        <f t="shared" si="200"/>
        <v>0</v>
      </c>
      <c r="BM317" s="322">
        <f t="shared" si="200"/>
        <v>0</v>
      </c>
      <c r="BN317" s="323">
        <f t="shared" si="200"/>
        <v>0</v>
      </c>
      <c r="BP317" s="552" t="s">
        <v>933</v>
      </c>
      <c r="BQ317" s="1482" t="s">
        <v>1947</v>
      </c>
      <c r="BR317" s="1483"/>
      <c r="BS317" s="1483"/>
      <c r="BT317" s="1483"/>
      <c r="BU317" s="1483"/>
      <c r="BV317" s="1483"/>
      <c r="BW317" s="1483"/>
      <c r="BX317" s="1483"/>
      <c r="BY317" s="1483"/>
      <c r="BZ317" s="1483"/>
      <c r="CA317" s="1483"/>
      <c r="CB317" s="1483"/>
      <c r="CC317" s="1483"/>
      <c r="CD317" s="1483"/>
      <c r="CE317" s="1483"/>
      <c r="CF317" s="1483"/>
      <c r="CG317" s="1484"/>
      <c r="CH317" s="554" t="s">
        <v>1791</v>
      </c>
      <c r="CI317" s="554" t="s">
        <v>1881</v>
      </c>
    </row>
    <row r="318" spans="32:87" ht="20.100000000000001" customHeight="1">
      <c r="AF318" s="1492"/>
      <c r="AG318" s="251" t="s">
        <v>1220</v>
      </c>
      <c r="AH318" s="280"/>
      <c r="AI318" s="251">
        <f>INDEX('DEFAULT DATA'!$VE$9:$VK$41,START!$C$3,1)</f>
        <v>202</v>
      </c>
      <c r="AJ318" s="195">
        <f>INDEX('DEFAULT DATA'!$AHO$9:$AHV$41,START!$C$3,2)</f>
        <v>0</v>
      </c>
      <c r="AK318" s="157">
        <v>0</v>
      </c>
      <c r="AL318" s="272">
        <f t="shared" ref="AL318:BN318" si="201">IF(AND(AL$296&gt;($D$85+2020),AL$296&lt;($E$85+2022)),AK318+($AI$318*$AJ$318*((100-$F$85)/100)*$B$85/($E$85-$D$85+1)/1000000),AK318)</f>
        <v>0</v>
      </c>
      <c r="AM318" s="272">
        <f t="shared" si="201"/>
        <v>0</v>
      </c>
      <c r="AN318" s="272">
        <f t="shared" si="201"/>
        <v>0</v>
      </c>
      <c r="AO318" s="272">
        <f t="shared" si="201"/>
        <v>0</v>
      </c>
      <c r="AP318" s="272">
        <f t="shared" si="201"/>
        <v>0</v>
      </c>
      <c r="AQ318" s="272">
        <f t="shared" si="201"/>
        <v>0</v>
      </c>
      <c r="AR318" s="272">
        <f t="shared" si="201"/>
        <v>0</v>
      </c>
      <c r="AS318" s="272">
        <f t="shared" si="201"/>
        <v>0</v>
      </c>
      <c r="AT318" s="272">
        <f t="shared" si="201"/>
        <v>0</v>
      </c>
      <c r="AU318" s="272">
        <f t="shared" si="201"/>
        <v>0</v>
      </c>
      <c r="AV318" s="272">
        <f t="shared" si="201"/>
        <v>0</v>
      </c>
      <c r="AW318" s="272">
        <f t="shared" si="201"/>
        <v>0</v>
      </c>
      <c r="AX318" s="272">
        <f t="shared" si="201"/>
        <v>0</v>
      </c>
      <c r="AY318" s="272">
        <f t="shared" si="201"/>
        <v>0</v>
      </c>
      <c r="AZ318" s="272">
        <f t="shared" si="201"/>
        <v>0</v>
      </c>
      <c r="BA318" s="272">
        <f t="shared" si="201"/>
        <v>0</v>
      </c>
      <c r="BB318" s="272">
        <f t="shared" si="201"/>
        <v>0</v>
      </c>
      <c r="BC318" s="272">
        <f t="shared" si="201"/>
        <v>0</v>
      </c>
      <c r="BD318" s="272">
        <f t="shared" si="201"/>
        <v>0</v>
      </c>
      <c r="BE318" s="272">
        <f t="shared" si="201"/>
        <v>0</v>
      </c>
      <c r="BF318" s="272">
        <f t="shared" si="201"/>
        <v>0</v>
      </c>
      <c r="BG318" s="272">
        <f t="shared" si="201"/>
        <v>0</v>
      </c>
      <c r="BH318" s="272">
        <f t="shared" si="201"/>
        <v>0</v>
      </c>
      <c r="BI318" s="272">
        <f t="shared" si="201"/>
        <v>0</v>
      </c>
      <c r="BJ318" s="272">
        <f t="shared" si="201"/>
        <v>0</v>
      </c>
      <c r="BK318" s="272">
        <f t="shared" si="201"/>
        <v>0</v>
      </c>
      <c r="BL318" s="272">
        <f t="shared" si="201"/>
        <v>0</v>
      </c>
      <c r="BM318" s="272">
        <f t="shared" si="201"/>
        <v>0</v>
      </c>
      <c r="BN318" s="324">
        <f t="shared" si="201"/>
        <v>0</v>
      </c>
      <c r="BP318" s="552" t="s">
        <v>1220</v>
      </c>
      <c r="BQ318" s="1482" t="s">
        <v>1948</v>
      </c>
      <c r="BR318" s="1483"/>
      <c r="BS318" s="1483"/>
      <c r="BT318" s="1483"/>
      <c r="BU318" s="1483"/>
      <c r="BV318" s="1483"/>
      <c r="BW318" s="1483"/>
      <c r="BX318" s="1483"/>
      <c r="BY318" s="1483"/>
      <c r="BZ318" s="1483"/>
      <c r="CA318" s="1483"/>
      <c r="CB318" s="1483"/>
      <c r="CC318" s="1483"/>
      <c r="CD318" s="1483"/>
      <c r="CE318" s="1483"/>
      <c r="CF318" s="1483"/>
      <c r="CG318" s="1484"/>
      <c r="CH318" s="554" t="s">
        <v>1792</v>
      </c>
      <c r="CI318" s="554" t="s">
        <v>1248</v>
      </c>
    </row>
    <row r="319" spans="32:87" ht="20.100000000000001" customHeight="1">
      <c r="AF319" s="1492"/>
      <c r="AG319" s="251" t="s">
        <v>1221</v>
      </c>
      <c r="AH319" s="280"/>
      <c r="AI319" s="251">
        <f>INDEX('DEFAULT DATA'!$VE$9:$VK$41,START!$C$3,2)</f>
        <v>279</v>
      </c>
      <c r="AJ319" s="195">
        <f>INDEX('DEFAULT DATA'!$AHO$9:$AHV$41,START!$C$3,3)</f>
        <v>0</v>
      </c>
      <c r="AK319" s="157">
        <v>0</v>
      </c>
      <c r="AL319" s="272">
        <f t="shared" ref="AL319:BN319" si="202">IF(AND(AL$296&gt;($D$85+2020),AL$296&lt;($E$85+2022)),AK319+($AI$319*$AJ$319*((100-$F$85)/100)*$B$85/($E$85-$D$85+1)/1000000),AK319)</f>
        <v>0</v>
      </c>
      <c r="AM319" s="272">
        <f t="shared" si="202"/>
        <v>0</v>
      </c>
      <c r="AN319" s="272">
        <f t="shared" si="202"/>
        <v>0</v>
      </c>
      <c r="AO319" s="272">
        <f t="shared" si="202"/>
        <v>0</v>
      </c>
      <c r="AP319" s="272">
        <f t="shared" si="202"/>
        <v>0</v>
      </c>
      <c r="AQ319" s="272">
        <f t="shared" si="202"/>
        <v>0</v>
      </c>
      <c r="AR319" s="272">
        <f t="shared" si="202"/>
        <v>0</v>
      </c>
      <c r="AS319" s="272">
        <f t="shared" si="202"/>
        <v>0</v>
      </c>
      <c r="AT319" s="272">
        <f t="shared" si="202"/>
        <v>0</v>
      </c>
      <c r="AU319" s="272">
        <f t="shared" si="202"/>
        <v>0</v>
      </c>
      <c r="AV319" s="272">
        <f t="shared" si="202"/>
        <v>0</v>
      </c>
      <c r="AW319" s="272">
        <f t="shared" si="202"/>
        <v>0</v>
      </c>
      <c r="AX319" s="272">
        <f t="shared" si="202"/>
        <v>0</v>
      </c>
      <c r="AY319" s="272">
        <f t="shared" si="202"/>
        <v>0</v>
      </c>
      <c r="AZ319" s="272">
        <f t="shared" si="202"/>
        <v>0</v>
      </c>
      <c r="BA319" s="272">
        <f t="shared" si="202"/>
        <v>0</v>
      </c>
      <c r="BB319" s="272">
        <f t="shared" si="202"/>
        <v>0</v>
      </c>
      <c r="BC319" s="272">
        <f t="shared" si="202"/>
        <v>0</v>
      </c>
      <c r="BD319" s="272">
        <f t="shared" si="202"/>
        <v>0</v>
      </c>
      <c r="BE319" s="272">
        <f t="shared" si="202"/>
        <v>0</v>
      </c>
      <c r="BF319" s="272">
        <f t="shared" si="202"/>
        <v>0</v>
      </c>
      <c r="BG319" s="272">
        <f t="shared" si="202"/>
        <v>0</v>
      </c>
      <c r="BH319" s="272">
        <f t="shared" si="202"/>
        <v>0</v>
      </c>
      <c r="BI319" s="272">
        <f t="shared" si="202"/>
        <v>0</v>
      </c>
      <c r="BJ319" s="272">
        <f t="shared" si="202"/>
        <v>0</v>
      </c>
      <c r="BK319" s="272">
        <f t="shared" si="202"/>
        <v>0</v>
      </c>
      <c r="BL319" s="272">
        <f t="shared" si="202"/>
        <v>0</v>
      </c>
      <c r="BM319" s="272">
        <f t="shared" si="202"/>
        <v>0</v>
      </c>
      <c r="BN319" s="324">
        <f t="shared" si="202"/>
        <v>0</v>
      </c>
      <c r="BP319" s="552" t="s">
        <v>1221</v>
      </c>
      <c r="BQ319" s="1482" t="s">
        <v>1949</v>
      </c>
      <c r="BR319" s="1483"/>
      <c r="BS319" s="1483"/>
      <c r="BT319" s="1483"/>
      <c r="BU319" s="1483"/>
      <c r="BV319" s="1483"/>
      <c r="BW319" s="1483"/>
      <c r="BX319" s="1483"/>
      <c r="BY319" s="1483"/>
      <c r="BZ319" s="1483"/>
      <c r="CA319" s="1483"/>
      <c r="CB319" s="1483"/>
      <c r="CC319" s="1483"/>
      <c r="CD319" s="1483"/>
      <c r="CE319" s="1483"/>
      <c r="CF319" s="1483"/>
      <c r="CG319" s="1484"/>
      <c r="CH319" s="554" t="s">
        <v>1793</v>
      </c>
      <c r="CI319" s="554" t="s">
        <v>1621</v>
      </c>
    </row>
    <row r="320" spans="32:87" ht="20.100000000000001" customHeight="1">
      <c r="AF320" s="1492"/>
      <c r="AG320" s="251" t="s">
        <v>1222</v>
      </c>
      <c r="AH320" s="280"/>
      <c r="AI320" s="251">
        <f>INDEX('DEFAULT DATA'!$VE$9:$VK$41,START!$C$3,3)</f>
        <v>354</v>
      </c>
      <c r="AJ320" s="195">
        <f>INDEX('DEFAULT DATA'!$AHO$9:$AHV$41,START!$C$3,4)</f>
        <v>0</v>
      </c>
      <c r="AK320" s="157">
        <v>0</v>
      </c>
      <c r="AL320" s="272">
        <f t="shared" ref="AL320:BN320" si="203">IF(AND(AL$296&gt;($D$85+2020),AL$296&lt;($E$85+2022)),AK320+($AI$320*$AJ$320*((100-$F$85)/100)*$B$85/($E$85-$D$85+1)/1000000),AK320)</f>
        <v>0</v>
      </c>
      <c r="AM320" s="272">
        <f t="shared" si="203"/>
        <v>0</v>
      </c>
      <c r="AN320" s="272">
        <f t="shared" si="203"/>
        <v>0</v>
      </c>
      <c r="AO320" s="272">
        <f t="shared" si="203"/>
        <v>0</v>
      </c>
      <c r="AP320" s="272">
        <f t="shared" si="203"/>
        <v>0</v>
      </c>
      <c r="AQ320" s="272">
        <f t="shared" si="203"/>
        <v>0</v>
      </c>
      <c r="AR320" s="272">
        <f t="shared" si="203"/>
        <v>0</v>
      </c>
      <c r="AS320" s="272">
        <f t="shared" si="203"/>
        <v>0</v>
      </c>
      <c r="AT320" s="272">
        <f t="shared" si="203"/>
        <v>0</v>
      </c>
      <c r="AU320" s="272">
        <f t="shared" si="203"/>
        <v>0</v>
      </c>
      <c r="AV320" s="272">
        <f t="shared" si="203"/>
        <v>0</v>
      </c>
      <c r="AW320" s="272">
        <f t="shared" si="203"/>
        <v>0</v>
      </c>
      <c r="AX320" s="272">
        <f t="shared" si="203"/>
        <v>0</v>
      </c>
      <c r="AY320" s="272">
        <f t="shared" si="203"/>
        <v>0</v>
      </c>
      <c r="AZ320" s="272">
        <f t="shared" si="203"/>
        <v>0</v>
      </c>
      <c r="BA320" s="272">
        <f t="shared" si="203"/>
        <v>0</v>
      </c>
      <c r="BB320" s="272">
        <f t="shared" si="203"/>
        <v>0</v>
      </c>
      <c r="BC320" s="272">
        <f t="shared" si="203"/>
        <v>0</v>
      </c>
      <c r="BD320" s="272">
        <f t="shared" si="203"/>
        <v>0</v>
      </c>
      <c r="BE320" s="272">
        <f t="shared" si="203"/>
        <v>0</v>
      </c>
      <c r="BF320" s="272">
        <f t="shared" si="203"/>
        <v>0</v>
      </c>
      <c r="BG320" s="272">
        <f t="shared" si="203"/>
        <v>0</v>
      </c>
      <c r="BH320" s="272">
        <f t="shared" si="203"/>
        <v>0</v>
      </c>
      <c r="BI320" s="272">
        <f t="shared" si="203"/>
        <v>0</v>
      </c>
      <c r="BJ320" s="272">
        <f t="shared" si="203"/>
        <v>0</v>
      </c>
      <c r="BK320" s="272">
        <f t="shared" si="203"/>
        <v>0</v>
      </c>
      <c r="BL320" s="272">
        <f t="shared" si="203"/>
        <v>0</v>
      </c>
      <c r="BM320" s="272">
        <f t="shared" si="203"/>
        <v>0</v>
      </c>
      <c r="BN320" s="324">
        <f t="shared" si="203"/>
        <v>0</v>
      </c>
      <c r="BP320" s="552" t="s">
        <v>1222</v>
      </c>
      <c r="BQ320" s="1482" t="s">
        <v>1950</v>
      </c>
      <c r="BR320" s="1483"/>
      <c r="BS320" s="1483"/>
      <c r="BT320" s="1483"/>
      <c r="BU320" s="1483"/>
      <c r="BV320" s="1483"/>
      <c r="BW320" s="1483"/>
      <c r="BX320" s="1483"/>
      <c r="BY320" s="1483"/>
      <c r="BZ320" s="1483"/>
      <c r="CA320" s="1483"/>
      <c r="CB320" s="1483"/>
      <c r="CC320" s="1483"/>
      <c r="CD320" s="1483"/>
      <c r="CE320" s="1483"/>
      <c r="CF320" s="1483"/>
      <c r="CG320" s="1484"/>
      <c r="CH320" s="554" t="s">
        <v>1794</v>
      </c>
      <c r="CI320" s="554" t="s">
        <v>1622</v>
      </c>
    </row>
    <row r="321" spans="32:87" ht="20.100000000000001" customHeight="1">
      <c r="AF321" s="1492"/>
      <c r="AG321" s="251" t="s">
        <v>1223</v>
      </c>
      <c r="AH321" s="280"/>
      <c r="AI321" s="251">
        <f>INDEX('DEFAULT DATA'!$VE$9:$VK$41,START!$C$3,4)</f>
        <v>0</v>
      </c>
      <c r="AJ321" s="195">
        <f>INDEX('DEFAULT DATA'!$AHO$9:$AHV$41,START!$C$3,5)</f>
        <v>0</v>
      </c>
      <c r="AK321" s="157">
        <v>0</v>
      </c>
      <c r="AL321" s="272">
        <f t="shared" ref="AL321:BN321" si="204">IF(AND(AL$296&gt;($D$85+2020),AL$296&lt;($E$85+2022)),AK321+($AI$321*$AJ$321*((100-$F$85)/100)*$B$85/($E$85-$D$85+1)/1000000),AK321)</f>
        <v>0</v>
      </c>
      <c r="AM321" s="272">
        <f t="shared" si="204"/>
        <v>0</v>
      </c>
      <c r="AN321" s="272">
        <f t="shared" si="204"/>
        <v>0</v>
      </c>
      <c r="AO321" s="272">
        <f t="shared" si="204"/>
        <v>0</v>
      </c>
      <c r="AP321" s="272">
        <f t="shared" si="204"/>
        <v>0</v>
      </c>
      <c r="AQ321" s="272">
        <f t="shared" si="204"/>
        <v>0</v>
      </c>
      <c r="AR321" s="272">
        <f t="shared" si="204"/>
        <v>0</v>
      </c>
      <c r="AS321" s="272">
        <f t="shared" si="204"/>
        <v>0</v>
      </c>
      <c r="AT321" s="272">
        <f t="shared" si="204"/>
        <v>0</v>
      </c>
      <c r="AU321" s="272">
        <f t="shared" si="204"/>
        <v>0</v>
      </c>
      <c r="AV321" s="272">
        <f t="shared" si="204"/>
        <v>0</v>
      </c>
      <c r="AW321" s="272">
        <f t="shared" si="204"/>
        <v>0</v>
      </c>
      <c r="AX321" s="272">
        <f t="shared" si="204"/>
        <v>0</v>
      </c>
      <c r="AY321" s="272">
        <f t="shared" si="204"/>
        <v>0</v>
      </c>
      <c r="AZ321" s="272">
        <f t="shared" si="204"/>
        <v>0</v>
      </c>
      <c r="BA321" s="272">
        <f t="shared" si="204"/>
        <v>0</v>
      </c>
      <c r="BB321" s="272">
        <f t="shared" si="204"/>
        <v>0</v>
      </c>
      <c r="BC321" s="272">
        <f t="shared" si="204"/>
        <v>0</v>
      </c>
      <c r="BD321" s="272">
        <f t="shared" si="204"/>
        <v>0</v>
      </c>
      <c r="BE321" s="272">
        <f t="shared" si="204"/>
        <v>0</v>
      </c>
      <c r="BF321" s="272">
        <f t="shared" si="204"/>
        <v>0</v>
      </c>
      <c r="BG321" s="272">
        <f t="shared" si="204"/>
        <v>0</v>
      </c>
      <c r="BH321" s="272">
        <f t="shared" si="204"/>
        <v>0</v>
      </c>
      <c r="BI321" s="272">
        <f t="shared" si="204"/>
        <v>0</v>
      </c>
      <c r="BJ321" s="272">
        <f t="shared" si="204"/>
        <v>0</v>
      </c>
      <c r="BK321" s="272">
        <f t="shared" si="204"/>
        <v>0</v>
      </c>
      <c r="BL321" s="272">
        <f t="shared" si="204"/>
        <v>0</v>
      </c>
      <c r="BM321" s="272">
        <f t="shared" si="204"/>
        <v>0</v>
      </c>
      <c r="BN321" s="324">
        <f t="shared" si="204"/>
        <v>0</v>
      </c>
      <c r="BP321" s="552" t="s">
        <v>1223</v>
      </c>
      <c r="BQ321" s="1482" t="s">
        <v>1951</v>
      </c>
      <c r="BR321" s="1483"/>
      <c r="BS321" s="1483"/>
      <c r="BT321" s="1483"/>
      <c r="BU321" s="1483"/>
      <c r="BV321" s="1483"/>
      <c r="BW321" s="1483"/>
      <c r="BX321" s="1483"/>
      <c r="BY321" s="1483"/>
      <c r="BZ321" s="1483"/>
      <c r="CA321" s="1483"/>
      <c r="CB321" s="1483"/>
      <c r="CC321" s="1483"/>
      <c r="CD321" s="1483"/>
      <c r="CE321" s="1483"/>
      <c r="CF321" s="1483"/>
      <c r="CG321" s="1484"/>
      <c r="CH321" s="554" t="s">
        <v>1795</v>
      </c>
      <c r="CI321" s="554" t="s">
        <v>1623</v>
      </c>
    </row>
    <row r="322" spans="32:87" ht="20.100000000000001" customHeight="1">
      <c r="AF322" s="1492"/>
      <c r="AG322" s="251" t="s">
        <v>1224</v>
      </c>
      <c r="AH322" s="280"/>
      <c r="AI322" s="251">
        <f>INDEX('DEFAULT DATA'!$VE$9:$VK$41,START!$C$3,5)</f>
        <v>403</v>
      </c>
      <c r="AJ322" s="195">
        <f>INDEX('DEFAULT DATA'!$AHO$9:$AHV$41,START!$C$3,6)</f>
        <v>0</v>
      </c>
      <c r="AK322" s="157">
        <v>0</v>
      </c>
      <c r="AL322" s="272">
        <f t="shared" ref="AL322:BN322" si="205">IF(AND(AL$296&gt;($D$85+2020),AL$296&lt;($E$85+2022)),AK322+($AI$322*$AJ$322*((100-$F$85)/100)*$B$85/($E$85-$D$85+1)/1000000),AK322)</f>
        <v>0</v>
      </c>
      <c r="AM322" s="272">
        <f t="shared" si="205"/>
        <v>0</v>
      </c>
      <c r="AN322" s="272">
        <f t="shared" si="205"/>
        <v>0</v>
      </c>
      <c r="AO322" s="272">
        <f t="shared" si="205"/>
        <v>0</v>
      </c>
      <c r="AP322" s="272">
        <f t="shared" si="205"/>
        <v>0</v>
      </c>
      <c r="AQ322" s="272">
        <f t="shared" si="205"/>
        <v>0</v>
      </c>
      <c r="AR322" s="272">
        <f t="shared" si="205"/>
        <v>0</v>
      </c>
      <c r="AS322" s="272">
        <f t="shared" si="205"/>
        <v>0</v>
      </c>
      <c r="AT322" s="272">
        <f t="shared" si="205"/>
        <v>0</v>
      </c>
      <c r="AU322" s="272">
        <f t="shared" si="205"/>
        <v>0</v>
      </c>
      <c r="AV322" s="272">
        <f t="shared" si="205"/>
        <v>0</v>
      </c>
      <c r="AW322" s="272">
        <f t="shared" si="205"/>
        <v>0</v>
      </c>
      <c r="AX322" s="272">
        <f t="shared" si="205"/>
        <v>0</v>
      </c>
      <c r="AY322" s="272">
        <f t="shared" si="205"/>
        <v>0</v>
      </c>
      <c r="AZ322" s="272">
        <f t="shared" si="205"/>
        <v>0</v>
      </c>
      <c r="BA322" s="272">
        <f t="shared" si="205"/>
        <v>0</v>
      </c>
      <c r="BB322" s="272">
        <f t="shared" si="205"/>
        <v>0</v>
      </c>
      <c r="BC322" s="272">
        <f t="shared" si="205"/>
        <v>0</v>
      </c>
      <c r="BD322" s="272">
        <f t="shared" si="205"/>
        <v>0</v>
      </c>
      <c r="BE322" s="272">
        <f t="shared" si="205"/>
        <v>0</v>
      </c>
      <c r="BF322" s="272">
        <f t="shared" si="205"/>
        <v>0</v>
      </c>
      <c r="BG322" s="272">
        <f t="shared" si="205"/>
        <v>0</v>
      </c>
      <c r="BH322" s="272">
        <f t="shared" si="205"/>
        <v>0</v>
      </c>
      <c r="BI322" s="272">
        <f t="shared" si="205"/>
        <v>0</v>
      </c>
      <c r="BJ322" s="272">
        <f t="shared" si="205"/>
        <v>0</v>
      </c>
      <c r="BK322" s="272">
        <f t="shared" si="205"/>
        <v>0</v>
      </c>
      <c r="BL322" s="272">
        <f t="shared" si="205"/>
        <v>0</v>
      </c>
      <c r="BM322" s="272">
        <f t="shared" si="205"/>
        <v>0</v>
      </c>
      <c r="BN322" s="324">
        <f t="shared" si="205"/>
        <v>0</v>
      </c>
      <c r="BP322" s="552" t="s">
        <v>1224</v>
      </c>
      <c r="BQ322" s="1482" t="s">
        <v>1952</v>
      </c>
      <c r="BR322" s="1483"/>
      <c r="BS322" s="1483"/>
      <c r="BT322" s="1483"/>
      <c r="BU322" s="1483"/>
      <c r="BV322" s="1483"/>
      <c r="BW322" s="1483"/>
      <c r="BX322" s="1483"/>
      <c r="BY322" s="1483"/>
      <c r="BZ322" s="1483"/>
      <c r="CA322" s="1483"/>
      <c r="CB322" s="1483"/>
      <c r="CC322" s="1483"/>
      <c r="CD322" s="1483"/>
      <c r="CE322" s="1483"/>
      <c r="CF322" s="1483"/>
      <c r="CG322" s="1484"/>
      <c r="CH322" s="554" t="s">
        <v>1796</v>
      </c>
      <c r="CI322" s="554" t="s">
        <v>1624</v>
      </c>
    </row>
    <row r="323" spans="32:87" ht="20.100000000000001" customHeight="1">
      <c r="AF323" s="1492"/>
      <c r="AG323" s="251" t="s">
        <v>1225</v>
      </c>
      <c r="AH323" s="280"/>
      <c r="AI323" s="251">
        <f>INDEX('DEFAULT DATA'!$VE$9:$VK$41,START!$C$3,6)</f>
        <v>0</v>
      </c>
      <c r="AJ323" s="195">
        <f>INDEX('DEFAULT DATA'!$AHO$9:$AHV$41,START!$C$3,7)</f>
        <v>0</v>
      </c>
      <c r="AK323" s="157">
        <v>0</v>
      </c>
      <c r="AL323" s="272">
        <f t="shared" ref="AL323:BN323" si="206">IF(AND(AL$296&gt;($D$85+2020),AL$296&lt;($E$85+2022)),AK323+($AI$323*$AJ$323*((100-$F$85)/100)*$B$85/($E$85-$D$85+1)/1000000),AK323)</f>
        <v>0</v>
      </c>
      <c r="AM323" s="272">
        <f t="shared" si="206"/>
        <v>0</v>
      </c>
      <c r="AN323" s="272">
        <f t="shared" si="206"/>
        <v>0</v>
      </c>
      <c r="AO323" s="272">
        <f t="shared" si="206"/>
        <v>0</v>
      </c>
      <c r="AP323" s="272">
        <f t="shared" si="206"/>
        <v>0</v>
      </c>
      <c r="AQ323" s="272">
        <f t="shared" si="206"/>
        <v>0</v>
      </c>
      <c r="AR323" s="272">
        <f t="shared" si="206"/>
        <v>0</v>
      </c>
      <c r="AS323" s="272">
        <f t="shared" si="206"/>
        <v>0</v>
      </c>
      <c r="AT323" s="272">
        <f t="shared" si="206"/>
        <v>0</v>
      </c>
      <c r="AU323" s="272">
        <f t="shared" si="206"/>
        <v>0</v>
      </c>
      <c r="AV323" s="272">
        <f t="shared" si="206"/>
        <v>0</v>
      </c>
      <c r="AW323" s="272">
        <f t="shared" si="206"/>
        <v>0</v>
      </c>
      <c r="AX323" s="272">
        <f t="shared" si="206"/>
        <v>0</v>
      </c>
      <c r="AY323" s="272">
        <f t="shared" si="206"/>
        <v>0</v>
      </c>
      <c r="AZ323" s="272">
        <f t="shared" si="206"/>
        <v>0</v>
      </c>
      <c r="BA323" s="272">
        <f t="shared" si="206"/>
        <v>0</v>
      </c>
      <c r="BB323" s="272">
        <f t="shared" si="206"/>
        <v>0</v>
      </c>
      <c r="BC323" s="272">
        <f t="shared" si="206"/>
        <v>0</v>
      </c>
      <c r="BD323" s="272">
        <f t="shared" si="206"/>
        <v>0</v>
      </c>
      <c r="BE323" s="272">
        <f t="shared" si="206"/>
        <v>0</v>
      </c>
      <c r="BF323" s="272">
        <f t="shared" si="206"/>
        <v>0</v>
      </c>
      <c r="BG323" s="272">
        <f t="shared" si="206"/>
        <v>0</v>
      </c>
      <c r="BH323" s="272">
        <f t="shared" si="206"/>
        <v>0</v>
      </c>
      <c r="BI323" s="272">
        <f t="shared" si="206"/>
        <v>0</v>
      </c>
      <c r="BJ323" s="272">
        <f t="shared" si="206"/>
        <v>0</v>
      </c>
      <c r="BK323" s="272">
        <f t="shared" si="206"/>
        <v>0</v>
      </c>
      <c r="BL323" s="272">
        <f t="shared" si="206"/>
        <v>0</v>
      </c>
      <c r="BM323" s="272">
        <f t="shared" si="206"/>
        <v>0</v>
      </c>
      <c r="BN323" s="324">
        <f t="shared" si="206"/>
        <v>0</v>
      </c>
      <c r="BP323" s="552" t="s">
        <v>1225</v>
      </c>
      <c r="BQ323" s="1482" t="s">
        <v>1953</v>
      </c>
      <c r="BR323" s="1483"/>
      <c r="BS323" s="1483"/>
      <c r="BT323" s="1483"/>
      <c r="BU323" s="1483"/>
      <c r="BV323" s="1483"/>
      <c r="BW323" s="1483"/>
      <c r="BX323" s="1483"/>
      <c r="BY323" s="1483"/>
      <c r="BZ323" s="1483"/>
      <c r="CA323" s="1483"/>
      <c r="CB323" s="1483"/>
      <c r="CC323" s="1483"/>
      <c r="CD323" s="1483"/>
      <c r="CE323" s="1483"/>
      <c r="CF323" s="1483"/>
      <c r="CG323" s="1484"/>
      <c r="CH323" s="554" t="s">
        <v>1797</v>
      </c>
      <c r="CI323" s="554" t="s">
        <v>1625</v>
      </c>
    </row>
    <row r="324" spans="32:87" ht="20.100000000000001" customHeight="1" thickBot="1">
      <c r="AF324" s="1493"/>
      <c r="AG324" s="310" t="s">
        <v>1226</v>
      </c>
      <c r="AH324" s="288"/>
      <c r="AI324" s="310" t="s">
        <v>1497</v>
      </c>
      <c r="AJ324" s="260">
        <f>INDEX('DEFAULT DATA'!$AHO$9:$AHV$41,START!$C$3,8)</f>
        <v>0</v>
      </c>
      <c r="AK324" s="158">
        <v>0</v>
      </c>
      <c r="AL324" s="325">
        <f t="shared" ref="AL324:BN324" si="207">IF(AND(AL$296&gt;($D$85+2020),AL$296&lt;($E$85+2022)),AK324+(AL$6*$AJ$324*((100-$F$85)/100)*$B$85/($E$85-$D$85+1)/1000000),AK324)</f>
        <v>0</v>
      </c>
      <c r="AM324" s="325">
        <f t="shared" si="207"/>
        <v>0</v>
      </c>
      <c r="AN324" s="325">
        <f t="shared" si="207"/>
        <v>0</v>
      </c>
      <c r="AO324" s="325">
        <f t="shared" si="207"/>
        <v>0</v>
      </c>
      <c r="AP324" s="325">
        <f t="shared" si="207"/>
        <v>0</v>
      </c>
      <c r="AQ324" s="325">
        <f t="shared" si="207"/>
        <v>0</v>
      </c>
      <c r="AR324" s="325">
        <f t="shared" si="207"/>
        <v>0</v>
      </c>
      <c r="AS324" s="325">
        <f t="shared" si="207"/>
        <v>0</v>
      </c>
      <c r="AT324" s="325">
        <f t="shared" si="207"/>
        <v>0</v>
      </c>
      <c r="AU324" s="325">
        <f t="shared" si="207"/>
        <v>0</v>
      </c>
      <c r="AV324" s="325">
        <f t="shared" si="207"/>
        <v>0</v>
      </c>
      <c r="AW324" s="325">
        <f t="shared" si="207"/>
        <v>0</v>
      </c>
      <c r="AX324" s="325">
        <f t="shared" si="207"/>
        <v>0</v>
      </c>
      <c r="AY324" s="325">
        <f t="shared" si="207"/>
        <v>0</v>
      </c>
      <c r="AZ324" s="325">
        <f t="shared" si="207"/>
        <v>0</v>
      </c>
      <c r="BA324" s="325">
        <f t="shared" si="207"/>
        <v>0</v>
      </c>
      <c r="BB324" s="325">
        <f t="shared" si="207"/>
        <v>0</v>
      </c>
      <c r="BC324" s="325">
        <f t="shared" si="207"/>
        <v>0</v>
      </c>
      <c r="BD324" s="325">
        <f t="shared" si="207"/>
        <v>0</v>
      </c>
      <c r="BE324" s="325">
        <f t="shared" si="207"/>
        <v>0</v>
      </c>
      <c r="BF324" s="325">
        <f t="shared" si="207"/>
        <v>0</v>
      </c>
      <c r="BG324" s="325">
        <f t="shared" si="207"/>
        <v>0</v>
      </c>
      <c r="BH324" s="325">
        <f t="shared" si="207"/>
        <v>0</v>
      </c>
      <c r="BI324" s="325">
        <f t="shared" si="207"/>
        <v>0</v>
      </c>
      <c r="BJ324" s="325">
        <f t="shared" si="207"/>
        <v>0</v>
      </c>
      <c r="BK324" s="325">
        <f t="shared" si="207"/>
        <v>0</v>
      </c>
      <c r="BL324" s="325">
        <f t="shared" si="207"/>
        <v>0</v>
      </c>
      <c r="BM324" s="325">
        <f t="shared" si="207"/>
        <v>0</v>
      </c>
      <c r="BN324" s="326">
        <f t="shared" si="207"/>
        <v>0</v>
      </c>
      <c r="BP324" s="552" t="s">
        <v>1226</v>
      </c>
      <c r="BQ324" s="1482" t="s">
        <v>1954</v>
      </c>
      <c r="BR324" s="1483"/>
      <c r="BS324" s="1483"/>
      <c r="BT324" s="1483"/>
      <c r="BU324" s="1483"/>
      <c r="BV324" s="1483"/>
      <c r="BW324" s="1483"/>
      <c r="BX324" s="1483"/>
      <c r="BY324" s="1483"/>
      <c r="BZ324" s="1483"/>
      <c r="CA324" s="1483"/>
      <c r="CB324" s="1483"/>
      <c r="CC324" s="1483"/>
      <c r="CD324" s="1483"/>
      <c r="CE324" s="1483"/>
      <c r="CF324" s="1483"/>
      <c r="CG324" s="1484"/>
      <c r="CH324" s="554" t="s">
        <v>1798</v>
      </c>
      <c r="CI324" s="554" t="s">
        <v>1882</v>
      </c>
    </row>
    <row r="325" spans="32:87" ht="20.100000000000001" customHeight="1">
      <c r="AF325" s="311"/>
      <c r="AG325" s="285" t="s">
        <v>1460</v>
      </c>
      <c r="AH325" s="285"/>
      <c r="AI325" s="285"/>
      <c r="AJ325" s="285"/>
      <c r="AK325" s="338">
        <f>SUM(AK317:AK324)</f>
        <v>0</v>
      </c>
      <c r="AL325" s="327">
        <f>SUM(AL317:AL324)</f>
        <v>0</v>
      </c>
      <c r="AM325" s="327">
        <f t="shared" ref="AM325:BN325" si="208">SUM(AM317:AM324)</f>
        <v>0</v>
      </c>
      <c r="AN325" s="327">
        <f t="shared" si="208"/>
        <v>0</v>
      </c>
      <c r="AO325" s="327">
        <f t="shared" si="208"/>
        <v>0</v>
      </c>
      <c r="AP325" s="327">
        <f t="shared" si="208"/>
        <v>0</v>
      </c>
      <c r="AQ325" s="327">
        <f t="shared" si="208"/>
        <v>0</v>
      </c>
      <c r="AR325" s="327">
        <f t="shared" si="208"/>
        <v>0</v>
      </c>
      <c r="AS325" s="327">
        <f t="shared" si="208"/>
        <v>0</v>
      </c>
      <c r="AT325" s="327">
        <f t="shared" si="208"/>
        <v>0</v>
      </c>
      <c r="AU325" s="327">
        <f t="shared" si="208"/>
        <v>0</v>
      </c>
      <c r="AV325" s="327">
        <f t="shared" si="208"/>
        <v>0</v>
      </c>
      <c r="AW325" s="327">
        <f t="shared" si="208"/>
        <v>0</v>
      </c>
      <c r="AX325" s="327">
        <f t="shared" si="208"/>
        <v>0</v>
      </c>
      <c r="AY325" s="327">
        <f t="shared" si="208"/>
        <v>0</v>
      </c>
      <c r="AZ325" s="327">
        <f t="shared" si="208"/>
        <v>0</v>
      </c>
      <c r="BA325" s="327">
        <f t="shared" si="208"/>
        <v>0</v>
      </c>
      <c r="BB325" s="327">
        <f t="shared" si="208"/>
        <v>0</v>
      </c>
      <c r="BC325" s="327">
        <f t="shared" si="208"/>
        <v>0</v>
      </c>
      <c r="BD325" s="327">
        <f t="shared" si="208"/>
        <v>0</v>
      </c>
      <c r="BE325" s="327">
        <f t="shared" si="208"/>
        <v>0</v>
      </c>
      <c r="BF325" s="327">
        <f t="shared" si="208"/>
        <v>0</v>
      </c>
      <c r="BG325" s="327">
        <f t="shared" si="208"/>
        <v>0</v>
      </c>
      <c r="BH325" s="327">
        <f t="shared" si="208"/>
        <v>0</v>
      </c>
      <c r="BI325" s="327">
        <f t="shared" si="208"/>
        <v>0</v>
      </c>
      <c r="BJ325" s="327">
        <f t="shared" si="208"/>
        <v>0</v>
      </c>
      <c r="BK325" s="327">
        <f t="shared" si="208"/>
        <v>0</v>
      </c>
      <c r="BL325" s="327">
        <f t="shared" si="208"/>
        <v>0</v>
      </c>
      <c r="BM325" s="327">
        <f t="shared" si="208"/>
        <v>0</v>
      </c>
      <c r="BN325" s="327">
        <f t="shared" si="208"/>
        <v>0</v>
      </c>
    </row>
    <row r="326" spans="32:87" ht="20.100000000000001" customHeight="1" thickBot="1">
      <c r="AK326" s="336"/>
      <c r="BP326" s="14" t="s">
        <v>1231</v>
      </c>
      <c r="CH326" s="555" t="s">
        <v>1880</v>
      </c>
      <c r="CI326" s="17" t="s">
        <v>1598</v>
      </c>
    </row>
    <row r="327" spans="32:87" ht="20.100000000000001" customHeight="1">
      <c r="AF327" s="1491" t="str">
        <f>AF227</f>
        <v>Offices</v>
      </c>
      <c r="AG327" s="286" t="s">
        <v>933</v>
      </c>
      <c r="AH327" s="287"/>
      <c r="AI327" s="286" t="s">
        <v>1496</v>
      </c>
      <c r="AJ327" s="313">
        <f>INDEX('DEFAULT DATA'!$AHW$9:$AID$41,START!$C$3,1)</f>
        <v>0</v>
      </c>
      <c r="AK327" s="338">
        <v>0</v>
      </c>
      <c r="AL327" s="317">
        <f t="shared" ref="AL327:BN327" si="209">IF(AND(AL$296&gt;($D$86+2020),AL$296&lt;($E$86+2022)),AK327+(AL$5*$AJ$327*((100-$F$86)/100)*$B$86/($E$86-$D$86+1)/1000000),AK327)</f>
        <v>0</v>
      </c>
      <c r="AM327" s="317">
        <f t="shared" si="209"/>
        <v>0</v>
      </c>
      <c r="AN327" s="317">
        <f t="shared" si="209"/>
        <v>0</v>
      </c>
      <c r="AO327" s="317">
        <f t="shared" si="209"/>
        <v>0</v>
      </c>
      <c r="AP327" s="317">
        <f t="shared" si="209"/>
        <v>0</v>
      </c>
      <c r="AQ327" s="317">
        <f t="shared" si="209"/>
        <v>0</v>
      </c>
      <c r="AR327" s="317">
        <f t="shared" si="209"/>
        <v>0</v>
      </c>
      <c r="AS327" s="317">
        <f t="shared" si="209"/>
        <v>0</v>
      </c>
      <c r="AT327" s="317">
        <f t="shared" si="209"/>
        <v>0</v>
      </c>
      <c r="AU327" s="317">
        <f t="shared" si="209"/>
        <v>0</v>
      </c>
      <c r="AV327" s="317">
        <f t="shared" si="209"/>
        <v>0</v>
      </c>
      <c r="AW327" s="317">
        <f t="shared" si="209"/>
        <v>0</v>
      </c>
      <c r="AX327" s="317">
        <f t="shared" si="209"/>
        <v>0</v>
      </c>
      <c r="AY327" s="317">
        <f t="shared" si="209"/>
        <v>0</v>
      </c>
      <c r="AZ327" s="317">
        <f t="shared" si="209"/>
        <v>0</v>
      </c>
      <c r="BA327" s="317">
        <f t="shared" si="209"/>
        <v>0</v>
      </c>
      <c r="BB327" s="317">
        <f t="shared" si="209"/>
        <v>0</v>
      </c>
      <c r="BC327" s="317">
        <f t="shared" si="209"/>
        <v>0</v>
      </c>
      <c r="BD327" s="317">
        <f t="shared" si="209"/>
        <v>0</v>
      </c>
      <c r="BE327" s="317">
        <f t="shared" si="209"/>
        <v>0</v>
      </c>
      <c r="BF327" s="317">
        <f t="shared" si="209"/>
        <v>0</v>
      </c>
      <c r="BG327" s="317">
        <f t="shared" si="209"/>
        <v>0</v>
      </c>
      <c r="BH327" s="317">
        <f t="shared" si="209"/>
        <v>0</v>
      </c>
      <c r="BI327" s="317">
        <f t="shared" si="209"/>
        <v>0</v>
      </c>
      <c r="BJ327" s="317">
        <f t="shared" si="209"/>
        <v>0</v>
      </c>
      <c r="BK327" s="317">
        <f t="shared" si="209"/>
        <v>0</v>
      </c>
      <c r="BL327" s="317">
        <f t="shared" si="209"/>
        <v>0</v>
      </c>
      <c r="BM327" s="317">
        <f t="shared" si="209"/>
        <v>0</v>
      </c>
      <c r="BN327" s="318">
        <f t="shared" si="209"/>
        <v>0</v>
      </c>
      <c r="BP327" s="552" t="s">
        <v>933</v>
      </c>
      <c r="BQ327" s="1482" t="s">
        <v>1955</v>
      </c>
      <c r="BR327" s="1483"/>
      <c r="BS327" s="1483"/>
      <c r="BT327" s="1483"/>
      <c r="BU327" s="1483"/>
      <c r="BV327" s="1483"/>
      <c r="BW327" s="1483"/>
      <c r="BX327" s="1483"/>
      <c r="BY327" s="1483"/>
      <c r="BZ327" s="1483"/>
      <c r="CA327" s="1483"/>
      <c r="CB327" s="1483"/>
      <c r="CC327" s="1483"/>
      <c r="CD327" s="1483"/>
      <c r="CE327" s="1483"/>
      <c r="CF327" s="1483"/>
      <c r="CG327" s="1484"/>
      <c r="CH327" s="554" t="s">
        <v>1799</v>
      </c>
      <c r="CI327" s="554" t="s">
        <v>1881</v>
      </c>
    </row>
    <row r="328" spans="32:87" ht="20.100000000000001" customHeight="1">
      <c r="AF328" s="1492"/>
      <c r="AG328" s="251" t="s">
        <v>1220</v>
      </c>
      <c r="AH328" s="280"/>
      <c r="AI328" s="251">
        <f>INDEX('DEFAULT DATA'!$VE$9:$VK$41,START!$C$3,1)</f>
        <v>202</v>
      </c>
      <c r="AJ328" s="195">
        <f>INDEX('DEFAULT DATA'!$AHW$9:$AID$41,START!$C$3,2)</f>
        <v>0</v>
      </c>
      <c r="AK328" s="157">
        <v>0</v>
      </c>
      <c r="AL328" s="220">
        <f t="shared" ref="AL328:BN328" si="210">IF(AND(AL$296&gt;($D$86+2020),AL$296&lt;($E$86+2022)),AK328+($AI$328*$AJ$328*((100-$F$86)/100)*$B$86/($E$86-$D$86+1)/1000000),AK328)</f>
        <v>0</v>
      </c>
      <c r="AM328" s="220">
        <f t="shared" si="210"/>
        <v>0</v>
      </c>
      <c r="AN328" s="220">
        <f t="shared" si="210"/>
        <v>0</v>
      </c>
      <c r="AO328" s="220">
        <f t="shared" si="210"/>
        <v>0</v>
      </c>
      <c r="AP328" s="220">
        <f t="shared" si="210"/>
        <v>0</v>
      </c>
      <c r="AQ328" s="220">
        <f t="shared" si="210"/>
        <v>0</v>
      </c>
      <c r="AR328" s="220">
        <f t="shared" si="210"/>
        <v>0</v>
      </c>
      <c r="AS328" s="220">
        <f t="shared" si="210"/>
        <v>0</v>
      </c>
      <c r="AT328" s="220">
        <f t="shared" si="210"/>
        <v>0</v>
      </c>
      <c r="AU328" s="220">
        <f t="shared" si="210"/>
        <v>0</v>
      </c>
      <c r="AV328" s="220">
        <f t="shared" si="210"/>
        <v>0</v>
      </c>
      <c r="AW328" s="220">
        <f t="shared" si="210"/>
        <v>0</v>
      </c>
      <c r="AX328" s="220">
        <f t="shared" si="210"/>
        <v>0</v>
      </c>
      <c r="AY328" s="220">
        <f t="shared" si="210"/>
        <v>0</v>
      </c>
      <c r="AZ328" s="220">
        <f t="shared" si="210"/>
        <v>0</v>
      </c>
      <c r="BA328" s="220">
        <f t="shared" si="210"/>
        <v>0</v>
      </c>
      <c r="BB328" s="220">
        <f t="shared" si="210"/>
        <v>0</v>
      </c>
      <c r="BC328" s="220">
        <f t="shared" si="210"/>
        <v>0</v>
      </c>
      <c r="BD328" s="220">
        <f t="shared" si="210"/>
        <v>0</v>
      </c>
      <c r="BE328" s="220">
        <f t="shared" si="210"/>
        <v>0</v>
      </c>
      <c r="BF328" s="220">
        <f t="shared" si="210"/>
        <v>0</v>
      </c>
      <c r="BG328" s="220">
        <f t="shared" si="210"/>
        <v>0</v>
      </c>
      <c r="BH328" s="220">
        <f t="shared" si="210"/>
        <v>0</v>
      </c>
      <c r="BI328" s="220">
        <f t="shared" si="210"/>
        <v>0</v>
      </c>
      <c r="BJ328" s="220">
        <f t="shared" si="210"/>
        <v>0</v>
      </c>
      <c r="BK328" s="220">
        <f t="shared" si="210"/>
        <v>0</v>
      </c>
      <c r="BL328" s="220">
        <f t="shared" si="210"/>
        <v>0</v>
      </c>
      <c r="BM328" s="220">
        <f t="shared" si="210"/>
        <v>0</v>
      </c>
      <c r="BN328" s="319">
        <f t="shared" si="210"/>
        <v>0</v>
      </c>
      <c r="BP328" s="552" t="s">
        <v>1220</v>
      </c>
      <c r="BQ328" s="1482" t="s">
        <v>1956</v>
      </c>
      <c r="BR328" s="1483"/>
      <c r="BS328" s="1483"/>
      <c r="BT328" s="1483"/>
      <c r="BU328" s="1483"/>
      <c r="BV328" s="1483"/>
      <c r="BW328" s="1483"/>
      <c r="BX328" s="1483"/>
      <c r="BY328" s="1483"/>
      <c r="BZ328" s="1483"/>
      <c r="CA328" s="1483"/>
      <c r="CB328" s="1483"/>
      <c r="CC328" s="1483"/>
      <c r="CD328" s="1483"/>
      <c r="CE328" s="1483"/>
      <c r="CF328" s="1483"/>
      <c r="CG328" s="1484"/>
      <c r="CH328" s="554" t="s">
        <v>1800</v>
      </c>
      <c r="CI328" s="554" t="s">
        <v>1248</v>
      </c>
    </row>
    <row r="329" spans="32:87" ht="20.100000000000001" customHeight="1">
      <c r="AF329" s="1492"/>
      <c r="AG329" s="251" t="s">
        <v>1221</v>
      </c>
      <c r="AH329" s="280"/>
      <c r="AI329" s="251">
        <f>INDEX('DEFAULT DATA'!$VE$9:$VK$41,START!$C$3,2)</f>
        <v>279</v>
      </c>
      <c r="AJ329" s="195">
        <f>INDEX('DEFAULT DATA'!$AHW$9:$AID$41,START!$C$3,3)</f>
        <v>0</v>
      </c>
      <c r="AK329" s="157">
        <v>0</v>
      </c>
      <c r="AL329" s="220">
        <f t="shared" ref="AL329:BN329" si="211">IF(AND(AL$296&gt;($D$86+2020),AL$296&lt;($E$86+2022)),AK329+($AI$329*$AJ$329*((100-$F$86)/100)*$B$86/($E$86-$D$86+1)/1000000),AK329)</f>
        <v>0</v>
      </c>
      <c r="AM329" s="220">
        <f t="shared" si="211"/>
        <v>0</v>
      </c>
      <c r="AN329" s="220">
        <f t="shared" si="211"/>
        <v>0</v>
      </c>
      <c r="AO329" s="220">
        <f t="shared" si="211"/>
        <v>0</v>
      </c>
      <c r="AP329" s="220">
        <f t="shared" si="211"/>
        <v>0</v>
      </c>
      <c r="AQ329" s="220">
        <f t="shared" si="211"/>
        <v>0</v>
      </c>
      <c r="AR329" s="220">
        <f t="shared" si="211"/>
        <v>0</v>
      </c>
      <c r="AS329" s="220">
        <f t="shared" si="211"/>
        <v>0</v>
      </c>
      <c r="AT329" s="220">
        <f t="shared" si="211"/>
        <v>0</v>
      </c>
      <c r="AU329" s="220">
        <f t="shared" si="211"/>
        <v>0</v>
      </c>
      <c r="AV329" s="220">
        <f t="shared" si="211"/>
        <v>0</v>
      </c>
      <c r="AW329" s="220">
        <f t="shared" si="211"/>
        <v>0</v>
      </c>
      <c r="AX329" s="220">
        <f t="shared" si="211"/>
        <v>0</v>
      </c>
      <c r="AY329" s="220">
        <f t="shared" si="211"/>
        <v>0</v>
      </c>
      <c r="AZ329" s="220">
        <f t="shared" si="211"/>
        <v>0</v>
      </c>
      <c r="BA329" s="220">
        <f t="shared" si="211"/>
        <v>0</v>
      </c>
      <c r="BB329" s="220">
        <f t="shared" si="211"/>
        <v>0</v>
      </c>
      <c r="BC329" s="220">
        <f t="shared" si="211"/>
        <v>0</v>
      </c>
      <c r="BD329" s="220">
        <f t="shared" si="211"/>
        <v>0</v>
      </c>
      <c r="BE329" s="220">
        <f t="shared" si="211"/>
        <v>0</v>
      </c>
      <c r="BF329" s="220">
        <f t="shared" si="211"/>
        <v>0</v>
      </c>
      <c r="BG329" s="220">
        <f t="shared" si="211"/>
        <v>0</v>
      </c>
      <c r="BH329" s="220">
        <f t="shared" si="211"/>
        <v>0</v>
      </c>
      <c r="BI329" s="220">
        <f t="shared" si="211"/>
        <v>0</v>
      </c>
      <c r="BJ329" s="220">
        <f t="shared" si="211"/>
        <v>0</v>
      </c>
      <c r="BK329" s="220">
        <f t="shared" si="211"/>
        <v>0</v>
      </c>
      <c r="BL329" s="220">
        <f t="shared" si="211"/>
        <v>0</v>
      </c>
      <c r="BM329" s="220">
        <f t="shared" si="211"/>
        <v>0</v>
      </c>
      <c r="BN329" s="319">
        <f t="shared" si="211"/>
        <v>0</v>
      </c>
      <c r="BP329" s="552" t="s">
        <v>1221</v>
      </c>
      <c r="BQ329" s="1482" t="s">
        <v>1957</v>
      </c>
      <c r="BR329" s="1483"/>
      <c r="BS329" s="1483"/>
      <c r="BT329" s="1483"/>
      <c r="BU329" s="1483"/>
      <c r="BV329" s="1483"/>
      <c r="BW329" s="1483"/>
      <c r="BX329" s="1483"/>
      <c r="BY329" s="1483"/>
      <c r="BZ329" s="1483"/>
      <c r="CA329" s="1483"/>
      <c r="CB329" s="1483"/>
      <c r="CC329" s="1483"/>
      <c r="CD329" s="1483"/>
      <c r="CE329" s="1483"/>
      <c r="CF329" s="1483"/>
      <c r="CG329" s="1484"/>
      <c r="CH329" s="554" t="s">
        <v>1801</v>
      </c>
      <c r="CI329" s="554" t="s">
        <v>1621</v>
      </c>
    </row>
    <row r="330" spans="32:87" ht="20.100000000000001" customHeight="1">
      <c r="AF330" s="1492"/>
      <c r="AG330" s="251" t="s">
        <v>1222</v>
      </c>
      <c r="AH330" s="280"/>
      <c r="AI330" s="251">
        <f>INDEX('DEFAULT DATA'!$VE$9:$VK$41,START!$C$3,3)</f>
        <v>354</v>
      </c>
      <c r="AJ330" s="195">
        <f>INDEX('DEFAULT DATA'!$AHW$9:$AID$41,START!$C$3,4)</f>
        <v>0</v>
      </c>
      <c r="AK330" s="157">
        <v>0</v>
      </c>
      <c r="AL330" s="220">
        <f t="shared" ref="AL330:BN330" si="212">IF(AND(AL$296&gt;($D$86+2020),AL$296&lt;($E$86+2022)),AK330+($AI$330*$AJ$330*((100-$F$86)/100)*$B$86/($E$86-$D$86+1)/1000000),AK330)</f>
        <v>0</v>
      </c>
      <c r="AM330" s="220">
        <f t="shared" si="212"/>
        <v>0</v>
      </c>
      <c r="AN330" s="220">
        <f t="shared" si="212"/>
        <v>0</v>
      </c>
      <c r="AO330" s="220">
        <f t="shared" si="212"/>
        <v>0</v>
      </c>
      <c r="AP330" s="220">
        <f t="shared" si="212"/>
        <v>0</v>
      </c>
      <c r="AQ330" s="220">
        <f t="shared" si="212"/>
        <v>0</v>
      </c>
      <c r="AR330" s="220">
        <f t="shared" si="212"/>
        <v>0</v>
      </c>
      <c r="AS330" s="220">
        <f t="shared" si="212"/>
        <v>0</v>
      </c>
      <c r="AT330" s="220">
        <f t="shared" si="212"/>
        <v>0</v>
      </c>
      <c r="AU330" s="220">
        <f t="shared" si="212"/>
        <v>0</v>
      </c>
      <c r="AV330" s="220">
        <f t="shared" si="212"/>
        <v>0</v>
      </c>
      <c r="AW330" s="220">
        <f t="shared" si="212"/>
        <v>0</v>
      </c>
      <c r="AX330" s="220">
        <f t="shared" si="212"/>
        <v>0</v>
      </c>
      <c r="AY330" s="220">
        <f t="shared" si="212"/>
        <v>0</v>
      </c>
      <c r="AZ330" s="220">
        <f t="shared" si="212"/>
        <v>0</v>
      </c>
      <c r="BA330" s="220">
        <f t="shared" si="212"/>
        <v>0</v>
      </c>
      <c r="BB330" s="220">
        <f t="shared" si="212"/>
        <v>0</v>
      </c>
      <c r="BC330" s="220">
        <f t="shared" si="212"/>
        <v>0</v>
      </c>
      <c r="BD330" s="220">
        <f t="shared" si="212"/>
        <v>0</v>
      </c>
      <c r="BE330" s="220">
        <f t="shared" si="212"/>
        <v>0</v>
      </c>
      <c r="BF330" s="220">
        <f t="shared" si="212"/>
        <v>0</v>
      </c>
      <c r="BG330" s="220">
        <f t="shared" si="212"/>
        <v>0</v>
      </c>
      <c r="BH330" s="220">
        <f t="shared" si="212"/>
        <v>0</v>
      </c>
      <c r="BI330" s="220">
        <f t="shared" si="212"/>
        <v>0</v>
      </c>
      <c r="BJ330" s="220">
        <f t="shared" si="212"/>
        <v>0</v>
      </c>
      <c r="BK330" s="220">
        <f t="shared" si="212"/>
        <v>0</v>
      </c>
      <c r="BL330" s="220">
        <f t="shared" si="212"/>
        <v>0</v>
      </c>
      <c r="BM330" s="220">
        <f t="shared" si="212"/>
        <v>0</v>
      </c>
      <c r="BN330" s="319">
        <f t="shared" si="212"/>
        <v>0</v>
      </c>
      <c r="BP330" s="552" t="s">
        <v>1222</v>
      </c>
      <c r="BQ330" s="1482" t="s">
        <v>1958</v>
      </c>
      <c r="BR330" s="1483"/>
      <c r="BS330" s="1483"/>
      <c r="BT330" s="1483"/>
      <c r="BU330" s="1483"/>
      <c r="BV330" s="1483"/>
      <c r="BW330" s="1483"/>
      <c r="BX330" s="1483"/>
      <c r="BY330" s="1483"/>
      <c r="BZ330" s="1483"/>
      <c r="CA330" s="1483"/>
      <c r="CB330" s="1483"/>
      <c r="CC330" s="1483"/>
      <c r="CD330" s="1483"/>
      <c r="CE330" s="1483"/>
      <c r="CF330" s="1483"/>
      <c r="CG330" s="1484"/>
      <c r="CH330" s="554" t="s">
        <v>1802</v>
      </c>
      <c r="CI330" s="554" t="s">
        <v>1622</v>
      </c>
    </row>
    <row r="331" spans="32:87" ht="20.100000000000001" customHeight="1">
      <c r="AF331" s="1492"/>
      <c r="AG331" s="251" t="s">
        <v>1223</v>
      </c>
      <c r="AH331" s="280"/>
      <c r="AI331" s="251">
        <f>INDEX('DEFAULT DATA'!$VE$9:$VK$41,START!$C$3,4)</f>
        <v>0</v>
      </c>
      <c r="AJ331" s="195">
        <f>INDEX('DEFAULT DATA'!$AHW$9:$AID$41,START!$C$3,5)</f>
        <v>0</v>
      </c>
      <c r="AK331" s="157">
        <v>0</v>
      </c>
      <c r="AL331" s="220">
        <f t="shared" ref="AL331:BN331" si="213">IF(AND(AL$296&gt;($D$86+2020),AL$296&lt;($E$86+2022)),AK331+($AI$331*$AJ$331*((100-$F$86)/100)*$B$86/($E$86-$D$86+1)/1000000),AK331)</f>
        <v>0</v>
      </c>
      <c r="AM331" s="220">
        <f t="shared" si="213"/>
        <v>0</v>
      </c>
      <c r="AN331" s="220">
        <f t="shared" si="213"/>
        <v>0</v>
      </c>
      <c r="AO331" s="220">
        <f t="shared" si="213"/>
        <v>0</v>
      </c>
      <c r="AP331" s="220">
        <f t="shared" si="213"/>
        <v>0</v>
      </c>
      <c r="AQ331" s="220">
        <f t="shared" si="213"/>
        <v>0</v>
      </c>
      <c r="AR331" s="220">
        <f t="shared" si="213"/>
        <v>0</v>
      </c>
      <c r="AS331" s="220">
        <f t="shared" si="213"/>
        <v>0</v>
      </c>
      <c r="AT331" s="220">
        <f t="shared" si="213"/>
        <v>0</v>
      </c>
      <c r="AU331" s="220">
        <f t="shared" si="213"/>
        <v>0</v>
      </c>
      <c r="AV331" s="220">
        <f t="shared" si="213"/>
        <v>0</v>
      </c>
      <c r="AW331" s="220">
        <f t="shared" si="213"/>
        <v>0</v>
      </c>
      <c r="AX331" s="220">
        <f t="shared" si="213"/>
        <v>0</v>
      </c>
      <c r="AY331" s="220">
        <f t="shared" si="213"/>
        <v>0</v>
      </c>
      <c r="AZ331" s="220">
        <f t="shared" si="213"/>
        <v>0</v>
      </c>
      <c r="BA331" s="220">
        <f t="shared" si="213"/>
        <v>0</v>
      </c>
      <c r="BB331" s="220">
        <f t="shared" si="213"/>
        <v>0</v>
      </c>
      <c r="BC331" s="220">
        <f t="shared" si="213"/>
        <v>0</v>
      </c>
      <c r="BD331" s="220">
        <f t="shared" si="213"/>
        <v>0</v>
      </c>
      <c r="BE331" s="220">
        <f t="shared" si="213"/>
        <v>0</v>
      </c>
      <c r="BF331" s="220">
        <f t="shared" si="213"/>
        <v>0</v>
      </c>
      <c r="BG331" s="220">
        <f t="shared" si="213"/>
        <v>0</v>
      </c>
      <c r="BH331" s="220">
        <f t="shared" si="213"/>
        <v>0</v>
      </c>
      <c r="BI331" s="220">
        <f t="shared" si="213"/>
        <v>0</v>
      </c>
      <c r="BJ331" s="220">
        <f t="shared" si="213"/>
        <v>0</v>
      </c>
      <c r="BK331" s="220">
        <f t="shared" si="213"/>
        <v>0</v>
      </c>
      <c r="BL331" s="220">
        <f t="shared" si="213"/>
        <v>0</v>
      </c>
      <c r="BM331" s="220">
        <f t="shared" si="213"/>
        <v>0</v>
      </c>
      <c r="BN331" s="319">
        <f t="shared" si="213"/>
        <v>0</v>
      </c>
      <c r="BP331" s="552" t="s">
        <v>1223</v>
      </c>
      <c r="BQ331" s="1482" t="s">
        <v>1959</v>
      </c>
      <c r="BR331" s="1483"/>
      <c r="BS331" s="1483"/>
      <c r="BT331" s="1483"/>
      <c r="BU331" s="1483"/>
      <c r="BV331" s="1483"/>
      <c r="BW331" s="1483"/>
      <c r="BX331" s="1483"/>
      <c r="BY331" s="1483"/>
      <c r="BZ331" s="1483"/>
      <c r="CA331" s="1483"/>
      <c r="CB331" s="1483"/>
      <c r="CC331" s="1483"/>
      <c r="CD331" s="1483"/>
      <c r="CE331" s="1483"/>
      <c r="CF331" s="1483"/>
      <c r="CG331" s="1484"/>
      <c r="CH331" s="554" t="s">
        <v>1803</v>
      </c>
      <c r="CI331" s="554" t="s">
        <v>1623</v>
      </c>
    </row>
    <row r="332" spans="32:87" ht="20.100000000000001" customHeight="1">
      <c r="AF332" s="1492"/>
      <c r="AG332" s="251" t="s">
        <v>1224</v>
      </c>
      <c r="AH332" s="280"/>
      <c r="AI332" s="251">
        <f>INDEX('DEFAULT DATA'!$VE$9:$VK$41,START!$C$3,5)</f>
        <v>403</v>
      </c>
      <c r="AJ332" s="195">
        <f>INDEX('DEFAULT DATA'!$AHW$9:$AID$41,START!$C$3,6)</f>
        <v>0</v>
      </c>
      <c r="AK332" s="157">
        <v>0</v>
      </c>
      <c r="AL332" s="220">
        <f t="shared" ref="AL332:BN332" si="214">IF(AND(AL$296&gt;($D$86+2020),AL$296&lt;($E$86+2022)),AK332+($AI$332*$AJ$332*((100-$F$86)/100)*$B$86/($E$86-$D$86+1)/1000000),AK332)</f>
        <v>0</v>
      </c>
      <c r="AM332" s="220">
        <f t="shared" si="214"/>
        <v>0</v>
      </c>
      <c r="AN332" s="220">
        <f t="shared" si="214"/>
        <v>0</v>
      </c>
      <c r="AO332" s="220">
        <f t="shared" si="214"/>
        <v>0</v>
      </c>
      <c r="AP332" s="220">
        <f t="shared" si="214"/>
        <v>0</v>
      </c>
      <c r="AQ332" s="220">
        <f t="shared" si="214"/>
        <v>0</v>
      </c>
      <c r="AR332" s="220">
        <f t="shared" si="214"/>
        <v>0</v>
      </c>
      <c r="AS332" s="220">
        <f t="shared" si="214"/>
        <v>0</v>
      </c>
      <c r="AT332" s="220">
        <f t="shared" si="214"/>
        <v>0</v>
      </c>
      <c r="AU332" s="220">
        <f t="shared" si="214"/>
        <v>0</v>
      </c>
      <c r="AV332" s="220">
        <f t="shared" si="214"/>
        <v>0</v>
      </c>
      <c r="AW332" s="220">
        <f t="shared" si="214"/>
        <v>0</v>
      </c>
      <c r="AX332" s="220">
        <f t="shared" si="214"/>
        <v>0</v>
      </c>
      <c r="AY332" s="220">
        <f t="shared" si="214"/>
        <v>0</v>
      </c>
      <c r="AZ332" s="220">
        <f t="shared" si="214"/>
        <v>0</v>
      </c>
      <c r="BA332" s="220">
        <f t="shared" si="214"/>
        <v>0</v>
      </c>
      <c r="BB332" s="220">
        <f t="shared" si="214"/>
        <v>0</v>
      </c>
      <c r="BC332" s="220">
        <f t="shared" si="214"/>
        <v>0</v>
      </c>
      <c r="BD332" s="220">
        <f t="shared" si="214"/>
        <v>0</v>
      </c>
      <c r="BE332" s="220">
        <f t="shared" si="214"/>
        <v>0</v>
      </c>
      <c r="BF332" s="220">
        <f t="shared" si="214"/>
        <v>0</v>
      </c>
      <c r="BG332" s="220">
        <f t="shared" si="214"/>
        <v>0</v>
      </c>
      <c r="BH332" s="220">
        <f t="shared" si="214"/>
        <v>0</v>
      </c>
      <c r="BI332" s="220">
        <f t="shared" si="214"/>
        <v>0</v>
      </c>
      <c r="BJ332" s="220">
        <f t="shared" si="214"/>
        <v>0</v>
      </c>
      <c r="BK332" s="220">
        <f t="shared" si="214"/>
        <v>0</v>
      </c>
      <c r="BL332" s="220">
        <f t="shared" si="214"/>
        <v>0</v>
      </c>
      <c r="BM332" s="220">
        <f t="shared" si="214"/>
        <v>0</v>
      </c>
      <c r="BN332" s="319">
        <f t="shared" si="214"/>
        <v>0</v>
      </c>
      <c r="BP332" s="552" t="s">
        <v>1224</v>
      </c>
      <c r="BQ332" s="1482" t="s">
        <v>1960</v>
      </c>
      <c r="BR332" s="1483"/>
      <c r="BS332" s="1483"/>
      <c r="BT332" s="1483"/>
      <c r="BU332" s="1483"/>
      <c r="BV332" s="1483"/>
      <c r="BW332" s="1483"/>
      <c r="BX332" s="1483"/>
      <c r="BY332" s="1483"/>
      <c r="BZ332" s="1483"/>
      <c r="CA332" s="1483"/>
      <c r="CB332" s="1483"/>
      <c r="CC332" s="1483"/>
      <c r="CD332" s="1483"/>
      <c r="CE332" s="1483"/>
      <c r="CF332" s="1483"/>
      <c r="CG332" s="1484"/>
      <c r="CH332" s="554" t="s">
        <v>1804</v>
      </c>
      <c r="CI332" s="554" t="s">
        <v>1624</v>
      </c>
    </row>
    <row r="333" spans="32:87" ht="20.100000000000001" customHeight="1">
      <c r="AF333" s="1492"/>
      <c r="AG333" s="251" t="s">
        <v>1225</v>
      </c>
      <c r="AH333" s="280"/>
      <c r="AI333" s="251">
        <f>INDEX('DEFAULT DATA'!$VE$9:$VK$41,START!$C$3,6)</f>
        <v>0</v>
      </c>
      <c r="AJ333" s="195">
        <f>INDEX('DEFAULT DATA'!$AHW$9:$AID$41,START!$C$3,7)</f>
        <v>0</v>
      </c>
      <c r="AK333" s="157">
        <v>0</v>
      </c>
      <c r="AL333" s="220">
        <f t="shared" ref="AL333:BN333" si="215">IF(AND(AL$296&gt;($D$86+2020),AL$296&lt;($E$86+2022)),AK333+($AI$333*$AJ$333*((100-$F$86)/100)*$B$86/($E$86-$D$86+1)/1000000),AK333)</f>
        <v>0</v>
      </c>
      <c r="AM333" s="220">
        <f t="shared" si="215"/>
        <v>0</v>
      </c>
      <c r="AN333" s="220">
        <f t="shared" si="215"/>
        <v>0</v>
      </c>
      <c r="AO333" s="220">
        <f t="shared" si="215"/>
        <v>0</v>
      </c>
      <c r="AP333" s="220">
        <f t="shared" si="215"/>
        <v>0</v>
      </c>
      <c r="AQ333" s="220">
        <f t="shared" si="215"/>
        <v>0</v>
      </c>
      <c r="AR333" s="220">
        <f t="shared" si="215"/>
        <v>0</v>
      </c>
      <c r="AS333" s="220">
        <f t="shared" si="215"/>
        <v>0</v>
      </c>
      <c r="AT333" s="220">
        <f t="shared" si="215"/>
        <v>0</v>
      </c>
      <c r="AU333" s="220">
        <f t="shared" si="215"/>
        <v>0</v>
      </c>
      <c r="AV333" s="220">
        <f t="shared" si="215"/>
        <v>0</v>
      </c>
      <c r="AW333" s="220">
        <f t="shared" si="215"/>
        <v>0</v>
      </c>
      <c r="AX333" s="220">
        <f t="shared" si="215"/>
        <v>0</v>
      </c>
      <c r="AY333" s="220">
        <f t="shared" si="215"/>
        <v>0</v>
      </c>
      <c r="AZ333" s="220">
        <f t="shared" si="215"/>
        <v>0</v>
      </c>
      <c r="BA333" s="220">
        <f t="shared" si="215"/>
        <v>0</v>
      </c>
      <c r="BB333" s="220">
        <f t="shared" si="215"/>
        <v>0</v>
      </c>
      <c r="BC333" s="220">
        <f t="shared" si="215"/>
        <v>0</v>
      </c>
      <c r="BD333" s="220">
        <f t="shared" si="215"/>
        <v>0</v>
      </c>
      <c r="BE333" s="220">
        <f t="shared" si="215"/>
        <v>0</v>
      </c>
      <c r="BF333" s="220">
        <f t="shared" si="215"/>
        <v>0</v>
      </c>
      <c r="BG333" s="220">
        <f t="shared" si="215"/>
        <v>0</v>
      </c>
      <c r="BH333" s="220">
        <f t="shared" si="215"/>
        <v>0</v>
      </c>
      <c r="BI333" s="220">
        <f t="shared" si="215"/>
        <v>0</v>
      </c>
      <c r="BJ333" s="220">
        <f t="shared" si="215"/>
        <v>0</v>
      </c>
      <c r="BK333" s="220">
        <f t="shared" si="215"/>
        <v>0</v>
      </c>
      <c r="BL333" s="220">
        <f t="shared" si="215"/>
        <v>0</v>
      </c>
      <c r="BM333" s="220">
        <f t="shared" si="215"/>
        <v>0</v>
      </c>
      <c r="BN333" s="319">
        <f t="shared" si="215"/>
        <v>0</v>
      </c>
      <c r="BP333" s="552" t="s">
        <v>1225</v>
      </c>
      <c r="BQ333" s="1482" t="s">
        <v>1962</v>
      </c>
      <c r="BR333" s="1483"/>
      <c r="BS333" s="1483"/>
      <c r="BT333" s="1483"/>
      <c r="BU333" s="1483"/>
      <c r="BV333" s="1483"/>
      <c r="BW333" s="1483"/>
      <c r="BX333" s="1483"/>
      <c r="BY333" s="1483"/>
      <c r="BZ333" s="1483"/>
      <c r="CA333" s="1483"/>
      <c r="CB333" s="1483"/>
      <c r="CC333" s="1483"/>
      <c r="CD333" s="1483"/>
      <c r="CE333" s="1483"/>
      <c r="CF333" s="1483"/>
      <c r="CG333" s="1484"/>
      <c r="CH333" s="554" t="s">
        <v>1805</v>
      </c>
      <c r="CI333" s="554" t="s">
        <v>1625</v>
      </c>
    </row>
    <row r="334" spans="32:87" ht="20.100000000000001" customHeight="1" thickBot="1">
      <c r="AF334" s="1493"/>
      <c r="AG334" s="310" t="s">
        <v>1226</v>
      </c>
      <c r="AH334" s="288"/>
      <c r="AI334" s="310" t="s">
        <v>1497</v>
      </c>
      <c r="AJ334" s="260">
        <f>INDEX('DEFAULT DATA'!$AHW$9:$AID$41,START!$C$3,8)</f>
        <v>0</v>
      </c>
      <c r="AK334" s="158">
        <v>0</v>
      </c>
      <c r="AL334" s="320">
        <f t="shared" ref="AL334:BN334" si="216">IF(AND(AL$296&gt;($D$86+2020),AL$296&lt;($E$86+2022)),AK334+(AL$6*$AJ$334*((100-$F$86)/100)*$B$86/($E$86-$D$86+1)/1000000),AK334)</f>
        <v>0</v>
      </c>
      <c r="AM334" s="320">
        <f t="shared" si="216"/>
        <v>0</v>
      </c>
      <c r="AN334" s="320">
        <f t="shared" si="216"/>
        <v>0</v>
      </c>
      <c r="AO334" s="320">
        <f t="shared" si="216"/>
        <v>0</v>
      </c>
      <c r="AP334" s="320">
        <f t="shared" si="216"/>
        <v>0</v>
      </c>
      <c r="AQ334" s="320">
        <f t="shared" si="216"/>
        <v>0</v>
      </c>
      <c r="AR334" s="320">
        <f t="shared" si="216"/>
        <v>0</v>
      </c>
      <c r="AS334" s="320">
        <f t="shared" si="216"/>
        <v>0</v>
      </c>
      <c r="AT334" s="320">
        <f t="shared" si="216"/>
        <v>0</v>
      </c>
      <c r="AU334" s="320">
        <f t="shared" si="216"/>
        <v>0</v>
      </c>
      <c r="AV334" s="320">
        <f t="shared" si="216"/>
        <v>0</v>
      </c>
      <c r="AW334" s="320">
        <f t="shared" si="216"/>
        <v>0</v>
      </c>
      <c r="AX334" s="320">
        <f t="shared" si="216"/>
        <v>0</v>
      </c>
      <c r="AY334" s="320">
        <f t="shared" si="216"/>
        <v>0</v>
      </c>
      <c r="AZ334" s="320">
        <f t="shared" si="216"/>
        <v>0</v>
      </c>
      <c r="BA334" s="320">
        <f t="shared" si="216"/>
        <v>0</v>
      </c>
      <c r="BB334" s="320">
        <f t="shared" si="216"/>
        <v>0</v>
      </c>
      <c r="BC334" s="320">
        <f t="shared" si="216"/>
        <v>0</v>
      </c>
      <c r="BD334" s="320">
        <f t="shared" si="216"/>
        <v>0</v>
      </c>
      <c r="BE334" s="320">
        <f t="shared" si="216"/>
        <v>0</v>
      </c>
      <c r="BF334" s="320">
        <f t="shared" si="216"/>
        <v>0</v>
      </c>
      <c r="BG334" s="320">
        <f t="shared" si="216"/>
        <v>0</v>
      </c>
      <c r="BH334" s="320">
        <f t="shared" si="216"/>
        <v>0</v>
      </c>
      <c r="BI334" s="320">
        <f t="shared" si="216"/>
        <v>0</v>
      </c>
      <c r="BJ334" s="320">
        <f t="shared" si="216"/>
        <v>0</v>
      </c>
      <c r="BK334" s="320">
        <f t="shared" si="216"/>
        <v>0</v>
      </c>
      <c r="BL334" s="320">
        <f t="shared" si="216"/>
        <v>0</v>
      </c>
      <c r="BM334" s="320">
        <f t="shared" si="216"/>
        <v>0</v>
      </c>
      <c r="BN334" s="321">
        <f t="shared" si="216"/>
        <v>0</v>
      </c>
      <c r="BP334" s="552" t="s">
        <v>1226</v>
      </c>
      <c r="BQ334" s="1482" t="s">
        <v>1961</v>
      </c>
      <c r="BR334" s="1483"/>
      <c r="BS334" s="1483"/>
      <c r="BT334" s="1483"/>
      <c r="BU334" s="1483"/>
      <c r="BV334" s="1483"/>
      <c r="BW334" s="1483"/>
      <c r="BX334" s="1483"/>
      <c r="BY334" s="1483"/>
      <c r="BZ334" s="1483"/>
      <c r="CA334" s="1483"/>
      <c r="CB334" s="1483"/>
      <c r="CC334" s="1483"/>
      <c r="CD334" s="1483"/>
      <c r="CE334" s="1483"/>
      <c r="CF334" s="1483"/>
      <c r="CG334" s="1484"/>
      <c r="CH334" s="554" t="s">
        <v>1806</v>
      </c>
      <c r="CI334" s="554" t="s">
        <v>1882</v>
      </c>
    </row>
    <row r="335" spans="32:87" ht="20.100000000000001" customHeight="1">
      <c r="AF335" s="311"/>
      <c r="AG335" s="285" t="s">
        <v>1461</v>
      </c>
      <c r="AH335" s="285"/>
      <c r="AI335" s="285"/>
      <c r="AJ335" s="285"/>
      <c r="AK335" s="338">
        <f>SUM(AK327:AK334)</f>
        <v>0</v>
      </c>
      <c r="AL335" s="316">
        <f>SUM(AL327:AL334)</f>
        <v>0</v>
      </c>
      <c r="AM335" s="316">
        <f t="shared" ref="AM335:BN335" si="217">SUM(AM327:AM334)</f>
        <v>0</v>
      </c>
      <c r="AN335" s="316">
        <f t="shared" si="217"/>
        <v>0</v>
      </c>
      <c r="AO335" s="316">
        <f t="shared" si="217"/>
        <v>0</v>
      </c>
      <c r="AP335" s="316">
        <f t="shared" si="217"/>
        <v>0</v>
      </c>
      <c r="AQ335" s="316">
        <f t="shared" si="217"/>
        <v>0</v>
      </c>
      <c r="AR335" s="316">
        <f t="shared" si="217"/>
        <v>0</v>
      </c>
      <c r="AS335" s="316">
        <f t="shared" si="217"/>
        <v>0</v>
      </c>
      <c r="AT335" s="316">
        <f t="shared" si="217"/>
        <v>0</v>
      </c>
      <c r="AU335" s="316">
        <f t="shared" si="217"/>
        <v>0</v>
      </c>
      <c r="AV335" s="316">
        <f t="shared" si="217"/>
        <v>0</v>
      </c>
      <c r="AW335" s="316">
        <f t="shared" si="217"/>
        <v>0</v>
      </c>
      <c r="AX335" s="316">
        <f t="shared" si="217"/>
        <v>0</v>
      </c>
      <c r="AY335" s="316">
        <f t="shared" si="217"/>
        <v>0</v>
      </c>
      <c r="AZ335" s="316">
        <f t="shared" si="217"/>
        <v>0</v>
      </c>
      <c r="BA335" s="316">
        <f t="shared" si="217"/>
        <v>0</v>
      </c>
      <c r="BB335" s="316">
        <f t="shared" si="217"/>
        <v>0</v>
      </c>
      <c r="BC335" s="316">
        <f t="shared" si="217"/>
        <v>0</v>
      </c>
      <c r="BD335" s="316">
        <f t="shared" si="217"/>
        <v>0</v>
      </c>
      <c r="BE335" s="316">
        <f t="shared" si="217"/>
        <v>0</v>
      </c>
      <c r="BF335" s="316">
        <f t="shared" si="217"/>
        <v>0</v>
      </c>
      <c r="BG335" s="316">
        <f t="shared" si="217"/>
        <v>0</v>
      </c>
      <c r="BH335" s="316">
        <f t="shared" si="217"/>
        <v>0</v>
      </c>
      <c r="BI335" s="316">
        <f t="shared" si="217"/>
        <v>0</v>
      </c>
      <c r="BJ335" s="316">
        <f t="shared" si="217"/>
        <v>0</v>
      </c>
      <c r="BK335" s="316">
        <f t="shared" si="217"/>
        <v>0</v>
      </c>
      <c r="BL335" s="316">
        <f t="shared" si="217"/>
        <v>0</v>
      </c>
      <c r="BM335" s="316">
        <f t="shared" si="217"/>
        <v>0</v>
      </c>
      <c r="BN335" s="316">
        <f t="shared" si="217"/>
        <v>0</v>
      </c>
    </row>
    <row r="336" spans="32:87" ht="20.100000000000001" customHeight="1" thickBot="1">
      <c r="AK336" s="336"/>
      <c r="BP336" s="14" t="s">
        <v>1232</v>
      </c>
      <c r="CH336" s="555" t="s">
        <v>1880</v>
      </c>
      <c r="CI336" s="17" t="s">
        <v>1598</v>
      </c>
    </row>
    <row r="337" spans="32:87" ht="20.100000000000001" customHeight="1">
      <c r="AF337" s="1491" t="str">
        <f>AF228</f>
        <v>Industrial</v>
      </c>
      <c r="AG337" s="286" t="s">
        <v>933</v>
      </c>
      <c r="AH337" s="287"/>
      <c r="AI337" s="286" t="s">
        <v>1496</v>
      </c>
      <c r="AJ337" s="313">
        <f>INDEX('DEFAULT DATA'!$AIE$9:$AIL$41,START!$C$3,1)</f>
        <v>0</v>
      </c>
      <c r="AK337" s="338">
        <v>0</v>
      </c>
      <c r="AL337" s="317">
        <f t="shared" ref="AL337:BN337" si="218">IF(AND(AL$296&gt;($D$87+2020),AL$296&lt;($E$87+2022)),AK337+(AL$5*AJ337*((100-$F$87)/100)*$B$87/($E$87-$D$87+1)/1000000),AK337)</f>
        <v>0</v>
      </c>
      <c r="AM337" s="317">
        <f t="shared" si="218"/>
        <v>0</v>
      </c>
      <c r="AN337" s="317">
        <f t="shared" si="218"/>
        <v>0</v>
      </c>
      <c r="AO337" s="317">
        <f t="shared" si="218"/>
        <v>0</v>
      </c>
      <c r="AP337" s="317">
        <f t="shared" si="218"/>
        <v>0</v>
      </c>
      <c r="AQ337" s="317">
        <f t="shared" si="218"/>
        <v>0</v>
      </c>
      <c r="AR337" s="317">
        <f t="shared" si="218"/>
        <v>0</v>
      </c>
      <c r="AS337" s="317">
        <f t="shared" si="218"/>
        <v>0</v>
      </c>
      <c r="AT337" s="317">
        <f t="shared" si="218"/>
        <v>0</v>
      </c>
      <c r="AU337" s="317">
        <f t="shared" si="218"/>
        <v>0</v>
      </c>
      <c r="AV337" s="317">
        <f t="shared" si="218"/>
        <v>0</v>
      </c>
      <c r="AW337" s="317">
        <f t="shared" si="218"/>
        <v>0</v>
      </c>
      <c r="AX337" s="317">
        <f t="shared" si="218"/>
        <v>0</v>
      </c>
      <c r="AY337" s="317">
        <f t="shared" si="218"/>
        <v>0</v>
      </c>
      <c r="AZ337" s="317">
        <f t="shared" si="218"/>
        <v>0</v>
      </c>
      <c r="BA337" s="317">
        <f t="shared" si="218"/>
        <v>0</v>
      </c>
      <c r="BB337" s="317">
        <f t="shared" si="218"/>
        <v>0</v>
      </c>
      <c r="BC337" s="317">
        <f t="shared" si="218"/>
        <v>0</v>
      </c>
      <c r="BD337" s="317">
        <f t="shared" si="218"/>
        <v>0</v>
      </c>
      <c r="BE337" s="317">
        <f t="shared" si="218"/>
        <v>0</v>
      </c>
      <c r="BF337" s="317">
        <f t="shared" si="218"/>
        <v>0</v>
      </c>
      <c r="BG337" s="317">
        <f t="shared" si="218"/>
        <v>0</v>
      </c>
      <c r="BH337" s="317">
        <f t="shared" si="218"/>
        <v>0</v>
      </c>
      <c r="BI337" s="317">
        <f t="shared" si="218"/>
        <v>0</v>
      </c>
      <c r="BJ337" s="317">
        <f t="shared" si="218"/>
        <v>0</v>
      </c>
      <c r="BK337" s="317">
        <f t="shared" si="218"/>
        <v>0</v>
      </c>
      <c r="BL337" s="317">
        <f t="shared" si="218"/>
        <v>0</v>
      </c>
      <c r="BM337" s="317">
        <f t="shared" si="218"/>
        <v>0</v>
      </c>
      <c r="BN337" s="318">
        <f t="shared" si="218"/>
        <v>0</v>
      </c>
      <c r="BP337" s="552" t="s">
        <v>933</v>
      </c>
      <c r="BQ337" s="1482" t="s">
        <v>1963</v>
      </c>
      <c r="BR337" s="1483"/>
      <c r="BS337" s="1483"/>
      <c r="BT337" s="1483"/>
      <c r="BU337" s="1483"/>
      <c r="BV337" s="1483"/>
      <c r="BW337" s="1483"/>
      <c r="BX337" s="1483"/>
      <c r="BY337" s="1483"/>
      <c r="BZ337" s="1483"/>
      <c r="CA337" s="1483"/>
      <c r="CB337" s="1483"/>
      <c r="CC337" s="1483"/>
      <c r="CD337" s="1483"/>
      <c r="CE337" s="1483"/>
      <c r="CF337" s="1483"/>
      <c r="CG337" s="1484"/>
      <c r="CH337" s="554" t="s">
        <v>1807</v>
      </c>
      <c r="CI337" s="554" t="s">
        <v>1881</v>
      </c>
    </row>
    <row r="338" spans="32:87" ht="20.100000000000001" customHeight="1">
      <c r="AF338" s="1492"/>
      <c r="AG338" s="251" t="s">
        <v>1220</v>
      </c>
      <c r="AH338" s="280"/>
      <c r="AI338" s="251">
        <f>INDEX('DEFAULT DATA'!$VE$9:$VK$41,START!$C$3,1)</f>
        <v>202</v>
      </c>
      <c r="AJ338" s="195">
        <f>INDEX('DEFAULT DATA'!$AIE$9:$AIL$41,START!$C$3,2)</f>
        <v>0</v>
      </c>
      <c r="AK338" s="157">
        <v>0</v>
      </c>
      <c r="AL338" s="220">
        <f t="shared" ref="AL338:AU343" si="219">IF(AND(AL$296&gt;($D$87+2020),AL$296&lt;($E$87+2022)),AK338+(AI338*AJ338*((100-$F$87)/100)*$B$87/($E$87-$D$87+1)/1000000),AK338)</f>
        <v>0</v>
      </c>
      <c r="AM338" s="220">
        <f t="shared" si="219"/>
        <v>0</v>
      </c>
      <c r="AN338" s="220">
        <f t="shared" si="219"/>
        <v>0</v>
      </c>
      <c r="AO338" s="220">
        <f t="shared" si="219"/>
        <v>0</v>
      </c>
      <c r="AP338" s="220">
        <f t="shared" si="219"/>
        <v>0</v>
      </c>
      <c r="AQ338" s="220">
        <f t="shared" si="219"/>
        <v>0</v>
      </c>
      <c r="AR338" s="220">
        <f t="shared" si="219"/>
        <v>0</v>
      </c>
      <c r="AS338" s="220">
        <f t="shared" si="219"/>
        <v>0</v>
      </c>
      <c r="AT338" s="220">
        <f t="shared" si="219"/>
        <v>0</v>
      </c>
      <c r="AU338" s="220">
        <f t="shared" si="219"/>
        <v>0</v>
      </c>
      <c r="AV338" s="220">
        <f t="shared" ref="AV338:BE343" si="220">IF(AND(AV$296&gt;($D$87+2020),AV$296&lt;($E$87+2022)),AU338+(AS338*AT338*((100-$F$87)/100)*$B$87/($E$87-$D$87+1)/1000000),AU338)</f>
        <v>0</v>
      </c>
      <c r="AW338" s="220">
        <f t="shared" si="220"/>
        <v>0</v>
      </c>
      <c r="AX338" s="220">
        <f t="shared" si="220"/>
        <v>0</v>
      </c>
      <c r="AY338" s="220">
        <f t="shared" si="220"/>
        <v>0</v>
      </c>
      <c r="AZ338" s="220">
        <f t="shared" si="220"/>
        <v>0</v>
      </c>
      <c r="BA338" s="220">
        <f t="shared" si="220"/>
        <v>0</v>
      </c>
      <c r="BB338" s="220">
        <f t="shared" si="220"/>
        <v>0</v>
      </c>
      <c r="BC338" s="220">
        <f t="shared" si="220"/>
        <v>0</v>
      </c>
      <c r="BD338" s="220">
        <f t="shared" si="220"/>
        <v>0</v>
      </c>
      <c r="BE338" s="220">
        <f t="shared" si="220"/>
        <v>0</v>
      </c>
      <c r="BF338" s="220">
        <f t="shared" ref="BF338:BN343" si="221">IF(AND(BF$296&gt;($D$87+2020),BF$296&lt;($E$87+2022)),BE338+(BC338*BD338*((100-$F$87)/100)*$B$87/($E$87-$D$87+1)/1000000),BE338)</f>
        <v>0</v>
      </c>
      <c r="BG338" s="220">
        <f t="shared" si="221"/>
        <v>0</v>
      </c>
      <c r="BH338" s="220">
        <f t="shared" si="221"/>
        <v>0</v>
      </c>
      <c r="BI338" s="220">
        <f t="shared" si="221"/>
        <v>0</v>
      </c>
      <c r="BJ338" s="220">
        <f t="shared" si="221"/>
        <v>0</v>
      </c>
      <c r="BK338" s="220">
        <f t="shared" si="221"/>
        <v>0</v>
      </c>
      <c r="BL338" s="220">
        <f t="shared" si="221"/>
        <v>0</v>
      </c>
      <c r="BM338" s="220">
        <f t="shared" si="221"/>
        <v>0</v>
      </c>
      <c r="BN338" s="319">
        <f t="shared" si="221"/>
        <v>0</v>
      </c>
      <c r="BP338" s="552" t="s">
        <v>1220</v>
      </c>
      <c r="BQ338" s="1482" t="s">
        <v>1964</v>
      </c>
      <c r="BR338" s="1483"/>
      <c r="BS338" s="1483"/>
      <c r="BT338" s="1483"/>
      <c r="BU338" s="1483"/>
      <c r="BV338" s="1483"/>
      <c r="BW338" s="1483"/>
      <c r="BX338" s="1483"/>
      <c r="BY338" s="1483"/>
      <c r="BZ338" s="1483"/>
      <c r="CA338" s="1483"/>
      <c r="CB338" s="1483"/>
      <c r="CC338" s="1483"/>
      <c r="CD338" s="1483"/>
      <c r="CE338" s="1483"/>
      <c r="CF338" s="1483"/>
      <c r="CG338" s="1484"/>
      <c r="CH338" s="554" t="s">
        <v>1808</v>
      </c>
      <c r="CI338" s="554" t="s">
        <v>1248</v>
      </c>
    </row>
    <row r="339" spans="32:87" ht="20.100000000000001" customHeight="1">
      <c r="AF339" s="1492"/>
      <c r="AG339" s="251" t="s">
        <v>1221</v>
      </c>
      <c r="AH339" s="280"/>
      <c r="AI339" s="251">
        <f>INDEX('DEFAULT DATA'!$VE$9:$VK$41,START!$C$3,2)</f>
        <v>279</v>
      </c>
      <c r="AJ339" s="195">
        <f>INDEX('DEFAULT DATA'!$AIE$9:$AIL$41,START!$C$3,3)</f>
        <v>0</v>
      </c>
      <c r="AK339" s="157">
        <v>0</v>
      </c>
      <c r="AL339" s="220">
        <f t="shared" si="219"/>
        <v>0</v>
      </c>
      <c r="AM339" s="220">
        <f t="shared" si="219"/>
        <v>0</v>
      </c>
      <c r="AN339" s="220">
        <f t="shared" si="219"/>
        <v>0</v>
      </c>
      <c r="AO339" s="220">
        <f t="shared" si="219"/>
        <v>0</v>
      </c>
      <c r="AP339" s="220">
        <f t="shared" si="219"/>
        <v>0</v>
      </c>
      <c r="AQ339" s="220">
        <f t="shared" si="219"/>
        <v>0</v>
      </c>
      <c r="AR339" s="220">
        <f t="shared" si="219"/>
        <v>0</v>
      </c>
      <c r="AS339" s="220">
        <f t="shared" si="219"/>
        <v>0</v>
      </c>
      <c r="AT339" s="220">
        <f t="shared" si="219"/>
        <v>0</v>
      </c>
      <c r="AU339" s="220">
        <f t="shared" si="219"/>
        <v>0</v>
      </c>
      <c r="AV339" s="220">
        <f t="shared" si="220"/>
        <v>0</v>
      </c>
      <c r="AW339" s="220">
        <f t="shared" si="220"/>
        <v>0</v>
      </c>
      <c r="AX339" s="220">
        <f t="shared" si="220"/>
        <v>0</v>
      </c>
      <c r="AY339" s="220">
        <f t="shared" si="220"/>
        <v>0</v>
      </c>
      <c r="AZ339" s="220">
        <f t="shared" si="220"/>
        <v>0</v>
      </c>
      <c r="BA339" s="220">
        <f t="shared" si="220"/>
        <v>0</v>
      </c>
      <c r="BB339" s="220">
        <f t="shared" si="220"/>
        <v>0</v>
      </c>
      <c r="BC339" s="220">
        <f t="shared" si="220"/>
        <v>0</v>
      </c>
      <c r="BD339" s="220">
        <f t="shared" si="220"/>
        <v>0</v>
      </c>
      <c r="BE339" s="220">
        <f t="shared" si="220"/>
        <v>0</v>
      </c>
      <c r="BF339" s="220">
        <f t="shared" si="221"/>
        <v>0</v>
      </c>
      <c r="BG339" s="220">
        <f t="shared" si="221"/>
        <v>0</v>
      </c>
      <c r="BH339" s="220">
        <f t="shared" si="221"/>
        <v>0</v>
      </c>
      <c r="BI339" s="220">
        <f t="shared" si="221"/>
        <v>0</v>
      </c>
      <c r="BJ339" s="220">
        <f t="shared" si="221"/>
        <v>0</v>
      </c>
      <c r="BK339" s="220">
        <f t="shared" si="221"/>
        <v>0</v>
      </c>
      <c r="BL339" s="220">
        <f t="shared" si="221"/>
        <v>0</v>
      </c>
      <c r="BM339" s="220">
        <f t="shared" si="221"/>
        <v>0</v>
      </c>
      <c r="BN339" s="319">
        <f t="shared" si="221"/>
        <v>0</v>
      </c>
      <c r="BP339" s="552" t="s">
        <v>1221</v>
      </c>
      <c r="BQ339" s="1482" t="s">
        <v>1965</v>
      </c>
      <c r="BR339" s="1483"/>
      <c r="BS339" s="1483"/>
      <c r="BT339" s="1483"/>
      <c r="BU339" s="1483"/>
      <c r="BV339" s="1483"/>
      <c r="BW339" s="1483"/>
      <c r="BX339" s="1483"/>
      <c r="BY339" s="1483"/>
      <c r="BZ339" s="1483"/>
      <c r="CA339" s="1483"/>
      <c r="CB339" s="1483"/>
      <c r="CC339" s="1483"/>
      <c r="CD339" s="1483"/>
      <c r="CE339" s="1483"/>
      <c r="CF339" s="1483"/>
      <c r="CG339" s="1484"/>
      <c r="CH339" s="554" t="s">
        <v>1809</v>
      </c>
      <c r="CI339" s="554" t="s">
        <v>1621</v>
      </c>
    </row>
    <row r="340" spans="32:87" ht="20.100000000000001" customHeight="1">
      <c r="AF340" s="1492"/>
      <c r="AG340" s="251" t="s">
        <v>1222</v>
      </c>
      <c r="AH340" s="280"/>
      <c r="AI340" s="251">
        <f>INDEX('DEFAULT DATA'!$VE$9:$VK$41,START!$C$3,3)</f>
        <v>354</v>
      </c>
      <c r="AJ340" s="195">
        <f>INDEX('DEFAULT DATA'!$AIE$9:$AIL$41,START!$C$3,4)</f>
        <v>0</v>
      </c>
      <c r="AK340" s="157">
        <v>0</v>
      </c>
      <c r="AL340" s="220">
        <f t="shared" si="219"/>
        <v>0</v>
      </c>
      <c r="AM340" s="220">
        <f t="shared" si="219"/>
        <v>0</v>
      </c>
      <c r="AN340" s="220">
        <f t="shared" si="219"/>
        <v>0</v>
      </c>
      <c r="AO340" s="220">
        <f t="shared" si="219"/>
        <v>0</v>
      </c>
      <c r="AP340" s="220">
        <f t="shared" si="219"/>
        <v>0</v>
      </c>
      <c r="AQ340" s="220">
        <f t="shared" si="219"/>
        <v>0</v>
      </c>
      <c r="AR340" s="220">
        <f t="shared" si="219"/>
        <v>0</v>
      </c>
      <c r="AS340" s="220">
        <f t="shared" si="219"/>
        <v>0</v>
      </c>
      <c r="AT340" s="220">
        <f t="shared" si="219"/>
        <v>0</v>
      </c>
      <c r="AU340" s="220">
        <f t="shared" si="219"/>
        <v>0</v>
      </c>
      <c r="AV340" s="220">
        <f t="shared" si="220"/>
        <v>0</v>
      </c>
      <c r="AW340" s="220">
        <f t="shared" si="220"/>
        <v>0</v>
      </c>
      <c r="AX340" s="220">
        <f t="shared" si="220"/>
        <v>0</v>
      </c>
      <c r="AY340" s="220">
        <f t="shared" si="220"/>
        <v>0</v>
      </c>
      <c r="AZ340" s="220">
        <f t="shared" si="220"/>
        <v>0</v>
      </c>
      <c r="BA340" s="220">
        <f t="shared" si="220"/>
        <v>0</v>
      </c>
      <c r="BB340" s="220">
        <f t="shared" si="220"/>
        <v>0</v>
      </c>
      <c r="BC340" s="220">
        <f t="shared" si="220"/>
        <v>0</v>
      </c>
      <c r="BD340" s="220">
        <f t="shared" si="220"/>
        <v>0</v>
      </c>
      <c r="BE340" s="220">
        <f t="shared" si="220"/>
        <v>0</v>
      </c>
      <c r="BF340" s="220">
        <f t="shared" si="221"/>
        <v>0</v>
      </c>
      <c r="BG340" s="220">
        <f t="shared" si="221"/>
        <v>0</v>
      </c>
      <c r="BH340" s="220">
        <f t="shared" si="221"/>
        <v>0</v>
      </c>
      <c r="BI340" s="220">
        <f t="shared" si="221"/>
        <v>0</v>
      </c>
      <c r="BJ340" s="220">
        <f t="shared" si="221"/>
        <v>0</v>
      </c>
      <c r="BK340" s="220">
        <f t="shared" si="221"/>
        <v>0</v>
      </c>
      <c r="BL340" s="220">
        <f t="shared" si="221"/>
        <v>0</v>
      </c>
      <c r="BM340" s="220">
        <f t="shared" si="221"/>
        <v>0</v>
      </c>
      <c r="BN340" s="319">
        <f t="shared" si="221"/>
        <v>0</v>
      </c>
      <c r="BP340" s="552" t="s">
        <v>1222</v>
      </c>
      <c r="BQ340" s="1482" t="s">
        <v>1966</v>
      </c>
      <c r="BR340" s="1483"/>
      <c r="BS340" s="1483"/>
      <c r="BT340" s="1483"/>
      <c r="BU340" s="1483"/>
      <c r="BV340" s="1483"/>
      <c r="BW340" s="1483"/>
      <c r="BX340" s="1483"/>
      <c r="BY340" s="1483"/>
      <c r="BZ340" s="1483"/>
      <c r="CA340" s="1483"/>
      <c r="CB340" s="1483"/>
      <c r="CC340" s="1483"/>
      <c r="CD340" s="1483"/>
      <c r="CE340" s="1483"/>
      <c r="CF340" s="1483"/>
      <c r="CG340" s="1484"/>
      <c r="CH340" s="554" t="s">
        <v>1810</v>
      </c>
      <c r="CI340" s="554" t="s">
        <v>1622</v>
      </c>
    </row>
    <row r="341" spans="32:87" ht="20.100000000000001" customHeight="1">
      <c r="AF341" s="1492"/>
      <c r="AG341" s="251" t="s">
        <v>1223</v>
      </c>
      <c r="AH341" s="280"/>
      <c r="AI341" s="251">
        <f>INDEX('DEFAULT DATA'!$VE$9:$VK$41,START!$C$3,4)</f>
        <v>0</v>
      </c>
      <c r="AJ341" s="195">
        <f>INDEX('DEFAULT DATA'!$AIE$9:$AIL$41,START!$C$3,5)</f>
        <v>0</v>
      </c>
      <c r="AK341" s="157">
        <v>0</v>
      </c>
      <c r="AL341" s="220">
        <f t="shared" si="219"/>
        <v>0</v>
      </c>
      <c r="AM341" s="220">
        <f t="shared" si="219"/>
        <v>0</v>
      </c>
      <c r="AN341" s="220">
        <f t="shared" si="219"/>
        <v>0</v>
      </c>
      <c r="AO341" s="220">
        <f t="shared" si="219"/>
        <v>0</v>
      </c>
      <c r="AP341" s="220">
        <f t="shared" si="219"/>
        <v>0</v>
      </c>
      <c r="AQ341" s="220">
        <f t="shared" si="219"/>
        <v>0</v>
      </c>
      <c r="AR341" s="220">
        <f t="shared" si="219"/>
        <v>0</v>
      </c>
      <c r="AS341" s="220">
        <f t="shared" si="219"/>
        <v>0</v>
      </c>
      <c r="AT341" s="220">
        <f t="shared" si="219"/>
        <v>0</v>
      </c>
      <c r="AU341" s="220">
        <f t="shared" si="219"/>
        <v>0</v>
      </c>
      <c r="AV341" s="220">
        <f t="shared" si="220"/>
        <v>0</v>
      </c>
      <c r="AW341" s="220">
        <f t="shared" si="220"/>
        <v>0</v>
      </c>
      <c r="AX341" s="220">
        <f t="shared" si="220"/>
        <v>0</v>
      </c>
      <c r="AY341" s="220">
        <f t="shared" si="220"/>
        <v>0</v>
      </c>
      <c r="AZ341" s="220">
        <f t="shared" si="220"/>
        <v>0</v>
      </c>
      <c r="BA341" s="220">
        <f t="shared" si="220"/>
        <v>0</v>
      </c>
      <c r="BB341" s="220">
        <f t="shared" si="220"/>
        <v>0</v>
      </c>
      <c r="BC341" s="220">
        <f t="shared" si="220"/>
        <v>0</v>
      </c>
      <c r="BD341" s="220">
        <f t="shared" si="220"/>
        <v>0</v>
      </c>
      <c r="BE341" s="220">
        <f t="shared" si="220"/>
        <v>0</v>
      </c>
      <c r="BF341" s="220">
        <f t="shared" si="221"/>
        <v>0</v>
      </c>
      <c r="BG341" s="220">
        <f t="shared" si="221"/>
        <v>0</v>
      </c>
      <c r="BH341" s="220">
        <f t="shared" si="221"/>
        <v>0</v>
      </c>
      <c r="BI341" s="220">
        <f t="shared" si="221"/>
        <v>0</v>
      </c>
      <c r="BJ341" s="220">
        <f t="shared" si="221"/>
        <v>0</v>
      </c>
      <c r="BK341" s="220">
        <f t="shared" si="221"/>
        <v>0</v>
      </c>
      <c r="BL341" s="220">
        <f t="shared" si="221"/>
        <v>0</v>
      </c>
      <c r="BM341" s="220">
        <f t="shared" si="221"/>
        <v>0</v>
      </c>
      <c r="BN341" s="319">
        <f t="shared" si="221"/>
        <v>0</v>
      </c>
      <c r="BP341" s="552" t="s">
        <v>1223</v>
      </c>
      <c r="BQ341" s="1482" t="s">
        <v>1967</v>
      </c>
      <c r="BR341" s="1483"/>
      <c r="BS341" s="1483"/>
      <c r="BT341" s="1483"/>
      <c r="BU341" s="1483"/>
      <c r="BV341" s="1483"/>
      <c r="BW341" s="1483"/>
      <c r="BX341" s="1483"/>
      <c r="BY341" s="1483"/>
      <c r="BZ341" s="1483"/>
      <c r="CA341" s="1483"/>
      <c r="CB341" s="1483"/>
      <c r="CC341" s="1483"/>
      <c r="CD341" s="1483"/>
      <c r="CE341" s="1483"/>
      <c r="CF341" s="1483"/>
      <c r="CG341" s="1484"/>
      <c r="CH341" s="554" t="s">
        <v>1811</v>
      </c>
      <c r="CI341" s="554" t="s">
        <v>1623</v>
      </c>
    </row>
    <row r="342" spans="32:87" ht="20.100000000000001" customHeight="1">
      <c r="AF342" s="1492"/>
      <c r="AG342" s="251" t="s">
        <v>1224</v>
      </c>
      <c r="AH342" s="280"/>
      <c r="AI342" s="251">
        <f>INDEX('DEFAULT DATA'!$VE$9:$VK$41,START!$C$3,5)</f>
        <v>403</v>
      </c>
      <c r="AJ342" s="195">
        <f>INDEX('DEFAULT DATA'!$AIE$9:$AIL$41,START!$C$3,6)</f>
        <v>0</v>
      </c>
      <c r="AK342" s="157">
        <v>0</v>
      </c>
      <c r="AL342" s="220">
        <f t="shared" si="219"/>
        <v>0</v>
      </c>
      <c r="AM342" s="220">
        <f t="shared" si="219"/>
        <v>0</v>
      </c>
      <c r="AN342" s="220">
        <f t="shared" si="219"/>
        <v>0</v>
      </c>
      <c r="AO342" s="220">
        <f t="shared" si="219"/>
        <v>0</v>
      </c>
      <c r="AP342" s="220">
        <f t="shared" si="219"/>
        <v>0</v>
      </c>
      <c r="AQ342" s="220">
        <f t="shared" si="219"/>
        <v>0</v>
      </c>
      <c r="AR342" s="220">
        <f t="shared" si="219"/>
        <v>0</v>
      </c>
      <c r="AS342" s="220">
        <f t="shared" si="219"/>
        <v>0</v>
      </c>
      <c r="AT342" s="220">
        <f t="shared" si="219"/>
        <v>0</v>
      </c>
      <c r="AU342" s="220">
        <f t="shared" si="219"/>
        <v>0</v>
      </c>
      <c r="AV342" s="220">
        <f t="shared" si="220"/>
        <v>0</v>
      </c>
      <c r="AW342" s="220">
        <f t="shared" si="220"/>
        <v>0</v>
      </c>
      <c r="AX342" s="220">
        <f t="shared" si="220"/>
        <v>0</v>
      </c>
      <c r="AY342" s="220">
        <f t="shared" si="220"/>
        <v>0</v>
      </c>
      <c r="AZ342" s="220">
        <f t="shared" si="220"/>
        <v>0</v>
      </c>
      <c r="BA342" s="220">
        <f t="shared" si="220"/>
        <v>0</v>
      </c>
      <c r="BB342" s="220">
        <f t="shared" si="220"/>
        <v>0</v>
      </c>
      <c r="BC342" s="220">
        <f t="shared" si="220"/>
        <v>0</v>
      </c>
      <c r="BD342" s="220">
        <f t="shared" si="220"/>
        <v>0</v>
      </c>
      <c r="BE342" s="220">
        <f t="shared" si="220"/>
        <v>0</v>
      </c>
      <c r="BF342" s="220">
        <f t="shared" si="221"/>
        <v>0</v>
      </c>
      <c r="BG342" s="220">
        <f t="shared" si="221"/>
        <v>0</v>
      </c>
      <c r="BH342" s="220">
        <f t="shared" si="221"/>
        <v>0</v>
      </c>
      <c r="BI342" s="220">
        <f t="shared" si="221"/>
        <v>0</v>
      </c>
      <c r="BJ342" s="220">
        <f t="shared" si="221"/>
        <v>0</v>
      </c>
      <c r="BK342" s="220">
        <f t="shared" si="221"/>
        <v>0</v>
      </c>
      <c r="BL342" s="220">
        <f t="shared" si="221"/>
        <v>0</v>
      </c>
      <c r="BM342" s="220">
        <f t="shared" si="221"/>
        <v>0</v>
      </c>
      <c r="BN342" s="319">
        <f t="shared" si="221"/>
        <v>0</v>
      </c>
      <c r="BP342" s="552" t="s">
        <v>1224</v>
      </c>
      <c r="BQ342" s="1482" t="s">
        <v>1968</v>
      </c>
      <c r="BR342" s="1483"/>
      <c r="BS342" s="1483"/>
      <c r="BT342" s="1483"/>
      <c r="BU342" s="1483"/>
      <c r="BV342" s="1483"/>
      <c r="BW342" s="1483"/>
      <c r="BX342" s="1483"/>
      <c r="BY342" s="1483"/>
      <c r="BZ342" s="1483"/>
      <c r="CA342" s="1483"/>
      <c r="CB342" s="1483"/>
      <c r="CC342" s="1483"/>
      <c r="CD342" s="1483"/>
      <c r="CE342" s="1483"/>
      <c r="CF342" s="1483"/>
      <c r="CG342" s="1484"/>
      <c r="CH342" s="554" t="s">
        <v>1812</v>
      </c>
      <c r="CI342" s="554" t="s">
        <v>1624</v>
      </c>
    </row>
    <row r="343" spans="32:87" ht="20.100000000000001" customHeight="1">
      <c r="AF343" s="1492"/>
      <c r="AG343" s="251" t="s">
        <v>1225</v>
      </c>
      <c r="AH343" s="280"/>
      <c r="AI343" s="251">
        <f>INDEX('DEFAULT DATA'!$VE$9:$VK$41,START!$C$3,6)</f>
        <v>0</v>
      </c>
      <c r="AJ343" s="195">
        <f>INDEX('DEFAULT DATA'!$AIE$9:$AIL$41,START!$C$3,7)</f>
        <v>0</v>
      </c>
      <c r="AK343" s="157">
        <v>0</v>
      </c>
      <c r="AL343" s="220">
        <f t="shared" si="219"/>
        <v>0</v>
      </c>
      <c r="AM343" s="220">
        <f t="shared" si="219"/>
        <v>0</v>
      </c>
      <c r="AN343" s="220">
        <f t="shared" si="219"/>
        <v>0</v>
      </c>
      <c r="AO343" s="220">
        <f t="shared" si="219"/>
        <v>0</v>
      </c>
      <c r="AP343" s="220">
        <f t="shared" si="219"/>
        <v>0</v>
      </c>
      <c r="AQ343" s="220">
        <f t="shared" si="219"/>
        <v>0</v>
      </c>
      <c r="AR343" s="220">
        <f t="shared" si="219"/>
        <v>0</v>
      </c>
      <c r="AS343" s="220">
        <f t="shared" si="219"/>
        <v>0</v>
      </c>
      <c r="AT343" s="220">
        <f t="shared" si="219"/>
        <v>0</v>
      </c>
      <c r="AU343" s="220">
        <f t="shared" si="219"/>
        <v>0</v>
      </c>
      <c r="AV343" s="220">
        <f t="shared" si="220"/>
        <v>0</v>
      </c>
      <c r="AW343" s="220">
        <f t="shared" si="220"/>
        <v>0</v>
      </c>
      <c r="AX343" s="220">
        <f t="shared" si="220"/>
        <v>0</v>
      </c>
      <c r="AY343" s="220">
        <f t="shared" si="220"/>
        <v>0</v>
      </c>
      <c r="AZ343" s="220">
        <f t="shared" si="220"/>
        <v>0</v>
      </c>
      <c r="BA343" s="220">
        <f t="shared" si="220"/>
        <v>0</v>
      </c>
      <c r="BB343" s="220">
        <f t="shared" si="220"/>
        <v>0</v>
      </c>
      <c r="BC343" s="220">
        <f t="shared" si="220"/>
        <v>0</v>
      </c>
      <c r="BD343" s="220">
        <f t="shared" si="220"/>
        <v>0</v>
      </c>
      <c r="BE343" s="220">
        <f t="shared" si="220"/>
        <v>0</v>
      </c>
      <c r="BF343" s="220">
        <f t="shared" si="221"/>
        <v>0</v>
      </c>
      <c r="BG343" s="220">
        <f t="shared" si="221"/>
        <v>0</v>
      </c>
      <c r="BH343" s="220">
        <f t="shared" si="221"/>
        <v>0</v>
      </c>
      <c r="BI343" s="220">
        <f t="shared" si="221"/>
        <v>0</v>
      </c>
      <c r="BJ343" s="220">
        <f t="shared" si="221"/>
        <v>0</v>
      </c>
      <c r="BK343" s="220">
        <f t="shared" si="221"/>
        <v>0</v>
      </c>
      <c r="BL343" s="220">
        <f t="shared" si="221"/>
        <v>0</v>
      </c>
      <c r="BM343" s="220">
        <f t="shared" si="221"/>
        <v>0</v>
      </c>
      <c r="BN343" s="319">
        <f t="shared" si="221"/>
        <v>0</v>
      </c>
      <c r="BP343" s="552" t="s">
        <v>1225</v>
      </c>
      <c r="BQ343" s="1482" t="s">
        <v>1969</v>
      </c>
      <c r="BR343" s="1483"/>
      <c r="BS343" s="1483"/>
      <c r="BT343" s="1483"/>
      <c r="BU343" s="1483"/>
      <c r="BV343" s="1483"/>
      <c r="BW343" s="1483"/>
      <c r="BX343" s="1483"/>
      <c r="BY343" s="1483"/>
      <c r="BZ343" s="1483"/>
      <c r="CA343" s="1483"/>
      <c r="CB343" s="1483"/>
      <c r="CC343" s="1483"/>
      <c r="CD343" s="1483"/>
      <c r="CE343" s="1483"/>
      <c r="CF343" s="1483"/>
      <c r="CG343" s="1484"/>
      <c r="CH343" s="554" t="s">
        <v>1813</v>
      </c>
      <c r="CI343" s="554" t="s">
        <v>1625</v>
      </c>
    </row>
    <row r="344" spans="32:87" ht="20.100000000000001" customHeight="1" thickBot="1">
      <c r="AF344" s="1493"/>
      <c r="AG344" s="310" t="s">
        <v>1226</v>
      </c>
      <c r="AH344" s="288"/>
      <c r="AI344" s="310" t="s">
        <v>1497</v>
      </c>
      <c r="AJ344" s="260">
        <f>INDEX('DEFAULT DATA'!$AIE$9:$AIL$41,START!$C$3,8)</f>
        <v>0</v>
      </c>
      <c r="AK344" s="158">
        <v>0</v>
      </c>
      <c r="AL344" s="320">
        <f t="shared" ref="AL344:BN344" si="222">IF(AND(AL$296&gt;($D$87+2020),AL$296&lt;($E$87+2022)),AK344+(AL6*AJ344*((100-$F$87)/100)*$B$87/($E$87-$D$87+1)/1000000),AK344)</f>
        <v>0</v>
      </c>
      <c r="AM344" s="320">
        <f t="shared" si="222"/>
        <v>0</v>
      </c>
      <c r="AN344" s="320">
        <f t="shared" si="222"/>
        <v>0</v>
      </c>
      <c r="AO344" s="320">
        <f t="shared" si="222"/>
        <v>0</v>
      </c>
      <c r="AP344" s="320">
        <f t="shared" si="222"/>
        <v>0</v>
      </c>
      <c r="AQ344" s="320">
        <f t="shared" si="222"/>
        <v>0</v>
      </c>
      <c r="AR344" s="320">
        <f t="shared" si="222"/>
        <v>0</v>
      </c>
      <c r="AS344" s="320">
        <f t="shared" si="222"/>
        <v>0</v>
      </c>
      <c r="AT344" s="320">
        <f t="shared" si="222"/>
        <v>0</v>
      </c>
      <c r="AU344" s="320">
        <f t="shared" si="222"/>
        <v>0</v>
      </c>
      <c r="AV344" s="320">
        <f t="shared" si="222"/>
        <v>0</v>
      </c>
      <c r="AW344" s="320">
        <f t="shared" si="222"/>
        <v>0</v>
      </c>
      <c r="AX344" s="320">
        <f t="shared" si="222"/>
        <v>0</v>
      </c>
      <c r="AY344" s="320">
        <f t="shared" si="222"/>
        <v>0</v>
      </c>
      <c r="AZ344" s="320">
        <f t="shared" si="222"/>
        <v>0</v>
      </c>
      <c r="BA344" s="320">
        <f t="shared" si="222"/>
        <v>0</v>
      </c>
      <c r="BB344" s="320">
        <f t="shared" si="222"/>
        <v>0</v>
      </c>
      <c r="BC344" s="320">
        <f t="shared" si="222"/>
        <v>0</v>
      </c>
      <c r="BD344" s="320">
        <f t="shared" si="222"/>
        <v>0</v>
      </c>
      <c r="BE344" s="320">
        <f t="shared" si="222"/>
        <v>0</v>
      </c>
      <c r="BF344" s="320">
        <f t="shared" si="222"/>
        <v>0</v>
      </c>
      <c r="BG344" s="320">
        <f t="shared" si="222"/>
        <v>0</v>
      </c>
      <c r="BH344" s="320">
        <f t="shared" si="222"/>
        <v>0</v>
      </c>
      <c r="BI344" s="320">
        <f t="shared" si="222"/>
        <v>0</v>
      </c>
      <c r="BJ344" s="320">
        <f t="shared" si="222"/>
        <v>0</v>
      </c>
      <c r="BK344" s="320">
        <f t="shared" si="222"/>
        <v>0</v>
      </c>
      <c r="BL344" s="320">
        <f t="shared" si="222"/>
        <v>0</v>
      </c>
      <c r="BM344" s="320">
        <f t="shared" si="222"/>
        <v>0</v>
      </c>
      <c r="BN344" s="321">
        <f t="shared" si="222"/>
        <v>0</v>
      </c>
      <c r="BP344" s="552" t="s">
        <v>1226</v>
      </c>
      <c r="BQ344" s="1482" t="s">
        <v>1970</v>
      </c>
      <c r="BR344" s="1483"/>
      <c r="BS344" s="1483"/>
      <c r="BT344" s="1483"/>
      <c r="BU344" s="1483"/>
      <c r="BV344" s="1483"/>
      <c r="BW344" s="1483"/>
      <c r="BX344" s="1483"/>
      <c r="BY344" s="1483"/>
      <c r="BZ344" s="1483"/>
      <c r="CA344" s="1483"/>
      <c r="CB344" s="1483"/>
      <c r="CC344" s="1483"/>
      <c r="CD344" s="1483"/>
      <c r="CE344" s="1483"/>
      <c r="CF344" s="1483"/>
      <c r="CG344" s="1484"/>
      <c r="CH344" s="554" t="s">
        <v>1814</v>
      </c>
      <c r="CI344" s="554" t="s">
        <v>1882</v>
      </c>
    </row>
    <row r="345" spans="32:87" ht="20.100000000000001" customHeight="1">
      <c r="AF345" s="311"/>
      <c r="AG345" s="285" t="s">
        <v>1462</v>
      </c>
      <c r="AH345" s="285"/>
      <c r="AI345" s="285"/>
      <c r="AJ345" s="285"/>
      <c r="AK345" s="338">
        <f>SUM(AK337:AK344)</f>
        <v>0</v>
      </c>
      <c r="AL345" s="316">
        <f>SUM(AL337:AL344)</f>
        <v>0</v>
      </c>
      <c r="AM345" s="316">
        <f t="shared" ref="AM345:BN345" si="223">SUM(AM337:AM344)</f>
        <v>0</v>
      </c>
      <c r="AN345" s="316">
        <f t="shared" si="223"/>
        <v>0</v>
      </c>
      <c r="AO345" s="316">
        <f t="shared" si="223"/>
        <v>0</v>
      </c>
      <c r="AP345" s="316">
        <f t="shared" si="223"/>
        <v>0</v>
      </c>
      <c r="AQ345" s="316">
        <f t="shared" si="223"/>
        <v>0</v>
      </c>
      <c r="AR345" s="316">
        <f t="shared" si="223"/>
        <v>0</v>
      </c>
      <c r="AS345" s="316">
        <f t="shared" si="223"/>
        <v>0</v>
      </c>
      <c r="AT345" s="316">
        <f t="shared" si="223"/>
        <v>0</v>
      </c>
      <c r="AU345" s="316">
        <f t="shared" si="223"/>
        <v>0</v>
      </c>
      <c r="AV345" s="316">
        <f t="shared" si="223"/>
        <v>0</v>
      </c>
      <c r="AW345" s="316">
        <f t="shared" si="223"/>
        <v>0</v>
      </c>
      <c r="AX345" s="316">
        <f t="shared" si="223"/>
        <v>0</v>
      </c>
      <c r="AY345" s="316">
        <f t="shared" si="223"/>
        <v>0</v>
      </c>
      <c r="AZ345" s="316">
        <f t="shared" si="223"/>
        <v>0</v>
      </c>
      <c r="BA345" s="316">
        <f t="shared" si="223"/>
        <v>0</v>
      </c>
      <c r="BB345" s="316">
        <f t="shared" si="223"/>
        <v>0</v>
      </c>
      <c r="BC345" s="316">
        <f t="shared" si="223"/>
        <v>0</v>
      </c>
      <c r="BD345" s="316">
        <f t="shared" si="223"/>
        <v>0</v>
      </c>
      <c r="BE345" s="316">
        <f t="shared" si="223"/>
        <v>0</v>
      </c>
      <c r="BF345" s="316">
        <f t="shared" si="223"/>
        <v>0</v>
      </c>
      <c r="BG345" s="316">
        <f t="shared" si="223"/>
        <v>0</v>
      </c>
      <c r="BH345" s="316">
        <f t="shared" si="223"/>
        <v>0</v>
      </c>
      <c r="BI345" s="316">
        <f t="shared" si="223"/>
        <v>0</v>
      </c>
      <c r="BJ345" s="316">
        <f t="shared" si="223"/>
        <v>0</v>
      </c>
      <c r="BK345" s="316">
        <f t="shared" si="223"/>
        <v>0</v>
      </c>
      <c r="BL345" s="316">
        <f t="shared" si="223"/>
        <v>0</v>
      </c>
      <c r="BM345" s="316">
        <f t="shared" si="223"/>
        <v>0</v>
      </c>
      <c r="BN345" s="316">
        <f t="shared" si="223"/>
        <v>0</v>
      </c>
    </row>
    <row r="346" spans="32:87" ht="20.100000000000001" customHeight="1" thickBot="1">
      <c r="AK346" s="336"/>
      <c r="BP346" s="14" t="s">
        <v>1233</v>
      </c>
      <c r="CH346" s="555" t="s">
        <v>1880</v>
      </c>
      <c r="CI346" s="17" t="s">
        <v>1598</v>
      </c>
    </row>
    <row r="347" spans="32:87" ht="20.100000000000001" customHeight="1">
      <c r="AF347" s="1491" t="str">
        <f>AF229</f>
        <v>Warehouses</v>
      </c>
      <c r="AG347" s="286" t="s">
        <v>933</v>
      </c>
      <c r="AH347" s="287"/>
      <c r="AI347" s="286" t="s">
        <v>1496</v>
      </c>
      <c r="AJ347" s="313">
        <f>INDEX('DEFAULT DATA'!$AIM$9:$AIT$41,START!$C$3,1)</f>
        <v>0</v>
      </c>
      <c r="AK347" s="338">
        <v>0</v>
      </c>
      <c r="AL347" s="322">
        <f t="shared" ref="AL347:BN347" si="224">IF(AND(AL$296&gt;($D$88+2020),AL$296&lt;($E$88+2022)),AK347+(AL$5*$AJ$347*((100-$F$88)/100)*$B$88/($E$88-$D$88+1)/1000000),AK347)</f>
        <v>0</v>
      </c>
      <c r="AM347" s="322">
        <f t="shared" si="224"/>
        <v>0</v>
      </c>
      <c r="AN347" s="322">
        <f t="shared" si="224"/>
        <v>0</v>
      </c>
      <c r="AO347" s="322">
        <f t="shared" si="224"/>
        <v>0</v>
      </c>
      <c r="AP347" s="322">
        <f t="shared" si="224"/>
        <v>0</v>
      </c>
      <c r="AQ347" s="322">
        <f t="shared" si="224"/>
        <v>0</v>
      </c>
      <c r="AR347" s="322">
        <f t="shared" si="224"/>
        <v>0</v>
      </c>
      <c r="AS347" s="322">
        <f t="shared" si="224"/>
        <v>0</v>
      </c>
      <c r="AT347" s="322">
        <f t="shared" si="224"/>
        <v>0</v>
      </c>
      <c r="AU347" s="322">
        <f t="shared" si="224"/>
        <v>0</v>
      </c>
      <c r="AV347" s="322">
        <f t="shared" si="224"/>
        <v>0</v>
      </c>
      <c r="AW347" s="322">
        <f t="shared" si="224"/>
        <v>0</v>
      </c>
      <c r="AX347" s="322">
        <f t="shared" si="224"/>
        <v>0</v>
      </c>
      <c r="AY347" s="322">
        <f t="shared" si="224"/>
        <v>0</v>
      </c>
      <c r="AZ347" s="322">
        <f t="shared" si="224"/>
        <v>0</v>
      </c>
      <c r="BA347" s="322">
        <f t="shared" si="224"/>
        <v>0</v>
      </c>
      <c r="BB347" s="322">
        <f t="shared" si="224"/>
        <v>0</v>
      </c>
      <c r="BC347" s="322">
        <f t="shared" si="224"/>
        <v>0</v>
      </c>
      <c r="BD347" s="322">
        <f t="shared" si="224"/>
        <v>0</v>
      </c>
      <c r="BE347" s="322">
        <f t="shared" si="224"/>
        <v>0</v>
      </c>
      <c r="BF347" s="322">
        <f t="shared" si="224"/>
        <v>0</v>
      </c>
      <c r="BG347" s="322">
        <f t="shared" si="224"/>
        <v>0</v>
      </c>
      <c r="BH347" s="322">
        <f t="shared" si="224"/>
        <v>0</v>
      </c>
      <c r="BI347" s="322">
        <f t="shared" si="224"/>
        <v>0</v>
      </c>
      <c r="BJ347" s="322">
        <f t="shared" si="224"/>
        <v>0</v>
      </c>
      <c r="BK347" s="322">
        <f t="shared" si="224"/>
        <v>0</v>
      </c>
      <c r="BL347" s="322">
        <f t="shared" si="224"/>
        <v>0</v>
      </c>
      <c r="BM347" s="322">
        <f t="shared" si="224"/>
        <v>0</v>
      </c>
      <c r="BN347" s="323">
        <f t="shared" si="224"/>
        <v>0</v>
      </c>
      <c r="BP347" s="552" t="s">
        <v>933</v>
      </c>
      <c r="BQ347" s="1482" t="s">
        <v>1971</v>
      </c>
      <c r="BR347" s="1483"/>
      <c r="BS347" s="1483"/>
      <c r="BT347" s="1483"/>
      <c r="BU347" s="1483"/>
      <c r="BV347" s="1483"/>
      <c r="BW347" s="1483"/>
      <c r="BX347" s="1483"/>
      <c r="BY347" s="1483"/>
      <c r="BZ347" s="1483"/>
      <c r="CA347" s="1483"/>
      <c r="CB347" s="1483"/>
      <c r="CC347" s="1483"/>
      <c r="CD347" s="1483"/>
      <c r="CE347" s="1483"/>
      <c r="CF347" s="1483"/>
      <c r="CG347" s="1484"/>
      <c r="CH347" s="554" t="s">
        <v>1815</v>
      </c>
      <c r="CI347" s="554" t="s">
        <v>1881</v>
      </c>
    </row>
    <row r="348" spans="32:87" ht="20.100000000000001" customHeight="1">
      <c r="AF348" s="1492"/>
      <c r="AG348" s="251" t="s">
        <v>1220</v>
      </c>
      <c r="AH348" s="280"/>
      <c r="AI348" s="251">
        <f>INDEX('DEFAULT DATA'!$VE$9:$VK$41,START!$C$3,1)</f>
        <v>202</v>
      </c>
      <c r="AJ348" s="195">
        <f>INDEX('DEFAULT DATA'!$AIM$9:$AIT$41,START!$C$3,2)</f>
        <v>0</v>
      </c>
      <c r="AK348" s="157">
        <v>0</v>
      </c>
      <c r="AL348" s="272">
        <f t="shared" ref="AL348:BN348" si="225">IF(AND(AL$296&gt;($D$88+2020),AL$296&lt;($E$88+2022)),AK348+($AI$348*$AJ$348*((100-$F$88)/100)*$B$88/($E$88-$D$88+1)/1000000),AK348)</f>
        <v>0</v>
      </c>
      <c r="AM348" s="272">
        <f t="shared" si="225"/>
        <v>0</v>
      </c>
      <c r="AN348" s="272">
        <f t="shared" si="225"/>
        <v>0</v>
      </c>
      <c r="AO348" s="272">
        <f t="shared" si="225"/>
        <v>0</v>
      </c>
      <c r="AP348" s="272">
        <f t="shared" si="225"/>
        <v>0</v>
      </c>
      <c r="AQ348" s="272">
        <f t="shared" si="225"/>
        <v>0</v>
      </c>
      <c r="AR348" s="272">
        <f t="shared" si="225"/>
        <v>0</v>
      </c>
      <c r="AS348" s="272">
        <f t="shared" si="225"/>
        <v>0</v>
      </c>
      <c r="AT348" s="272">
        <f t="shared" si="225"/>
        <v>0</v>
      </c>
      <c r="AU348" s="272">
        <f t="shared" si="225"/>
        <v>0</v>
      </c>
      <c r="AV348" s="272">
        <f t="shared" si="225"/>
        <v>0</v>
      </c>
      <c r="AW348" s="272">
        <f t="shared" si="225"/>
        <v>0</v>
      </c>
      <c r="AX348" s="272">
        <f t="shared" si="225"/>
        <v>0</v>
      </c>
      <c r="AY348" s="272">
        <f t="shared" si="225"/>
        <v>0</v>
      </c>
      <c r="AZ348" s="272">
        <f t="shared" si="225"/>
        <v>0</v>
      </c>
      <c r="BA348" s="272">
        <f t="shared" si="225"/>
        <v>0</v>
      </c>
      <c r="BB348" s="272">
        <f t="shared" si="225"/>
        <v>0</v>
      </c>
      <c r="BC348" s="272">
        <f t="shared" si="225"/>
        <v>0</v>
      </c>
      <c r="BD348" s="272">
        <f t="shared" si="225"/>
        <v>0</v>
      </c>
      <c r="BE348" s="272">
        <f t="shared" si="225"/>
        <v>0</v>
      </c>
      <c r="BF348" s="272">
        <f t="shared" si="225"/>
        <v>0</v>
      </c>
      <c r="BG348" s="272">
        <f t="shared" si="225"/>
        <v>0</v>
      </c>
      <c r="BH348" s="272">
        <f t="shared" si="225"/>
        <v>0</v>
      </c>
      <c r="BI348" s="272">
        <f t="shared" si="225"/>
        <v>0</v>
      </c>
      <c r="BJ348" s="272">
        <f t="shared" si="225"/>
        <v>0</v>
      </c>
      <c r="BK348" s="272">
        <f t="shared" si="225"/>
        <v>0</v>
      </c>
      <c r="BL348" s="272">
        <f t="shared" si="225"/>
        <v>0</v>
      </c>
      <c r="BM348" s="272">
        <f t="shared" si="225"/>
        <v>0</v>
      </c>
      <c r="BN348" s="324">
        <f t="shared" si="225"/>
        <v>0</v>
      </c>
      <c r="BP348" s="552" t="s">
        <v>1220</v>
      </c>
      <c r="BQ348" s="1482" t="s">
        <v>1973</v>
      </c>
      <c r="BR348" s="1483"/>
      <c r="BS348" s="1483"/>
      <c r="BT348" s="1483"/>
      <c r="BU348" s="1483"/>
      <c r="BV348" s="1483"/>
      <c r="BW348" s="1483"/>
      <c r="BX348" s="1483"/>
      <c r="BY348" s="1483"/>
      <c r="BZ348" s="1483"/>
      <c r="CA348" s="1483"/>
      <c r="CB348" s="1483"/>
      <c r="CC348" s="1483"/>
      <c r="CD348" s="1483"/>
      <c r="CE348" s="1483"/>
      <c r="CF348" s="1483"/>
      <c r="CG348" s="1484"/>
      <c r="CH348" s="554" t="s">
        <v>1816</v>
      </c>
      <c r="CI348" s="554" t="s">
        <v>1248</v>
      </c>
    </row>
    <row r="349" spans="32:87" ht="20.100000000000001" customHeight="1">
      <c r="AF349" s="1492"/>
      <c r="AG349" s="251" t="s">
        <v>1221</v>
      </c>
      <c r="AH349" s="280"/>
      <c r="AI349" s="251">
        <f>INDEX('DEFAULT DATA'!$VE$9:$VK$41,START!$C$3,2)</f>
        <v>279</v>
      </c>
      <c r="AJ349" s="195">
        <f>INDEX('DEFAULT DATA'!$AIM$9:$AIT$41,START!$C$3,3)</f>
        <v>0</v>
      </c>
      <c r="AK349" s="157">
        <v>0</v>
      </c>
      <c r="AL349" s="272">
        <f t="shared" ref="AL349:BN349" si="226">IF(AND(AL$296&gt;($D$88+2020),AL$296&lt;($E$88+2022)),AK349+($AI$349*$AJ$349*((100-$F$88)/100)*$B$88/($E$88-$D$88+1)/1000000),AK349)</f>
        <v>0</v>
      </c>
      <c r="AM349" s="272">
        <f t="shared" si="226"/>
        <v>0</v>
      </c>
      <c r="AN349" s="272">
        <f t="shared" si="226"/>
        <v>0</v>
      </c>
      <c r="AO349" s="272">
        <f t="shared" si="226"/>
        <v>0</v>
      </c>
      <c r="AP349" s="272">
        <f t="shared" si="226"/>
        <v>0</v>
      </c>
      <c r="AQ349" s="272">
        <f t="shared" si="226"/>
        <v>0</v>
      </c>
      <c r="AR349" s="272">
        <f t="shared" si="226"/>
        <v>0</v>
      </c>
      <c r="AS349" s="272">
        <f t="shared" si="226"/>
        <v>0</v>
      </c>
      <c r="AT349" s="272">
        <f t="shared" si="226"/>
        <v>0</v>
      </c>
      <c r="AU349" s="272">
        <f t="shared" si="226"/>
        <v>0</v>
      </c>
      <c r="AV349" s="272">
        <f t="shared" si="226"/>
        <v>0</v>
      </c>
      <c r="AW349" s="272">
        <f t="shared" si="226"/>
        <v>0</v>
      </c>
      <c r="AX349" s="272">
        <f t="shared" si="226"/>
        <v>0</v>
      </c>
      <c r="AY349" s="272">
        <f t="shared" si="226"/>
        <v>0</v>
      </c>
      <c r="AZ349" s="272">
        <f t="shared" si="226"/>
        <v>0</v>
      </c>
      <c r="BA349" s="272">
        <f t="shared" si="226"/>
        <v>0</v>
      </c>
      <c r="BB349" s="272">
        <f t="shared" si="226"/>
        <v>0</v>
      </c>
      <c r="BC349" s="272">
        <f t="shared" si="226"/>
        <v>0</v>
      </c>
      <c r="BD349" s="272">
        <f t="shared" si="226"/>
        <v>0</v>
      </c>
      <c r="BE349" s="272">
        <f t="shared" si="226"/>
        <v>0</v>
      </c>
      <c r="BF349" s="272">
        <f t="shared" si="226"/>
        <v>0</v>
      </c>
      <c r="BG349" s="272">
        <f t="shared" si="226"/>
        <v>0</v>
      </c>
      <c r="BH349" s="272">
        <f t="shared" si="226"/>
        <v>0</v>
      </c>
      <c r="BI349" s="272">
        <f t="shared" si="226"/>
        <v>0</v>
      </c>
      <c r="BJ349" s="272">
        <f t="shared" si="226"/>
        <v>0</v>
      </c>
      <c r="BK349" s="272">
        <f t="shared" si="226"/>
        <v>0</v>
      </c>
      <c r="BL349" s="272">
        <f t="shared" si="226"/>
        <v>0</v>
      </c>
      <c r="BM349" s="272">
        <f t="shared" si="226"/>
        <v>0</v>
      </c>
      <c r="BN349" s="324">
        <f t="shared" si="226"/>
        <v>0</v>
      </c>
      <c r="BP349" s="552" t="s">
        <v>1221</v>
      </c>
      <c r="BQ349" s="1482" t="s">
        <v>1972</v>
      </c>
      <c r="BR349" s="1483"/>
      <c r="BS349" s="1483"/>
      <c r="BT349" s="1483"/>
      <c r="BU349" s="1483"/>
      <c r="BV349" s="1483"/>
      <c r="BW349" s="1483"/>
      <c r="BX349" s="1483"/>
      <c r="BY349" s="1483"/>
      <c r="BZ349" s="1483"/>
      <c r="CA349" s="1483"/>
      <c r="CB349" s="1483"/>
      <c r="CC349" s="1483"/>
      <c r="CD349" s="1483"/>
      <c r="CE349" s="1483"/>
      <c r="CF349" s="1483"/>
      <c r="CG349" s="1484"/>
      <c r="CH349" s="554" t="s">
        <v>1817</v>
      </c>
      <c r="CI349" s="554" t="s">
        <v>1621</v>
      </c>
    </row>
    <row r="350" spans="32:87" ht="20.100000000000001" customHeight="1">
      <c r="AF350" s="1492"/>
      <c r="AG350" s="251" t="s">
        <v>1222</v>
      </c>
      <c r="AH350" s="280"/>
      <c r="AI350" s="251">
        <f>INDEX('DEFAULT DATA'!$VE$9:$VK$41,START!$C$3,3)</f>
        <v>354</v>
      </c>
      <c r="AJ350" s="195">
        <f>INDEX('DEFAULT DATA'!$AIM$9:$AIT$41,START!$C$3,4)</f>
        <v>0</v>
      </c>
      <c r="AK350" s="157">
        <v>0</v>
      </c>
      <c r="AL350" s="272">
        <f t="shared" ref="AL350:BN350" si="227">IF(AND(AL$296&gt;($D$88+2020),AL$296&lt;($E$88+2022)),AK350+($AI$350*$AJ$350*((100-$F$88)/100)*$B$88/($E$88-$D$88+1)/1000000),AK350)</f>
        <v>0</v>
      </c>
      <c r="AM350" s="272">
        <f t="shared" si="227"/>
        <v>0</v>
      </c>
      <c r="AN350" s="272">
        <f t="shared" si="227"/>
        <v>0</v>
      </c>
      <c r="AO350" s="272">
        <f t="shared" si="227"/>
        <v>0</v>
      </c>
      <c r="AP350" s="272">
        <f t="shared" si="227"/>
        <v>0</v>
      </c>
      <c r="AQ350" s="272">
        <f t="shared" si="227"/>
        <v>0</v>
      </c>
      <c r="AR350" s="272">
        <f t="shared" si="227"/>
        <v>0</v>
      </c>
      <c r="AS350" s="272">
        <f t="shared" si="227"/>
        <v>0</v>
      </c>
      <c r="AT350" s="272">
        <f t="shared" si="227"/>
        <v>0</v>
      </c>
      <c r="AU350" s="272">
        <f t="shared" si="227"/>
        <v>0</v>
      </c>
      <c r="AV350" s="272">
        <f t="shared" si="227"/>
        <v>0</v>
      </c>
      <c r="AW350" s="272">
        <f t="shared" si="227"/>
        <v>0</v>
      </c>
      <c r="AX350" s="272">
        <f t="shared" si="227"/>
        <v>0</v>
      </c>
      <c r="AY350" s="272">
        <f t="shared" si="227"/>
        <v>0</v>
      </c>
      <c r="AZ350" s="272">
        <f t="shared" si="227"/>
        <v>0</v>
      </c>
      <c r="BA350" s="272">
        <f t="shared" si="227"/>
        <v>0</v>
      </c>
      <c r="BB350" s="272">
        <f t="shared" si="227"/>
        <v>0</v>
      </c>
      <c r="BC350" s="272">
        <f t="shared" si="227"/>
        <v>0</v>
      </c>
      <c r="BD350" s="272">
        <f t="shared" si="227"/>
        <v>0</v>
      </c>
      <c r="BE350" s="272">
        <f t="shared" si="227"/>
        <v>0</v>
      </c>
      <c r="BF350" s="272">
        <f t="shared" si="227"/>
        <v>0</v>
      </c>
      <c r="BG350" s="272">
        <f t="shared" si="227"/>
        <v>0</v>
      </c>
      <c r="BH350" s="272">
        <f t="shared" si="227"/>
        <v>0</v>
      </c>
      <c r="BI350" s="272">
        <f t="shared" si="227"/>
        <v>0</v>
      </c>
      <c r="BJ350" s="272">
        <f t="shared" si="227"/>
        <v>0</v>
      </c>
      <c r="BK350" s="272">
        <f t="shared" si="227"/>
        <v>0</v>
      </c>
      <c r="BL350" s="272">
        <f t="shared" si="227"/>
        <v>0</v>
      </c>
      <c r="BM350" s="272">
        <f t="shared" si="227"/>
        <v>0</v>
      </c>
      <c r="BN350" s="324">
        <f t="shared" si="227"/>
        <v>0</v>
      </c>
      <c r="BP350" s="552" t="s">
        <v>1222</v>
      </c>
      <c r="BQ350" s="1482" t="s">
        <v>1974</v>
      </c>
      <c r="BR350" s="1483"/>
      <c r="BS350" s="1483"/>
      <c r="BT350" s="1483"/>
      <c r="BU350" s="1483"/>
      <c r="BV350" s="1483"/>
      <c r="BW350" s="1483"/>
      <c r="BX350" s="1483"/>
      <c r="BY350" s="1483"/>
      <c r="BZ350" s="1483"/>
      <c r="CA350" s="1483"/>
      <c r="CB350" s="1483"/>
      <c r="CC350" s="1483"/>
      <c r="CD350" s="1483"/>
      <c r="CE350" s="1483"/>
      <c r="CF350" s="1483"/>
      <c r="CG350" s="1484"/>
      <c r="CH350" s="554" t="s">
        <v>1818</v>
      </c>
      <c r="CI350" s="554" t="s">
        <v>1622</v>
      </c>
    </row>
    <row r="351" spans="32:87" ht="20.100000000000001" customHeight="1">
      <c r="AF351" s="1492"/>
      <c r="AG351" s="251" t="s">
        <v>1223</v>
      </c>
      <c r="AH351" s="280"/>
      <c r="AI351" s="251">
        <f>INDEX('DEFAULT DATA'!$VE$9:$VK$41,START!$C$3,4)</f>
        <v>0</v>
      </c>
      <c r="AJ351" s="195">
        <f>INDEX('DEFAULT DATA'!$AIM$9:$AIT$41,START!$C$3,5)</f>
        <v>0</v>
      </c>
      <c r="AK351" s="157">
        <v>0</v>
      </c>
      <c r="AL351" s="272">
        <f t="shared" ref="AL351:BN351" si="228">IF(AND(AL$296&gt;($D$88+2020),AL$296&lt;($E$88+2022)),AK351+($AI$351*$AJ$351*((100-$F$88)/100)*$B$88/($E$88-$D$88+1)/1000000),AK351)</f>
        <v>0</v>
      </c>
      <c r="AM351" s="272">
        <f t="shared" si="228"/>
        <v>0</v>
      </c>
      <c r="AN351" s="272">
        <f t="shared" si="228"/>
        <v>0</v>
      </c>
      <c r="AO351" s="272">
        <f t="shared" si="228"/>
        <v>0</v>
      </c>
      <c r="AP351" s="272">
        <f t="shared" si="228"/>
        <v>0</v>
      </c>
      <c r="AQ351" s="272">
        <f t="shared" si="228"/>
        <v>0</v>
      </c>
      <c r="AR351" s="272">
        <f t="shared" si="228"/>
        <v>0</v>
      </c>
      <c r="AS351" s="272">
        <f t="shared" si="228"/>
        <v>0</v>
      </c>
      <c r="AT351" s="272">
        <f t="shared" si="228"/>
        <v>0</v>
      </c>
      <c r="AU351" s="272">
        <f t="shared" si="228"/>
        <v>0</v>
      </c>
      <c r="AV351" s="272">
        <f t="shared" si="228"/>
        <v>0</v>
      </c>
      <c r="AW351" s="272">
        <f t="shared" si="228"/>
        <v>0</v>
      </c>
      <c r="AX351" s="272">
        <f t="shared" si="228"/>
        <v>0</v>
      </c>
      <c r="AY351" s="272">
        <f t="shared" si="228"/>
        <v>0</v>
      </c>
      <c r="AZ351" s="272">
        <f t="shared" si="228"/>
        <v>0</v>
      </c>
      <c r="BA351" s="272">
        <f t="shared" si="228"/>
        <v>0</v>
      </c>
      <c r="BB351" s="272">
        <f t="shared" si="228"/>
        <v>0</v>
      </c>
      <c r="BC351" s="272">
        <f t="shared" si="228"/>
        <v>0</v>
      </c>
      <c r="BD351" s="272">
        <f t="shared" si="228"/>
        <v>0</v>
      </c>
      <c r="BE351" s="272">
        <f t="shared" si="228"/>
        <v>0</v>
      </c>
      <c r="BF351" s="272">
        <f t="shared" si="228"/>
        <v>0</v>
      </c>
      <c r="BG351" s="272">
        <f t="shared" si="228"/>
        <v>0</v>
      </c>
      <c r="BH351" s="272">
        <f t="shared" si="228"/>
        <v>0</v>
      </c>
      <c r="BI351" s="272">
        <f t="shared" si="228"/>
        <v>0</v>
      </c>
      <c r="BJ351" s="272">
        <f t="shared" si="228"/>
        <v>0</v>
      </c>
      <c r="BK351" s="272">
        <f t="shared" si="228"/>
        <v>0</v>
      </c>
      <c r="BL351" s="272">
        <f t="shared" si="228"/>
        <v>0</v>
      </c>
      <c r="BM351" s="272">
        <f t="shared" si="228"/>
        <v>0</v>
      </c>
      <c r="BN351" s="324">
        <f t="shared" si="228"/>
        <v>0</v>
      </c>
      <c r="BP351" s="552" t="s">
        <v>1223</v>
      </c>
      <c r="BQ351" s="1482" t="s">
        <v>1975</v>
      </c>
      <c r="BR351" s="1483"/>
      <c r="BS351" s="1483"/>
      <c r="BT351" s="1483"/>
      <c r="BU351" s="1483"/>
      <c r="BV351" s="1483"/>
      <c r="BW351" s="1483"/>
      <c r="BX351" s="1483"/>
      <c r="BY351" s="1483"/>
      <c r="BZ351" s="1483"/>
      <c r="CA351" s="1483"/>
      <c r="CB351" s="1483"/>
      <c r="CC351" s="1483"/>
      <c r="CD351" s="1483"/>
      <c r="CE351" s="1483"/>
      <c r="CF351" s="1483"/>
      <c r="CG351" s="1484"/>
      <c r="CH351" s="554" t="s">
        <v>1819</v>
      </c>
      <c r="CI351" s="554" t="s">
        <v>1623</v>
      </c>
    </row>
    <row r="352" spans="32:87" ht="20.100000000000001" customHeight="1">
      <c r="AF352" s="1492"/>
      <c r="AG352" s="251" t="s">
        <v>1224</v>
      </c>
      <c r="AH352" s="280"/>
      <c r="AI352" s="251">
        <f>INDEX('DEFAULT DATA'!$VE$9:$VK$41,START!$C$3,5)</f>
        <v>403</v>
      </c>
      <c r="AJ352" s="195">
        <f>INDEX('DEFAULT DATA'!$AIM$9:$AIT$41,START!$C$3,6)</f>
        <v>0</v>
      </c>
      <c r="AK352" s="157">
        <v>0</v>
      </c>
      <c r="AL352" s="272">
        <f t="shared" ref="AL352:BN352" si="229">IF(AND(AL$296&gt;($D$88+2020),AL$296&lt;($E$88+2022)),AK352+($AI$352*$AJ$352*((100-$F$88)/100)*$B$88/($E$88-$D$88+1)/1000000),AK352)</f>
        <v>0</v>
      </c>
      <c r="AM352" s="272">
        <f t="shared" si="229"/>
        <v>0</v>
      </c>
      <c r="AN352" s="272">
        <f t="shared" si="229"/>
        <v>0</v>
      </c>
      <c r="AO352" s="272">
        <f t="shared" si="229"/>
        <v>0</v>
      </c>
      <c r="AP352" s="272">
        <f t="shared" si="229"/>
        <v>0</v>
      </c>
      <c r="AQ352" s="272">
        <f t="shared" si="229"/>
        <v>0</v>
      </c>
      <c r="AR352" s="272">
        <f t="shared" si="229"/>
        <v>0</v>
      </c>
      <c r="AS352" s="272">
        <f t="shared" si="229"/>
        <v>0</v>
      </c>
      <c r="AT352" s="272">
        <f t="shared" si="229"/>
        <v>0</v>
      </c>
      <c r="AU352" s="272">
        <f t="shared" si="229"/>
        <v>0</v>
      </c>
      <c r="AV352" s="272">
        <f t="shared" si="229"/>
        <v>0</v>
      </c>
      <c r="AW352" s="272">
        <f t="shared" si="229"/>
        <v>0</v>
      </c>
      <c r="AX352" s="272">
        <f t="shared" si="229"/>
        <v>0</v>
      </c>
      <c r="AY352" s="272">
        <f t="shared" si="229"/>
        <v>0</v>
      </c>
      <c r="AZ352" s="272">
        <f t="shared" si="229"/>
        <v>0</v>
      </c>
      <c r="BA352" s="272">
        <f t="shared" si="229"/>
        <v>0</v>
      </c>
      <c r="BB352" s="272">
        <f t="shared" si="229"/>
        <v>0</v>
      </c>
      <c r="BC352" s="272">
        <f t="shared" si="229"/>
        <v>0</v>
      </c>
      <c r="BD352" s="272">
        <f t="shared" si="229"/>
        <v>0</v>
      </c>
      <c r="BE352" s="272">
        <f t="shared" si="229"/>
        <v>0</v>
      </c>
      <c r="BF352" s="272">
        <f t="shared" si="229"/>
        <v>0</v>
      </c>
      <c r="BG352" s="272">
        <f t="shared" si="229"/>
        <v>0</v>
      </c>
      <c r="BH352" s="272">
        <f t="shared" si="229"/>
        <v>0</v>
      </c>
      <c r="BI352" s="272">
        <f t="shared" si="229"/>
        <v>0</v>
      </c>
      <c r="BJ352" s="272">
        <f t="shared" si="229"/>
        <v>0</v>
      </c>
      <c r="BK352" s="272">
        <f t="shared" si="229"/>
        <v>0</v>
      </c>
      <c r="BL352" s="272">
        <f t="shared" si="229"/>
        <v>0</v>
      </c>
      <c r="BM352" s="272">
        <f t="shared" si="229"/>
        <v>0</v>
      </c>
      <c r="BN352" s="324">
        <f t="shared" si="229"/>
        <v>0</v>
      </c>
      <c r="BP352" s="552" t="s">
        <v>1224</v>
      </c>
      <c r="BQ352" s="1482" t="s">
        <v>1976</v>
      </c>
      <c r="BR352" s="1483"/>
      <c r="BS352" s="1483"/>
      <c r="BT352" s="1483"/>
      <c r="BU352" s="1483"/>
      <c r="BV352" s="1483"/>
      <c r="BW352" s="1483"/>
      <c r="BX352" s="1483"/>
      <c r="BY352" s="1483"/>
      <c r="BZ352" s="1483"/>
      <c r="CA352" s="1483"/>
      <c r="CB352" s="1483"/>
      <c r="CC352" s="1483"/>
      <c r="CD352" s="1483"/>
      <c r="CE352" s="1483"/>
      <c r="CF352" s="1483"/>
      <c r="CG352" s="1484"/>
      <c r="CH352" s="554" t="s">
        <v>1820</v>
      </c>
      <c r="CI352" s="554" t="s">
        <v>1624</v>
      </c>
    </row>
    <row r="353" spans="32:87" ht="20.100000000000001" customHeight="1">
      <c r="AF353" s="1492"/>
      <c r="AG353" s="251" t="s">
        <v>1225</v>
      </c>
      <c r="AH353" s="280"/>
      <c r="AI353" s="251">
        <f>INDEX('DEFAULT DATA'!$VE$9:$VK$41,START!$C$3,6)</f>
        <v>0</v>
      </c>
      <c r="AJ353" s="195">
        <f>INDEX('DEFAULT DATA'!$AIM$9:$AIT$41,START!$C$3,7)</f>
        <v>0</v>
      </c>
      <c r="AK353" s="157">
        <v>0</v>
      </c>
      <c r="AL353" s="272">
        <f t="shared" ref="AL353:BN353" si="230">IF(AND(AL$296&gt;($D$88+2020),AL$296&lt;($E$88+2022)),AK353+($AI$353*$AJ$353*((100-$F$88)/100)*$B$88/($E$88-$D$88+1)/1000000),AK353)</f>
        <v>0</v>
      </c>
      <c r="AM353" s="272">
        <f t="shared" si="230"/>
        <v>0</v>
      </c>
      <c r="AN353" s="272">
        <f t="shared" si="230"/>
        <v>0</v>
      </c>
      <c r="AO353" s="272">
        <f t="shared" si="230"/>
        <v>0</v>
      </c>
      <c r="AP353" s="272">
        <f t="shared" si="230"/>
        <v>0</v>
      </c>
      <c r="AQ353" s="272">
        <f t="shared" si="230"/>
        <v>0</v>
      </c>
      <c r="AR353" s="272">
        <f t="shared" si="230"/>
        <v>0</v>
      </c>
      <c r="AS353" s="272">
        <f t="shared" si="230"/>
        <v>0</v>
      </c>
      <c r="AT353" s="272">
        <f t="shared" si="230"/>
        <v>0</v>
      </c>
      <c r="AU353" s="272">
        <f t="shared" si="230"/>
        <v>0</v>
      </c>
      <c r="AV353" s="272">
        <f t="shared" si="230"/>
        <v>0</v>
      </c>
      <c r="AW353" s="272">
        <f t="shared" si="230"/>
        <v>0</v>
      </c>
      <c r="AX353" s="272">
        <f t="shared" si="230"/>
        <v>0</v>
      </c>
      <c r="AY353" s="272">
        <f t="shared" si="230"/>
        <v>0</v>
      </c>
      <c r="AZ353" s="272">
        <f t="shared" si="230"/>
        <v>0</v>
      </c>
      <c r="BA353" s="272">
        <f t="shared" si="230"/>
        <v>0</v>
      </c>
      <c r="BB353" s="272">
        <f t="shared" si="230"/>
        <v>0</v>
      </c>
      <c r="BC353" s="272">
        <f t="shared" si="230"/>
        <v>0</v>
      </c>
      <c r="BD353" s="272">
        <f t="shared" si="230"/>
        <v>0</v>
      </c>
      <c r="BE353" s="272">
        <f t="shared" si="230"/>
        <v>0</v>
      </c>
      <c r="BF353" s="272">
        <f t="shared" si="230"/>
        <v>0</v>
      </c>
      <c r="BG353" s="272">
        <f t="shared" si="230"/>
        <v>0</v>
      </c>
      <c r="BH353" s="272">
        <f t="shared" si="230"/>
        <v>0</v>
      </c>
      <c r="BI353" s="272">
        <f t="shared" si="230"/>
        <v>0</v>
      </c>
      <c r="BJ353" s="272">
        <f t="shared" si="230"/>
        <v>0</v>
      </c>
      <c r="BK353" s="272">
        <f t="shared" si="230"/>
        <v>0</v>
      </c>
      <c r="BL353" s="272">
        <f t="shared" si="230"/>
        <v>0</v>
      </c>
      <c r="BM353" s="272">
        <f t="shared" si="230"/>
        <v>0</v>
      </c>
      <c r="BN353" s="324">
        <f t="shared" si="230"/>
        <v>0</v>
      </c>
      <c r="BP353" s="552" t="s">
        <v>1225</v>
      </c>
      <c r="BQ353" s="1482" t="s">
        <v>1977</v>
      </c>
      <c r="BR353" s="1483"/>
      <c r="BS353" s="1483"/>
      <c r="BT353" s="1483"/>
      <c r="BU353" s="1483"/>
      <c r="BV353" s="1483"/>
      <c r="BW353" s="1483"/>
      <c r="BX353" s="1483"/>
      <c r="BY353" s="1483"/>
      <c r="BZ353" s="1483"/>
      <c r="CA353" s="1483"/>
      <c r="CB353" s="1483"/>
      <c r="CC353" s="1483"/>
      <c r="CD353" s="1483"/>
      <c r="CE353" s="1483"/>
      <c r="CF353" s="1483"/>
      <c r="CG353" s="1484"/>
      <c r="CH353" s="554" t="s">
        <v>1821</v>
      </c>
      <c r="CI353" s="554" t="s">
        <v>1625</v>
      </c>
    </row>
    <row r="354" spans="32:87" ht="20.100000000000001" customHeight="1" thickBot="1">
      <c r="AF354" s="1493"/>
      <c r="AG354" s="310" t="s">
        <v>1226</v>
      </c>
      <c r="AH354" s="288"/>
      <c r="AI354" s="310" t="s">
        <v>1497</v>
      </c>
      <c r="AJ354" s="260">
        <f>INDEX('DEFAULT DATA'!$AIM$9:$AIT$41,START!$C$3,8)</f>
        <v>0</v>
      </c>
      <c r="AK354" s="158">
        <v>0</v>
      </c>
      <c r="AL354" s="325">
        <f t="shared" ref="AL354:BN354" si="231">IF(AND(AL$296&gt;($D$88+2020),AL$296&lt;($E$88+2022)),AK354+(AL$6*$AJ$354*((100-$F$88)/100)*$B$88/($E$88-$D$88+1)/1000000),AK354)</f>
        <v>0</v>
      </c>
      <c r="AM354" s="325">
        <f t="shared" si="231"/>
        <v>0</v>
      </c>
      <c r="AN354" s="325">
        <f t="shared" si="231"/>
        <v>0</v>
      </c>
      <c r="AO354" s="325">
        <f t="shared" si="231"/>
        <v>0</v>
      </c>
      <c r="AP354" s="325">
        <f t="shared" si="231"/>
        <v>0</v>
      </c>
      <c r="AQ354" s="325">
        <f t="shared" si="231"/>
        <v>0</v>
      </c>
      <c r="AR354" s="325">
        <f t="shared" si="231"/>
        <v>0</v>
      </c>
      <c r="AS354" s="325">
        <f t="shared" si="231"/>
        <v>0</v>
      </c>
      <c r="AT354" s="325">
        <f t="shared" si="231"/>
        <v>0</v>
      </c>
      <c r="AU354" s="325">
        <f t="shared" si="231"/>
        <v>0</v>
      </c>
      <c r="AV354" s="325">
        <f t="shared" si="231"/>
        <v>0</v>
      </c>
      <c r="AW354" s="325">
        <f t="shared" si="231"/>
        <v>0</v>
      </c>
      <c r="AX354" s="325">
        <f t="shared" si="231"/>
        <v>0</v>
      </c>
      <c r="AY354" s="325">
        <f t="shared" si="231"/>
        <v>0</v>
      </c>
      <c r="AZ354" s="325">
        <f t="shared" si="231"/>
        <v>0</v>
      </c>
      <c r="BA354" s="325">
        <f t="shared" si="231"/>
        <v>0</v>
      </c>
      <c r="BB354" s="325">
        <f t="shared" si="231"/>
        <v>0</v>
      </c>
      <c r="BC354" s="325">
        <f t="shared" si="231"/>
        <v>0</v>
      </c>
      <c r="BD354" s="325">
        <f t="shared" si="231"/>
        <v>0</v>
      </c>
      <c r="BE354" s="325">
        <f t="shared" si="231"/>
        <v>0</v>
      </c>
      <c r="BF354" s="325">
        <f t="shared" si="231"/>
        <v>0</v>
      </c>
      <c r="BG354" s="325">
        <f t="shared" si="231"/>
        <v>0</v>
      </c>
      <c r="BH354" s="325">
        <f t="shared" si="231"/>
        <v>0</v>
      </c>
      <c r="BI354" s="325">
        <f t="shared" si="231"/>
        <v>0</v>
      </c>
      <c r="BJ354" s="325">
        <f t="shared" si="231"/>
        <v>0</v>
      </c>
      <c r="BK354" s="325">
        <f t="shared" si="231"/>
        <v>0</v>
      </c>
      <c r="BL354" s="325">
        <f t="shared" si="231"/>
        <v>0</v>
      </c>
      <c r="BM354" s="325">
        <f t="shared" si="231"/>
        <v>0</v>
      </c>
      <c r="BN354" s="326">
        <f t="shared" si="231"/>
        <v>0</v>
      </c>
      <c r="BP354" s="552" t="s">
        <v>1226</v>
      </c>
      <c r="BQ354" s="1482" t="s">
        <v>1978</v>
      </c>
      <c r="BR354" s="1483"/>
      <c r="BS354" s="1483"/>
      <c r="BT354" s="1483"/>
      <c r="BU354" s="1483"/>
      <c r="BV354" s="1483"/>
      <c r="BW354" s="1483"/>
      <c r="BX354" s="1483"/>
      <c r="BY354" s="1483"/>
      <c r="BZ354" s="1483"/>
      <c r="CA354" s="1483"/>
      <c r="CB354" s="1483"/>
      <c r="CC354" s="1483"/>
      <c r="CD354" s="1483"/>
      <c r="CE354" s="1483"/>
      <c r="CF354" s="1483"/>
      <c r="CG354" s="1484"/>
      <c r="CH354" s="554" t="s">
        <v>1822</v>
      </c>
      <c r="CI354" s="554" t="s">
        <v>1882</v>
      </c>
    </row>
    <row r="355" spans="32:87" ht="20.100000000000001" customHeight="1">
      <c r="AF355" s="311"/>
      <c r="AG355" s="285" t="s">
        <v>1463</v>
      </c>
      <c r="AH355" s="285"/>
      <c r="AI355" s="285"/>
      <c r="AJ355" s="285"/>
      <c r="AK355" s="338">
        <f>SUM(AK347:AK354)</f>
        <v>0</v>
      </c>
      <c r="AL355" s="327">
        <f>SUM(AL347:AL354)</f>
        <v>0</v>
      </c>
      <c r="AM355" s="327">
        <f t="shared" ref="AM355:BN355" si="232">SUM(AM347:AM354)</f>
        <v>0</v>
      </c>
      <c r="AN355" s="327">
        <f t="shared" si="232"/>
        <v>0</v>
      </c>
      <c r="AO355" s="327">
        <f t="shared" si="232"/>
        <v>0</v>
      </c>
      <c r="AP355" s="327">
        <f t="shared" si="232"/>
        <v>0</v>
      </c>
      <c r="AQ355" s="327">
        <f t="shared" si="232"/>
        <v>0</v>
      </c>
      <c r="AR355" s="327">
        <f t="shared" si="232"/>
        <v>0</v>
      </c>
      <c r="AS355" s="327">
        <f t="shared" si="232"/>
        <v>0</v>
      </c>
      <c r="AT355" s="327">
        <f t="shared" si="232"/>
        <v>0</v>
      </c>
      <c r="AU355" s="327">
        <f t="shared" si="232"/>
        <v>0</v>
      </c>
      <c r="AV355" s="327">
        <f t="shared" si="232"/>
        <v>0</v>
      </c>
      <c r="AW355" s="327">
        <f t="shared" si="232"/>
        <v>0</v>
      </c>
      <c r="AX355" s="327">
        <f t="shared" si="232"/>
        <v>0</v>
      </c>
      <c r="AY355" s="327">
        <f t="shared" si="232"/>
        <v>0</v>
      </c>
      <c r="AZ355" s="327">
        <f t="shared" si="232"/>
        <v>0</v>
      </c>
      <c r="BA355" s="327">
        <f t="shared" si="232"/>
        <v>0</v>
      </c>
      <c r="BB355" s="327">
        <f t="shared" si="232"/>
        <v>0</v>
      </c>
      <c r="BC355" s="327">
        <f t="shared" si="232"/>
        <v>0</v>
      </c>
      <c r="BD355" s="327">
        <f t="shared" si="232"/>
        <v>0</v>
      </c>
      <c r="BE355" s="327">
        <f t="shared" si="232"/>
        <v>0</v>
      </c>
      <c r="BF355" s="327">
        <f t="shared" si="232"/>
        <v>0</v>
      </c>
      <c r="BG355" s="327">
        <f t="shared" si="232"/>
        <v>0</v>
      </c>
      <c r="BH355" s="327">
        <f t="shared" si="232"/>
        <v>0</v>
      </c>
      <c r="BI355" s="327">
        <f t="shared" si="232"/>
        <v>0</v>
      </c>
      <c r="BJ355" s="327">
        <f t="shared" si="232"/>
        <v>0</v>
      </c>
      <c r="BK355" s="327">
        <f t="shared" si="232"/>
        <v>0</v>
      </c>
      <c r="BL355" s="327">
        <f t="shared" si="232"/>
        <v>0</v>
      </c>
      <c r="BM355" s="327">
        <f t="shared" si="232"/>
        <v>0</v>
      </c>
      <c r="BN355" s="327">
        <f t="shared" si="232"/>
        <v>0</v>
      </c>
    </row>
    <row r="357" spans="32:87" ht="20.100000000000001" customHeight="1">
      <c r="AF357" s="290" t="s">
        <v>1502</v>
      </c>
    </row>
    <row r="358" spans="32:87" ht="20.100000000000001" customHeight="1">
      <c r="AF358" s="291" t="s">
        <v>1466</v>
      </c>
      <c r="AG358" s="292" t="s">
        <v>1484</v>
      </c>
      <c r="AH358" s="292"/>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c r="BN358" s="294"/>
    </row>
    <row r="359" spans="32:87" ht="20.100000000000001" customHeight="1">
      <c r="AF359" s="295" t="s">
        <v>1478</v>
      </c>
      <c r="AG359" s="296" t="s">
        <v>1485</v>
      </c>
      <c r="AH359" s="297"/>
      <c r="AI359" s="296"/>
      <c r="AJ359" s="298"/>
      <c r="AK359" s="298"/>
      <c r="AL359" s="298"/>
      <c r="AM359" s="298"/>
      <c r="AN359" s="298"/>
      <c r="AO359" s="298"/>
      <c r="AP359" s="298"/>
      <c r="AQ359" s="298"/>
      <c r="AR359" s="298"/>
      <c r="AS359" s="298"/>
      <c r="AT359" s="298"/>
      <c r="AU359" s="298"/>
      <c r="AV359" s="298"/>
      <c r="AW359" s="298"/>
      <c r="AX359" s="298"/>
      <c r="AY359" s="298"/>
      <c r="AZ359" s="298"/>
      <c r="BA359" s="298"/>
      <c r="BB359" s="298"/>
      <c r="BC359" s="298"/>
      <c r="BD359" s="298"/>
      <c r="BE359" s="298"/>
      <c r="BF359" s="298"/>
      <c r="BG359" s="298"/>
      <c r="BH359" s="298"/>
      <c r="BI359" s="298"/>
      <c r="BJ359" s="298"/>
      <c r="BK359" s="298"/>
      <c r="BL359" s="298"/>
      <c r="BM359" s="298"/>
      <c r="BN359" s="299"/>
    </row>
    <row r="360" spans="32:87" ht="20.100000000000001" customHeight="1">
      <c r="AF360" s="295" t="s">
        <v>1479</v>
      </c>
      <c r="AG360" s="296" t="s">
        <v>1481</v>
      </c>
      <c r="AH360" s="297"/>
      <c r="AI360" s="296"/>
      <c r="AJ360" s="298"/>
      <c r="AK360" s="298"/>
      <c r="AL360" s="298"/>
      <c r="AM360" s="298"/>
      <c r="AN360" s="298"/>
      <c r="AO360" s="298"/>
      <c r="AP360" s="298"/>
      <c r="AQ360" s="298"/>
      <c r="AR360" s="298"/>
      <c r="AS360" s="298"/>
      <c r="AT360" s="298"/>
      <c r="AU360" s="298"/>
      <c r="AV360" s="298"/>
      <c r="AW360" s="298"/>
      <c r="AX360" s="298"/>
      <c r="AY360" s="298"/>
      <c r="AZ360" s="298"/>
      <c r="BA360" s="298"/>
      <c r="BB360" s="298"/>
      <c r="BC360" s="298"/>
      <c r="BD360" s="298"/>
      <c r="BE360" s="298"/>
      <c r="BF360" s="298"/>
      <c r="BG360" s="298"/>
      <c r="BH360" s="298"/>
      <c r="BI360" s="298"/>
      <c r="BJ360" s="298"/>
      <c r="BK360" s="298"/>
      <c r="BL360" s="298"/>
      <c r="BM360" s="298"/>
      <c r="BN360" s="299"/>
    </row>
    <row r="361" spans="32:87" ht="20.100000000000001" customHeight="1">
      <c r="AF361" s="295" t="s">
        <v>1482</v>
      </c>
      <c r="AG361" s="300" t="s">
        <v>1483</v>
      </c>
      <c r="AH361" s="297"/>
      <c r="AI361" s="296"/>
      <c r="AJ361" s="298"/>
      <c r="AK361" s="298"/>
      <c r="AL361" s="298"/>
      <c r="AM361" s="298"/>
      <c r="AN361" s="298"/>
      <c r="AO361" s="298"/>
      <c r="AP361" s="298"/>
      <c r="AQ361" s="298"/>
      <c r="AR361" s="298"/>
      <c r="AS361" s="298"/>
      <c r="AT361" s="298"/>
      <c r="AU361" s="298"/>
      <c r="AV361" s="298"/>
      <c r="AW361" s="298"/>
      <c r="AX361" s="298"/>
      <c r="AY361" s="298"/>
      <c r="AZ361" s="298"/>
      <c r="BA361" s="298"/>
      <c r="BB361" s="298"/>
      <c r="BC361" s="298"/>
      <c r="BD361" s="298"/>
      <c r="BE361" s="298"/>
      <c r="BF361" s="298"/>
      <c r="BG361" s="298"/>
      <c r="BH361" s="298"/>
      <c r="BI361" s="298"/>
      <c r="BJ361" s="298"/>
      <c r="BK361" s="298"/>
      <c r="BL361" s="298"/>
      <c r="BM361" s="298"/>
      <c r="BN361" s="299"/>
    </row>
    <row r="362" spans="32:87" ht="20.100000000000001" customHeight="1">
      <c r="AF362" s="295" t="s">
        <v>1469</v>
      </c>
      <c r="AG362" s="300" t="s">
        <v>1488</v>
      </c>
      <c r="AH362" s="297"/>
      <c r="AI362" s="296"/>
      <c r="AJ362" s="298"/>
      <c r="AK362" s="298"/>
      <c r="AL362" s="298"/>
      <c r="AM362" s="298"/>
      <c r="AN362" s="298"/>
      <c r="AO362" s="298"/>
      <c r="AP362" s="298"/>
      <c r="AQ362" s="298"/>
      <c r="AR362" s="298"/>
      <c r="AS362" s="298"/>
      <c r="AT362" s="298"/>
      <c r="AU362" s="298"/>
      <c r="AV362" s="298"/>
      <c r="AW362" s="298"/>
      <c r="AX362" s="298"/>
      <c r="AY362" s="298"/>
      <c r="AZ362" s="298"/>
      <c r="BA362" s="298"/>
      <c r="BB362" s="298"/>
      <c r="BC362" s="298"/>
      <c r="BD362" s="298"/>
      <c r="BE362" s="298"/>
      <c r="BF362" s="298"/>
      <c r="BG362" s="298"/>
      <c r="BH362" s="298"/>
      <c r="BI362" s="298"/>
      <c r="BJ362" s="298"/>
      <c r="BK362" s="298"/>
      <c r="BL362" s="298"/>
      <c r="BM362" s="298"/>
      <c r="BN362" s="299"/>
    </row>
    <row r="363" spans="32:87" ht="20.100000000000001" customHeight="1">
      <c r="AF363" s="301" t="s">
        <v>1470</v>
      </c>
      <c r="AG363" s="300" t="s">
        <v>1490</v>
      </c>
      <c r="AH363" s="297"/>
      <c r="AI363" s="296"/>
      <c r="AJ363" s="298"/>
      <c r="AK363" s="298"/>
      <c r="AL363" s="298"/>
      <c r="AM363" s="298"/>
      <c r="AN363" s="298"/>
      <c r="AO363" s="298"/>
      <c r="AP363" s="298"/>
      <c r="AQ363" s="298"/>
      <c r="AR363" s="298"/>
      <c r="AS363" s="298"/>
      <c r="AT363" s="298"/>
      <c r="AU363" s="298"/>
      <c r="AV363" s="298"/>
      <c r="AW363" s="298"/>
      <c r="AX363" s="298"/>
      <c r="AY363" s="298"/>
      <c r="AZ363" s="298"/>
      <c r="BA363" s="298"/>
      <c r="BB363" s="298"/>
      <c r="BC363" s="298"/>
      <c r="BD363" s="298"/>
      <c r="BE363" s="298"/>
      <c r="BF363" s="298"/>
      <c r="BG363" s="298"/>
      <c r="BH363" s="298"/>
      <c r="BI363" s="298"/>
      <c r="BJ363" s="298"/>
      <c r="BK363" s="298"/>
      <c r="BL363" s="298"/>
      <c r="BM363" s="298"/>
      <c r="BN363" s="299"/>
    </row>
    <row r="364" spans="32:87" ht="20.100000000000001" customHeight="1">
      <c r="AF364" s="301" t="s">
        <v>1489</v>
      </c>
      <c r="AG364" s="300" t="s">
        <v>1491</v>
      </c>
      <c r="AH364" s="297"/>
      <c r="AQ364" s="298"/>
      <c r="AR364" s="298"/>
      <c r="AS364" s="298"/>
      <c r="AT364" s="298"/>
      <c r="AU364" s="298"/>
      <c r="AV364" s="298"/>
      <c r="AW364" s="298"/>
      <c r="AX364" s="298"/>
      <c r="AY364" s="298"/>
      <c r="AZ364" s="298"/>
      <c r="BA364" s="298"/>
      <c r="BB364" s="298"/>
      <c r="BC364" s="298"/>
      <c r="BD364" s="298"/>
      <c r="BE364" s="298"/>
      <c r="BF364" s="298"/>
      <c r="BG364" s="298"/>
      <c r="BH364" s="298"/>
      <c r="BI364" s="298"/>
      <c r="BJ364" s="298"/>
      <c r="BK364" s="298"/>
      <c r="BL364" s="298"/>
      <c r="BM364" s="298"/>
      <c r="BN364" s="299"/>
    </row>
    <row r="365" spans="32:87" ht="20.100000000000001" customHeight="1">
      <c r="AF365" s="295" t="s">
        <v>1492</v>
      </c>
      <c r="AG365" s="312" t="s">
        <v>1493</v>
      </c>
      <c r="AH365" s="279"/>
      <c r="AI365" s="296"/>
      <c r="AJ365" s="298"/>
      <c r="AK365" s="298"/>
      <c r="AL365" s="298"/>
      <c r="AM365" s="298"/>
      <c r="AN365" s="298"/>
      <c r="AO365" s="298"/>
      <c r="AP365" s="298"/>
      <c r="AQ365" s="298"/>
      <c r="AR365" s="298"/>
      <c r="AS365" s="298"/>
      <c r="AT365" s="298"/>
      <c r="AU365" s="298"/>
      <c r="AV365" s="298"/>
      <c r="AW365" s="298"/>
      <c r="AX365" s="298"/>
      <c r="AY365" s="298"/>
      <c r="AZ365" s="298"/>
      <c r="BA365" s="298"/>
      <c r="BB365" s="298"/>
      <c r="BC365" s="298"/>
      <c r="BD365" s="298"/>
      <c r="BE365" s="298"/>
      <c r="BF365" s="298"/>
      <c r="BG365" s="298"/>
      <c r="BH365" s="298"/>
      <c r="BI365" s="298"/>
      <c r="BJ365" s="298"/>
      <c r="BK365" s="298"/>
      <c r="BL365" s="298"/>
      <c r="BM365" s="298"/>
      <c r="BN365" s="299"/>
    </row>
    <row r="366" spans="32:87" ht="20.100000000000001" customHeight="1">
      <c r="AF366" s="295" t="s">
        <v>1471</v>
      </c>
      <c r="AG366" s="300" t="s">
        <v>1472</v>
      </c>
      <c r="AH366" s="297"/>
      <c r="AI366" s="296"/>
      <c r="AJ366" s="298"/>
      <c r="AK366" s="298"/>
      <c r="AL366" s="298"/>
      <c r="AM366" s="298"/>
      <c r="AN366" s="298"/>
      <c r="AO366" s="298"/>
      <c r="AP366" s="298"/>
      <c r="AQ366" s="298"/>
      <c r="AR366" s="298"/>
      <c r="AS366" s="298"/>
      <c r="AT366" s="298"/>
      <c r="AU366" s="298"/>
      <c r="AV366" s="298"/>
      <c r="AW366" s="298"/>
      <c r="AX366" s="298"/>
      <c r="AY366" s="298"/>
      <c r="AZ366" s="298"/>
      <c r="BA366" s="298"/>
      <c r="BB366" s="298"/>
      <c r="BC366" s="298"/>
      <c r="BD366" s="298"/>
      <c r="BE366" s="298"/>
      <c r="BF366" s="298"/>
      <c r="BG366" s="298"/>
      <c r="BH366" s="298"/>
      <c r="BI366" s="298"/>
      <c r="BJ366" s="298"/>
      <c r="BK366" s="298"/>
      <c r="BL366" s="298"/>
      <c r="BM366" s="298"/>
      <c r="BN366" s="299"/>
    </row>
    <row r="367" spans="32:87" ht="20.100000000000001" customHeight="1">
      <c r="AF367" s="301"/>
      <c r="AG367" s="296"/>
      <c r="AH367" s="296"/>
      <c r="AI367" s="298"/>
      <c r="AJ367" s="298"/>
      <c r="AK367" s="298"/>
      <c r="AL367" s="298"/>
      <c r="AM367" s="298"/>
      <c r="AN367" s="298"/>
      <c r="AO367" s="298"/>
      <c r="AP367" s="298"/>
      <c r="AQ367" s="298"/>
      <c r="AR367" s="298"/>
      <c r="AS367" s="298"/>
      <c r="AT367" s="298"/>
      <c r="AU367" s="298"/>
      <c r="AV367" s="298"/>
      <c r="AW367" s="298"/>
      <c r="AX367" s="298"/>
      <c r="AY367" s="298"/>
      <c r="AZ367" s="298"/>
      <c r="BA367" s="298"/>
      <c r="BB367" s="298"/>
      <c r="BC367" s="298"/>
      <c r="BD367" s="298"/>
      <c r="BE367" s="298"/>
      <c r="BF367" s="298"/>
      <c r="BG367" s="298"/>
      <c r="BH367" s="298"/>
      <c r="BI367" s="298"/>
      <c r="BJ367" s="298"/>
      <c r="BK367" s="298"/>
      <c r="BL367" s="298"/>
      <c r="BM367" s="298"/>
      <c r="BN367" s="299"/>
    </row>
    <row r="368" spans="32:87" ht="20.100000000000001" customHeight="1">
      <c r="AF368" s="301" t="s">
        <v>1494</v>
      </c>
      <c r="AG368" s="296"/>
      <c r="AH368" s="296"/>
      <c r="AI368" s="298"/>
      <c r="AJ368" s="298"/>
      <c r="AK368" s="298"/>
      <c r="AL368" s="298"/>
      <c r="AM368" s="298"/>
      <c r="AN368" s="298"/>
      <c r="AO368" s="298"/>
      <c r="AP368" s="298"/>
      <c r="AQ368" s="298"/>
      <c r="AR368" s="298"/>
      <c r="AS368" s="298"/>
      <c r="AT368" s="298"/>
      <c r="AU368" s="298"/>
      <c r="AV368" s="298"/>
      <c r="AW368" s="298"/>
      <c r="AX368" s="298"/>
      <c r="AY368" s="298"/>
      <c r="AZ368" s="298"/>
      <c r="BA368" s="298"/>
      <c r="BB368" s="298"/>
      <c r="BC368" s="298"/>
      <c r="BD368" s="298"/>
      <c r="BE368" s="298"/>
      <c r="BF368" s="298"/>
      <c r="BG368" s="298"/>
      <c r="BH368" s="298"/>
      <c r="BI368" s="298"/>
      <c r="BJ368" s="298"/>
      <c r="BK368" s="298"/>
      <c r="BL368" s="298"/>
      <c r="BM368" s="298"/>
      <c r="BN368" s="299"/>
    </row>
    <row r="369" spans="32:66" ht="20.100000000000001" customHeight="1">
      <c r="AF369" s="301" t="s">
        <v>1475</v>
      </c>
      <c r="AG369" s="296"/>
      <c r="AH369" s="296"/>
      <c r="AI369" s="298"/>
      <c r="AJ369" s="298"/>
      <c r="AK369" s="298"/>
      <c r="AL369" s="298"/>
      <c r="AM369" s="298"/>
      <c r="AN369" s="298"/>
      <c r="AO369" s="298"/>
      <c r="AP369" s="298"/>
      <c r="AQ369" s="298"/>
      <c r="AR369" s="298"/>
      <c r="AS369" s="298"/>
      <c r="AT369" s="298"/>
      <c r="AU369" s="298"/>
      <c r="AV369" s="298"/>
      <c r="AW369" s="298"/>
      <c r="AX369" s="298"/>
      <c r="AY369" s="298"/>
      <c r="AZ369" s="298"/>
      <c r="BA369" s="298"/>
      <c r="BB369" s="298"/>
      <c r="BC369" s="298"/>
      <c r="BD369" s="298"/>
      <c r="BE369" s="298"/>
      <c r="BF369" s="298"/>
      <c r="BG369" s="298"/>
      <c r="BH369" s="298"/>
      <c r="BI369" s="298"/>
      <c r="BJ369" s="298"/>
      <c r="BK369" s="298"/>
      <c r="BL369" s="298"/>
      <c r="BM369" s="298"/>
      <c r="BN369" s="299"/>
    </row>
    <row r="370" spans="32:66" ht="20.100000000000001" customHeight="1">
      <c r="AF370" s="302" t="s">
        <v>1503</v>
      </c>
      <c r="AG370" s="305"/>
      <c r="AH370" s="305"/>
      <c r="AI370" s="303"/>
      <c r="AJ370" s="303"/>
      <c r="AK370" s="303"/>
      <c r="AL370" s="303"/>
      <c r="AM370" s="303"/>
      <c r="AN370" s="303"/>
      <c r="AO370" s="303"/>
      <c r="AP370" s="303"/>
      <c r="AQ370" s="303"/>
      <c r="AR370" s="303"/>
      <c r="AS370" s="303"/>
      <c r="AT370" s="303"/>
      <c r="AU370" s="303"/>
      <c r="AV370" s="303"/>
      <c r="AW370" s="303"/>
      <c r="AX370" s="303"/>
      <c r="AY370" s="303"/>
      <c r="AZ370" s="303"/>
      <c r="BA370" s="303"/>
      <c r="BB370" s="303"/>
      <c r="BC370" s="303"/>
      <c r="BD370" s="303"/>
      <c r="BE370" s="303"/>
      <c r="BF370" s="303"/>
      <c r="BG370" s="303"/>
      <c r="BH370" s="303"/>
      <c r="BI370" s="303"/>
      <c r="BJ370" s="303"/>
      <c r="BK370" s="303"/>
      <c r="BL370" s="303"/>
      <c r="BM370" s="303"/>
      <c r="BN370" s="304"/>
    </row>
    <row r="372" spans="32:66" ht="20.100000000000001" customHeight="1">
      <c r="AF372" s="290" t="s">
        <v>1499</v>
      </c>
      <c r="AG372" s="279"/>
      <c r="AH372" s="279"/>
      <c r="AI372" s="279"/>
      <c r="AJ372" s="279"/>
      <c r="AK372" s="279"/>
      <c r="AL372" s="279"/>
      <c r="AM372" s="279"/>
    </row>
    <row r="373" spans="32:66" ht="20.100000000000001" customHeight="1" thickBot="1">
      <c r="AF373" s="306" t="s">
        <v>1467</v>
      </c>
      <c r="AG373" s="307"/>
      <c r="AH373" s="307"/>
      <c r="AI373" s="314" t="s">
        <v>977</v>
      </c>
      <c r="AJ373" s="340" t="s">
        <v>1495</v>
      </c>
      <c r="AK373" s="341">
        <v>2021</v>
      </c>
      <c r="AL373" s="284">
        <v>2022</v>
      </c>
      <c r="AM373" s="284">
        <f>AL373+1</f>
        <v>2023</v>
      </c>
      <c r="AN373" s="284">
        <f t="shared" ref="AN373" si="233">AM373+1</f>
        <v>2024</v>
      </c>
      <c r="AO373" s="284">
        <f t="shared" ref="AO373" si="234">AN373+1</f>
        <v>2025</v>
      </c>
      <c r="AP373" s="284">
        <f t="shared" ref="AP373" si="235">AO373+1</f>
        <v>2026</v>
      </c>
      <c r="AQ373" s="284">
        <f t="shared" ref="AQ373" si="236">AP373+1</f>
        <v>2027</v>
      </c>
      <c r="AR373" s="284">
        <f t="shared" ref="AR373" si="237">AQ373+1</f>
        <v>2028</v>
      </c>
      <c r="AS373" s="284">
        <f t="shared" ref="AS373" si="238">AR373+1</f>
        <v>2029</v>
      </c>
      <c r="AT373" s="284">
        <f t="shared" ref="AT373" si="239">AS373+1</f>
        <v>2030</v>
      </c>
      <c r="AU373" s="284">
        <f t="shared" ref="AU373" si="240">AT373+1</f>
        <v>2031</v>
      </c>
      <c r="AV373" s="284">
        <f t="shared" ref="AV373" si="241">AU373+1</f>
        <v>2032</v>
      </c>
      <c r="AW373" s="284">
        <f t="shared" ref="AW373" si="242">AV373+1</f>
        <v>2033</v>
      </c>
      <c r="AX373" s="284">
        <f t="shared" ref="AX373" si="243">AW373+1</f>
        <v>2034</v>
      </c>
      <c r="AY373" s="284">
        <f t="shared" ref="AY373" si="244">AX373+1</f>
        <v>2035</v>
      </c>
      <c r="AZ373" s="284">
        <f t="shared" ref="AZ373" si="245">AY373+1</f>
        <v>2036</v>
      </c>
      <c r="BA373" s="284">
        <f t="shared" ref="BA373" si="246">AZ373+1</f>
        <v>2037</v>
      </c>
      <c r="BB373" s="284">
        <f t="shared" ref="BB373" si="247">BA373+1</f>
        <v>2038</v>
      </c>
      <c r="BC373" s="284">
        <f t="shared" ref="BC373" si="248">BB373+1</f>
        <v>2039</v>
      </c>
      <c r="BD373" s="284">
        <f t="shared" ref="BD373" si="249">BC373+1</f>
        <v>2040</v>
      </c>
      <c r="BE373" s="284">
        <f t="shared" ref="BE373" si="250">BD373+1</f>
        <v>2041</v>
      </c>
      <c r="BF373" s="284">
        <f t="shared" ref="BF373" si="251">BE373+1</f>
        <v>2042</v>
      </c>
      <c r="BG373" s="284">
        <f t="shared" ref="BG373" si="252">BF373+1</f>
        <v>2043</v>
      </c>
      <c r="BH373" s="284">
        <f t="shared" ref="BH373" si="253">BG373+1</f>
        <v>2044</v>
      </c>
      <c r="BI373" s="284">
        <f t="shared" ref="BI373" si="254">BH373+1</f>
        <v>2045</v>
      </c>
      <c r="BJ373" s="284">
        <f t="shared" ref="BJ373" si="255">BI373+1</f>
        <v>2046</v>
      </c>
      <c r="BK373" s="284">
        <f t="shared" ref="BK373" si="256">BJ373+1</f>
        <v>2047</v>
      </c>
      <c r="BL373" s="284">
        <f t="shared" ref="BL373" si="257">BK373+1</f>
        <v>2048</v>
      </c>
      <c r="BM373" s="284">
        <f t="shared" ref="BM373" si="258">BL373+1</f>
        <v>2049</v>
      </c>
      <c r="BN373" s="284">
        <f t="shared" ref="BN373" si="259">BM373+1</f>
        <v>2050</v>
      </c>
    </row>
    <row r="374" spans="32:66" ht="20.100000000000001" customHeight="1">
      <c r="AF374" s="1491" t="s">
        <v>1216</v>
      </c>
      <c r="AG374" s="286" t="s">
        <v>933</v>
      </c>
      <c r="AH374" s="286"/>
      <c r="AI374" s="286" t="s">
        <v>1496</v>
      </c>
      <c r="AJ374" s="313">
        <f>INDEX('DEFAULT DATA'!$XC$9:$XJ$41,START!$C$3,1)</f>
        <v>0</v>
      </c>
      <c r="AK374" s="343">
        <v>0</v>
      </c>
      <c r="AL374" s="328">
        <f t="shared" ref="AL374:BN374" si="260">IF(AND(AL$373&gt;($D$94+2020),AL$373&lt;($E$94+2022)),AK374+(AL$5*$AJ$374*((100-$F$94)/100)*ROUND(($C$94/100*$B$94)/($E$94-$D$94+1),0)/1000000),AK374)</f>
        <v>0</v>
      </c>
      <c r="AM374" s="328">
        <f t="shared" si="260"/>
        <v>0</v>
      </c>
      <c r="AN374" s="328">
        <f t="shared" si="260"/>
        <v>0</v>
      </c>
      <c r="AO374" s="328">
        <f t="shared" si="260"/>
        <v>0</v>
      </c>
      <c r="AP374" s="328">
        <f t="shared" si="260"/>
        <v>0</v>
      </c>
      <c r="AQ374" s="328">
        <f t="shared" si="260"/>
        <v>0</v>
      </c>
      <c r="AR374" s="328">
        <f t="shared" si="260"/>
        <v>0</v>
      </c>
      <c r="AS374" s="328">
        <f t="shared" si="260"/>
        <v>0</v>
      </c>
      <c r="AT374" s="328">
        <f t="shared" si="260"/>
        <v>0</v>
      </c>
      <c r="AU374" s="328">
        <f t="shared" si="260"/>
        <v>0</v>
      </c>
      <c r="AV374" s="328">
        <f t="shared" si="260"/>
        <v>0</v>
      </c>
      <c r="AW374" s="328">
        <f t="shared" si="260"/>
        <v>0</v>
      </c>
      <c r="AX374" s="328">
        <f t="shared" si="260"/>
        <v>0</v>
      </c>
      <c r="AY374" s="328">
        <f t="shared" si="260"/>
        <v>0</v>
      </c>
      <c r="AZ374" s="328">
        <f t="shared" si="260"/>
        <v>0</v>
      </c>
      <c r="BA374" s="328">
        <f t="shared" si="260"/>
        <v>0</v>
      </c>
      <c r="BB374" s="328">
        <f t="shared" si="260"/>
        <v>0</v>
      </c>
      <c r="BC374" s="328">
        <f t="shared" si="260"/>
        <v>0</v>
      </c>
      <c r="BD374" s="328">
        <f t="shared" si="260"/>
        <v>0</v>
      </c>
      <c r="BE374" s="328">
        <f t="shared" si="260"/>
        <v>0</v>
      </c>
      <c r="BF374" s="328">
        <f t="shared" si="260"/>
        <v>0</v>
      </c>
      <c r="BG374" s="328">
        <f t="shared" si="260"/>
        <v>0</v>
      </c>
      <c r="BH374" s="328">
        <f t="shared" si="260"/>
        <v>0</v>
      </c>
      <c r="BI374" s="328">
        <f t="shared" si="260"/>
        <v>0</v>
      </c>
      <c r="BJ374" s="328">
        <f t="shared" si="260"/>
        <v>0</v>
      </c>
      <c r="BK374" s="328">
        <f t="shared" si="260"/>
        <v>0</v>
      </c>
      <c r="BL374" s="328">
        <f t="shared" si="260"/>
        <v>0</v>
      </c>
      <c r="BM374" s="328">
        <f t="shared" si="260"/>
        <v>0</v>
      </c>
      <c r="BN374" s="329">
        <f t="shared" si="260"/>
        <v>0</v>
      </c>
    </row>
    <row r="375" spans="32:66" ht="20.100000000000001" customHeight="1">
      <c r="AF375" s="1492"/>
      <c r="AG375" s="251" t="s">
        <v>1220</v>
      </c>
      <c r="AH375" s="251"/>
      <c r="AI375" s="251">
        <f>INDEX('DEFAULT DATA'!$VE$9:$VK$41,START!$C$3,1)</f>
        <v>202</v>
      </c>
      <c r="AJ375" s="195">
        <f>INDEX('DEFAULT DATA'!$XC$9:$XJ$41,START!$C$3,2)</f>
        <v>0</v>
      </c>
      <c r="AK375" s="345">
        <v>0</v>
      </c>
      <c r="AL375" s="272">
        <f t="shared" ref="AL375:BN375" si="261">IF(AND(AL$373&gt;($D$94+2020),AL$373&lt;($E$94+2022)),AK375+($AI$375*$AJ$375*((100-$F$94)/100)*ROUND(($C$94/100*$B$94)/($E$94-$D$94+1),0)/1000000),AK375)</f>
        <v>0</v>
      </c>
      <c r="AM375" s="272">
        <f t="shared" si="261"/>
        <v>0</v>
      </c>
      <c r="AN375" s="272">
        <f t="shared" si="261"/>
        <v>0</v>
      </c>
      <c r="AO375" s="272">
        <f t="shared" si="261"/>
        <v>0</v>
      </c>
      <c r="AP375" s="272">
        <f t="shared" si="261"/>
        <v>0</v>
      </c>
      <c r="AQ375" s="272">
        <f t="shared" si="261"/>
        <v>0</v>
      </c>
      <c r="AR375" s="272">
        <f t="shared" si="261"/>
        <v>0</v>
      </c>
      <c r="AS375" s="272">
        <f t="shared" si="261"/>
        <v>0</v>
      </c>
      <c r="AT375" s="272">
        <f t="shared" si="261"/>
        <v>0</v>
      </c>
      <c r="AU375" s="272">
        <f t="shared" si="261"/>
        <v>0</v>
      </c>
      <c r="AV375" s="272">
        <f t="shared" si="261"/>
        <v>0</v>
      </c>
      <c r="AW375" s="272">
        <f t="shared" si="261"/>
        <v>0</v>
      </c>
      <c r="AX375" s="272">
        <f t="shared" si="261"/>
        <v>0</v>
      </c>
      <c r="AY375" s="272">
        <f t="shared" si="261"/>
        <v>0</v>
      </c>
      <c r="AZ375" s="272">
        <f t="shared" si="261"/>
        <v>0</v>
      </c>
      <c r="BA375" s="272">
        <f t="shared" si="261"/>
        <v>0</v>
      </c>
      <c r="BB375" s="272">
        <f t="shared" si="261"/>
        <v>0</v>
      </c>
      <c r="BC375" s="272">
        <f t="shared" si="261"/>
        <v>0</v>
      </c>
      <c r="BD375" s="272">
        <f t="shared" si="261"/>
        <v>0</v>
      </c>
      <c r="BE375" s="272">
        <f t="shared" si="261"/>
        <v>0</v>
      </c>
      <c r="BF375" s="272">
        <f t="shared" si="261"/>
        <v>0</v>
      </c>
      <c r="BG375" s="272">
        <f t="shared" si="261"/>
        <v>0</v>
      </c>
      <c r="BH375" s="272">
        <f t="shared" si="261"/>
        <v>0</v>
      </c>
      <c r="BI375" s="272">
        <f t="shared" si="261"/>
        <v>0</v>
      </c>
      <c r="BJ375" s="272">
        <f t="shared" si="261"/>
        <v>0</v>
      </c>
      <c r="BK375" s="272">
        <f t="shared" si="261"/>
        <v>0</v>
      </c>
      <c r="BL375" s="272">
        <f t="shared" si="261"/>
        <v>0</v>
      </c>
      <c r="BM375" s="272">
        <f t="shared" si="261"/>
        <v>0</v>
      </c>
      <c r="BN375" s="324">
        <f t="shared" si="261"/>
        <v>0</v>
      </c>
    </row>
    <row r="376" spans="32:66" ht="20.100000000000001" customHeight="1">
      <c r="AF376" s="1492"/>
      <c r="AG376" s="251" t="s">
        <v>1221</v>
      </c>
      <c r="AH376" s="251"/>
      <c r="AI376" s="251">
        <f>INDEX('DEFAULT DATA'!$VE$9:$VK$41,START!$C$3,2)</f>
        <v>279</v>
      </c>
      <c r="AJ376" s="195">
        <f>INDEX('DEFAULT DATA'!$XC$9:$XJ$41,START!$C$3,3)</f>
        <v>0</v>
      </c>
      <c r="AK376" s="345">
        <v>0</v>
      </c>
      <c r="AL376" s="272">
        <f t="shared" ref="AL376:BN376" si="262">IF(AND(AL$373&gt;($D$94+2020),AL$373&lt;($E$94+2022)),AK376+($AI$376*$AJ$376*((100-$F$94)/100)*ROUND(($C$94/100*$B$94)/($E$94-$D$94+1),0)/1000000),AK376)</f>
        <v>0</v>
      </c>
      <c r="AM376" s="272">
        <f t="shared" si="262"/>
        <v>0</v>
      </c>
      <c r="AN376" s="272">
        <f t="shared" si="262"/>
        <v>0</v>
      </c>
      <c r="AO376" s="272">
        <f t="shared" si="262"/>
        <v>0</v>
      </c>
      <c r="AP376" s="272">
        <f t="shared" si="262"/>
        <v>0</v>
      </c>
      <c r="AQ376" s="272">
        <f t="shared" si="262"/>
        <v>0</v>
      </c>
      <c r="AR376" s="272">
        <f t="shared" si="262"/>
        <v>0</v>
      </c>
      <c r="AS376" s="272">
        <f t="shared" si="262"/>
        <v>0</v>
      </c>
      <c r="AT376" s="272">
        <f t="shared" si="262"/>
        <v>0</v>
      </c>
      <c r="AU376" s="272">
        <f t="shared" si="262"/>
        <v>0</v>
      </c>
      <c r="AV376" s="272">
        <f t="shared" si="262"/>
        <v>0</v>
      </c>
      <c r="AW376" s="272">
        <f t="shared" si="262"/>
        <v>0</v>
      </c>
      <c r="AX376" s="272">
        <f t="shared" si="262"/>
        <v>0</v>
      </c>
      <c r="AY376" s="272">
        <f t="shared" si="262"/>
        <v>0</v>
      </c>
      <c r="AZ376" s="272">
        <f t="shared" si="262"/>
        <v>0</v>
      </c>
      <c r="BA376" s="272">
        <f t="shared" si="262"/>
        <v>0</v>
      </c>
      <c r="BB376" s="272">
        <f t="shared" si="262"/>
        <v>0</v>
      </c>
      <c r="BC376" s="272">
        <f t="shared" si="262"/>
        <v>0</v>
      </c>
      <c r="BD376" s="272">
        <f t="shared" si="262"/>
        <v>0</v>
      </c>
      <c r="BE376" s="272">
        <f t="shared" si="262"/>
        <v>0</v>
      </c>
      <c r="BF376" s="272">
        <f t="shared" si="262"/>
        <v>0</v>
      </c>
      <c r="BG376" s="272">
        <f t="shared" si="262"/>
        <v>0</v>
      </c>
      <c r="BH376" s="272">
        <f t="shared" si="262"/>
        <v>0</v>
      </c>
      <c r="BI376" s="272">
        <f t="shared" si="262"/>
        <v>0</v>
      </c>
      <c r="BJ376" s="272">
        <f t="shared" si="262"/>
        <v>0</v>
      </c>
      <c r="BK376" s="272">
        <f t="shared" si="262"/>
        <v>0</v>
      </c>
      <c r="BL376" s="272">
        <f t="shared" si="262"/>
        <v>0</v>
      </c>
      <c r="BM376" s="272">
        <f t="shared" si="262"/>
        <v>0</v>
      </c>
      <c r="BN376" s="324">
        <f t="shared" si="262"/>
        <v>0</v>
      </c>
    </row>
    <row r="377" spans="32:66" ht="20.100000000000001" customHeight="1">
      <c r="AF377" s="1492"/>
      <c r="AG377" s="251" t="s">
        <v>1222</v>
      </c>
      <c r="AH377" s="251"/>
      <c r="AI377" s="251">
        <f>INDEX('DEFAULT DATA'!$VE$9:$VK$41,START!$C$3,3)</f>
        <v>354</v>
      </c>
      <c r="AJ377" s="195">
        <f>INDEX('DEFAULT DATA'!$XC$9:$XJ$41,START!$C$3,4)</f>
        <v>0</v>
      </c>
      <c r="AK377" s="345">
        <v>0</v>
      </c>
      <c r="AL377" s="272">
        <f t="shared" ref="AL377:BN377" si="263">IF(AND(AL$373&gt;($D$94+2020),AL$373&lt;($E$94+2022)),AK377+($AI$377*$AJ$377*((100-$F$94)/100)*ROUND(($C$94/100*$B$94)/($E$94-$D$94+1),0)/1000000),AK377)</f>
        <v>0</v>
      </c>
      <c r="AM377" s="272">
        <f t="shared" si="263"/>
        <v>0</v>
      </c>
      <c r="AN377" s="272">
        <f t="shared" si="263"/>
        <v>0</v>
      </c>
      <c r="AO377" s="272">
        <f t="shared" si="263"/>
        <v>0</v>
      </c>
      <c r="AP377" s="272">
        <f t="shared" si="263"/>
        <v>0</v>
      </c>
      <c r="AQ377" s="272">
        <f t="shared" si="263"/>
        <v>0</v>
      </c>
      <c r="AR377" s="272">
        <f t="shared" si="263"/>
        <v>0</v>
      </c>
      <c r="AS377" s="272">
        <f t="shared" si="263"/>
        <v>0</v>
      </c>
      <c r="AT377" s="272">
        <f t="shared" si="263"/>
        <v>0</v>
      </c>
      <c r="AU377" s="272">
        <f t="shared" si="263"/>
        <v>0</v>
      </c>
      <c r="AV377" s="272">
        <f t="shared" si="263"/>
        <v>0</v>
      </c>
      <c r="AW377" s="272">
        <f t="shared" si="263"/>
        <v>0</v>
      </c>
      <c r="AX377" s="272">
        <f t="shared" si="263"/>
        <v>0</v>
      </c>
      <c r="AY377" s="272">
        <f t="shared" si="263"/>
        <v>0</v>
      </c>
      <c r="AZ377" s="272">
        <f t="shared" si="263"/>
        <v>0</v>
      </c>
      <c r="BA377" s="272">
        <f t="shared" si="263"/>
        <v>0</v>
      </c>
      <c r="BB377" s="272">
        <f t="shared" si="263"/>
        <v>0</v>
      </c>
      <c r="BC377" s="272">
        <f t="shared" si="263"/>
        <v>0</v>
      </c>
      <c r="BD377" s="272">
        <f t="shared" si="263"/>
        <v>0</v>
      </c>
      <c r="BE377" s="272">
        <f t="shared" si="263"/>
        <v>0</v>
      </c>
      <c r="BF377" s="272">
        <f t="shared" si="263"/>
        <v>0</v>
      </c>
      <c r="BG377" s="272">
        <f t="shared" si="263"/>
        <v>0</v>
      </c>
      <c r="BH377" s="272">
        <f t="shared" si="263"/>
        <v>0</v>
      </c>
      <c r="BI377" s="272">
        <f t="shared" si="263"/>
        <v>0</v>
      </c>
      <c r="BJ377" s="272">
        <f t="shared" si="263"/>
        <v>0</v>
      </c>
      <c r="BK377" s="272">
        <f t="shared" si="263"/>
        <v>0</v>
      </c>
      <c r="BL377" s="272">
        <f t="shared" si="263"/>
        <v>0</v>
      </c>
      <c r="BM377" s="272">
        <f t="shared" si="263"/>
        <v>0</v>
      </c>
      <c r="BN377" s="324">
        <f t="shared" si="263"/>
        <v>0</v>
      </c>
    </row>
    <row r="378" spans="32:66" ht="20.100000000000001" customHeight="1">
      <c r="AF378" s="1492"/>
      <c r="AG378" s="251" t="s">
        <v>1223</v>
      </c>
      <c r="AH378" s="251"/>
      <c r="AI378" s="251">
        <f>INDEX('DEFAULT DATA'!$VE$9:$VK$41,START!$C$3,4)</f>
        <v>0</v>
      </c>
      <c r="AJ378" s="195">
        <f>INDEX('DEFAULT DATA'!$XC$9:$XJ$41,START!$C$3,5)</f>
        <v>0</v>
      </c>
      <c r="AK378" s="345">
        <v>0</v>
      </c>
      <c r="AL378" s="272">
        <f t="shared" ref="AL378:BN378" si="264">IF(AND(AL$373&gt;($D$94+2020),AL$373&lt;($E$94+2022)),AK378+($AI$378*$AJ$378*((100-$F$94)/100)*ROUND(($C$94/100*$B$94)/($E$94-$D$94+1),0)/1000000),AK378)</f>
        <v>0</v>
      </c>
      <c r="AM378" s="272">
        <f t="shared" si="264"/>
        <v>0</v>
      </c>
      <c r="AN378" s="272">
        <f t="shared" si="264"/>
        <v>0</v>
      </c>
      <c r="AO378" s="272">
        <f t="shared" si="264"/>
        <v>0</v>
      </c>
      <c r="AP378" s="272">
        <f t="shared" si="264"/>
        <v>0</v>
      </c>
      <c r="AQ378" s="272">
        <f t="shared" si="264"/>
        <v>0</v>
      </c>
      <c r="AR378" s="272">
        <f t="shared" si="264"/>
        <v>0</v>
      </c>
      <c r="AS378" s="272">
        <f t="shared" si="264"/>
        <v>0</v>
      </c>
      <c r="AT378" s="272">
        <f t="shared" si="264"/>
        <v>0</v>
      </c>
      <c r="AU378" s="272">
        <f t="shared" si="264"/>
        <v>0</v>
      </c>
      <c r="AV378" s="272">
        <f t="shared" si="264"/>
        <v>0</v>
      </c>
      <c r="AW378" s="272">
        <f t="shared" si="264"/>
        <v>0</v>
      </c>
      <c r="AX378" s="272">
        <f t="shared" si="264"/>
        <v>0</v>
      </c>
      <c r="AY378" s="272">
        <f t="shared" si="264"/>
        <v>0</v>
      </c>
      <c r="AZ378" s="272">
        <f t="shared" si="264"/>
        <v>0</v>
      </c>
      <c r="BA378" s="272">
        <f t="shared" si="264"/>
        <v>0</v>
      </c>
      <c r="BB378" s="272">
        <f t="shared" si="264"/>
        <v>0</v>
      </c>
      <c r="BC378" s="272">
        <f t="shared" si="264"/>
        <v>0</v>
      </c>
      <c r="BD378" s="272">
        <f t="shared" si="264"/>
        <v>0</v>
      </c>
      <c r="BE378" s="272">
        <f t="shared" si="264"/>
        <v>0</v>
      </c>
      <c r="BF378" s="272">
        <f t="shared" si="264"/>
        <v>0</v>
      </c>
      <c r="BG378" s="272">
        <f t="shared" si="264"/>
        <v>0</v>
      </c>
      <c r="BH378" s="272">
        <f t="shared" si="264"/>
        <v>0</v>
      </c>
      <c r="BI378" s="272">
        <f t="shared" si="264"/>
        <v>0</v>
      </c>
      <c r="BJ378" s="272">
        <f t="shared" si="264"/>
        <v>0</v>
      </c>
      <c r="BK378" s="272">
        <f t="shared" si="264"/>
        <v>0</v>
      </c>
      <c r="BL378" s="272">
        <f t="shared" si="264"/>
        <v>0</v>
      </c>
      <c r="BM378" s="272">
        <f t="shared" si="264"/>
        <v>0</v>
      </c>
      <c r="BN378" s="324">
        <f t="shared" si="264"/>
        <v>0</v>
      </c>
    </row>
    <row r="379" spans="32:66" ht="20.100000000000001" customHeight="1">
      <c r="AF379" s="1492"/>
      <c r="AG379" s="251" t="s">
        <v>1224</v>
      </c>
      <c r="AH379" s="251"/>
      <c r="AI379" s="251">
        <f>INDEX('DEFAULT DATA'!$VE$9:$VK$41,START!$C$3,5)</f>
        <v>403</v>
      </c>
      <c r="AJ379" s="195">
        <f>INDEX('DEFAULT DATA'!$XC$9:$XJ$41,START!$C$3,6)</f>
        <v>0</v>
      </c>
      <c r="AK379" s="345">
        <v>0</v>
      </c>
      <c r="AL379" s="272">
        <f t="shared" ref="AL379:BN379" si="265">IF(AND(AL$373&gt;($D$94+2020),AL$373&lt;($E$94+2022)),AK379+($AI$379*$AJ$379*((100-$F$94)/100)*ROUND(($C$94/100*$B$94)/($E$94-$D$94+1),0)/1000000),AK379)</f>
        <v>0</v>
      </c>
      <c r="AM379" s="272">
        <f t="shared" si="265"/>
        <v>0</v>
      </c>
      <c r="AN379" s="272">
        <f t="shared" si="265"/>
        <v>0</v>
      </c>
      <c r="AO379" s="272">
        <f t="shared" si="265"/>
        <v>0</v>
      </c>
      <c r="AP379" s="272">
        <f t="shared" si="265"/>
        <v>0</v>
      </c>
      <c r="AQ379" s="272">
        <f t="shared" si="265"/>
        <v>0</v>
      </c>
      <c r="AR379" s="272">
        <f t="shared" si="265"/>
        <v>0</v>
      </c>
      <c r="AS379" s="272">
        <f t="shared" si="265"/>
        <v>0</v>
      </c>
      <c r="AT379" s="272">
        <f t="shared" si="265"/>
        <v>0</v>
      </c>
      <c r="AU379" s="272">
        <f t="shared" si="265"/>
        <v>0</v>
      </c>
      <c r="AV379" s="272">
        <f t="shared" si="265"/>
        <v>0</v>
      </c>
      <c r="AW379" s="272">
        <f t="shared" si="265"/>
        <v>0</v>
      </c>
      <c r="AX379" s="272">
        <f t="shared" si="265"/>
        <v>0</v>
      </c>
      <c r="AY379" s="272">
        <f t="shared" si="265"/>
        <v>0</v>
      </c>
      <c r="AZ379" s="272">
        <f t="shared" si="265"/>
        <v>0</v>
      </c>
      <c r="BA379" s="272">
        <f t="shared" si="265"/>
        <v>0</v>
      </c>
      <c r="BB379" s="272">
        <f t="shared" si="265"/>
        <v>0</v>
      </c>
      <c r="BC379" s="272">
        <f t="shared" si="265"/>
        <v>0</v>
      </c>
      <c r="BD379" s="272">
        <f t="shared" si="265"/>
        <v>0</v>
      </c>
      <c r="BE379" s="272">
        <f t="shared" si="265"/>
        <v>0</v>
      </c>
      <c r="BF379" s="272">
        <f t="shared" si="265"/>
        <v>0</v>
      </c>
      <c r="BG379" s="272">
        <f t="shared" si="265"/>
        <v>0</v>
      </c>
      <c r="BH379" s="272">
        <f t="shared" si="265"/>
        <v>0</v>
      </c>
      <c r="BI379" s="272">
        <f t="shared" si="265"/>
        <v>0</v>
      </c>
      <c r="BJ379" s="272">
        <f t="shared" si="265"/>
        <v>0</v>
      </c>
      <c r="BK379" s="272">
        <f t="shared" si="265"/>
        <v>0</v>
      </c>
      <c r="BL379" s="272">
        <f t="shared" si="265"/>
        <v>0</v>
      </c>
      <c r="BM379" s="272">
        <f t="shared" si="265"/>
        <v>0</v>
      </c>
      <c r="BN379" s="324">
        <f t="shared" si="265"/>
        <v>0</v>
      </c>
    </row>
    <row r="380" spans="32:66" ht="20.100000000000001" customHeight="1">
      <c r="AF380" s="1492"/>
      <c r="AG380" s="251" t="s">
        <v>1225</v>
      </c>
      <c r="AH380" s="251"/>
      <c r="AI380" s="251">
        <f>INDEX('DEFAULT DATA'!$VE$9:$VK$41,START!$C$3,6)</f>
        <v>0</v>
      </c>
      <c r="AJ380" s="195">
        <f>INDEX('DEFAULT DATA'!$XC$9:$XJ$41,START!$C$3,7)</f>
        <v>0</v>
      </c>
      <c r="AK380" s="345">
        <v>0</v>
      </c>
      <c r="AL380" s="272">
        <f t="shared" ref="AL380:BN380" si="266">IF(AND(AL$373&gt;($D$94+2020),AL$373&lt;($E$94+2022)),AK380+($AI$380*$AJ$380*((100-$F$94)/100)*ROUND(($C$94/100*$B$94)/($E$94-$D$94+1),0)/1000000),AK380)</f>
        <v>0</v>
      </c>
      <c r="AM380" s="272">
        <f t="shared" si="266"/>
        <v>0</v>
      </c>
      <c r="AN380" s="272">
        <f t="shared" si="266"/>
        <v>0</v>
      </c>
      <c r="AO380" s="272">
        <f t="shared" si="266"/>
        <v>0</v>
      </c>
      <c r="AP380" s="272">
        <f t="shared" si="266"/>
        <v>0</v>
      </c>
      <c r="AQ380" s="272">
        <f t="shared" si="266"/>
        <v>0</v>
      </c>
      <c r="AR380" s="272">
        <f t="shared" si="266"/>
        <v>0</v>
      </c>
      <c r="AS380" s="272">
        <f t="shared" si="266"/>
        <v>0</v>
      </c>
      <c r="AT380" s="272">
        <f t="shared" si="266"/>
        <v>0</v>
      </c>
      <c r="AU380" s="272">
        <f t="shared" si="266"/>
        <v>0</v>
      </c>
      <c r="AV380" s="272">
        <f t="shared" si="266"/>
        <v>0</v>
      </c>
      <c r="AW380" s="272">
        <f t="shared" si="266"/>
        <v>0</v>
      </c>
      <c r="AX380" s="272">
        <f t="shared" si="266"/>
        <v>0</v>
      </c>
      <c r="AY380" s="272">
        <f t="shared" si="266"/>
        <v>0</v>
      </c>
      <c r="AZ380" s="272">
        <f t="shared" si="266"/>
        <v>0</v>
      </c>
      <c r="BA380" s="272">
        <f t="shared" si="266"/>
        <v>0</v>
      </c>
      <c r="BB380" s="272">
        <f t="shared" si="266"/>
        <v>0</v>
      </c>
      <c r="BC380" s="272">
        <f t="shared" si="266"/>
        <v>0</v>
      </c>
      <c r="BD380" s="272">
        <f t="shared" si="266"/>
        <v>0</v>
      </c>
      <c r="BE380" s="272">
        <f t="shared" si="266"/>
        <v>0</v>
      </c>
      <c r="BF380" s="272">
        <f t="shared" si="266"/>
        <v>0</v>
      </c>
      <c r="BG380" s="272">
        <f t="shared" si="266"/>
        <v>0</v>
      </c>
      <c r="BH380" s="272">
        <f t="shared" si="266"/>
        <v>0</v>
      </c>
      <c r="BI380" s="272">
        <f t="shared" si="266"/>
        <v>0</v>
      </c>
      <c r="BJ380" s="272">
        <f t="shared" si="266"/>
        <v>0</v>
      </c>
      <c r="BK380" s="272">
        <f t="shared" si="266"/>
        <v>0</v>
      </c>
      <c r="BL380" s="272">
        <f t="shared" si="266"/>
        <v>0</v>
      </c>
      <c r="BM380" s="272">
        <f t="shared" si="266"/>
        <v>0</v>
      </c>
      <c r="BN380" s="324">
        <f t="shared" si="266"/>
        <v>0</v>
      </c>
    </row>
    <row r="381" spans="32:66" ht="20.100000000000001" customHeight="1" thickBot="1">
      <c r="AF381" s="1493"/>
      <c r="AG381" s="310" t="s">
        <v>1226</v>
      </c>
      <c r="AH381" s="310"/>
      <c r="AI381" s="310" t="s">
        <v>1497</v>
      </c>
      <c r="AJ381" s="260">
        <f>INDEX('DEFAULT DATA'!$XC$9:$XJ$41,START!$C$3,8)</f>
        <v>0</v>
      </c>
      <c r="AK381" s="344">
        <v>0</v>
      </c>
      <c r="AL381" s="325">
        <f t="shared" ref="AL381:BN381" si="267">IF(AND(AL$373&gt;($D$94+2020),AL$373&lt;($E$94+2022)),AK381+(AL$6*$AJ$381*((100-$F$94)/100)*ROUND(($C$94/100*$B$94)/($E$94-$D$94+1),0)/1000000),AK381)</f>
        <v>0</v>
      </c>
      <c r="AM381" s="325">
        <f t="shared" si="267"/>
        <v>0</v>
      </c>
      <c r="AN381" s="325">
        <f t="shared" si="267"/>
        <v>0</v>
      </c>
      <c r="AO381" s="325">
        <f t="shared" si="267"/>
        <v>0</v>
      </c>
      <c r="AP381" s="325">
        <f t="shared" si="267"/>
        <v>0</v>
      </c>
      <c r="AQ381" s="325">
        <f t="shared" si="267"/>
        <v>0</v>
      </c>
      <c r="AR381" s="325">
        <f t="shared" si="267"/>
        <v>0</v>
      </c>
      <c r="AS381" s="325">
        <f t="shared" si="267"/>
        <v>0</v>
      </c>
      <c r="AT381" s="325">
        <f t="shared" si="267"/>
        <v>0</v>
      </c>
      <c r="AU381" s="325">
        <f t="shared" si="267"/>
        <v>0</v>
      </c>
      <c r="AV381" s="325">
        <f t="shared" si="267"/>
        <v>0</v>
      </c>
      <c r="AW381" s="325">
        <f t="shared" si="267"/>
        <v>0</v>
      </c>
      <c r="AX381" s="325">
        <f t="shared" si="267"/>
        <v>0</v>
      </c>
      <c r="AY381" s="325">
        <f t="shared" si="267"/>
        <v>0</v>
      </c>
      <c r="AZ381" s="325">
        <f t="shared" si="267"/>
        <v>0</v>
      </c>
      <c r="BA381" s="325">
        <f t="shared" si="267"/>
        <v>0</v>
      </c>
      <c r="BB381" s="325">
        <f t="shared" si="267"/>
        <v>0</v>
      </c>
      <c r="BC381" s="325">
        <f t="shared" si="267"/>
        <v>0</v>
      </c>
      <c r="BD381" s="325">
        <f t="shared" si="267"/>
        <v>0</v>
      </c>
      <c r="BE381" s="325">
        <f t="shared" si="267"/>
        <v>0</v>
      </c>
      <c r="BF381" s="325">
        <f t="shared" si="267"/>
        <v>0</v>
      </c>
      <c r="BG381" s="325">
        <f t="shared" si="267"/>
        <v>0</v>
      </c>
      <c r="BH381" s="325">
        <f t="shared" si="267"/>
        <v>0</v>
      </c>
      <c r="BI381" s="325">
        <f t="shared" si="267"/>
        <v>0</v>
      </c>
      <c r="BJ381" s="325">
        <f t="shared" si="267"/>
        <v>0</v>
      </c>
      <c r="BK381" s="325">
        <f t="shared" si="267"/>
        <v>0</v>
      </c>
      <c r="BL381" s="325">
        <f t="shared" si="267"/>
        <v>0</v>
      </c>
      <c r="BM381" s="325">
        <f t="shared" si="267"/>
        <v>0</v>
      </c>
      <c r="BN381" s="326">
        <f t="shared" si="267"/>
        <v>0</v>
      </c>
    </row>
    <row r="382" spans="32:66" ht="20.100000000000001" customHeight="1">
      <c r="AF382" s="332"/>
      <c r="AG382" s="308" t="s">
        <v>1454</v>
      </c>
      <c r="AH382" s="308"/>
      <c r="AI382" s="309"/>
      <c r="AJ382" s="309"/>
      <c r="AK382" s="342">
        <v>0</v>
      </c>
      <c r="AL382" s="327">
        <f>SUM(AL374:AL381)</f>
        <v>0</v>
      </c>
      <c r="AM382" s="327">
        <f t="shared" ref="AM382" si="268">SUM(AM374:AM381)</f>
        <v>0</v>
      </c>
      <c r="AN382" s="327">
        <f t="shared" ref="AN382" si="269">SUM(AN374:AN381)</f>
        <v>0</v>
      </c>
      <c r="AO382" s="327">
        <f t="shared" ref="AO382" si="270">SUM(AO374:AO381)</f>
        <v>0</v>
      </c>
      <c r="AP382" s="327">
        <f t="shared" ref="AP382" si="271">SUM(AP374:AP381)</f>
        <v>0</v>
      </c>
      <c r="AQ382" s="327">
        <f t="shared" ref="AQ382" si="272">SUM(AQ374:AQ381)</f>
        <v>0</v>
      </c>
      <c r="AR382" s="327">
        <f t="shared" ref="AR382" si="273">SUM(AR374:AR381)</f>
        <v>0</v>
      </c>
      <c r="AS382" s="327">
        <f t="shared" ref="AS382" si="274">SUM(AS374:AS381)</f>
        <v>0</v>
      </c>
      <c r="AT382" s="327">
        <f t="shared" ref="AT382" si="275">SUM(AT374:AT381)</f>
        <v>0</v>
      </c>
      <c r="AU382" s="327">
        <f t="shared" ref="AU382" si="276">SUM(AU374:AU381)</f>
        <v>0</v>
      </c>
      <c r="AV382" s="327">
        <f t="shared" ref="AV382" si="277">SUM(AV374:AV381)</f>
        <v>0</v>
      </c>
      <c r="AW382" s="327">
        <f t="shared" ref="AW382" si="278">SUM(AW374:AW381)</f>
        <v>0</v>
      </c>
      <c r="AX382" s="327">
        <f t="shared" ref="AX382" si="279">SUM(AX374:AX381)</f>
        <v>0</v>
      </c>
      <c r="AY382" s="327">
        <f t="shared" ref="AY382" si="280">SUM(AY374:AY381)</f>
        <v>0</v>
      </c>
      <c r="AZ382" s="327">
        <f t="shared" ref="AZ382" si="281">SUM(AZ374:AZ381)</f>
        <v>0</v>
      </c>
      <c r="BA382" s="327">
        <f t="shared" ref="BA382" si="282">SUM(BA374:BA381)</f>
        <v>0</v>
      </c>
      <c r="BB382" s="327">
        <f t="shared" ref="BB382" si="283">SUM(BB374:BB381)</f>
        <v>0</v>
      </c>
      <c r="BC382" s="327">
        <f t="shared" ref="BC382" si="284">SUM(BC374:BC381)</f>
        <v>0</v>
      </c>
      <c r="BD382" s="327">
        <f t="shared" ref="BD382" si="285">SUM(BD374:BD381)</f>
        <v>0</v>
      </c>
      <c r="BE382" s="327">
        <f t="shared" ref="BE382" si="286">SUM(BE374:BE381)</f>
        <v>0</v>
      </c>
      <c r="BF382" s="327">
        <f t="shared" ref="BF382" si="287">SUM(BF374:BF381)</f>
        <v>0</v>
      </c>
      <c r="BG382" s="327">
        <f t="shared" ref="BG382" si="288">SUM(BG374:BG381)</f>
        <v>0</v>
      </c>
      <c r="BH382" s="327">
        <f t="shared" ref="BH382" si="289">SUM(BH374:BH381)</f>
        <v>0</v>
      </c>
      <c r="BI382" s="327">
        <f t="shared" ref="BI382" si="290">SUM(BI374:BI381)</f>
        <v>0</v>
      </c>
      <c r="BJ382" s="327">
        <f t="shared" ref="BJ382" si="291">SUM(BJ374:BJ381)</f>
        <v>0</v>
      </c>
      <c r="BK382" s="327">
        <f t="shared" ref="BK382" si="292">SUM(BK374:BK381)</f>
        <v>0</v>
      </c>
      <c r="BL382" s="327">
        <f t="shared" ref="BL382" si="293">SUM(BL374:BL381)</f>
        <v>0</v>
      </c>
      <c r="BM382" s="327">
        <f t="shared" ref="BM382" si="294">SUM(BM374:BM381)</f>
        <v>0</v>
      </c>
      <c r="BN382" s="327">
        <f t="shared" ref="BN382" si="295">SUM(BN374:BN381)</f>
        <v>0</v>
      </c>
    </row>
    <row r="383" spans="32:66" ht="20.100000000000001" customHeight="1" thickBot="1"/>
    <row r="384" spans="32:66" ht="20.100000000000001" customHeight="1">
      <c r="AF384" s="1504" t="s">
        <v>1219</v>
      </c>
      <c r="AG384" s="286" t="s">
        <v>933</v>
      </c>
      <c r="AH384" s="286"/>
      <c r="AI384" s="286" t="s">
        <v>1496</v>
      </c>
      <c r="AJ384" s="313">
        <f>INDEX('DEFAULT DATA'!$XK$9:$XR$41,START!$C$3,1)</f>
        <v>1891.6286897665766</v>
      </c>
      <c r="AK384" s="343">
        <v>0</v>
      </c>
      <c r="AL384" s="328">
        <f t="shared" ref="AL384:BN384" si="296">IF(AND(AL$373&gt;($D$95+2020),AL$373&lt;($E$95+2022)),AK384+(AL$5*$AJ$384*((100-$F$95)/100)*ROUND(($C$95/100*$B$95)/($E$95-$D$95+1),0)/1000000),AK384)</f>
        <v>0</v>
      </c>
      <c r="AM384" s="328">
        <f t="shared" si="296"/>
        <v>0</v>
      </c>
      <c r="AN384" s="328">
        <f t="shared" si="296"/>
        <v>0</v>
      </c>
      <c r="AO384" s="328">
        <f t="shared" si="296"/>
        <v>0</v>
      </c>
      <c r="AP384" s="328">
        <f t="shared" si="296"/>
        <v>0</v>
      </c>
      <c r="AQ384" s="328">
        <f t="shared" si="296"/>
        <v>0</v>
      </c>
      <c r="AR384" s="328">
        <f t="shared" si="296"/>
        <v>0</v>
      </c>
      <c r="AS384" s="328">
        <f t="shared" si="296"/>
        <v>0</v>
      </c>
      <c r="AT384" s="328">
        <f t="shared" si="296"/>
        <v>0</v>
      </c>
      <c r="AU384" s="328">
        <f t="shared" si="296"/>
        <v>0</v>
      </c>
      <c r="AV384" s="328">
        <f t="shared" si="296"/>
        <v>0</v>
      </c>
      <c r="AW384" s="328">
        <f t="shared" si="296"/>
        <v>0</v>
      </c>
      <c r="AX384" s="328">
        <f t="shared" si="296"/>
        <v>0</v>
      </c>
      <c r="AY384" s="328">
        <f t="shared" si="296"/>
        <v>0</v>
      </c>
      <c r="AZ384" s="328">
        <f t="shared" si="296"/>
        <v>0</v>
      </c>
      <c r="BA384" s="328">
        <f t="shared" si="296"/>
        <v>0</v>
      </c>
      <c r="BB384" s="328">
        <f t="shared" si="296"/>
        <v>0</v>
      </c>
      <c r="BC384" s="328">
        <f t="shared" si="296"/>
        <v>0</v>
      </c>
      <c r="BD384" s="328">
        <f t="shared" si="296"/>
        <v>0</v>
      </c>
      <c r="BE384" s="328">
        <f t="shared" si="296"/>
        <v>0</v>
      </c>
      <c r="BF384" s="328">
        <f t="shared" si="296"/>
        <v>0</v>
      </c>
      <c r="BG384" s="328">
        <f t="shared" si="296"/>
        <v>0</v>
      </c>
      <c r="BH384" s="328">
        <f t="shared" si="296"/>
        <v>0</v>
      </c>
      <c r="BI384" s="328">
        <f t="shared" si="296"/>
        <v>0</v>
      </c>
      <c r="BJ384" s="328">
        <f t="shared" si="296"/>
        <v>0</v>
      </c>
      <c r="BK384" s="328">
        <f t="shared" si="296"/>
        <v>0</v>
      </c>
      <c r="BL384" s="328">
        <f t="shared" si="296"/>
        <v>0</v>
      </c>
      <c r="BM384" s="328">
        <f t="shared" si="296"/>
        <v>0</v>
      </c>
      <c r="BN384" s="329">
        <f t="shared" si="296"/>
        <v>0</v>
      </c>
    </row>
    <row r="385" spans="32:66" ht="20.100000000000001" customHeight="1">
      <c r="AF385" s="1505"/>
      <c r="AG385" s="251" t="s">
        <v>1220</v>
      </c>
      <c r="AH385" s="251"/>
      <c r="AI385" s="251">
        <f>INDEX('DEFAULT DATA'!$VE$9:$VK$41,START!$C$3,1)</f>
        <v>202</v>
      </c>
      <c r="AJ385" s="195">
        <f>INDEX('DEFAULT DATA'!$XK$9:$XR$41,START!$C$3,2)</f>
        <v>0</v>
      </c>
      <c r="AK385" s="345">
        <v>0</v>
      </c>
      <c r="AL385" s="272">
        <f t="shared" ref="AL385:BN385" si="297">IF(AND(AL$373&gt;($D$95+2020),AL$373&lt;($E$95+2022)),AK385+($AI$385*$AJ$385*((100-$F$95)/100)*ROUND(($C$95/100*$B$95)/($E$95-$D$95+1),0)/1000000),AK385)</f>
        <v>0</v>
      </c>
      <c r="AM385" s="272">
        <f t="shared" si="297"/>
        <v>0</v>
      </c>
      <c r="AN385" s="272">
        <f t="shared" si="297"/>
        <v>0</v>
      </c>
      <c r="AO385" s="272">
        <f t="shared" si="297"/>
        <v>0</v>
      </c>
      <c r="AP385" s="272">
        <f t="shared" si="297"/>
        <v>0</v>
      </c>
      <c r="AQ385" s="272">
        <f t="shared" si="297"/>
        <v>0</v>
      </c>
      <c r="AR385" s="272">
        <f t="shared" si="297"/>
        <v>0</v>
      </c>
      <c r="AS385" s="272">
        <f t="shared" si="297"/>
        <v>0</v>
      </c>
      <c r="AT385" s="272">
        <f t="shared" si="297"/>
        <v>0</v>
      </c>
      <c r="AU385" s="272">
        <f t="shared" si="297"/>
        <v>0</v>
      </c>
      <c r="AV385" s="272">
        <f t="shared" si="297"/>
        <v>0</v>
      </c>
      <c r="AW385" s="272">
        <f t="shared" si="297"/>
        <v>0</v>
      </c>
      <c r="AX385" s="272">
        <f t="shared" si="297"/>
        <v>0</v>
      </c>
      <c r="AY385" s="272">
        <f t="shared" si="297"/>
        <v>0</v>
      </c>
      <c r="AZ385" s="272">
        <f t="shared" si="297"/>
        <v>0</v>
      </c>
      <c r="BA385" s="272">
        <f t="shared" si="297"/>
        <v>0</v>
      </c>
      <c r="BB385" s="272">
        <f t="shared" si="297"/>
        <v>0</v>
      </c>
      <c r="BC385" s="272">
        <f t="shared" si="297"/>
        <v>0</v>
      </c>
      <c r="BD385" s="272">
        <f t="shared" si="297"/>
        <v>0</v>
      </c>
      <c r="BE385" s="272">
        <f t="shared" si="297"/>
        <v>0</v>
      </c>
      <c r="BF385" s="272">
        <f t="shared" si="297"/>
        <v>0</v>
      </c>
      <c r="BG385" s="272">
        <f t="shared" si="297"/>
        <v>0</v>
      </c>
      <c r="BH385" s="272">
        <f t="shared" si="297"/>
        <v>0</v>
      </c>
      <c r="BI385" s="272">
        <f t="shared" si="297"/>
        <v>0</v>
      </c>
      <c r="BJ385" s="272">
        <f t="shared" si="297"/>
        <v>0</v>
      </c>
      <c r="BK385" s="272">
        <f t="shared" si="297"/>
        <v>0</v>
      </c>
      <c r="BL385" s="272">
        <f t="shared" si="297"/>
        <v>0</v>
      </c>
      <c r="BM385" s="272">
        <f t="shared" si="297"/>
        <v>0</v>
      </c>
      <c r="BN385" s="324">
        <f t="shared" si="297"/>
        <v>0</v>
      </c>
    </row>
    <row r="386" spans="32:66" ht="20.100000000000001" customHeight="1">
      <c r="AF386" s="1505"/>
      <c r="AG386" s="251" t="s">
        <v>1221</v>
      </c>
      <c r="AH386" s="251"/>
      <c r="AI386" s="251">
        <f>INDEX('DEFAULT DATA'!$VE$9:$VK$41,START!$C$3,2)</f>
        <v>279</v>
      </c>
      <c r="AJ386" s="195">
        <f>INDEX('DEFAULT DATA'!$XK$9:$XR$41,START!$C$3,3)</f>
        <v>0</v>
      </c>
      <c r="AK386" s="345">
        <v>0</v>
      </c>
      <c r="AL386" s="272">
        <f t="shared" ref="AL386:BN386" si="298">IF(AND(AL$373&gt;($D$95+2020),AL$373&lt;($E$95+2022)),AK386+($AI$386*$AJ$386*((100-$F$95)/100)*ROUND(($C$95/100*$B$95)/($E$95-$D$95+1),0)/1000000),AK386)</f>
        <v>0</v>
      </c>
      <c r="AM386" s="272">
        <f t="shared" si="298"/>
        <v>0</v>
      </c>
      <c r="AN386" s="272">
        <f t="shared" si="298"/>
        <v>0</v>
      </c>
      <c r="AO386" s="272">
        <f t="shared" si="298"/>
        <v>0</v>
      </c>
      <c r="AP386" s="272">
        <f t="shared" si="298"/>
        <v>0</v>
      </c>
      <c r="AQ386" s="272">
        <f t="shared" si="298"/>
        <v>0</v>
      </c>
      <c r="AR386" s="272">
        <f t="shared" si="298"/>
        <v>0</v>
      </c>
      <c r="AS386" s="272">
        <f t="shared" si="298"/>
        <v>0</v>
      </c>
      <c r="AT386" s="272">
        <f t="shared" si="298"/>
        <v>0</v>
      </c>
      <c r="AU386" s="272">
        <f t="shared" si="298"/>
        <v>0</v>
      </c>
      <c r="AV386" s="272">
        <f t="shared" si="298"/>
        <v>0</v>
      </c>
      <c r="AW386" s="272">
        <f t="shared" si="298"/>
        <v>0</v>
      </c>
      <c r="AX386" s="272">
        <f t="shared" si="298"/>
        <v>0</v>
      </c>
      <c r="AY386" s="272">
        <f t="shared" si="298"/>
        <v>0</v>
      </c>
      <c r="AZ386" s="272">
        <f t="shared" si="298"/>
        <v>0</v>
      </c>
      <c r="BA386" s="272">
        <f t="shared" si="298"/>
        <v>0</v>
      </c>
      <c r="BB386" s="272">
        <f t="shared" si="298"/>
        <v>0</v>
      </c>
      <c r="BC386" s="272">
        <f t="shared" si="298"/>
        <v>0</v>
      </c>
      <c r="BD386" s="272">
        <f t="shared" si="298"/>
        <v>0</v>
      </c>
      <c r="BE386" s="272">
        <f t="shared" si="298"/>
        <v>0</v>
      </c>
      <c r="BF386" s="272">
        <f t="shared" si="298"/>
        <v>0</v>
      </c>
      <c r="BG386" s="272">
        <f t="shared" si="298"/>
        <v>0</v>
      </c>
      <c r="BH386" s="272">
        <f t="shared" si="298"/>
        <v>0</v>
      </c>
      <c r="BI386" s="272">
        <f t="shared" si="298"/>
        <v>0</v>
      </c>
      <c r="BJ386" s="272">
        <f t="shared" si="298"/>
        <v>0</v>
      </c>
      <c r="BK386" s="272">
        <f t="shared" si="298"/>
        <v>0</v>
      </c>
      <c r="BL386" s="272">
        <f t="shared" si="298"/>
        <v>0</v>
      </c>
      <c r="BM386" s="272">
        <f t="shared" si="298"/>
        <v>0</v>
      </c>
      <c r="BN386" s="324">
        <f t="shared" si="298"/>
        <v>0</v>
      </c>
    </row>
    <row r="387" spans="32:66" ht="20.100000000000001" customHeight="1">
      <c r="AF387" s="1505"/>
      <c r="AG387" s="251" t="s">
        <v>1222</v>
      </c>
      <c r="AH387" s="251"/>
      <c r="AI387" s="251">
        <f>INDEX('DEFAULT DATA'!$VE$9:$VK$41,START!$C$3,3)</f>
        <v>354</v>
      </c>
      <c r="AJ387" s="195">
        <f>INDEX('DEFAULT DATA'!$XK$9:$XR$41,START!$C$3,4)</f>
        <v>0</v>
      </c>
      <c r="AK387" s="345">
        <v>0</v>
      </c>
      <c r="AL387" s="272">
        <f t="shared" ref="AL387:BN387" si="299">IF(AND(AL$373&gt;($D$95+2020),AL$373&lt;($E$95+2022)),AK387+($AI$387*$AJ$387*((100-$F$95)/100)*ROUND(($C$95/100*$B$95)/($E$95-$D$95+1),0)/1000000),AK387)</f>
        <v>0</v>
      </c>
      <c r="AM387" s="272">
        <f t="shared" si="299"/>
        <v>0</v>
      </c>
      <c r="AN387" s="272">
        <f t="shared" si="299"/>
        <v>0</v>
      </c>
      <c r="AO387" s="272">
        <f t="shared" si="299"/>
        <v>0</v>
      </c>
      <c r="AP387" s="272">
        <f t="shared" si="299"/>
        <v>0</v>
      </c>
      <c r="AQ387" s="272">
        <f t="shared" si="299"/>
        <v>0</v>
      </c>
      <c r="AR387" s="272">
        <f t="shared" si="299"/>
        <v>0</v>
      </c>
      <c r="AS387" s="272">
        <f t="shared" si="299"/>
        <v>0</v>
      </c>
      <c r="AT387" s="272">
        <f t="shared" si="299"/>
        <v>0</v>
      </c>
      <c r="AU387" s="272">
        <f t="shared" si="299"/>
        <v>0</v>
      </c>
      <c r="AV387" s="272">
        <f t="shared" si="299"/>
        <v>0</v>
      </c>
      <c r="AW387" s="272">
        <f t="shared" si="299"/>
        <v>0</v>
      </c>
      <c r="AX387" s="272">
        <f t="shared" si="299"/>
        <v>0</v>
      </c>
      <c r="AY387" s="272">
        <f t="shared" si="299"/>
        <v>0</v>
      </c>
      <c r="AZ387" s="272">
        <f t="shared" si="299"/>
        <v>0</v>
      </c>
      <c r="BA387" s="272">
        <f t="shared" si="299"/>
        <v>0</v>
      </c>
      <c r="BB387" s="272">
        <f t="shared" si="299"/>
        <v>0</v>
      </c>
      <c r="BC387" s="272">
        <f t="shared" si="299"/>
        <v>0</v>
      </c>
      <c r="BD387" s="272">
        <f t="shared" si="299"/>
        <v>0</v>
      </c>
      <c r="BE387" s="272">
        <f t="shared" si="299"/>
        <v>0</v>
      </c>
      <c r="BF387" s="272">
        <f t="shared" si="299"/>
        <v>0</v>
      </c>
      <c r="BG387" s="272">
        <f t="shared" si="299"/>
        <v>0</v>
      </c>
      <c r="BH387" s="272">
        <f t="shared" si="299"/>
        <v>0</v>
      </c>
      <c r="BI387" s="272">
        <f t="shared" si="299"/>
        <v>0</v>
      </c>
      <c r="BJ387" s="272">
        <f t="shared" si="299"/>
        <v>0</v>
      </c>
      <c r="BK387" s="272">
        <f t="shared" si="299"/>
        <v>0</v>
      </c>
      <c r="BL387" s="272">
        <f t="shared" si="299"/>
        <v>0</v>
      </c>
      <c r="BM387" s="272">
        <f t="shared" si="299"/>
        <v>0</v>
      </c>
      <c r="BN387" s="324">
        <f t="shared" si="299"/>
        <v>0</v>
      </c>
    </row>
    <row r="388" spans="32:66" ht="20.100000000000001" customHeight="1">
      <c r="AF388" s="1505"/>
      <c r="AG388" s="251" t="s">
        <v>1223</v>
      </c>
      <c r="AH388" s="251"/>
      <c r="AI388" s="251">
        <f>INDEX('DEFAULT DATA'!$VE$9:$VK$41,START!$C$3,4)</f>
        <v>0</v>
      </c>
      <c r="AJ388" s="195">
        <f>INDEX('DEFAULT DATA'!$XK$9:$XR$41,START!$C$3,5)</f>
        <v>0</v>
      </c>
      <c r="AK388" s="345">
        <v>0</v>
      </c>
      <c r="AL388" s="272">
        <f t="shared" ref="AL388:BN388" si="300">IF(AND(AL$373&gt;($D$95+2020),AL$373&lt;($E$95+2022)),AK388+($AI$388*$AJ$388*((100-$F$95)/100)*ROUND(($C$95/100*$B$95)/($E$95-$D$95+1),0)/1000000),AK388)</f>
        <v>0</v>
      </c>
      <c r="AM388" s="272">
        <f t="shared" si="300"/>
        <v>0</v>
      </c>
      <c r="AN388" s="272">
        <f t="shared" si="300"/>
        <v>0</v>
      </c>
      <c r="AO388" s="272">
        <f t="shared" si="300"/>
        <v>0</v>
      </c>
      <c r="AP388" s="272">
        <f t="shared" si="300"/>
        <v>0</v>
      </c>
      <c r="AQ388" s="272">
        <f t="shared" si="300"/>
        <v>0</v>
      </c>
      <c r="AR388" s="272">
        <f t="shared" si="300"/>
        <v>0</v>
      </c>
      <c r="AS388" s="272">
        <f t="shared" si="300"/>
        <v>0</v>
      </c>
      <c r="AT388" s="272">
        <f t="shared" si="300"/>
        <v>0</v>
      </c>
      <c r="AU388" s="272">
        <f t="shared" si="300"/>
        <v>0</v>
      </c>
      <c r="AV388" s="272">
        <f t="shared" si="300"/>
        <v>0</v>
      </c>
      <c r="AW388" s="272">
        <f t="shared" si="300"/>
        <v>0</v>
      </c>
      <c r="AX388" s="272">
        <f t="shared" si="300"/>
        <v>0</v>
      </c>
      <c r="AY388" s="272">
        <f t="shared" si="300"/>
        <v>0</v>
      </c>
      <c r="AZ388" s="272">
        <f t="shared" si="300"/>
        <v>0</v>
      </c>
      <c r="BA388" s="272">
        <f t="shared" si="300"/>
        <v>0</v>
      </c>
      <c r="BB388" s="272">
        <f t="shared" si="300"/>
        <v>0</v>
      </c>
      <c r="BC388" s="272">
        <f t="shared" si="300"/>
        <v>0</v>
      </c>
      <c r="BD388" s="272">
        <f t="shared" si="300"/>
        <v>0</v>
      </c>
      <c r="BE388" s="272">
        <f t="shared" si="300"/>
        <v>0</v>
      </c>
      <c r="BF388" s="272">
        <f t="shared" si="300"/>
        <v>0</v>
      </c>
      <c r="BG388" s="272">
        <f t="shared" si="300"/>
        <v>0</v>
      </c>
      <c r="BH388" s="272">
        <f t="shared" si="300"/>
        <v>0</v>
      </c>
      <c r="BI388" s="272">
        <f t="shared" si="300"/>
        <v>0</v>
      </c>
      <c r="BJ388" s="272">
        <f t="shared" si="300"/>
        <v>0</v>
      </c>
      <c r="BK388" s="272">
        <f t="shared" si="300"/>
        <v>0</v>
      </c>
      <c r="BL388" s="272">
        <f t="shared" si="300"/>
        <v>0</v>
      </c>
      <c r="BM388" s="272">
        <f t="shared" si="300"/>
        <v>0</v>
      </c>
      <c r="BN388" s="324">
        <f t="shared" si="300"/>
        <v>0</v>
      </c>
    </row>
    <row r="389" spans="32:66" ht="20.100000000000001" customHeight="1">
      <c r="AF389" s="1505"/>
      <c r="AG389" s="251" t="s">
        <v>1224</v>
      </c>
      <c r="AH389" s="251"/>
      <c r="AI389" s="251">
        <f>INDEX('DEFAULT DATA'!$VE$9:$VK$41,START!$C$3,5)</f>
        <v>403</v>
      </c>
      <c r="AJ389" s="195">
        <f>INDEX('DEFAULT DATA'!$XK$9:$XR$41,START!$C$3,6)</f>
        <v>0</v>
      </c>
      <c r="AK389" s="345">
        <v>0</v>
      </c>
      <c r="AL389" s="272">
        <f t="shared" ref="AL389:BN389" si="301">IF(AND(AL$373&gt;($D$95+2020),AL$373&lt;($E$95+2022)),AK389+($AI$389*$AJ$389*((100-$F$95)/100)*ROUND(($C$95/100*$B$95)/($E$95-$D$95+1),0)/1000000),AK389)</f>
        <v>0</v>
      </c>
      <c r="AM389" s="272">
        <f t="shared" si="301"/>
        <v>0</v>
      </c>
      <c r="AN389" s="272">
        <f t="shared" si="301"/>
        <v>0</v>
      </c>
      <c r="AO389" s="272">
        <f t="shared" si="301"/>
        <v>0</v>
      </c>
      <c r="AP389" s="272">
        <f t="shared" si="301"/>
        <v>0</v>
      </c>
      <c r="AQ389" s="272">
        <f t="shared" si="301"/>
        <v>0</v>
      </c>
      <c r="AR389" s="272">
        <f t="shared" si="301"/>
        <v>0</v>
      </c>
      <c r="AS389" s="272">
        <f t="shared" si="301"/>
        <v>0</v>
      </c>
      <c r="AT389" s="272">
        <f t="shared" si="301"/>
        <v>0</v>
      </c>
      <c r="AU389" s="272">
        <f t="shared" si="301"/>
        <v>0</v>
      </c>
      <c r="AV389" s="272">
        <f t="shared" si="301"/>
        <v>0</v>
      </c>
      <c r="AW389" s="272">
        <f t="shared" si="301"/>
        <v>0</v>
      </c>
      <c r="AX389" s="272">
        <f t="shared" si="301"/>
        <v>0</v>
      </c>
      <c r="AY389" s="272">
        <f t="shared" si="301"/>
        <v>0</v>
      </c>
      <c r="AZ389" s="272">
        <f t="shared" si="301"/>
        <v>0</v>
      </c>
      <c r="BA389" s="272">
        <f t="shared" si="301"/>
        <v>0</v>
      </c>
      <c r="BB389" s="272">
        <f t="shared" si="301"/>
        <v>0</v>
      </c>
      <c r="BC389" s="272">
        <f t="shared" si="301"/>
        <v>0</v>
      </c>
      <c r="BD389" s="272">
        <f t="shared" si="301"/>
        <v>0</v>
      </c>
      <c r="BE389" s="272">
        <f t="shared" si="301"/>
        <v>0</v>
      </c>
      <c r="BF389" s="272">
        <f t="shared" si="301"/>
        <v>0</v>
      </c>
      <c r="BG389" s="272">
        <f t="shared" si="301"/>
        <v>0</v>
      </c>
      <c r="BH389" s="272">
        <f t="shared" si="301"/>
        <v>0</v>
      </c>
      <c r="BI389" s="272">
        <f t="shared" si="301"/>
        <v>0</v>
      </c>
      <c r="BJ389" s="272">
        <f t="shared" si="301"/>
        <v>0</v>
      </c>
      <c r="BK389" s="272">
        <f t="shared" si="301"/>
        <v>0</v>
      </c>
      <c r="BL389" s="272">
        <f t="shared" si="301"/>
        <v>0</v>
      </c>
      <c r="BM389" s="272">
        <f t="shared" si="301"/>
        <v>0</v>
      </c>
      <c r="BN389" s="324">
        <f t="shared" si="301"/>
        <v>0</v>
      </c>
    </row>
    <row r="390" spans="32:66" ht="20.100000000000001" customHeight="1">
      <c r="AF390" s="1505"/>
      <c r="AG390" s="251" t="s">
        <v>1225</v>
      </c>
      <c r="AH390" s="251"/>
      <c r="AI390" s="251">
        <f>INDEX('DEFAULT DATA'!$VE$9:$VK$41,START!$C$3,6)</f>
        <v>0</v>
      </c>
      <c r="AJ390" s="195">
        <f>INDEX('DEFAULT DATA'!$XK$9:$XR$41,START!$C$3,7)</f>
        <v>1313.6310345601225</v>
      </c>
      <c r="AK390" s="345">
        <v>0</v>
      </c>
      <c r="AL390" s="272">
        <f t="shared" ref="AL390:BN390" si="302">IF(AND(AL$373&gt;($D$95+2020),AL$373&lt;($E$95+2022)),AK390+($AI$390*$AJ$390*((100-$F$95)/100)*ROUND(($C$95/100*$B$95)/($E$95-$D$95+1),0)/1000000),AK390)</f>
        <v>0</v>
      </c>
      <c r="AM390" s="272">
        <f t="shared" si="302"/>
        <v>0</v>
      </c>
      <c r="AN390" s="272">
        <f t="shared" si="302"/>
        <v>0</v>
      </c>
      <c r="AO390" s="272">
        <f t="shared" si="302"/>
        <v>0</v>
      </c>
      <c r="AP390" s="272">
        <f t="shared" si="302"/>
        <v>0</v>
      </c>
      <c r="AQ390" s="272">
        <f t="shared" si="302"/>
        <v>0</v>
      </c>
      <c r="AR390" s="272">
        <f t="shared" si="302"/>
        <v>0</v>
      </c>
      <c r="AS390" s="272">
        <f t="shared" si="302"/>
        <v>0</v>
      </c>
      <c r="AT390" s="272">
        <f t="shared" si="302"/>
        <v>0</v>
      </c>
      <c r="AU390" s="272">
        <f t="shared" si="302"/>
        <v>0</v>
      </c>
      <c r="AV390" s="272">
        <f t="shared" si="302"/>
        <v>0</v>
      </c>
      <c r="AW390" s="272">
        <f t="shared" si="302"/>
        <v>0</v>
      </c>
      <c r="AX390" s="272">
        <f t="shared" si="302"/>
        <v>0</v>
      </c>
      <c r="AY390" s="272">
        <f t="shared" si="302"/>
        <v>0</v>
      </c>
      <c r="AZ390" s="272">
        <f t="shared" si="302"/>
        <v>0</v>
      </c>
      <c r="BA390" s="272">
        <f t="shared" si="302"/>
        <v>0</v>
      </c>
      <c r="BB390" s="272">
        <f t="shared" si="302"/>
        <v>0</v>
      </c>
      <c r="BC390" s="272">
        <f t="shared" si="302"/>
        <v>0</v>
      </c>
      <c r="BD390" s="272">
        <f t="shared" si="302"/>
        <v>0</v>
      </c>
      <c r="BE390" s="272">
        <f t="shared" si="302"/>
        <v>0</v>
      </c>
      <c r="BF390" s="272">
        <f t="shared" si="302"/>
        <v>0</v>
      </c>
      <c r="BG390" s="272">
        <f t="shared" si="302"/>
        <v>0</v>
      </c>
      <c r="BH390" s="272">
        <f t="shared" si="302"/>
        <v>0</v>
      </c>
      <c r="BI390" s="272">
        <f t="shared" si="302"/>
        <v>0</v>
      </c>
      <c r="BJ390" s="272">
        <f t="shared" si="302"/>
        <v>0</v>
      </c>
      <c r="BK390" s="272">
        <f t="shared" si="302"/>
        <v>0</v>
      </c>
      <c r="BL390" s="272">
        <f t="shared" si="302"/>
        <v>0</v>
      </c>
      <c r="BM390" s="272">
        <f t="shared" si="302"/>
        <v>0</v>
      </c>
      <c r="BN390" s="324">
        <f t="shared" si="302"/>
        <v>0</v>
      </c>
    </row>
    <row r="391" spans="32:66" ht="20.100000000000001" customHeight="1" thickBot="1">
      <c r="AF391" s="1506"/>
      <c r="AG391" s="310" t="s">
        <v>1226</v>
      </c>
      <c r="AH391" s="310"/>
      <c r="AI391" s="310" t="s">
        <v>1497</v>
      </c>
      <c r="AJ391" s="260">
        <f>INDEX('DEFAULT DATA'!$XK$9:$XR$41,START!$C$3,8)</f>
        <v>1576.3572414721468</v>
      </c>
      <c r="AK391" s="344">
        <v>0</v>
      </c>
      <c r="AL391" s="325">
        <f t="shared" ref="AL391:BN391" si="303">IF(AND(AL$373&gt;($D$95+2020),AL$373&lt;($E$95+2022)),AK391+(AL$6*$AJ$391*((100-$F$95)/100)*ROUND(($C$95/100*$B$95)/($E$95-$D$95+1),0)/1000000),AK391)</f>
        <v>0</v>
      </c>
      <c r="AM391" s="325">
        <f t="shared" si="303"/>
        <v>0</v>
      </c>
      <c r="AN391" s="325">
        <f t="shared" si="303"/>
        <v>0</v>
      </c>
      <c r="AO391" s="325">
        <f t="shared" si="303"/>
        <v>0</v>
      </c>
      <c r="AP391" s="325">
        <f t="shared" si="303"/>
        <v>0</v>
      </c>
      <c r="AQ391" s="325">
        <f t="shared" si="303"/>
        <v>0</v>
      </c>
      <c r="AR391" s="325">
        <f t="shared" si="303"/>
        <v>0</v>
      </c>
      <c r="AS391" s="325">
        <f t="shared" si="303"/>
        <v>0</v>
      </c>
      <c r="AT391" s="325">
        <f t="shared" si="303"/>
        <v>0</v>
      </c>
      <c r="AU391" s="325">
        <f t="shared" si="303"/>
        <v>0</v>
      </c>
      <c r="AV391" s="325">
        <f t="shared" si="303"/>
        <v>0</v>
      </c>
      <c r="AW391" s="325">
        <f t="shared" si="303"/>
        <v>0</v>
      </c>
      <c r="AX391" s="325">
        <f t="shared" si="303"/>
        <v>0</v>
      </c>
      <c r="AY391" s="325">
        <f t="shared" si="303"/>
        <v>0</v>
      </c>
      <c r="AZ391" s="325">
        <f t="shared" si="303"/>
        <v>0</v>
      </c>
      <c r="BA391" s="325">
        <f t="shared" si="303"/>
        <v>0</v>
      </c>
      <c r="BB391" s="325">
        <f t="shared" si="303"/>
        <v>0</v>
      </c>
      <c r="BC391" s="325">
        <f t="shared" si="303"/>
        <v>0</v>
      </c>
      <c r="BD391" s="325">
        <f t="shared" si="303"/>
        <v>0</v>
      </c>
      <c r="BE391" s="325">
        <f t="shared" si="303"/>
        <v>0</v>
      </c>
      <c r="BF391" s="325">
        <f t="shared" si="303"/>
        <v>0</v>
      </c>
      <c r="BG391" s="325">
        <f t="shared" si="303"/>
        <v>0</v>
      </c>
      <c r="BH391" s="325">
        <f t="shared" si="303"/>
        <v>0</v>
      </c>
      <c r="BI391" s="325">
        <f t="shared" si="303"/>
        <v>0</v>
      </c>
      <c r="BJ391" s="325">
        <f t="shared" si="303"/>
        <v>0</v>
      </c>
      <c r="BK391" s="325">
        <f t="shared" si="303"/>
        <v>0</v>
      </c>
      <c r="BL391" s="325">
        <f t="shared" si="303"/>
        <v>0</v>
      </c>
      <c r="BM391" s="325">
        <f t="shared" si="303"/>
        <v>0</v>
      </c>
      <c r="BN391" s="326">
        <f t="shared" si="303"/>
        <v>0</v>
      </c>
    </row>
    <row r="392" spans="32:66" ht="20.100000000000001" customHeight="1">
      <c r="AF392" s="332"/>
      <c r="AG392" s="285" t="s">
        <v>1455</v>
      </c>
      <c r="AH392" s="285"/>
      <c r="AI392" s="285"/>
      <c r="AJ392" s="285"/>
      <c r="AK392" s="342">
        <v>0</v>
      </c>
      <c r="AL392" s="327">
        <f>SUM(AL384:AL391)</f>
        <v>0</v>
      </c>
      <c r="AM392" s="327">
        <f t="shared" ref="AM392" si="304">SUM(AM384:AM391)</f>
        <v>0</v>
      </c>
      <c r="AN392" s="327">
        <f t="shared" ref="AN392" si="305">SUM(AN384:AN391)</f>
        <v>0</v>
      </c>
      <c r="AO392" s="327">
        <f t="shared" ref="AO392" si="306">SUM(AO384:AO391)</f>
        <v>0</v>
      </c>
      <c r="AP392" s="327">
        <f t="shared" ref="AP392" si="307">SUM(AP384:AP391)</f>
        <v>0</v>
      </c>
      <c r="AQ392" s="327">
        <f t="shared" ref="AQ392" si="308">SUM(AQ384:AQ391)</f>
        <v>0</v>
      </c>
      <c r="AR392" s="327">
        <f t="shared" ref="AR392" si="309">SUM(AR384:AR391)</f>
        <v>0</v>
      </c>
      <c r="AS392" s="327">
        <f t="shared" ref="AS392" si="310">SUM(AS384:AS391)</f>
        <v>0</v>
      </c>
      <c r="AT392" s="327">
        <f t="shared" ref="AT392" si="311">SUM(AT384:AT391)</f>
        <v>0</v>
      </c>
      <c r="AU392" s="327">
        <f t="shared" ref="AU392" si="312">SUM(AU384:AU391)</f>
        <v>0</v>
      </c>
      <c r="AV392" s="327">
        <f t="shared" ref="AV392" si="313">SUM(AV384:AV391)</f>
        <v>0</v>
      </c>
      <c r="AW392" s="327">
        <f t="shared" ref="AW392" si="314">SUM(AW384:AW391)</f>
        <v>0</v>
      </c>
      <c r="AX392" s="327">
        <f t="shared" ref="AX392" si="315">SUM(AX384:AX391)</f>
        <v>0</v>
      </c>
      <c r="AY392" s="327">
        <f t="shared" ref="AY392" si="316">SUM(AY384:AY391)</f>
        <v>0</v>
      </c>
      <c r="AZ392" s="327">
        <f t="shared" ref="AZ392" si="317">SUM(AZ384:AZ391)</f>
        <v>0</v>
      </c>
      <c r="BA392" s="327">
        <f t="shared" ref="BA392" si="318">SUM(BA384:BA391)</f>
        <v>0</v>
      </c>
      <c r="BB392" s="327">
        <f t="shared" ref="BB392" si="319">SUM(BB384:BB391)</f>
        <v>0</v>
      </c>
      <c r="BC392" s="327">
        <f t="shared" ref="BC392" si="320">SUM(BC384:BC391)</f>
        <v>0</v>
      </c>
      <c r="BD392" s="327">
        <f t="shared" ref="BD392" si="321">SUM(BD384:BD391)</f>
        <v>0</v>
      </c>
      <c r="BE392" s="327">
        <f t="shared" ref="BE392" si="322">SUM(BE384:BE391)</f>
        <v>0</v>
      </c>
      <c r="BF392" s="327">
        <f t="shared" ref="BF392" si="323">SUM(BF384:BF391)</f>
        <v>0</v>
      </c>
      <c r="BG392" s="327">
        <f t="shared" ref="BG392" si="324">SUM(BG384:BG391)</f>
        <v>0</v>
      </c>
      <c r="BH392" s="327">
        <f t="shared" ref="BH392" si="325">SUM(BH384:BH391)</f>
        <v>0</v>
      </c>
      <c r="BI392" s="327">
        <f t="shared" ref="BI392" si="326">SUM(BI384:BI391)</f>
        <v>0</v>
      </c>
      <c r="BJ392" s="327">
        <f t="shared" ref="BJ392" si="327">SUM(BJ384:BJ391)</f>
        <v>0</v>
      </c>
      <c r="BK392" s="327">
        <f t="shared" ref="BK392" si="328">SUM(BK384:BK391)</f>
        <v>0</v>
      </c>
      <c r="BL392" s="327">
        <f t="shared" ref="BL392" si="329">SUM(BL384:BL391)</f>
        <v>0</v>
      </c>
      <c r="BM392" s="327">
        <f t="shared" ref="BM392" si="330">SUM(BM384:BM391)</f>
        <v>0</v>
      </c>
      <c r="BN392" s="327">
        <f t="shared" ref="BN392" si="331">SUM(BN384:BN391)</f>
        <v>0</v>
      </c>
    </row>
    <row r="393" spans="32:66" ht="20.100000000000001" customHeight="1" thickBot="1"/>
    <row r="394" spans="32:66" ht="20.100000000000001" customHeight="1">
      <c r="AF394" s="1504" t="s">
        <v>1218</v>
      </c>
      <c r="AG394" s="286" t="s">
        <v>933</v>
      </c>
      <c r="AH394" s="287"/>
      <c r="AI394" s="286" t="s">
        <v>1496</v>
      </c>
      <c r="AJ394" s="313">
        <f>INDEX('DEFAULT DATA'!$XS$9:$XZ$41,START!$C$3,1)</f>
        <v>1981.7062464221278</v>
      </c>
      <c r="AK394" s="343">
        <v>0</v>
      </c>
      <c r="AL394" s="328">
        <f t="shared" ref="AL394:BN394" si="332">IF(AND(AL$373&gt;($D$96+2020),AL$373&lt;($E$96+2022)),AK394+(AL$5*$AJ$394*((100-$F$96)/100)*ROUND(($C$96/100*$B$96)/($E$96-$D$96+1),0)/1000000),AK394)</f>
        <v>0</v>
      </c>
      <c r="AM394" s="328">
        <f t="shared" si="332"/>
        <v>0</v>
      </c>
      <c r="AN394" s="328">
        <f t="shared" si="332"/>
        <v>0</v>
      </c>
      <c r="AO394" s="328">
        <f t="shared" si="332"/>
        <v>0</v>
      </c>
      <c r="AP394" s="328">
        <f t="shared" si="332"/>
        <v>0</v>
      </c>
      <c r="AQ394" s="328">
        <f t="shared" si="332"/>
        <v>0</v>
      </c>
      <c r="AR394" s="328">
        <f t="shared" si="332"/>
        <v>0</v>
      </c>
      <c r="AS394" s="328">
        <f t="shared" si="332"/>
        <v>0</v>
      </c>
      <c r="AT394" s="328">
        <f t="shared" si="332"/>
        <v>0</v>
      </c>
      <c r="AU394" s="328">
        <f t="shared" si="332"/>
        <v>0</v>
      </c>
      <c r="AV394" s="328">
        <f t="shared" si="332"/>
        <v>0</v>
      </c>
      <c r="AW394" s="328">
        <f t="shared" si="332"/>
        <v>0</v>
      </c>
      <c r="AX394" s="328">
        <f t="shared" si="332"/>
        <v>0</v>
      </c>
      <c r="AY394" s="328">
        <f t="shared" si="332"/>
        <v>0</v>
      </c>
      <c r="AZ394" s="328">
        <f t="shared" si="332"/>
        <v>0</v>
      </c>
      <c r="BA394" s="328">
        <f t="shared" si="332"/>
        <v>0</v>
      </c>
      <c r="BB394" s="328">
        <f t="shared" si="332"/>
        <v>0</v>
      </c>
      <c r="BC394" s="328">
        <f t="shared" si="332"/>
        <v>0</v>
      </c>
      <c r="BD394" s="328">
        <f t="shared" si="332"/>
        <v>0</v>
      </c>
      <c r="BE394" s="328">
        <f t="shared" si="332"/>
        <v>0</v>
      </c>
      <c r="BF394" s="328">
        <f t="shared" si="332"/>
        <v>0</v>
      </c>
      <c r="BG394" s="328">
        <f t="shared" si="332"/>
        <v>0</v>
      </c>
      <c r="BH394" s="328">
        <f t="shared" si="332"/>
        <v>0</v>
      </c>
      <c r="BI394" s="328">
        <f t="shared" si="332"/>
        <v>0</v>
      </c>
      <c r="BJ394" s="328">
        <f t="shared" si="332"/>
        <v>0</v>
      </c>
      <c r="BK394" s="328">
        <f t="shared" si="332"/>
        <v>0</v>
      </c>
      <c r="BL394" s="328">
        <f t="shared" si="332"/>
        <v>0</v>
      </c>
      <c r="BM394" s="328">
        <f t="shared" si="332"/>
        <v>0</v>
      </c>
      <c r="BN394" s="329">
        <f t="shared" si="332"/>
        <v>0</v>
      </c>
    </row>
    <row r="395" spans="32:66" ht="20.100000000000001" customHeight="1">
      <c r="AF395" s="1505"/>
      <c r="AG395" s="251" t="s">
        <v>1220</v>
      </c>
      <c r="AH395" s="280"/>
      <c r="AI395" s="251">
        <f>INDEX('DEFAULT DATA'!$VE$9:$VK$41,START!$C$3,1)</f>
        <v>202</v>
      </c>
      <c r="AJ395" s="195">
        <f>INDEX('DEFAULT DATA'!$XS$9:$XZ$41,START!$C$3,2)</f>
        <v>0</v>
      </c>
      <c r="AK395" s="345">
        <v>0</v>
      </c>
      <c r="AL395" s="272">
        <f t="shared" ref="AL395:BN395" si="333">IF(AND(AL$373&gt;($D$96+2020),AL$373&lt;($E$96+2022)),AK395+($AI$395*$AJ$395*((100-$F$96)/100)*ROUND(($C$96/100*$B$96)/($E$96-$D$96+1),0)/1000000),AK395)</f>
        <v>0</v>
      </c>
      <c r="AM395" s="272">
        <f t="shared" si="333"/>
        <v>0</v>
      </c>
      <c r="AN395" s="272">
        <f t="shared" si="333"/>
        <v>0</v>
      </c>
      <c r="AO395" s="272">
        <f t="shared" si="333"/>
        <v>0</v>
      </c>
      <c r="AP395" s="272">
        <f t="shared" si="333"/>
        <v>0</v>
      </c>
      <c r="AQ395" s="272">
        <f t="shared" si="333"/>
        <v>0</v>
      </c>
      <c r="AR395" s="272">
        <f t="shared" si="333"/>
        <v>0</v>
      </c>
      <c r="AS395" s="272">
        <f t="shared" si="333"/>
        <v>0</v>
      </c>
      <c r="AT395" s="272">
        <f t="shared" si="333"/>
        <v>0</v>
      </c>
      <c r="AU395" s="272">
        <f t="shared" si="333"/>
        <v>0</v>
      </c>
      <c r="AV395" s="272">
        <f t="shared" si="333"/>
        <v>0</v>
      </c>
      <c r="AW395" s="272">
        <f t="shared" si="333"/>
        <v>0</v>
      </c>
      <c r="AX395" s="272">
        <f t="shared" si="333"/>
        <v>0</v>
      </c>
      <c r="AY395" s="272">
        <f t="shared" si="333"/>
        <v>0</v>
      </c>
      <c r="AZ395" s="272">
        <f t="shared" si="333"/>
        <v>0</v>
      </c>
      <c r="BA395" s="272">
        <f t="shared" si="333"/>
        <v>0</v>
      </c>
      <c r="BB395" s="272">
        <f t="shared" si="333"/>
        <v>0</v>
      </c>
      <c r="BC395" s="272">
        <f t="shared" si="333"/>
        <v>0</v>
      </c>
      <c r="BD395" s="272">
        <f t="shared" si="333"/>
        <v>0</v>
      </c>
      <c r="BE395" s="272">
        <f t="shared" si="333"/>
        <v>0</v>
      </c>
      <c r="BF395" s="272">
        <f t="shared" si="333"/>
        <v>0</v>
      </c>
      <c r="BG395" s="272">
        <f t="shared" si="333"/>
        <v>0</v>
      </c>
      <c r="BH395" s="272">
        <f t="shared" si="333"/>
        <v>0</v>
      </c>
      <c r="BI395" s="272">
        <f t="shared" si="333"/>
        <v>0</v>
      </c>
      <c r="BJ395" s="272">
        <f t="shared" si="333"/>
        <v>0</v>
      </c>
      <c r="BK395" s="272">
        <f t="shared" si="333"/>
        <v>0</v>
      </c>
      <c r="BL395" s="272">
        <f t="shared" si="333"/>
        <v>0</v>
      </c>
      <c r="BM395" s="272">
        <f t="shared" si="333"/>
        <v>0</v>
      </c>
      <c r="BN395" s="324">
        <f t="shared" si="333"/>
        <v>0</v>
      </c>
    </row>
    <row r="396" spans="32:66" ht="20.100000000000001" customHeight="1">
      <c r="AF396" s="1505"/>
      <c r="AG396" s="251" t="s">
        <v>1221</v>
      </c>
      <c r="AH396" s="280"/>
      <c r="AI396" s="251">
        <f>INDEX('DEFAULT DATA'!$VE$9:$VK$41,START!$C$3,2)</f>
        <v>279</v>
      </c>
      <c r="AJ396" s="195">
        <f>INDEX('DEFAULT DATA'!$XS$9:$XZ$41,START!$C$3,3)</f>
        <v>0</v>
      </c>
      <c r="AK396" s="345">
        <v>0</v>
      </c>
      <c r="AL396" s="272">
        <f t="shared" ref="AL396:BN396" si="334">IF(AND(AL$373&gt;($D$96+2020),AL$373&lt;($E$96+2022)),AK396+($AI$396*$AJ$396*((100-$F$96)/100)*ROUND(($C$96/100*$B$96)/($E$96-$D$96+1),0)/1000000),AK396)</f>
        <v>0</v>
      </c>
      <c r="AM396" s="272">
        <f t="shared" si="334"/>
        <v>0</v>
      </c>
      <c r="AN396" s="272">
        <f t="shared" si="334"/>
        <v>0</v>
      </c>
      <c r="AO396" s="272">
        <f t="shared" si="334"/>
        <v>0</v>
      </c>
      <c r="AP396" s="272">
        <f t="shared" si="334"/>
        <v>0</v>
      </c>
      <c r="AQ396" s="272">
        <f t="shared" si="334"/>
        <v>0</v>
      </c>
      <c r="AR396" s="272">
        <f t="shared" si="334"/>
        <v>0</v>
      </c>
      <c r="AS396" s="272">
        <f t="shared" si="334"/>
        <v>0</v>
      </c>
      <c r="AT396" s="272">
        <f t="shared" si="334"/>
        <v>0</v>
      </c>
      <c r="AU396" s="272">
        <f t="shared" si="334"/>
        <v>0</v>
      </c>
      <c r="AV396" s="272">
        <f t="shared" si="334"/>
        <v>0</v>
      </c>
      <c r="AW396" s="272">
        <f t="shared" si="334"/>
        <v>0</v>
      </c>
      <c r="AX396" s="272">
        <f t="shared" si="334"/>
        <v>0</v>
      </c>
      <c r="AY396" s="272">
        <f t="shared" si="334"/>
        <v>0</v>
      </c>
      <c r="AZ396" s="272">
        <f t="shared" si="334"/>
        <v>0</v>
      </c>
      <c r="BA396" s="272">
        <f t="shared" si="334"/>
        <v>0</v>
      </c>
      <c r="BB396" s="272">
        <f t="shared" si="334"/>
        <v>0</v>
      </c>
      <c r="BC396" s="272">
        <f t="shared" si="334"/>
        <v>0</v>
      </c>
      <c r="BD396" s="272">
        <f t="shared" si="334"/>
        <v>0</v>
      </c>
      <c r="BE396" s="272">
        <f t="shared" si="334"/>
        <v>0</v>
      </c>
      <c r="BF396" s="272">
        <f t="shared" si="334"/>
        <v>0</v>
      </c>
      <c r="BG396" s="272">
        <f t="shared" si="334"/>
        <v>0</v>
      </c>
      <c r="BH396" s="272">
        <f t="shared" si="334"/>
        <v>0</v>
      </c>
      <c r="BI396" s="272">
        <f t="shared" si="334"/>
        <v>0</v>
      </c>
      <c r="BJ396" s="272">
        <f t="shared" si="334"/>
        <v>0</v>
      </c>
      <c r="BK396" s="272">
        <f t="shared" si="334"/>
        <v>0</v>
      </c>
      <c r="BL396" s="272">
        <f t="shared" si="334"/>
        <v>0</v>
      </c>
      <c r="BM396" s="272">
        <f t="shared" si="334"/>
        <v>0</v>
      </c>
      <c r="BN396" s="324">
        <f t="shared" si="334"/>
        <v>0</v>
      </c>
    </row>
    <row r="397" spans="32:66" ht="20.100000000000001" customHeight="1">
      <c r="AF397" s="1505"/>
      <c r="AG397" s="251" t="s">
        <v>1222</v>
      </c>
      <c r="AH397" s="280"/>
      <c r="AI397" s="251">
        <f>INDEX('DEFAULT DATA'!$VE$9:$VK$41,START!$C$3,3)</f>
        <v>354</v>
      </c>
      <c r="AJ397" s="195">
        <f>INDEX('DEFAULT DATA'!$XS$9:$XZ$41,START!$C$3,4)</f>
        <v>0</v>
      </c>
      <c r="AK397" s="345">
        <v>0</v>
      </c>
      <c r="AL397" s="272">
        <f t="shared" ref="AL397:BN397" si="335">IF(AND(AL$373&gt;($D$96+2020),AL$373&lt;($E$96+2022)),AK397+($AI$397*$AJ$397*((100-$F$96)/100)*ROUND(($C$96/100*$B$96)/($E$96-$D$96+1),0)/1000000),AK397)</f>
        <v>0</v>
      </c>
      <c r="AM397" s="272">
        <f t="shared" si="335"/>
        <v>0</v>
      </c>
      <c r="AN397" s="272">
        <f t="shared" si="335"/>
        <v>0</v>
      </c>
      <c r="AO397" s="272">
        <f t="shared" si="335"/>
        <v>0</v>
      </c>
      <c r="AP397" s="272">
        <f t="shared" si="335"/>
        <v>0</v>
      </c>
      <c r="AQ397" s="272">
        <f t="shared" si="335"/>
        <v>0</v>
      </c>
      <c r="AR397" s="272">
        <f t="shared" si="335"/>
        <v>0</v>
      </c>
      <c r="AS397" s="272">
        <f t="shared" si="335"/>
        <v>0</v>
      </c>
      <c r="AT397" s="272">
        <f t="shared" si="335"/>
        <v>0</v>
      </c>
      <c r="AU397" s="272">
        <f t="shared" si="335"/>
        <v>0</v>
      </c>
      <c r="AV397" s="272">
        <f t="shared" si="335"/>
        <v>0</v>
      </c>
      <c r="AW397" s="272">
        <f t="shared" si="335"/>
        <v>0</v>
      </c>
      <c r="AX397" s="272">
        <f t="shared" si="335"/>
        <v>0</v>
      </c>
      <c r="AY397" s="272">
        <f t="shared" si="335"/>
        <v>0</v>
      </c>
      <c r="AZ397" s="272">
        <f t="shared" si="335"/>
        <v>0</v>
      </c>
      <c r="BA397" s="272">
        <f t="shared" si="335"/>
        <v>0</v>
      </c>
      <c r="BB397" s="272">
        <f t="shared" si="335"/>
        <v>0</v>
      </c>
      <c r="BC397" s="272">
        <f t="shared" si="335"/>
        <v>0</v>
      </c>
      <c r="BD397" s="272">
        <f t="shared" si="335"/>
        <v>0</v>
      </c>
      <c r="BE397" s="272">
        <f t="shared" si="335"/>
        <v>0</v>
      </c>
      <c r="BF397" s="272">
        <f t="shared" si="335"/>
        <v>0</v>
      </c>
      <c r="BG397" s="272">
        <f t="shared" si="335"/>
        <v>0</v>
      </c>
      <c r="BH397" s="272">
        <f t="shared" si="335"/>
        <v>0</v>
      </c>
      <c r="BI397" s="272">
        <f t="shared" si="335"/>
        <v>0</v>
      </c>
      <c r="BJ397" s="272">
        <f t="shared" si="335"/>
        <v>0</v>
      </c>
      <c r="BK397" s="272">
        <f t="shared" si="335"/>
        <v>0</v>
      </c>
      <c r="BL397" s="272">
        <f t="shared" si="335"/>
        <v>0</v>
      </c>
      <c r="BM397" s="272">
        <f t="shared" si="335"/>
        <v>0</v>
      </c>
      <c r="BN397" s="324">
        <f t="shared" si="335"/>
        <v>0</v>
      </c>
    </row>
    <row r="398" spans="32:66" ht="20.100000000000001" customHeight="1">
      <c r="AF398" s="1505"/>
      <c r="AG398" s="251" t="s">
        <v>1223</v>
      </c>
      <c r="AH398" s="280"/>
      <c r="AI398" s="251">
        <f>INDEX('DEFAULT DATA'!$VE$9:$VK$41,START!$C$3,4)</f>
        <v>0</v>
      </c>
      <c r="AJ398" s="195">
        <f>INDEX('DEFAULT DATA'!$XS$9:$XZ$41,START!$C$3,5)</f>
        <v>0</v>
      </c>
      <c r="AK398" s="345">
        <v>0</v>
      </c>
      <c r="AL398" s="272">
        <f t="shared" ref="AL398:BN398" si="336">IF(AND(AL$373&gt;($D$96+2020),AL$373&lt;($E$96+2022)),AK398+($AI$398*$AJ$398*((100-$F$96)/100)*ROUND(($C$96/100*$B$96)/($E$96-$D$96+1),0)/1000000),AK398)</f>
        <v>0</v>
      </c>
      <c r="AM398" s="272">
        <f t="shared" si="336"/>
        <v>0</v>
      </c>
      <c r="AN398" s="272">
        <f t="shared" si="336"/>
        <v>0</v>
      </c>
      <c r="AO398" s="272">
        <f t="shared" si="336"/>
        <v>0</v>
      </c>
      <c r="AP398" s="272">
        <f t="shared" si="336"/>
        <v>0</v>
      </c>
      <c r="AQ398" s="272">
        <f t="shared" si="336"/>
        <v>0</v>
      </c>
      <c r="AR398" s="272">
        <f t="shared" si="336"/>
        <v>0</v>
      </c>
      <c r="AS398" s="272">
        <f t="shared" si="336"/>
        <v>0</v>
      </c>
      <c r="AT398" s="272">
        <f t="shared" si="336"/>
        <v>0</v>
      </c>
      <c r="AU398" s="272">
        <f t="shared" si="336"/>
        <v>0</v>
      </c>
      <c r="AV398" s="272">
        <f t="shared" si="336"/>
        <v>0</v>
      </c>
      <c r="AW398" s="272">
        <f t="shared" si="336"/>
        <v>0</v>
      </c>
      <c r="AX398" s="272">
        <f t="shared" si="336"/>
        <v>0</v>
      </c>
      <c r="AY398" s="272">
        <f t="shared" si="336"/>
        <v>0</v>
      </c>
      <c r="AZ398" s="272">
        <f t="shared" si="336"/>
        <v>0</v>
      </c>
      <c r="BA398" s="272">
        <f t="shared" si="336"/>
        <v>0</v>
      </c>
      <c r="BB398" s="272">
        <f t="shared" si="336"/>
        <v>0</v>
      </c>
      <c r="BC398" s="272">
        <f t="shared" si="336"/>
        <v>0</v>
      </c>
      <c r="BD398" s="272">
        <f t="shared" si="336"/>
        <v>0</v>
      </c>
      <c r="BE398" s="272">
        <f t="shared" si="336"/>
        <v>0</v>
      </c>
      <c r="BF398" s="272">
        <f t="shared" si="336"/>
        <v>0</v>
      </c>
      <c r="BG398" s="272">
        <f t="shared" si="336"/>
        <v>0</v>
      </c>
      <c r="BH398" s="272">
        <f t="shared" si="336"/>
        <v>0</v>
      </c>
      <c r="BI398" s="272">
        <f t="shared" si="336"/>
        <v>0</v>
      </c>
      <c r="BJ398" s="272">
        <f t="shared" si="336"/>
        <v>0</v>
      </c>
      <c r="BK398" s="272">
        <f t="shared" si="336"/>
        <v>0</v>
      </c>
      <c r="BL398" s="272">
        <f t="shared" si="336"/>
        <v>0</v>
      </c>
      <c r="BM398" s="272">
        <f t="shared" si="336"/>
        <v>0</v>
      </c>
      <c r="BN398" s="324">
        <f t="shared" si="336"/>
        <v>0</v>
      </c>
    </row>
    <row r="399" spans="32:66" ht="20.100000000000001" customHeight="1">
      <c r="AF399" s="1505"/>
      <c r="AG399" s="251" t="s">
        <v>1224</v>
      </c>
      <c r="AH399" s="280"/>
      <c r="AI399" s="251">
        <f>INDEX('DEFAULT DATA'!$VE$9:$VK$41,START!$C$3,5)</f>
        <v>403</v>
      </c>
      <c r="AJ399" s="195">
        <f>INDEX('DEFAULT DATA'!$XS$9:$XZ$41,START!$C$3,6)</f>
        <v>0</v>
      </c>
      <c r="AK399" s="345">
        <v>0</v>
      </c>
      <c r="AL399" s="272">
        <f t="shared" ref="AL399:BN399" si="337">IF(AND(AL$373&gt;($D$96+2020),AL$373&lt;($E$96+2022)),AK399+($AI$399*$AJ$399*((100-$F$96)/100)*ROUND(($C$96/100*$B$96)/($E$96-$D$96+1),0)/1000000),AK399)</f>
        <v>0</v>
      </c>
      <c r="AM399" s="272">
        <f t="shared" si="337"/>
        <v>0</v>
      </c>
      <c r="AN399" s="272">
        <f t="shared" si="337"/>
        <v>0</v>
      </c>
      <c r="AO399" s="272">
        <f t="shared" si="337"/>
        <v>0</v>
      </c>
      <c r="AP399" s="272">
        <f t="shared" si="337"/>
        <v>0</v>
      </c>
      <c r="AQ399" s="272">
        <f t="shared" si="337"/>
        <v>0</v>
      </c>
      <c r="AR399" s="272">
        <f t="shared" si="337"/>
        <v>0</v>
      </c>
      <c r="AS399" s="272">
        <f t="shared" si="337"/>
        <v>0</v>
      </c>
      <c r="AT399" s="272">
        <f t="shared" si="337"/>
        <v>0</v>
      </c>
      <c r="AU399" s="272">
        <f t="shared" si="337"/>
        <v>0</v>
      </c>
      <c r="AV399" s="272">
        <f t="shared" si="337"/>
        <v>0</v>
      </c>
      <c r="AW399" s="272">
        <f t="shared" si="337"/>
        <v>0</v>
      </c>
      <c r="AX399" s="272">
        <f t="shared" si="337"/>
        <v>0</v>
      </c>
      <c r="AY399" s="272">
        <f t="shared" si="337"/>
        <v>0</v>
      </c>
      <c r="AZ399" s="272">
        <f t="shared" si="337"/>
        <v>0</v>
      </c>
      <c r="BA399" s="272">
        <f t="shared" si="337"/>
        <v>0</v>
      </c>
      <c r="BB399" s="272">
        <f t="shared" si="337"/>
        <v>0</v>
      </c>
      <c r="BC399" s="272">
        <f t="shared" si="337"/>
        <v>0</v>
      </c>
      <c r="BD399" s="272">
        <f t="shared" si="337"/>
        <v>0</v>
      </c>
      <c r="BE399" s="272">
        <f t="shared" si="337"/>
        <v>0</v>
      </c>
      <c r="BF399" s="272">
        <f t="shared" si="337"/>
        <v>0</v>
      </c>
      <c r="BG399" s="272">
        <f t="shared" si="337"/>
        <v>0</v>
      </c>
      <c r="BH399" s="272">
        <f t="shared" si="337"/>
        <v>0</v>
      </c>
      <c r="BI399" s="272">
        <f t="shared" si="337"/>
        <v>0</v>
      </c>
      <c r="BJ399" s="272">
        <f t="shared" si="337"/>
        <v>0</v>
      </c>
      <c r="BK399" s="272">
        <f t="shared" si="337"/>
        <v>0</v>
      </c>
      <c r="BL399" s="272">
        <f t="shared" si="337"/>
        <v>0</v>
      </c>
      <c r="BM399" s="272">
        <f t="shared" si="337"/>
        <v>0</v>
      </c>
      <c r="BN399" s="324">
        <f t="shared" si="337"/>
        <v>0</v>
      </c>
    </row>
    <row r="400" spans="32:66" ht="20.100000000000001" customHeight="1">
      <c r="AF400" s="1505"/>
      <c r="AG400" s="251" t="s">
        <v>1225</v>
      </c>
      <c r="AH400" s="280"/>
      <c r="AI400" s="251">
        <f>INDEX('DEFAULT DATA'!$VE$9:$VK$41,START!$C$3,6)</f>
        <v>0</v>
      </c>
      <c r="AJ400" s="195">
        <f>INDEX('DEFAULT DATA'!$XS$9:$XZ$41,START!$C$3,7)</f>
        <v>1376.1848933486999</v>
      </c>
      <c r="AK400" s="345">
        <v>0</v>
      </c>
      <c r="AL400" s="272">
        <f t="shared" ref="AL400:BN400" si="338">IF(AND(AL$373&gt;($D$96+2020),AL$373&lt;($E$96+2022)),AK400+($AI$400*$AJ$400*((100-$F$96)/100)*ROUND(($C$96/100*$B$96)/($E$96-$D$96+1),0)/1000000),AK400)</f>
        <v>0</v>
      </c>
      <c r="AM400" s="272">
        <f t="shared" si="338"/>
        <v>0</v>
      </c>
      <c r="AN400" s="272">
        <f t="shared" si="338"/>
        <v>0</v>
      </c>
      <c r="AO400" s="272">
        <f t="shared" si="338"/>
        <v>0</v>
      </c>
      <c r="AP400" s="272">
        <f t="shared" si="338"/>
        <v>0</v>
      </c>
      <c r="AQ400" s="272">
        <f t="shared" si="338"/>
        <v>0</v>
      </c>
      <c r="AR400" s="272">
        <f t="shared" si="338"/>
        <v>0</v>
      </c>
      <c r="AS400" s="272">
        <f t="shared" si="338"/>
        <v>0</v>
      </c>
      <c r="AT400" s="272">
        <f t="shared" si="338"/>
        <v>0</v>
      </c>
      <c r="AU400" s="272">
        <f t="shared" si="338"/>
        <v>0</v>
      </c>
      <c r="AV400" s="272">
        <f t="shared" si="338"/>
        <v>0</v>
      </c>
      <c r="AW400" s="272">
        <f t="shared" si="338"/>
        <v>0</v>
      </c>
      <c r="AX400" s="272">
        <f t="shared" si="338"/>
        <v>0</v>
      </c>
      <c r="AY400" s="272">
        <f t="shared" si="338"/>
        <v>0</v>
      </c>
      <c r="AZ400" s="272">
        <f t="shared" si="338"/>
        <v>0</v>
      </c>
      <c r="BA400" s="272">
        <f t="shared" si="338"/>
        <v>0</v>
      </c>
      <c r="BB400" s="272">
        <f t="shared" si="338"/>
        <v>0</v>
      </c>
      <c r="BC400" s="272">
        <f t="shared" si="338"/>
        <v>0</v>
      </c>
      <c r="BD400" s="272">
        <f t="shared" si="338"/>
        <v>0</v>
      </c>
      <c r="BE400" s="272">
        <f t="shared" si="338"/>
        <v>0</v>
      </c>
      <c r="BF400" s="272">
        <f t="shared" si="338"/>
        <v>0</v>
      </c>
      <c r="BG400" s="272">
        <f t="shared" si="338"/>
        <v>0</v>
      </c>
      <c r="BH400" s="272">
        <f t="shared" si="338"/>
        <v>0</v>
      </c>
      <c r="BI400" s="272">
        <f t="shared" si="338"/>
        <v>0</v>
      </c>
      <c r="BJ400" s="272">
        <f t="shared" si="338"/>
        <v>0</v>
      </c>
      <c r="BK400" s="272">
        <f t="shared" si="338"/>
        <v>0</v>
      </c>
      <c r="BL400" s="272">
        <f t="shared" si="338"/>
        <v>0</v>
      </c>
      <c r="BM400" s="272">
        <f t="shared" si="338"/>
        <v>0</v>
      </c>
      <c r="BN400" s="324">
        <f t="shared" si="338"/>
        <v>0</v>
      </c>
    </row>
    <row r="401" spans="32:66" ht="20.100000000000001" customHeight="1" thickBot="1">
      <c r="AF401" s="1506"/>
      <c r="AG401" s="310" t="s">
        <v>1226</v>
      </c>
      <c r="AH401" s="288"/>
      <c r="AI401" s="310" t="s">
        <v>1497</v>
      </c>
      <c r="AJ401" s="260">
        <f>INDEX('DEFAULT DATA'!$XS$9:$XZ$41,START!$C$3,8)</f>
        <v>1651.4218720184397</v>
      </c>
      <c r="AK401" s="344">
        <v>0</v>
      </c>
      <c r="AL401" s="325">
        <f t="shared" ref="AL401:BN401" si="339">IF(AND(AL$373&gt;($D$96+2020),AL$373&lt;($E$96+2022)),AK401+(AL$6*$AJ$401*((100-$F$96)/100)*ROUND(($C$96/100*$B$96)/($E$96-$D$96+1),0)/1000000),AK401)</f>
        <v>0</v>
      </c>
      <c r="AM401" s="325">
        <f t="shared" si="339"/>
        <v>0</v>
      </c>
      <c r="AN401" s="325">
        <f t="shared" si="339"/>
        <v>0</v>
      </c>
      <c r="AO401" s="325">
        <f t="shared" si="339"/>
        <v>0</v>
      </c>
      <c r="AP401" s="325">
        <f t="shared" si="339"/>
        <v>0</v>
      </c>
      <c r="AQ401" s="325">
        <f t="shared" si="339"/>
        <v>0</v>
      </c>
      <c r="AR401" s="325">
        <f t="shared" si="339"/>
        <v>0</v>
      </c>
      <c r="AS401" s="325">
        <f t="shared" si="339"/>
        <v>0</v>
      </c>
      <c r="AT401" s="325">
        <f t="shared" si="339"/>
        <v>0</v>
      </c>
      <c r="AU401" s="325">
        <f t="shared" si="339"/>
        <v>0</v>
      </c>
      <c r="AV401" s="325">
        <f t="shared" si="339"/>
        <v>0</v>
      </c>
      <c r="AW401" s="325">
        <f t="shared" si="339"/>
        <v>0</v>
      </c>
      <c r="AX401" s="325">
        <f t="shared" si="339"/>
        <v>0</v>
      </c>
      <c r="AY401" s="325">
        <f t="shared" si="339"/>
        <v>0</v>
      </c>
      <c r="AZ401" s="325">
        <f t="shared" si="339"/>
        <v>0</v>
      </c>
      <c r="BA401" s="325">
        <f t="shared" si="339"/>
        <v>0</v>
      </c>
      <c r="BB401" s="325">
        <f t="shared" si="339"/>
        <v>0</v>
      </c>
      <c r="BC401" s="325">
        <f t="shared" si="339"/>
        <v>0</v>
      </c>
      <c r="BD401" s="325">
        <f t="shared" si="339"/>
        <v>0</v>
      </c>
      <c r="BE401" s="325">
        <f t="shared" si="339"/>
        <v>0</v>
      </c>
      <c r="BF401" s="325">
        <f t="shared" si="339"/>
        <v>0</v>
      </c>
      <c r="BG401" s="325">
        <f t="shared" si="339"/>
        <v>0</v>
      </c>
      <c r="BH401" s="325">
        <f t="shared" si="339"/>
        <v>0</v>
      </c>
      <c r="BI401" s="325">
        <f t="shared" si="339"/>
        <v>0</v>
      </c>
      <c r="BJ401" s="325">
        <f t="shared" si="339"/>
        <v>0</v>
      </c>
      <c r="BK401" s="325">
        <f t="shared" si="339"/>
        <v>0</v>
      </c>
      <c r="BL401" s="325">
        <f t="shared" si="339"/>
        <v>0</v>
      </c>
      <c r="BM401" s="325">
        <f t="shared" si="339"/>
        <v>0</v>
      </c>
      <c r="BN401" s="326">
        <f t="shared" si="339"/>
        <v>0</v>
      </c>
    </row>
    <row r="402" spans="32:66" ht="20.100000000000001" customHeight="1">
      <c r="AF402" s="332"/>
      <c r="AG402" s="285" t="s">
        <v>1456</v>
      </c>
      <c r="AH402" s="285"/>
      <c r="AI402" s="285"/>
      <c r="AJ402" s="285"/>
      <c r="AK402" s="342">
        <v>0</v>
      </c>
      <c r="AL402" s="327">
        <f>SUM(AL394:AL401)</f>
        <v>0</v>
      </c>
      <c r="AM402" s="327">
        <f t="shared" ref="AM402" si="340">SUM(AM394:AM401)</f>
        <v>0</v>
      </c>
      <c r="AN402" s="327">
        <f t="shared" ref="AN402" si="341">SUM(AN394:AN401)</f>
        <v>0</v>
      </c>
      <c r="AO402" s="327">
        <f t="shared" ref="AO402" si="342">SUM(AO394:AO401)</f>
        <v>0</v>
      </c>
      <c r="AP402" s="327">
        <f t="shared" ref="AP402" si="343">SUM(AP394:AP401)</f>
        <v>0</v>
      </c>
      <c r="AQ402" s="327">
        <f t="shared" ref="AQ402" si="344">SUM(AQ394:AQ401)</f>
        <v>0</v>
      </c>
      <c r="AR402" s="327">
        <f t="shared" ref="AR402" si="345">SUM(AR394:AR401)</f>
        <v>0</v>
      </c>
      <c r="AS402" s="327">
        <f t="shared" ref="AS402" si="346">SUM(AS394:AS401)</f>
        <v>0</v>
      </c>
      <c r="AT402" s="327">
        <f t="shared" ref="AT402" si="347">SUM(AT394:AT401)</f>
        <v>0</v>
      </c>
      <c r="AU402" s="327">
        <f t="shared" ref="AU402" si="348">SUM(AU394:AU401)</f>
        <v>0</v>
      </c>
      <c r="AV402" s="327">
        <f t="shared" ref="AV402" si="349">SUM(AV394:AV401)</f>
        <v>0</v>
      </c>
      <c r="AW402" s="327">
        <f t="shared" ref="AW402" si="350">SUM(AW394:AW401)</f>
        <v>0</v>
      </c>
      <c r="AX402" s="327">
        <f t="shared" ref="AX402" si="351">SUM(AX394:AX401)</f>
        <v>0</v>
      </c>
      <c r="AY402" s="327">
        <f t="shared" ref="AY402" si="352">SUM(AY394:AY401)</f>
        <v>0</v>
      </c>
      <c r="AZ402" s="327">
        <f t="shared" ref="AZ402" si="353">SUM(AZ394:AZ401)</f>
        <v>0</v>
      </c>
      <c r="BA402" s="327">
        <f t="shared" ref="BA402" si="354">SUM(BA394:BA401)</f>
        <v>0</v>
      </c>
      <c r="BB402" s="327">
        <f t="shared" ref="BB402" si="355">SUM(BB394:BB401)</f>
        <v>0</v>
      </c>
      <c r="BC402" s="327">
        <f t="shared" ref="BC402" si="356">SUM(BC394:BC401)</f>
        <v>0</v>
      </c>
      <c r="BD402" s="327">
        <f t="shared" ref="BD402" si="357">SUM(BD394:BD401)</f>
        <v>0</v>
      </c>
      <c r="BE402" s="327">
        <f t="shared" ref="BE402" si="358">SUM(BE394:BE401)</f>
        <v>0</v>
      </c>
      <c r="BF402" s="327">
        <f t="shared" ref="BF402" si="359">SUM(BF394:BF401)</f>
        <v>0</v>
      </c>
      <c r="BG402" s="327">
        <f t="shared" ref="BG402" si="360">SUM(BG394:BG401)</f>
        <v>0</v>
      </c>
      <c r="BH402" s="327">
        <f t="shared" ref="BH402" si="361">SUM(BH394:BH401)</f>
        <v>0</v>
      </c>
      <c r="BI402" s="327">
        <f t="shared" ref="BI402" si="362">SUM(BI394:BI401)</f>
        <v>0</v>
      </c>
      <c r="BJ402" s="327">
        <f t="shared" ref="BJ402" si="363">SUM(BJ394:BJ401)</f>
        <v>0</v>
      </c>
      <c r="BK402" s="327">
        <f t="shared" ref="BK402" si="364">SUM(BK394:BK401)</f>
        <v>0</v>
      </c>
      <c r="BL402" s="327">
        <f t="shared" ref="BL402" si="365">SUM(BL394:BL401)</f>
        <v>0</v>
      </c>
      <c r="BM402" s="327">
        <f t="shared" ref="BM402" si="366">SUM(BM394:BM401)</f>
        <v>0</v>
      </c>
      <c r="BN402" s="327">
        <f t="shared" ref="BN402" si="367">SUM(BN394:BN401)</f>
        <v>0</v>
      </c>
    </row>
    <row r="403" spans="32:66" ht="20.100000000000001" customHeight="1" thickBot="1"/>
    <row r="404" spans="32:66" ht="20.100000000000001" customHeight="1">
      <c r="AF404" s="1491" t="s">
        <v>1217</v>
      </c>
      <c r="AG404" s="286" t="s">
        <v>933</v>
      </c>
      <c r="AH404" s="287"/>
      <c r="AI404" s="286" t="s">
        <v>1496</v>
      </c>
      <c r="AJ404" s="313">
        <f>INDEX('DEFAULT DATA'!$YA$9:$YH$41,START!$C$3,1)</f>
        <v>3044.6214149576331</v>
      </c>
      <c r="AK404" s="343">
        <v>0</v>
      </c>
      <c r="AL404" s="328">
        <f t="shared" ref="AL404:BN404" si="368">IF(AND(AL$373&gt;($D$97+2020),AL$373&lt;($E$97+2022)),AK404+(AL$5*$AJ$404*((100-$F$97)/100)*ROUND(($C$97/100*$B$97)/($E$97-$D$97+1),0)/1000000),AK404)</f>
        <v>0</v>
      </c>
      <c r="AM404" s="328">
        <f t="shared" si="368"/>
        <v>0</v>
      </c>
      <c r="AN404" s="328">
        <f t="shared" si="368"/>
        <v>0</v>
      </c>
      <c r="AO404" s="328">
        <f t="shared" si="368"/>
        <v>0</v>
      </c>
      <c r="AP404" s="328">
        <f t="shared" si="368"/>
        <v>0</v>
      </c>
      <c r="AQ404" s="328">
        <f t="shared" si="368"/>
        <v>0</v>
      </c>
      <c r="AR404" s="328">
        <f t="shared" si="368"/>
        <v>0</v>
      </c>
      <c r="AS404" s="328">
        <f t="shared" si="368"/>
        <v>0</v>
      </c>
      <c r="AT404" s="328">
        <f t="shared" si="368"/>
        <v>0</v>
      </c>
      <c r="AU404" s="328">
        <f t="shared" si="368"/>
        <v>0</v>
      </c>
      <c r="AV404" s="328">
        <f t="shared" si="368"/>
        <v>0</v>
      </c>
      <c r="AW404" s="328">
        <f t="shared" si="368"/>
        <v>0</v>
      </c>
      <c r="AX404" s="328">
        <f t="shared" si="368"/>
        <v>0</v>
      </c>
      <c r="AY404" s="328">
        <f t="shared" si="368"/>
        <v>0</v>
      </c>
      <c r="AZ404" s="328">
        <f t="shared" si="368"/>
        <v>0</v>
      </c>
      <c r="BA404" s="328">
        <f t="shared" si="368"/>
        <v>0</v>
      </c>
      <c r="BB404" s="328">
        <f t="shared" si="368"/>
        <v>0</v>
      </c>
      <c r="BC404" s="328">
        <f t="shared" si="368"/>
        <v>0</v>
      </c>
      <c r="BD404" s="328">
        <f t="shared" si="368"/>
        <v>0</v>
      </c>
      <c r="BE404" s="328">
        <f t="shared" si="368"/>
        <v>0</v>
      </c>
      <c r="BF404" s="328">
        <f t="shared" si="368"/>
        <v>0</v>
      </c>
      <c r="BG404" s="328">
        <f t="shared" si="368"/>
        <v>0</v>
      </c>
      <c r="BH404" s="328">
        <f t="shared" si="368"/>
        <v>0</v>
      </c>
      <c r="BI404" s="328">
        <f t="shared" si="368"/>
        <v>0</v>
      </c>
      <c r="BJ404" s="328">
        <f t="shared" si="368"/>
        <v>0</v>
      </c>
      <c r="BK404" s="328">
        <f t="shared" si="368"/>
        <v>0</v>
      </c>
      <c r="BL404" s="328">
        <f t="shared" si="368"/>
        <v>0</v>
      </c>
      <c r="BM404" s="328">
        <f t="shared" si="368"/>
        <v>0</v>
      </c>
      <c r="BN404" s="329">
        <f t="shared" si="368"/>
        <v>0</v>
      </c>
    </row>
    <row r="405" spans="32:66" ht="20.100000000000001" customHeight="1">
      <c r="AF405" s="1492"/>
      <c r="AG405" s="251" t="s">
        <v>1220</v>
      </c>
      <c r="AH405" s="280"/>
      <c r="AI405" s="251">
        <f>INDEX('DEFAULT DATA'!$VE$9:$VK$41,START!$C$3,1)</f>
        <v>202</v>
      </c>
      <c r="AJ405" s="195">
        <f>INDEX('DEFAULT DATA'!$YA$9:$YH$41,START!$C$3,2)</f>
        <v>0</v>
      </c>
      <c r="AK405" s="345">
        <v>0</v>
      </c>
      <c r="AL405" s="272">
        <f t="shared" ref="AL405:BN405" si="369">IF(AND(AL$373&gt;($D$97+2020),AL$373&lt;($E$97+2022)),AK405+($AI$405*$AJ$405*((100-$F$97)/100)*ROUND(($C$97/100*$B$97)/($E$97-$D$97+1),0)/1000000),AK405)</f>
        <v>0</v>
      </c>
      <c r="AM405" s="272">
        <f t="shared" si="369"/>
        <v>0</v>
      </c>
      <c r="AN405" s="272">
        <f t="shared" si="369"/>
        <v>0</v>
      </c>
      <c r="AO405" s="272">
        <f t="shared" si="369"/>
        <v>0</v>
      </c>
      <c r="AP405" s="272">
        <f t="shared" si="369"/>
        <v>0</v>
      </c>
      <c r="AQ405" s="272">
        <f t="shared" si="369"/>
        <v>0</v>
      </c>
      <c r="AR405" s="272">
        <f t="shared" si="369"/>
        <v>0</v>
      </c>
      <c r="AS405" s="272">
        <f t="shared" si="369"/>
        <v>0</v>
      </c>
      <c r="AT405" s="272">
        <f t="shared" si="369"/>
        <v>0</v>
      </c>
      <c r="AU405" s="272">
        <f t="shared" si="369"/>
        <v>0</v>
      </c>
      <c r="AV405" s="272">
        <f t="shared" si="369"/>
        <v>0</v>
      </c>
      <c r="AW405" s="272">
        <f t="shared" si="369"/>
        <v>0</v>
      </c>
      <c r="AX405" s="272">
        <f t="shared" si="369"/>
        <v>0</v>
      </c>
      <c r="AY405" s="272">
        <f t="shared" si="369"/>
        <v>0</v>
      </c>
      <c r="AZ405" s="272">
        <f t="shared" si="369"/>
        <v>0</v>
      </c>
      <c r="BA405" s="272">
        <f t="shared" si="369"/>
        <v>0</v>
      </c>
      <c r="BB405" s="272">
        <f t="shared" si="369"/>
        <v>0</v>
      </c>
      <c r="BC405" s="272">
        <f t="shared" si="369"/>
        <v>0</v>
      </c>
      <c r="BD405" s="272">
        <f t="shared" si="369"/>
        <v>0</v>
      </c>
      <c r="BE405" s="272">
        <f t="shared" si="369"/>
        <v>0</v>
      </c>
      <c r="BF405" s="272">
        <f t="shared" si="369"/>
        <v>0</v>
      </c>
      <c r="BG405" s="272">
        <f t="shared" si="369"/>
        <v>0</v>
      </c>
      <c r="BH405" s="272">
        <f t="shared" si="369"/>
        <v>0</v>
      </c>
      <c r="BI405" s="272">
        <f t="shared" si="369"/>
        <v>0</v>
      </c>
      <c r="BJ405" s="272">
        <f t="shared" si="369"/>
        <v>0</v>
      </c>
      <c r="BK405" s="272">
        <f t="shared" si="369"/>
        <v>0</v>
      </c>
      <c r="BL405" s="272">
        <f t="shared" si="369"/>
        <v>0</v>
      </c>
      <c r="BM405" s="272">
        <f t="shared" si="369"/>
        <v>0</v>
      </c>
      <c r="BN405" s="324">
        <f t="shared" si="369"/>
        <v>0</v>
      </c>
    </row>
    <row r="406" spans="32:66" ht="20.100000000000001" customHeight="1">
      <c r="AF406" s="1492"/>
      <c r="AG406" s="251" t="s">
        <v>1221</v>
      </c>
      <c r="AH406" s="280"/>
      <c r="AI406" s="251">
        <f>INDEX('DEFAULT DATA'!$VE$9:$VK$41,START!$C$3,2)</f>
        <v>279</v>
      </c>
      <c r="AJ406" s="195">
        <f>INDEX('DEFAULT DATA'!$YA$9:$YH$41,START!$C$3,3)</f>
        <v>0</v>
      </c>
      <c r="AK406" s="345">
        <v>0</v>
      </c>
      <c r="AL406" s="272">
        <f t="shared" ref="AL406:BN406" si="370">IF(AND(AL$373&gt;($D$97+2020),AL$373&lt;($E$97+2022)),AK406+($AI$406*$AJ$406*((100-$F$97)/100)*ROUND(($C$97/100*$B$97)/($E$97-$D$97+1),0)/1000000),AK406)</f>
        <v>0</v>
      </c>
      <c r="AM406" s="272">
        <f t="shared" si="370"/>
        <v>0</v>
      </c>
      <c r="AN406" s="272">
        <f t="shared" si="370"/>
        <v>0</v>
      </c>
      <c r="AO406" s="272">
        <f t="shared" si="370"/>
        <v>0</v>
      </c>
      <c r="AP406" s="272">
        <f t="shared" si="370"/>
        <v>0</v>
      </c>
      <c r="AQ406" s="272">
        <f t="shared" si="370"/>
        <v>0</v>
      </c>
      <c r="AR406" s="272">
        <f t="shared" si="370"/>
        <v>0</v>
      </c>
      <c r="AS406" s="272">
        <f t="shared" si="370"/>
        <v>0</v>
      </c>
      <c r="AT406" s="272">
        <f t="shared" si="370"/>
        <v>0</v>
      </c>
      <c r="AU406" s="272">
        <f t="shared" si="370"/>
        <v>0</v>
      </c>
      <c r="AV406" s="272">
        <f t="shared" si="370"/>
        <v>0</v>
      </c>
      <c r="AW406" s="272">
        <f t="shared" si="370"/>
        <v>0</v>
      </c>
      <c r="AX406" s="272">
        <f t="shared" si="370"/>
        <v>0</v>
      </c>
      <c r="AY406" s="272">
        <f t="shared" si="370"/>
        <v>0</v>
      </c>
      <c r="AZ406" s="272">
        <f t="shared" si="370"/>
        <v>0</v>
      </c>
      <c r="BA406" s="272">
        <f t="shared" si="370"/>
        <v>0</v>
      </c>
      <c r="BB406" s="272">
        <f t="shared" si="370"/>
        <v>0</v>
      </c>
      <c r="BC406" s="272">
        <f t="shared" si="370"/>
        <v>0</v>
      </c>
      <c r="BD406" s="272">
        <f t="shared" si="370"/>
        <v>0</v>
      </c>
      <c r="BE406" s="272">
        <f t="shared" si="370"/>
        <v>0</v>
      </c>
      <c r="BF406" s="272">
        <f t="shared" si="370"/>
        <v>0</v>
      </c>
      <c r="BG406" s="272">
        <f t="shared" si="370"/>
        <v>0</v>
      </c>
      <c r="BH406" s="272">
        <f t="shared" si="370"/>
        <v>0</v>
      </c>
      <c r="BI406" s="272">
        <f t="shared" si="370"/>
        <v>0</v>
      </c>
      <c r="BJ406" s="272">
        <f t="shared" si="370"/>
        <v>0</v>
      </c>
      <c r="BK406" s="272">
        <f t="shared" si="370"/>
        <v>0</v>
      </c>
      <c r="BL406" s="272">
        <f t="shared" si="370"/>
        <v>0</v>
      </c>
      <c r="BM406" s="272">
        <f t="shared" si="370"/>
        <v>0</v>
      </c>
      <c r="BN406" s="324">
        <f t="shared" si="370"/>
        <v>0</v>
      </c>
    </row>
    <row r="407" spans="32:66" ht="20.100000000000001" customHeight="1">
      <c r="AF407" s="1492"/>
      <c r="AG407" s="251" t="s">
        <v>1222</v>
      </c>
      <c r="AH407" s="280"/>
      <c r="AI407" s="251">
        <f>INDEX('DEFAULT DATA'!$VE$9:$VK$41,START!$C$3,3)</f>
        <v>354</v>
      </c>
      <c r="AJ407" s="195">
        <f>INDEX('DEFAULT DATA'!$YA$9:$YH$41,START!$C$3,4)</f>
        <v>0</v>
      </c>
      <c r="AK407" s="345">
        <v>0</v>
      </c>
      <c r="AL407" s="272">
        <f t="shared" ref="AL407:BN407" si="371">IF(AND(AL$373&gt;($D$97+2020),AL$373&lt;($E$97+2022)),AK407+($AI$407*$AJ$407*((100-$F$97)/100)*ROUND(($C$97/100*$B$97)/($E$97-$D$97+1),0)/1000000),AK407)</f>
        <v>0</v>
      </c>
      <c r="AM407" s="272">
        <f t="shared" si="371"/>
        <v>0</v>
      </c>
      <c r="AN407" s="272">
        <f t="shared" si="371"/>
        <v>0</v>
      </c>
      <c r="AO407" s="272">
        <f t="shared" si="371"/>
        <v>0</v>
      </c>
      <c r="AP407" s="272">
        <f t="shared" si="371"/>
        <v>0</v>
      </c>
      <c r="AQ407" s="272">
        <f t="shared" si="371"/>
        <v>0</v>
      </c>
      <c r="AR407" s="272">
        <f t="shared" si="371"/>
        <v>0</v>
      </c>
      <c r="AS407" s="272">
        <f t="shared" si="371"/>
        <v>0</v>
      </c>
      <c r="AT407" s="272">
        <f t="shared" si="371"/>
        <v>0</v>
      </c>
      <c r="AU407" s="272">
        <f t="shared" si="371"/>
        <v>0</v>
      </c>
      <c r="AV407" s="272">
        <f t="shared" si="371"/>
        <v>0</v>
      </c>
      <c r="AW407" s="272">
        <f t="shared" si="371"/>
        <v>0</v>
      </c>
      <c r="AX407" s="272">
        <f t="shared" si="371"/>
        <v>0</v>
      </c>
      <c r="AY407" s="272">
        <f t="shared" si="371"/>
        <v>0</v>
      </c>
      <c r="AZ407" s="272">
        <f t="shared" si="371"/>
        <v>0</v>
      </c>
      <c r="BA407" s="272">
        <f t="shared" si="371"/>
        <v>0</v>
      </c>
      <c r="BB407" s="272">
        <f t="shared" si="371"/>
        <v>0</v>
      </c>
      <c r="BC407" s="272">
        <f t="shared" si="371"/>
        <v>0</v>
      </c>
      <c r="BD407" s="272">
        <f t="shared" si="371"/>
        <v>0</v>
      </c>
      <c r="BE407" s="272">
        <f t="shared" si="371"/>
        <v>0</v>
      </c>
      <c r="BF407" s="272">
        <f t="shared" si="371"/>
        <v>0</v>
      </c>
      <c r="BG407" s="272">
        <f t="shared" si="371"/>
        <v>0</v>
      </c>
      <c r="BH407" s="272">
        <f t="shared" si="371"/>
        <v>0</v>
      </c>
      <c r="BI407" s="272">
        <f t="shared" si="371"/>
        <v>0</v>
      </c>
      <c r="BJ407" s="272">
        <f t="shared" si="371"/>
        <v>0</v>
      </c>
      <c r="BK407" s="272">
        <f t="shared" si="371"/>
        <v>0</v>
      </c>
      <c r="BL407" s="272">
        <f t="shared" si="371"/>
        <v>0</v>
      </c>
      <c r="BM407" s="272">
        <f t="shared" si="371"/>
        <v>0</v>
      </c>
      <c r="BN407" s="324">
        <f t="shared" si="371"/>
        <v>0</v>
      </c>
    </row>
    <row r="408" spans="32:66" ht="20.100000000000001" customHeight="1">
      <c r="AF408" s="1492"/>
      <c r="AG408" s="251" t="s">
        <v>1223</v>
      </c>
      <c r="AH408" s="280"/>
      <c r="AI408" s="251">
        <f>INDEX('DEFAULT DATA'!$VE$9:$VK$41,START!$C$3,4)</f>
        <v>0</v>
      </c>
      <c r="AJ408" s="195">
        <f>INDEX('DEFAULT DATA'!$YA$9:$YH$41,START!$C$3,5)</f>
        <v>0</v>
      </c>
      <c r="AK408" s="345">
        <v>0</v>
      </c>
      <c r="AL408" s="272">
        <f t="shared" ref="AL408:BN408" si="372">IF(AND(AL$373&gt;($D$97+2020),AL$373&lt;($E$97+2022)),AK408+($AI$408*$AJ$408*((100-$F$97)/100)*ROUND(($C$97/100*$B$97)/($E$97-$D$97+1),0)/1000000),AK408)</f>
        <v>0</v>
      </c>
      <c r="AM408" s="272">
        <f t="shared" si="372"/>
        <v>0</v>
      </c>
      <c r="AN408" s="272">
        <f t="shared" si="372"/>
        <v>0</v>
      </c>
      <c r="AO408" s="272">
        <f t="shared" si="372"/>
        <v>0</v>
      </c>
      <c r="AP408" s="272">
        <f t="shared" si="372"/>
        <v>0</v>
      </c>
      <c r="AQ408" s="272">
        <f t="shared" si="372"/>
        <v>0</v>
      </c>
      <c r="AR408" s="272">
        <f t="shared" si="372"/>
        <v>0</v>
      </c>
      <c r="AS408" s="272">
        <f t="shared" si="372"/>
        <v>0</v>
      </c>
      <c r="AT408" s="272">
        <f t="shared" si="372"/>
        <v>0</v>
      </c>
      <c r="AU408" s="272">
        <f t="shared" si="372"/>
        <v>0</v>
      </c>
      <c r="AV408" s="272">
        <f t="shared" si="372"/>
        <v>0</v>
      </c>
      <c r="AW408" s="272">
        <f t="shared" si="372"/>
        <v>0</v>
      </c>
      <c r="AX408" s="272">
        <f t="shared" si="372"/>
        <v>0</v>
      </c>
      <c r="AY408" s="272">
        <f t="shared" si="372"/>
        <v>0</v>
      </c>
      <c r="AZ408" s="272">
        <f t="shared" si="372"/>
        <v>0</v>
      </c>
      <c r="BA408" s="272">
        <f t="shared" si="372"/>
        <v>0</v>
      </c>
      <c r="BB408" s="272">
        <f t="shared" si="372"/>
        <v>0</v>
      </c>
      <c r="BC408" s="272">
        <f t="shared" si="372"/>
        <v>0</v>
      </c>
      <c r="BD408" s="272">
        <f t="shared" si="372"/>
        <v>0</v>
      </c>
      <c r="BE408" s="272">
        <f t="shared" si="372"/>
        <v>0</v>
      </c>
      <c r="BF408" s="272">
        <f t="shared" si="372"/>
        <v>0</v>
      </c>
      <c r="BG408" s="272">
        <f t="shared" si="372"/>
        <v>0</v>
      </c>
      <c r="BH408" s="272">
        <f t="shared" si="372"/>
        <v>0</v>
      </c>
      <c r="BI408" s="272">
        <f t="shared" si="372"/>
        <v>0</v>
      </c>
      <c r="BJ408" s="272">
        <f t="shared" si="372"/>
        <v>0</v>
      </c>
      <c r="BK408" s="272">
        <f t="shared" si="372"/>
        <v>0</v>
      </c>
      <c r="BL408" s="272">
        <f t="shared" si="372"/>
        <v>0</v>
      </c>
      <c r="BM408" s="272">
        <f t="shared" si="372"/>
        <v>0</v>
      </c>
      <c r="BN408" s="324">
        <f t="shared" si="372"/>
        <v>0</v>
      </c>
    </row>
    <row r="409" spans="32:66" ht="20.100000000000001" customHeight="1">
      <c r="AF409" s="1492"/>
      <c r="AG409" s="251" t="s">
        <v>1224</v>
      </c>
      <c r="AH409" s="280"/>
      <c r="AI409" s="251">
        <f>INDEX('DEFAULT DATA'!$VE$9:$VK$41,START!$C$3,5)</f>
        <v>403</v>
      </c>
      <c r="AJ409" s="195">
        <f>INDEX('DEFAULT DATA'!$YA$9:$YH$41,START!$C$3,6)</f>
        <v>0</v>
      </c>
      <c r="AK409" s="345">
        <v>0</v>
      </c>
      <c r="AL409" s="272">
        <f t="shared" ref="AL409:BN409" si="373">IF(AND(AL$373&gt;($D$97+2020),AL$373&lt;($E$97+2022)),AK409+($AI$409*$AJ$409*((100-$F$97)/100)*ROUND(($C$97/100*$B$97)/($E$97-$D$97+1),0)/1000000),AK409)</f>
        <v>0</v>
      </c>
      <c r="AM409" s="272">
        <f t="shared" si="373"/>
        <v>0</v>
      </c>
      <c r="AN409" s="272">
        <f t="shared" si="373"/>
        <v>0</v>
      </c>
      <c r="AO409" s="272">
        <f t="shared" si="373"/>
        <v>0</v>
      </c>
      <c r="AP409" s="272">
        <f t="shared" si="373"/>
        <v>0</v>
      </c>
      <c r="AQ409" s="272">
        <f t="shared" si="373"/>
        <v>0</v>
      </c>
      <c r="AR409" s="272">
        <f t="shared" si="373"/>
        <v>0</v>
      </c>
      <c r="AS409" s="272">
        <f t="shared" si="373"/>
        <v>0</v>
      </c>
      <c r="AT409" s="272">
        <f t="shared" si="373"/>
        <v>0</v>
      </c>
      <c r="AU409" s="272">
        <f t="shared" si="373"/>
        <v>0</v>
      </c>
      <c r="AV409" s="272">
        <f t="shared" si="373"/>
        <v>0</v>
      </c>
      <c r="AW409" s="272">
        <f t="shared" si="373"/>
        <v>0</v>
      </c>
      <c r="AX409" s="272">
        <f t="shared" si="373"/>
        <v>0</v>
      </c>
      <c r="AY409" s="272">
        <f t="shared" si="373"/>
        <v>0</v>
      </c>
      <c r="AZ409" s="272">
        <f t="shared" si="373"/>
        <v>0</v>
      </c>
      <c r="BA409" s="272">
        <f t="shared" si="373"/>
        <v>0</v>
      </c>
      <c r="BB409" s="272">
        <f t="shared" si="373"/>
        <v>0</v>
      </c>
      <c r="BC409" s="272">
        <f t="shared" si="373"/>
        <v>0</v>
      </c>
      <c r="BD409" s="272">
        <f t="shared" si="373"/>
        <v>0</v>
      </c>
      <c r="BE409" s="272">
        <f t="shared" si="373"/>
        <v>0</v>
      </c>
      <c r="BF409" s="272">
        <f t="shared" si="373"/>
        <v>0</v>
      </c>
      <c r="BG409" s="272">
        <f t="shared" si="373"/>
        <v>0</v>
      </c>
      <c r="BH409" s="272">
        <f t="shared" si="373"/>
        <v>0</v>
      </c>
      <c r="BI409" s="272">
        <f t="shared" si="373"/>
        <v>0</v>
      </c>
      <c r="BJ409" s="272">
        <f t="shared" si="373"/>
        <v>0</v>
      </c>
      <c r="BK409" s="272">
        <f t="shared" si="373"/>
        <v>0</v>
      </c>
      <c r="BL409" s="272">
        <f t="shared" si="373"/>
        <v>0</v>
      </c>
      <c r="BM409" s="272">
        <f t="shared" si="373"/>
        <v>0</v>
      </c>
      <c r="BN409" s="324">
        <f t="shared" si="373"/>
        <v>0</v>
      </c>
    </row>
    <row r="410" spans="32:66" ht="20.100000000000001" customHeight="1">
      <c r="AF410" s="1492"/>
      <c r="AG410" s="251" t="s">
        <v>1225</v>
      </c>
      <c r="AH410" s="280"/>
      <c r="AI410" s="251">
        <f>INDEX('DEFAULT DATA'!$VE$9:$VK$41,START!$C$3,6)</f>
        <v>0</v>
      </c>
      <c r="AJ410" s="195">
        <f>INDEX('DEFAULT DATA'!$YA$9:$YH$41,START!$C$3,7)</f>
        <v>2114.3204270539118</v>
      </c>
      <c r="AK410" s="345">
        <v>0</v>
      </c>
      <c r="AL410" s="272">
        <f t="shared" ref="AL410:BN410" si="374">IF(AND(AL$373&gt;($D$97+2020),AL$373&lt;($E$97+2022)),AK410+($AI$410*$AJ$410*((100-$F$97)/100)*ROUND(($C$97/100*$B$97)/($E$97-$D$97+1),0)/1000000),AK410)</f>
        <v>0</v>
      </c>
      <c r="AM410" s="272">
        <f t="shared" si="374"/>
        <v>0</v>
      </c>
      <c r="AN410" s="272">
        <f t="shared" si="374"/>
        <v>0</v>
      </c>
      <c r="AO410" s="272">
        <f t="shared" si="374"/>
        <v>0</v>
      </c>
      <c r="AP410" s="272">
        <f t="shared" si="374"/>
        <v>0</v>
      </c>
      <c r="AQ410" s="272">
        <f t="shared" si="374"/>
        <v>0</v>
      </c>
      <c r="AR410" s="272">
        <f t="shared" si="374"/>
        <v>0</v>
      </c>
      <c r="AS410" s="272">
        <f t="shared" si="374"/>
        <v>0</v>
      </c>
      <c r="AT410" s="272">
        <f t="shared" si="374"/>
        <v>0</v>
      </c>
      <c r="AU410" s="272">
        <f t="shared" si="374"/>
        <v>0</v>
      </c>
      <c r="AV410" s="272">
        <f t="shared" si="374"/>
        <v>0</v>
      </c>
      <c r="AW410" s="272">
        <f t="shared" si="374"/>
        <v>0</v>
      </c>
      <c r="AX410" s="272">
        <f t="shared" si="374"/>
        <v>0</v>
      </c>
      <c r="AY410" s="272">
        <f t="shared" si="374"/>
        <v>0</v>
      </c>
      <c r="AZ410" s="272">
        <f t="shared" si="374"/>
        <v>0</v>
      </c>
      <c r="BA410" s="272">
        <f t="shared" si="374"/>
        <v>0</v>
      </c>
      <c r="BB410" s="272">
        <f t="shared" si="374"/>
        <v>0</v>
      </c>
      <c r="BC410" s="272">
        <f t="shared" si="374"/>
        <v>0</v>
      </c>
      <c r="BD410" s="272">
        <f t="shared" si="374"/>
        <v>0</v>
      </c>
      <c r="BE410" s="272">
        <f t="shared" si="374"/>
        <v>0</v>
      </c>
      <c r="BF410" s="272">
        <f t="shared" si="374"/>
        <v>0</v>
      </c>
      <c r="BG410" s="272">
        <f t="shared" si="374"/>
        <v>0</v>
      </c>
      <c r="BH410" s="272">
        <f t="shared" si="374"/>
        <v>0</v>
      </c>
      <c r="BI410" s="272">
        <f t="shared" si="374"/>
        <v>0</v>
      </c>
      <c r="BJ410" s="272">
        <f t="shared" si="374"/>
        <v>0</v>
      </c>
      <c r="BK410" s="272">
        <f t="shared" si="374"/>
        <v>0</v>
      </c>
      <c r="BL410" s="272">
        <f t="shared" si="374"/>
        <v>0</v>
      </c>
      <c r="BM410" s="272">
        <f t="shared" si="374"/>
        <v>0</v>
      </c>
      <c r="BN410" s="324">
        <f t="shared" si="374"/>
        <v>0</v>
      </c>
    </row>
    <row r="411" spans="32:66" ht="20.100000000000001" customHeight="1" thickBot="1">
      <c r="AF411" s="1493"/>
      <c r="AG411" s="310" t="s">
        <v>1226</v>
      </c>
      <c r="AH411" s="288"/>
      <c r="AI411" s="310" t="s">
        <v>1497</v>
      </c>
      <c r="AJ411" s="260">
        <f>INDEX('DEFAULT DATA'!$YA$9:$YH$41,START!$C$3,8)</f>
        <v>2537.1845124646939</v>
      </c>
      <c r="AK411" s="344">
        <v>0</v>
      </c>
      <c r="AL411" s="325">
        <f t="shared" ref="AL411:BN411" si="375">IF(AND(AL$373&gt;($D$97+2020),AL$373&lt;($E$97+2022)),AK411+(AL$6*$AJ$411*((100-$F$97)/100)*ROUND(($C$97/100*$B$97)/($E$97-$D$97+1),0)/1000000),AK411)</f>
        <v>0</v>
      </c>
      <c r="AM411" s="325">
        <f t="shared" si="375"/>
        <v>0</v>
      </c>
      <c r="AN411" s="325">
        <f t="shared" si="375"/>
        <v>0</v>
      </c>
      <c r="AO411" s="325">
        <f t="shared" si="375"/>
        <v>0</v>
      </c>
      <c r="AP411" s="325">
        <f t="shared" si="375"/>
        <v>0</v>
      </c>
      <c r="AQ411" s="325">
        <f t="shared" si="375"/>
        <v>0</v>
      </c>
      <c r="AR411" s="325">
        <f t="shared" si="375"/>
        <v>0</v>
      </c>
      <c r="AS411" s="325">
        <f t="shared" si="375"/>
        <v>0</v>
      </c>
      <c r="AT411" s="325">
        <f t="shared" si="375"/>
        <v>0</v>
      </c>
      <c r="AU411" s="325">
        <f t="shared" si="375"/>
        <v>0</v>
      </c>
      <c r="AV411" s="325">
        <f t="shared" si="375"/>
        <v>0</v>
      </c>
      <c r="AW411" s="325">
        <f t="shared" si="375"/>
        <v>0</v>
      </c>
      <c r="AX411" s="325">
        <f t="shared" si="375"/>
        <v>0</v>
      </c>
      <c r="AY411" s="325">
        <f t="shared" si="375"/>
        <v>0</v>
      </c>
      <c r="AZ411" s="325">
        <f t="shared" si="375"/>
        <v>0</v>
      </c>
      <c r="BA411" s="325">
        <f t="shared" si="375"/>
        <v>0</v>
      </c>
      <c r="BB411" s="325">
        <f t="shared" si="375"/>
        <v>0</v>
      </c>
      <c r="BC411" s="325">
        <f t="shared" si="375"/>
        <v>0</v>
      </c>
      <c r="BD411" s="325">
        <f t="shared" si="375"/>
        <v>0</v>
      </c>
      <c r="BE411" s="325">
        <f t="shared" si="375"/>
        <v>0</v>
      </c>
      <c r="BF411" s="325">
        <f t="shared" si="375"/>
        <v>0</v>
      </c>
      <c r="BG411" s="325">
        <f t="shared" si="375"/>
        <v>0</v>
      </c>
      <c r="BH411" s="325">
        <f t="shared" si="375"/>
        <v>0</v>
      </c>
      <c r="BI411" s="325">
        <f t="shared" si="375"/>
        <v>0</v>
      </c>
      <c r="BJ411" s="325">
        <f t="shared" si="375"/>
        <v>0</v>
      </c>
      <c r="BK411" s="325">
        <f t="shared" si="375"/>
        <v>0</v>
      </c>
      <c r="BL411" s="325">
        <f t="shared" si="375"/>
        <v>0</v>
      </c>
      <c r="BM411" s="325">
        <f t="shared" si="375"/>
        <v>0</v>
      </c>
      <c r="BN411" s="326">
        <f t="shared" si="375"/>
        <v>0</v>
      </c>
    </row>
    <row r="412" spans="32:66" ht="20.100000000000001" customHeight="1">
      <c r="AF412" s="289"/>
      <c r="AG412" s="285" t="s">
        <v>1457</v>
      </c>
      <c r="AH412" s="285"/>
      <c r="AI412" s="285"/>
      <c r="AJ412" s="285"/>
      <c r="AK412" s="342">
        <v>0</v>
      </c>
      <c r="AL412" s="327">
        <f>SUM(AL404:AL411)</f>
        <v>0</v>
      </c>
      <c r="AM412" s="327">
        <f t="shared" ref="AM412" si="376">SUM(AM404:AM411)</f>
        <v>0</v>
      </c>
      <c r="AN412" s="327">
        <f t="shared" ref="AN412" si="377">SUM(AN404:AN411)</f>
        <v>0</v>
      </c>
      <c r="AO412" s="327">
        <f t="shared" ref="AO412" si="378">SUM(AO404:AO411)</f>
        <v>0</v>
      </c>
      <c r="AP412" s="327">
        <f t="shared" ref="AP412" si="379">SUM(AP404:AP411)</f>
        <v>0</v>
      </c>
      <c r="AQ412" s="327">
        <f t="shared" ref="AQ412" si="380">SUM(AQ404:AQ411)</f>
        <v>0</v>
      </c>
      <c r="AR412" s="327">
        <f t="shared" ref="AR412" si="381">SUM(AR404:AR411)</f>
        <v>0</v>
      </c>
      <c r="AS412" s="327">
        <f t="shared" ref="AS412" si="382">SUM(AS404:AS411)</f>
        <v>0</v>
      </c>
      <c r="AT412" s="327">
        <f t="shared" ref="AT412" si="383">SUM(AT404:AT411)</f>
        <v>0</v>
      </c>
      <c r="AU412" s="327">
        <f t="shared" ref="AU412" si="384">SUM(AU404:AU411)</f>
        <v>0</v>
      </c>
      <c r="AV412" s="327">
        <f t="shared" ref="AV412" si="385">SUM(AV404:AV411)</f>
        <v>0</v>
      </c>
      <c r="AW412" s="327">
        <f t="shared" ref="AW412" si="386">SUM(AW404:AW411)</f>
        <v>0</v>
      </c>
      <c r="AX412" s="327">
        <f t="shared" ref="AX412" si="387">SUM(AX404:AX411)</f>
        <v>0</v>
      </c>
      <c r="AY412" s="327">
        <f t="shared" ref="AY412" si="388">SUM(AY404:AY411)</f>
        <v>0</v>
      </c>
      <c r="AZ412" s="327">
        <f t="shared" ref="AZ412" si="389">SUM(AZ404:AZ411)</f>
        <v>0</v>
      </c>
      <c r="BA412" s="327">
        <f t="shared" ref="BA412" si="390">SUM(BA404:BA411)</f>
        <v>0</v>
      </c>
      <c r="BB412" s="327">
        <f t="shared" ref="BB412" si="391">SUM(BB404:BB411)</f>
        <v>0</v>
      </c>
      <c r="BC412" s="327">
        <f t="shared" ref="BC412" si="392">SUM(BC404:BC411)</f>
        <v>0</v>
      </c>
      <c r="BD412" s="327">
        <f t="shared" ref="BD412" si="393">SUM(BD404:BD411)</f>
        <v>0</v>
      </c>
      <c r="BE412" s="327">
        <f t="shared" ref="BE412" si="394">SUM(BE404:BE411)</f>
        <v>0</v>
      </c>
      <c r="BF412" s="327">
        <f t="shared" ref="BF412" si="395">SUM(BF404:BF411)</f>
        <v>0</v>
      </c>
      <c r="BG412" s="327">
        <f t="shared" ref="BG412" si="396">SUM(BG404:BG411)</f>
        <v>0</v>
      </c>
      <c r="BH412" s="327">
        <f t="shared" ref="BH412" si="397">SUM(BH404:BH411)</f>
        <v>0</v>
      </c>
      <c r="BI412" s="327">
        <f t="shared" ref="BI412" si="398">SUM(BI404:BI411)</f>
        <v>0</v>
      </c>
      <c r="BJ412" s="327">
        <f t="shared" ref="BJ412" si="399">SUM(BJ404:BJ411)</f>
        <v>0</v>
      </c>
      <c r="BK412" s="327">
        <f t="shared" ref="BK412" si="400">SUM(BK404:BK411)</f>
        <v>0</v>
      </c>
      <c r="BL412" s="327">
        <f t="shared" ref="BL412" si="401">SUM(BL404:BL411)</f>
        <v>0</v>
      </c>
      <c r="BM412" s="327">
        <f t="shared" ref="BM412" si="402">SUM(BM404:BM411)</f>
        <v>0</v>
      </c>
      <c r="BN412" s="327">
        <f t="shared" ref="BN412" si="403">SUM(BN404:BN411)</f>
        <v>0</v>
      </c>
    </row>
    <row r="413" spans="32:66" ht="20.100000000000001" customHeight="1" thickBot="1"/>
    <row r="414" spans="32:66" ht="20.100000000000001" customHeight="1">
      <c r="AF414" s="1491" t="s">
        <v>1228</v>
      </c>
      <c r="AG414" s="286" t="s">
        <v>933</v>
      </c>
      <c r="AH414" s="287"/>
      <c r="AI414" s="286" t="s">
        <v>1496</v>
      </c>
      <c r="AJ414" s="313">
        <f>INDEX('DEFAULT DATA'!$AGY$9:$AHF$41,START!$C$3,1)</f>
        <v>0</v>
      </c>
      <c r="AK414" s="343">
        <v>0</v>
      </c>
      <c r="AL414" s="322">
        <f t="shared" ref="AL414:BN414" si="404">IF(AND(AL$373&gt;($D$101+2020),AL$373&lt;($E$101+2022)),AK414+(AL$5*$AJ$414*((100-$F$101)/100)*ROUND(($C$101/100*$B$101)/($E$101-$D$101+1),0)/1000000),AK414)</f>
        <v>0</v>
      </c>
      <c r="AM414" s="322">
        <f t="shared" si="404"/>
        <v>0</v>
      </c>
      <c r="AN414" s="322">
        <f t="shared" si="404"/>
        <v>0</v>
      </c>
      <c r="AO414" s="322">
        <f t="shared" si="404"/>
        <v>0</v>
      </c>
      <c r="AP414" s="322">
        <f t="shared" si="404"/>
        <v>0</v>
      </c>
      <c r="AQ414" s="322">
        <f t="shared" si="404"/>
        <v>0</v>
      </c>
      <c r="AR414" s="322">
        <f t="shared" si="404"/>
        <v>0</v>
      </c>
      <c r="AS414" s="322">
        <f t="shared" si="404"/>
        <v>0</v>
      </c>
      <c r="AT414" s="322">
        <f t="shared" si="404"/>
        <v>0</v>
      </c>
      <c r="AU414" s="322">
        <f t="shared" si="404"/>
        <v>0</v>
      </c>
      <c r="AV414" s="322">
        <f t="shared" si="404"/>
        <v>0</v>
      </c>
      <c r="AW414" s="322">
        <f t="shared" si="404"/>
        <v>0</v>
      </c>
      <c r="AX414" s="322">
        <f t="shared" si="404"/>
        <v>0</v>
      </c>
      <c r="AY414" s="322">
        <f t="shared" si="404"/>
        <v>0</v>
      </c>
      <c r="AZ414" s="322">
        <f t="shared" si="404"/>
        <v>0</v>
      </c>
      <c r="BA414" s="322">
        <f t="shared" si="404"/>
        <v>0</v>
      </c>
      <c r="BB414" s="322">
        <f t="shared" si="404"/>
        <v>0</v>
      </c>
      <c r="BC414" s="322">
        <f t="shared" si="404"/>
        <v>0</v>
      </c>
      <c r="BD414" s="322">
        <f t="shared" si="404"/>
        <v>0</v>
      </c>
      <c r="BE414" s="322">
        <f t="shared" si="404"/>
        <v>0</v>
      </c>
      <c r="BF414" s="322">
        <f t="shared" si="404"/>
        <v>0</v>
      </c>
      <c r="BG414" s="322">
        <f t="shared" si="404"/>
        <v>0</v>
      </c>
      <c r="BH414" s="322">
        <f t="shared" si="404"/>
        <v>0</v>
      </c>
      <c r="BI414" s="322">
        <f t="shared" si="404"/>
        <v>0</v>
      </c>
      <c r="BJ414" s="322">
        <f t="shared" si="404"/>
        <v>0</v>
      </c>
      <c r="BK414" s="322">
        <f t="shared" si="404"/>
        <v>0</v>
      </c>
      <c r="BL414" s="322">
        <f t="shared" si="404"/>
        <v>0</v>
      </c>
      <c r="BM414" s="322">
        <f t="shared" si="404"/>
        <v>0</v>
      </c>
      <c r="BN414" s="323">
        <f t="shared" si="404"/>
        <v>0</v>
      </c>
    </row>
    <row r="415" spans="32:66" ht="20.100000000000001" customHeight="1">
      <c r="AF415" s="1492"/>
      <c r="AG415" s="251" t="s">
        <v>1220</v>
      </c>
      <c r="AH415" s="280"/>
      <c r="AI415" s="251">
        <f>INDEX('DEFAULT DATA'!$VE$9:$VK$41,START!$C$3,1)</f>
        <v>202</v>
      </c>
      <c r="AJ415" s="195">
        <f>INDEX('DEFAULT DATA'!$AGY$9:$AHF$41,START!$C$3,2)</f>
        <v>0</v>
      </c>
      <c r="AK415" s="345">
        <v>0</v>
      </c>
      <c r="AL415" s="272">
        <f t="shared" ref="AL415:BN415" si="405">IF(AND(AL$373&gt;($D$101+2020),AL$373&lt;($E$101+2022)),AK415+($AI$415*$AJ$415*((100-$F$101)/100)*ROUND(($C$101/100*$B$101)/($E$101-$D$101+1),0)/1000000),AK415)</f>
        <v>0</v>
      </c>
      <c r="AM415" s="272">
        <f t="shared" si="405"/>
        <v>0</v>
      </c>
      <c r="AN415" s="272">
        <f t="shared" si="405"/>
        <v>0</v>
      </c>
      <c r="AO415" s="272">
        <f t="shared" si="405"/>
        <v>0</v>
      </c>
      <c r="AP415" s="272">
        <f t="shared" si="405"/>
        <v>0</v>
      </c>
      <c r="AQ415" s="272">
        <f t="shared" si="405"/>
        <v>0</v>
      </c>
      <c r="AR415" s="272">
        <f t="shared" si="405"/>
        <v>0</v>
      </c>
      <c r="AS415" s="272">
        <f t="shared" si="405"/>
        <v>0</v>
      </c>
      <c r="AT415" s="272">
        <f t="shared" si="405"/>
        <v>0</v>
      </c>
      <c r="AU415" s="272">
        <f t="shared" si="405"/>
        <v>0</v>
      </c>
      <c r="AV415" s="272">
        <f t="shared" si="405"/>
        <v>0</v>
      </c>
      <c r="AW415" s="272">
        <f t="shared" si="405"/>
        <v>0</v>
      </c>
      <c r="AX415" s="272">
        <f t="shared" si="405"/>
        <v>0</v>
      </c>
      <c r="AY415" s="272">
        <f t="shared" si="405"/>
        <v>0</v>
      </c>
      <c r="AZ415" s="272">
        <f t="shared" si="405"/>
        <v>0</v>
      </c>
      <c r="BA415" s="272">
        <f t="shared" si="405"/>
        <v>0</v>
      </c>
      <c r="BB415" s="272">
        <f t="shared" si="405"/>
        <v>0</v>
      </c>
      <c r="BC415" s="272">
        <f t="shared" si="405"/>
        <v>0</v>
      </c>
      <c r="BD415" s="272">
        <f t="shared" si="405"/>
        <v>0</v>
      </c>
      <c r="BE415" s="272">
        <f t="shared" si="405"/>
        <v>0</v>
      </c>
      <c r="BF415" s="272">
        <f t="shared" si="405"/>
        <v>0</v>
      </c>
      <c r="BG415" s="272">
        <f t="shared" si="405"/>
        <v>0</v>
      </c>
      <c r="BH415" s="272">
        <f t="shared" si="405"/>
        <v>0</v>
      </c>
      <c r="BI415" s="272">
        <f t="shared" si="405"/>
        <v>0</v>
      </c>
      <c r="BJ415" s="272">
        <f t="shared" si="405"/>
        <v>0</v>
      </c>
      <c r="BK415" s="272">
        <f t="shared" si="405"/>
        <v>0</v>
      </c>
      <c r="BL415" s="272">
        <f t="shared" si="405"/>
        <v>0</v>
      </c>
      <c r="BM415" s="272">
        <f t="shared" si="405"/>
        <v>0</v>
      </c>
      <c r="BN415" s="324">
        <f t="shared" si="405"/>
        <v>0</v>
      </c>
    </row>
    <row r="416" spans="32:66" ht="20.100000000000001" customHeight="1">
      <c r="AF416" s="1492"/>
      <c r="AG416" s="251" t="s">
        <v>1221</v>
      </c>
      <c r="AH416" s="280"/>
      <c r="AI416" s="251">
        <f>INDEX('DEFAULT DATA'!$VE$9:$VK$41,START!$C$3,2)</f>
        <v>279</v>
      </c>
      <c r="AJ416" s="195">
        <f>INDEX('DEFAULT DATA'!$AGY$9:$AHF$41,START!$C$3,3)</f>
        <v>0</v>
      </c>
      <c r="AK416" s="345">
        <v>0</v>
      </c>
      <c r="AL416" s="272">
        <f t="shared" ref="AL416:BN416" si="406">IF(AND(AL$373&gt;($D$101+2020),AL$373&lt;($E$101+2022)),AK416+($AI$416*$AJ$416*((100-$F$101)/100)*ROUND(($C$101/100*$B$101)/($E$101-$D$101+1),0)/1000000),AK416)</f>
        <v>0</v>
      </c>
      <c r="AM416" s="272">
        <f t="shared" si="406"/>
        <v>0</v>
      </c>
      <c r="AN416" s="272">
        <f t="shared" si="406"/>
        <v>0</v>
      </c>
      <c r="AO416" s="272">
        <f t="shared" si="406"/>
        <v>0</v>
      </c>
      <c r="AP416" s="272">
        <f t="shared" si="406"/>
        <v>0</v>
      </c>
      <c r="AQ416" s="272">
        <f t="shared" si="406"/>
        <v>0</v>
      </c>
      <c r="AR416" s="272">
        <f t="shared" si="406"/>
        <v>0</v>
      </c>
      <c r="AS416" s="272">
        <f t="shared" si="406"/>
        <v>0</v>
      </c>
      <c r="AT416" s="272">
        <f t="shared" si="406"/>
        <v>0</v>
      </c>
      <c r="AU416" s="272">
        <f t="shared" si="406"/>
        <v>0</v>
      </c>
      <c r="AV416" s="272">
        <f t="shared" si="406"/>
        <v>0</v>
      </c>
      <c r="AW416" s="272">
        <f t="shared" si="406"/>
        <v>0</v>
      </c>
      <c r="AX416" s="272">
        <f t="shared" si="406"/>
        <v>0</v>
      </c>
      <c r="AY416" s="272">
        <f t="shared" si="406"/>
        <v>0</v>
      </c>
      <c r="AZ416" s="272">
        <f t="shared" si="406"/>
        <v>0</v>
      </c>
      <c r="BA416" s="272">
        <f t="shared" si="406"/>
        <v>0</v>
      </c>
      <c r="BB416" s="272">
        <f t="shared" si="406"/>
        <v>0</v>
      </c>
      <c r="BC416" s="272">
        <f t="shared" si="406"/>
        <v>0</v>
      </c>
      <c r="BD416" s="272">
        <f t="shared" si="406"/>
        <v>0</v>
      </c>
      <c r="BE416" s="272">
        <f t="shared" si="406"/>
        <v>0</v>
      </c>
      <c r="BF416" s="272">
        <f t="shared" si="406"/>
        <v>0</v>
      </c>
      <c r="BG416" s="272">
        <f t="shared" si="406"/>
        <v>0</v>
      </c>
      <c r="BH416" s="272">
        <f t="shared" si="406"/>
        <v>0</v>
      </c>
      <c r="BI416" s="272">
        <f t="shared" si="406"/>
        <v>0</v>
      </c>
      <c r="BJ416" s="272">
        <f t="shared" si="406"/>
        <v>0</v>
      </c>
      <c r="BK416" s="272">
        <f t="shared" si="406"/>
        <v>0</v>
      </c>
      <c r="BL416" s="272">
        <f t="shared" si="406"/>
        <v>0</v>
      </c>
      <c r="BM416" s="272">
        <f t="shared" si="406"/>
        <v>0</v>
      </c>
      <c r="BN416" s="324">
        <f t="shared" si="406"/>
        <v>0</v>
      </c>
    </row>
    <row r="417" spans="32:66" ht="20.100000000000001" customHeight="1">
      <c r="AF417" s="1492"/>
      <c r="AG417" s="251" t="s">
        <v>1222</v>
      </c>
      <c r="AH417" s="280"/>
      <c r="AI417" s="251">
        <f>INDEX('DEFAULT DATA'!$VE$9:$VK$41,START!$C$3,3)</f>
        <v>354</v>
      </c>
      <c r="AJ417" s="195">
        <f>INDEX('DEFAULT DATA'!$AGY$9:$AHF$41,START!$C$3,4)</f>
        <v>0</v>
      </c>
      <c r="AK417" s="345">
        <v>0</v>
      </c>
      <c r="AL417" s="272">
        <f t="shared" ref="AL417:BN417" si="407">IF(AND(AL$373&gt;($D$101+2020),AL$373&lt;($E$101+2022)),AK417+($AI$417*$AJ$417*((100-$F$101)/100)*ROUND(($C$101/100*$B$101)/($E$101-$D$101+1),0)/1000000),AK417)</f>
        <v>0</v>
      </c>
      <c r="AM417" s="272">
        <f t="shared" si="407"/>
        <v>0</v>
      </c>
      <c r="AN417" s="272">
        <f t="shared" si="407"/>
        <v>0</v>
      </c>
      <c r="AO417" s="272">
        <f t="shared" si="407"/>
        <v>0</v>
      </c>
      <c r="AP417" s="272">
        <f t="shared" si="407"/>
        <v>0</v>
      </c>
      <c r="AQ417" s="272">
        <f t="shared" si="407"/>
        <v>0</v>
      </c>
      <c r="AR417" s="272">
        <f t="shared" si="407"/>
        <v>0</v>
      </c>
      <c r="AS417" s="272">
        <f t="shared" si="407"/>
        <v>0</v>
      </c>
      <c r="AT417" s="272">
        <f t="shared" si="407"/>
        <v>0</v>
      </c>
      <c r="AU417" s="272">
        <f t="shared" si="407"/>
        <v>0</v>
      </c>
      <c r="AV417" s="272">
        <f t="shared" si="407"/>
        <v>0</v>
      </c>
      <c r="AW417" s="272">
        <f t="shared" si="407"/>
        <v>0</v>
      </c>
      <c r="AX417" s="272">
        <f t="shared" si="407"/>
        <v>0</v>
      </c>
      <c r="AY417" s="272">
        <f t="shared" si="407"/>
        <v>0</v>
      </c>
      <c r="AZ417" s="272">
        <f t="shared" si="407"/>
        <v>0</v>
      </c>
      <c r="BA417" s="272">
        <f t="shared" si="407"/>
        <v>0</v>
      </c>
      <c r="BB417" s="272">
        <f t="shared" si="407"/>
        <v>0</v>
      </c>
      <c r="BC417" s="272">
        <f t="shared" si="407"/>
        <v>0</v>
      </c>
      <c r="BD417" s="272">
        <f t="shared" si="407"/>
        <v>0</v>
      </c>
      <c r="BE417" s="272">
        <f t="shared" si="407"/>
        <v>0</v>
      </c>
      <c r="BF417" s="272">
        <f t="shared" si="407"/>
        <v>0</v>
      </c>
      <c r="BG417" s="272">
        <f t="shared" si="407"/>
        <v>0</v>
      </c>
      <c r="BH417" s="272">
        <f t="shared" si="407"/>
        <v>0</v>
      </c>
      <c r="BI417" s="272">
        <f t="shared" si="407"/>
        <v>0</v>
      </c>
      <c r="BJ417" s="272">
        <f t="shared" si="407"/>
        <v>0</v>
      </c>
      <c r="BK417" s="272">
        <f t="shared" si="407"/>
        <v>0</v>
      </c>
      <c r="BL417" s="272">
        <f t="shared" si="407"/>
        <v>0</v>
      </c>
      <c r="BM417" s="272">
        <f t="shared" si="407"/>
        <v>0</v>
      </c>
      <c r="BN417" s="324">
        <f t="shared" si="407"/>
        <v>0</v>
      </c>
    </row>
    <row r="418" spans="32:66" ht="20.100000000000001" customHeight="1">
      <c r="AF418" s="1492"/>
      <c r="AG418" s="251" t="s">
        <v>1223</v>
      </c>
      <c r="AH418" s="280"/>
      <c r="AI418" s="251">
        <f>INDEX('DEFAULT DATA'!$VE$9:$VK$41,START!$C$3,4)</f>
        <v>0</v>
      </c>
      <c r="AJ418" s="195">
        <f>INDEX('DEFAULT DATA'!$AGY$9:$AHF$41,START!$C$3,5)</f>
        <v>0</v>
      </c>
      <c r="AK418" s="345">
        <v>0</v>
      </c>
      <c r="AL418" s="272">
        <f t="shared" ref="AL418:BN418" si="408">IF(AND(AL$373&gt;($D$101+2020),AL$373&lt;($E$101+2022)),AK418+($AI$418*$AJ$418*((100-$F$101)/100)*ROUND(($C$101/100*$B$101)/($E$101-$D$101+1),0)/1000000),AK418)</f>
        <v>0</v>
      </c>
      <c r="AM418" s="272">
        <f t="shared" si="408"/>
        <v>0</v>
      </c>
      <c r="AN418" s="272">
        <f t="shared" si="408"/>
        <v>0</v>
      </c>
      <c r="AO418" s="272">
        <f t="shared" si="408"/>
        <v>0</v>
      </c>
      <c r="AP418" s="272">
        <f t="shared" si="408"/>
        <v>0</v>
      </c>
      <c r="AQ418" s="272">
        <f t="shared" si="408"/>
        <v>0</v>
      </c>
      <c r="AR418" s="272">
        <f t="shared" si="408"/>
        <v>0</v>
      </c>
      <c r="AS418" s="272">
        <f t="shared" si="408"/>
        <v>0</v>
      </c>
      <c r="AT418" s="272">
        <f t="shared" si="408"/>
        <v>0</v>
      </c>
      <c r="AU418" s="272">
        <f t="shared" si="408"/>
        <v>0</v>
      </c>
      <c r="AV418" s="272">
        <f t="shared" si="408"/>
        <v>0</v>
      </c>
      <c r="AW418" s="272">
        <f t="shared" si="408"/>
        <v>0</v>
      </c>
      <c r="AX418" s="272">
        <f t="shared" si="408"/>
        <v>0</v>
      </c>
      <c r="AY418" s="272">
        <f t="shared" si="408"/>
        <v>0</v>
      </c>
      <c r="AZ418" s="272">
        <f t="shared" si="408"/>
        <v>0</v>
      </c>
      <c r="BA418" s="272">
        <f t="shared" si="408"/>
        <v>0</v>
      </c>
      <c r="BB418" s="272">
        <f t="shared" si="408"/>
        <v>0</v>
      </c>
      <c r="BC418" s="272">
        <f t="shared" si="408"/>
        <v>0</v>
      </c>
      <c r="BD418" s="272">
        <f t="shared" si="408"/>
        <v>0</v>
      </c>
      <c r="BE418" s="272">
        <f t="shared" si="408"/>
        <v>0</v>
      </c>
      <c r="BF418" s="272">
        <f t="shared" si="408"/>
        <v>0</v>
      </c>
      <c r="BG418" s="272">
        <f t="shared" si="408"/>
        <v>0</v>
      </c>
      <c r="BH418" s="272">
        <f t="shared" si="408"/>
        <v>0</v>
      </c>
      <c r="BI418" s="272">
        <f t="shared" si="408"/>
        <v>0</v>
      </c>
      <c r="BJ418" s="272">
        <f t="shared" si="408"/>
        <v>0</v>
      </c>
      <c r="BK418" s="272">
        <f t="shared" si="408"/>
        <v>0</v>
      </c>
      <c r="BL418" s="272">
        <f t="shared" si="408"/>
        <v>0</v>
      </c>
      <c r="BM418" s="272">
        <f t="shared" si="408"/>
        <v>0</v>
      </c>
      <c r="BN418" s="324">
        <f t="shared" si="408"/>
        <v>0</v>
      </c>
    </row>
    <row r="419" spans="32:66" ht="20.100000000000001" customHeight="1">
      <c r="AF419" s="1492"/>
      <c r="AG419" s="251" t="s">
        <v>1224</v>
      </c>
      <c r="AH419" s="280"/>
      <c r="AI419" s="251">
        <f>INDEX('DEFAULT DATA'!$VE$9:$VK$41,START!$C$3,5)</f>
        <v>403</v>
      </c>
      <c r="AJ419" s="195">
        <f>INDEX('DEFAULT DATA'!$AGY$9:$AHF$41,START!$C$3,6)</f>
        <v>0</v>
      </c>
      <c r="AK419" s="345">
        <v>0</v>
      </c>
      <c r="AL419" s="272">
        <f t="shared" ref="AL419:BN419" si="409">IF(AND(AL$373&gt;($D$101+2020),AL$373&lt;($E$101+2022)),AK419+($AI$419*$AJ$419*((100-$F$101)/100)*ROUND(($C$101/100*$B$101)/($E$101-$D$101+1),0)/1000000),AK419)</f>
        <v>0</v>
      </c>
      <c r="AM419" s="272">
        <f t="shared" si="409"/>
        <v>0</v>
      </c>
      <c r="AN419" s="272">
        <f t="shared" si="409"/>
        <v>0</v>
      </c>
      <c r="AO419" s="272">
        <f t="shared" si="409"/>
        <v>0</v>
      </c>
      <c r="AP419" s="272">
        <f t="shared" si="409"/>
        <v>0</v>
      </c>
      <c r="AQ419" s="272">
        <f t="shared" si="409"/>
        <v>0</v>
      </c>
      <c r="AR419" s="272">
        <f t="shared" si="409"/>
        <v>0</v>
      </c>
      <c r="AS419" s="272">
        <f t="shared" si="409"/>
        <v>0</v>
      </c>
      <c r="AT419" s="272">
        <f t="shared" si="409"/>
        <v>0</v>
      </c>
      <c r="AU419" s="272">
        <f t="shared" si="409"/>
        <v>0</v>
      </c>
      <c r="AV419" s="272">
        <f t="shared" si="409"/>
        <v>0</v>
      </c>
      <c r="AW419" s="272">
        <f t="shared" si="409"/>
        <v>0</v>
      </c>
      <c r="AX419" s="272">
        <f t="shared" si="409"/>
        <v>0</v>
      </c>
      <c r="AY419" s="272">
        <f t="shared" si="409"/>
        <v>0</v>
      </c>
      <c r="AZ419" s="272">
        <f t="shared" si="409"/>
        <v>0</v>
      </c>
      <c r="BA419" s="272">
        <f t="shared" si="409"/>
        <v>0</v>
      </c>
      <c r="BB419" s="272">
        <f t="shared" si="409"/>
        <v>0</v>
      </c>
      <c r="BC419" s="272">
        <f t="shared" si="409"/>
        <v>0</v>
      </c>
      <c r="BD419" s="272">
        <f t="shared" si="409"/>
        <v>0</v>
      </c>
      <c r="BE419" s="272">
        <f t="shared" si="409"/>
        <v>0</v>
      </c>
      <c r="BF419" s="272">
        <f t="shared" si="409"/>
        <v>0</v>
      </c>
      <c r="BG419" s="272">
        <f t="shared" si="409"/>
        <v>0</v>
      </c>
      <c r="BH419" s="272">
        <f t="shared" si="409"/>
        <v>0</v>
      </c>
      <c r="BI419" s="272">
        <f t="shared" si="409"/>
        <v>0</v>
      </c>
      <c r="BJ419" s="272">
        <f t="shared" si="409"/>
        <v>0</v>
      </c>
      <c r="BK419" s="272">
        <f t="shared" si="409"/>
        <v>0</v>
      </c>
      <c r="BL419" s="272">
        <f t="shared" si="409"/>
        <v>0</v>
      </c>
      <c r="BM419" s="272">
        <f t="shared" si="409"/>
        <v>0</v>
      </c>
      <c r="BN419" s="324">
        <f t="shared" si="409"/>
        <v>0</v>
      </c>
    </row>
    <row r="420" spans="32:66" ht="20.100000000000001" customHeight="1">
      <c r="AF420" s="1492"/>
      <c r="AG420" s="251" t="s">
        <v>1225</v>
      </c>
      <c r="AH420" s="280"/>
      <c r="AI420" s="251">
        <f>INDEX('DEFAULT DATA'!$VE$9:$VK$41,START!$C$3,6)</f>
        <v>0</v>
      </c>
      <c r="AJ420" s="195">
        <f>INDEX('DEFAULT DATA'!$AGY$9:$AHF$41,START!$C$3,7)</f>
        <v>0</v>
      </c>
      <c r="AK420" s="345">
        <v>0</v>
      </c>
      <c r="AL420" s="272">
        <f t="shared" ref="AL420:BN420" si="410">IF(AND(AL$373&gt;($D$101+2020),AL$373&lt;($E$101+2022)),AK420+($AI$420*$AJ$420*((100-$F$101)/100)*ROUND(($C$101/100*$B$101)/($E$101-$D$101+1),0)/1000000),AK420)</f>
        <v>0</v>
      </c>
      <c r="AM420" s="272">
        <f t="shared" si="410"/>
        <v>0</v>
      </c>
      <c r="AN420" s="272">
        <f t="shared" si="410"/>
        <v>0</v>
      </c>
      <c r="AO420" s="272">
        <f t="shared" si="410"/>
        <v>0</v>
      </c>
      <c r="AP420" s="272">
        <f t="shared" si="410"/>
        <v>0</v>
      </c>
      <c r="AQ420" s="272">
        <f t="shared" si="410"/>
        <v>0</v>
      </c>
      <c r="AR420" s="272">
        <f t="shared" si="410"/>
        <v>0</v>
      </c>
      <c r="AS420" s="272">
        <f t="shared" si="410"/>
        <v>0</v>
      </c>
      <c r="AT420" s="272">
        <f t="shared" si="410"/>
        <v>0</v>
      </c>
      <c r="AU420" s="272">
        <f t="shared" si="410"/>
        <v>0</v>
      </c>
      <c r="AV420" s="272">
        <f t="shared" si="410"/>
        <v>0</v>
      </c>
      <c r="AW420" s="272">
        <f t="shared" si="410"/>
        <v>0</v>
      </c>
      <c r="AX420" s="272">
        <f t="shared" si="410"/>
        <v>0</v>
      </c>
      <c r="AY420" s="272">
        <f t="shared" si="410"/>
        <v>0</v>
      </c>
      <c r="AZ420" s="272">
        <f t="shared" si="410"/>
        <v>0</v>
      </c>
      <c r="BA420" s="272">
        <f t="shared" si="410"/>
        <v>0</v>
      </c>
      <c r="BB420" s="272">
        <f t="shared" si="410"/>
        <v>0</v>
      </c>
      <c r="BC420" s="272">
        <f t="shared" si="410"/>
        <v>0</v>
      </c>
      <c r="BD420" s="272">
        <f t="shared" si="410"/>
        <v>0</v>
      </c>
      <c r="BE420" s="272">
        <f t="shared" si="410"/>
        <v>0</v>
      </c>
      <c r="BF420" s="272">
        <f t="shared" si="410"/>
        <v>0</v>
      </c>
      <c r="BG420" s="272">
        <f t="shared" si="410"/>
        <v>0</v>
      </c>
      <c r="BH420" s="272">
        <f t="shared" si="410"/>
        <v>0</v>
      </c>
      <c r="BI420" s="272">
        <f t="shared" si="410"/>
        <v>0</v>
      </c>
      <c r="BJ420" s="272">
        <f t="shared" si="410"/>
        <v>0</v>
      </c>
      <c r="BK420" s="272">
        <f t="shared" si="410"/>
        <v>0</v>
      </c>
      <c r="BL420" s="272">
        <f t="shared" si="410"/>
        <v>0</v>
      </c>
      <c r="BM420" s="272">
        <f t="shared" si="410"/>
        <v>0</v>
      </c>
      <c r="BN420" s="324">
        <f t="shared" si="410"/>
        <v>0</v>
      </c>
    </row>
    <row r="421" spans="32:66" ht="20.100000000000001" customHeight="1" thickBot="1">
      <c r="AF421" s="1493"/>
      <c r="AG421" s="310" t="s">
        <v>1226</v>
      </c>
      <c r="AH421" s="288"/>
      <c r="AI421" s="310" t="s">
        <v>1497</v>
      </c>
      <c r="AJ421" s="260">
        <f>INDEX('DEFAULT DATA'!$AGY$9:$AHF$41,START!$C$3,8)</f>
        <v>0</v>
      </c>
      <c r="AK421" s="344">
        <v>0</v>
      </c>
      <c r="AL421" s="325">
        <f t="shared" ref="AL421:BN421" si="411">IF(AND(AL$373&gt;($D$101+2020),AL$373&lt;($E$101+2022)),AK421+(AL$6*$AJ$421*((100-$F$101)/100)*ROUND(($C$101/100*$B$101)/($E$101-$D$101+1),0)/1000000),AK421)</f>
        <v>0</v>
      </c>
      <c r="AM421" s="325">
        <f t="shared" si="411"/>
        <v>0</v>
      </c>
      <c r="AN421" s="325">
        <f t="shared" si="411"/>
        <v>0</v>
      </c>
      <c r="AO421" s="325">
        <f t="shared" si="411"/>
        <v>0</v>
      </c>
      <c r="AP421" s="325">
        <f t="shared" si="411"/>
        <v>0</v>
      </c>
      <c r="AQ421" s="325">
        <f t="shared" si="411"/>
        <v>0</v>
      </c>
      <c r="AR421" s="325">
        <f t="shared" si="411"/>
        <v>0</v>
      </c>
      <c r="AS421" s="325">
        <f t="shared" si="411"/>
        <v>0</v>
      </c>
      <c r="AT421" s="325">
        <f t="shared" si="411"/>
        <v>0</v>
      </c>
      <c r="AU421" s="325">
        <f t="shared" si="411"/>
        <v>0</v>
      </c>
      <c r="AV421" s="325">
        <f t="shared" si="411"/>
        <v>0</v>
      </c>
      <c r="AW421" s="325">
        <f t="shared" si="411"/>
        <v>0</v>
      </c>
      <c r="AX421" s="325">
        <f t="shared" si="411"/>
        <v>0</v>
      </c>
      <c r="AY421" s="325">
        <f t="shared" si="411"/>
        <v>0</v>
      </c>
      <c r="AZ421" s="325">
        <f t="shared" si="411"/>
        <v>0</v>
      </c>
      <c r="BA421" s="325">
        <f t="shared" si="411"/>
        <v>0</v>
      </c>
      <c r="BB421" s="325">
        <f t="shared" si="411"/>
        <v>0</v>
      </c>
      <c r="BC421" s="325">
        <f t="shared" si="411"/>
        <v>0</v>
      </c>
      <c r="BD421" s="325">
        <f t="shared" si="411"/>
        <v>0</v>
      </c>
      <c r="BE421" s="325">
        <f t="shared" si="411"/>
        <v>0</v>
      </c>
      <c r="BF421" s="325">
        <f t="shared" si="411"/>
        <v>0</v>
      </c>
      <c r="BG421" s="325">
        <f t="shared" si="411"/>
        <v>0</v>
      </c>
      <c r="BH421" s="325">
        <f t="shared" si="411"/>
        <v>0</v>
      </c>
      <c r="BI421" s="325">
        <f t="shared" si="411"/>
        <v>0</v>
      </c>
      <c r="BJ421" s="325">
        <f t="shared" si="411"/>
        <v>0</v>
      </c>
      <c r="BK421" s="325">
        <f t="shared" si="411"/>
        <v>0</v>
      </c>
      <c r="BL421" s="325">
        <f t="shared" si="411"/>
        <v>0</v>
      </c>
      <c r="BM421" s="325">
        <f t="shared" si="411"/>
        <v>0</v>
      </c>
      <c r="BN421" s="326">
        <f t="shared" si="411"/>
        <v>0</v>
      </c>
    </row>
    <row r="422" spans="32:66" ht="20.100000000000001" customHeight="1">
      <c r="AF422" s="315"/>
      <c r="AG422" s="285" t="s">
        <v>1458</v>
      </c>
      <c r="AH422" s="285"/>
      <c r="AI422" s="285"/>
      <c r="AJ422" s="285"/>
      <c r="AK422" s="342">
        <v>0</v>
      </c>
      <c r="AL422" s="327">
        <f>SUM(AL414:AL421)</f>
        <v>0</v>
      </c>
      <c r="AM422" s="327">
        <f t="shared" ref="AM422:BN422" si="412">SUM(AM414:AM421)</f>
        <v>0</v>
      </c>
      <c r="AN422" s="327">
        <f t="shared" si="412"/>
        <v>0</v>
      </c>
      <c r="AO422" s="327">
        <f t="shared" si="412"/>
        <v>0</v>
      </c>
      <c r="AP422" s="327">
        <f t="shared" si="412"/>
        <v>0</v>
      </c>
      <c r="AQ422" s="327">
        <f t="shared" si="412"/>
        <v>0</v>
      </c>
      <c r="AR422" s="327">
        <f t="shared" si="412"/>
        <v>0</v>
      </c>
      <c r="AS422" s="327">
        <f t="shared" si="412"/>
        <v>0</v>
      </c>
      <c r="AT422" s="327">
        <f t="shared" si="412"/>
        <v>0</v>
      </c>
      <c r="AU422" s="327">
        <f t="shared" si="412"/>
        <v>0</v>
      </c>
      <c r="AV422" s="327">
        <f t="shared" si="412"/>
        <v>0</v>
      </c>
      <c r="AW422" s="327">
        <f t="shared" si="412"/>
        <v>0</v>
      </c>
      <c r="AX422" s="327">
        <f t="shared" si="412"/>
        <v>0</v>
      </c>
      <c r="AY422" s="327">
        <f t="shared" si="412"/>
        <v>0</v>
      </c>
      <c r="AZ422" s="327">
        <f t="shared" si="412"/>
        <v>0</v>
      </c>
      <c r="BA422" s="327">
        <f t="shared" si="412"/>
        <v>0</v>
      </c>
      <c r="BB422" s="327">
        <f t="shared" si="412"/>
        <v>0</v>
      </c>
      <c r="BC422" s="327">
        <f t="shared" si="412"/>
        <v>0</v>
      </c>
      <c r="BD422" s="327">
        <f t="shared" si="412"/>
        <v>0</v>
      </c>
      <c r="BE422" s="327">
        <f t="shared" si="412"/>
        <v>0</v>
      </c>
      <c r="BF422" s="327">
        <f t="shared" si="412"/>
        <v>0</v>
      </c>
      <c r="BG422" s="327">
        <f t="shared" si="412"/>
        <v>0</v>
      </c>
      <c r="BH422" s="327">
        <f t="shared" si="412"/>
        <v>0</v>
      </c>
      <c r="BI422" s="327">
        <f t="shared" si="412"/>
        <v>0</v>
      </c>
      <c r="BJ422" s="327">
        <f t="shared" si="412"/>
        <v>0</v>
      </c>
      <c r="BK422" s="327">
        <f t="shared" si="412"/>
        <v>0</v>
      </c>
      <c r="BL422" s="327">
        <f t="shared" si="412"/>
        <v>0</v>
      </c>
      <c r="BM422" s="327">
        <f t="shared" si="412"/>
        <v>0</v>
      </c>
      <c r="BN422" s="327">
        <f t="shared" si="412"/>
        <v>0</v>
      </c>
    </row>
    <row r="423" spans="32:66" ht="20.100000000000001" customHeight="1" thickBot="1"/>
    <row r="424" spans="32:66" ht="20.100000000000001" customHeight="1">
      <c r="AF424" s="1491" t="s">
        <v>1229</v>
      </c>
      <c r="AG424" s="286" t="s">
        <v>933</v>
      </c>
      <c r="AH424" s="287"/>
      <c r="AI424" s="286" t="s">
        <v>1496</v>
      </c>
      <c r="AJ424" s="313">
        <f>INDEX('DEFAULT DATA'!$AHG$9:$AHN$41,START!$C$3,1)</f>
        <v>0</v>
      </c>
      <c r="AK424" s="343">
        <v>0</v>
      </c>
      <c r="AL424" s="322">
        <f t="shared" ref="AL424:BN424" si="413">IF(AND(AL$373&gt;($D$102+2020),AL$373&lt;($E$102+2022)),AK424+(AL$5*$AJ$424*((100-$F$102)/100)*($C$102/100*$B$102)/($E$102-$D$102+1)/1000000),AK424)</f>
        <v>0</v>
      </c>
      <c r="AM424" s="322">
        <f t="shared" si="413"/>
        <v>0</v>
      </c>
      <c r="AN424" s="322">
        <f t="shared" si="413"/>
        <v>0</v>
      </c>
      <c r="AO424" s="322">
        <f t="shared" si="413"/>
        <v>0</v>
      </c>
      <c r="AP424" s="322">
        <f t="shared" si="413"/>
        <v>0</v>
      </c>
      <c r="AQ424" s="322">
        <f t="shared" si="413"/>
        <v>0</v>
      </c>
      <c r="AR424" s="322">
        <f t="shared" si="413"/>
        <v>0</v>
      </c>
      <c r="AS424" s="322">
        <f t="shared" si="413"/>
        <v>0</v>
      </c>
      <c r="AT424" s="322">
        <f t="shared" si="413"/>
        <v>0</v>
      </c>
      <c r="AU424" s="322">
        <f t="shared" si="413"/>
        <v>0</v>
      </c>
      <c r="AV424" s="322">
        <f t="shared" si="413"/>
        <v>0</v>
      </c>
      <c r="AW424" s="322">
        <f t="shared" si="413"/>
        <v>0</v>
      </c>
      <c r="AX424" s="322">
        <f t="shared" si="413"/>
        <v>0</v>
      </c>
      <c r="AY424" s="322">
        <f t="shared" si="413"/>
        <v>0</v>
      </c>
      <c r="AZ424" s="322">
        <f t="shared" si="413"/>
        <v>0</v>
      </c>
      <c r="BA424" s="322">
        <f t="shared" si="413"/>
        <v>0</v>
      </c>
      <c r="BB424" s="322">
        <f t="shared" si="413"/>
        <v>0</v>
      </c>
      <c r="BC424" s="322">
        <f t="shared" si="413"/>
        <v>0</v>
      </c>
      <c r="BD424" s="322">
        <f t="shared" si="413"/>
        <v>0</v>
      </c>
      <c r="BE424" s="322">
        <f t="shared" si="413"/>
        <v>0</v>
      </c>
      <c r="BF424" s="322">
        <f t="shared" si="413"/>
        <v>0</v>
      </c>
      <c r="BG424" s="322">
        <f t="shared" si="413"/>
        <v>0</v>
      </c>
      <c r="BH424" s="322">
        <f t="shared" si="413"/>
        <v>0</v>
      </c>
      <c r="BI424" s="322">
        <f t="shared" si="413"/>
        <v>0</v>
      </c>
      <c r="BJ424" s="322">
        <f t="shared" si="413"/>
        <v>0</v>
      </c>
      <c r="BK424" s="322">
        <f t="shared" si="413"/>
        <v>0</v>
      </c>
      <c r="BL424" s="322">
        <f t="shared" si="413"/>
        <v>0</v>
      </c>
      <c r="BM424" s="322">
        <f t="shared" si="413"/>
        <v>0</v>
      </c>
      <c r="BN424" s="323">
        <f t="shared" si="413"/>
        <v>0</v>
      </c>
    </row>
    <row r="425" spans="32:66" ht="20.100000000000001" customHeight="1">
      <c r="AF425" s="1492"/>
      <c r="AG425" s="251" t="s">
        <v>1220</v>
      </c>
      <c r="AH425" s="280"/>
      <c r="AI425" s="251">
        <f>INDEX('DEFAULT DATA'!$VE$9:$VK$41,START!$C$3,1)</f>
        <v>202</v>
      </c>
      <c r="AJ425" s="195">
        <f>INDEX('DEFAULT DATA'!$AHG$9:$AHN$41,START!$C$3,2)</f>
        <v>0</v>
      </c>
      <c r="AK425" s="345">
        <v>0</v>
      </c>
      <c r="AL425" s="272">
        <f t="shared" ref="AL425:BN425" si="414">IF(AND(AL$373&gt;($D$102+2020),AL$373&lt;($E$102+2022)),AK425+($AI$425*$AJ$425*((100-$F$102)/100)*($C$102/100*$B$102)/($E$102-$D$102+1)/1000000),AK425)</f>
        <v>0</v>
      </c>
      <c r="AM425" s="272">
        <f t="shared" si="414"/>
        <v>0</v>
      </c>
      <c r="AN425" s="272">
        <f t="shared" si="414"/>
        <v>0</v>
      </c>
      <c r="AO425" s="272">
        <f t="shared" si="414"/>
        <v>0</v>
      </c>
      <c r="AP425" s="272">
        <f t="shared" si="414"/>
        <v>0</v>
      </c>
      <c r="AQ425" s="272">
        <f t="shared" si="414"/>
        <v>0</v>
      </c>
      <c r="AR425" s="272">
        <f t="shared" si="414"/>
        <v>0</v>
      </c>
      <c r="AS425" s="272">
        <f t="shared" si="414"/>
        <v>0</v>
      </c>
      <c r="AT425" s="272">
        <f t="shared" si="414"/>
        <v>0</v>
      </c>
      <c r="AU425" s="272">
        <f t="shared" si="414"/>
        <v>0</v>
      </c>
      <c r="AV425" s="272">
        <f t="shared" si="414"/>
        <v>0</v>
      </c>
      <c r="AW425" s="272">
        <f t="shared" si="414"/>
        <v>0</v>
      </c>
      <c r="AX425" s="272">
        <f t="shared" si="414"/>
        <v>0</v>
      </c>
      <c r="AY425" s="272">
        <f t="shared" si="414"/>
        <v>0</v>
      </c>
      <c r="AZ425" s="272">
        <f t="shared" si="414"/>
        <v>0</v>
      </c>
      <c r="BA425" s="272">
        <f t="shared" si="414"/>
        <v>0</v>
      </c>
      <c r="BB425" s="272">
        <f t="shared" si="414"/>
        <v>0</v>
      </c>
      <c r="BC425" s="272">
        <f t="shared" si="414"/>
        <v>0</v>
      </c>
      <c r="BD425" s="272">
        <f t="shared" si="414"/>
        <v>0</v>
      </c>
      <c r="BE425" s="272">
        <f t="shared" si="414"/>
        <v>0</v>
      </c>
      <c r="BF425" s="272">
        <f t="shared" si="414"/>
        <v>0</v>
      </c>
      <c r="BG425" s="272">
        <f t="shared" si="414"/>
        <v>0</v>
      </c>
      <c r="BH425" s="272">
        <f t="shared" si="414"/>
        <v>0</v>
      </c>
      <c r="BI425" s="272">
        <f t="shared" si="414"/>
        <v>0</v>
      </c>
      <c r="BJ425" s="272">
        <f t="shared" si="414"/>
        <v>0</v>
      </c>
      <c r="BK425" s="272">
        <f t="shared" si="414"/>
        <v>0</v>
      </c>
      <c r="BL425" s="272">
        <f t="shared" si="414"/>
        <v>0</v>
      </c>
      <c r="BM425" s="272">
        <f t="shared" si="414"/>
        <v>0</v>
      </c>
      <c r="BN425" s="324">
        <f t="shared" si="414"/>
        <v>0</v>
      </c>
    </row>
    <row r="426" spans="32:66" ht="20.100000000000001" customHeight="1">
      <c r="AF426" s="1492"/>
      <c r="AG426" s="251" t="s">
        <v>1221</v>
      </c>
      <c r="AH426" s="280"/>
      <c r="AI426" s="251">
        <f>INDEX('DEFAULT DATA'!$VE$9:$VK$41,START!$C$3,2)</f>
        <v>279</v>
      </c>
      <c r="AJ426" s="195">
        <f>INDEX('DEFAULT DATA'!$AHG$9:$AHN$41,START!$C$3,3)</f>
        <v>0</v>
      </c>
      <c r="AK426" s="345">
        <v>0</v>
      </c>
      <c r="AL426" s="272">
        <f t="shared" ref="AL426:BN426" si="415">IF(AND(AL$373&gt;($D$102+2020),AL$373&lt;($E$102+2022)),AK426+($AI$426*$AJ$426*((100-$F$102)/100)*($C$102/100*$B$102)/($E$102-$D$102+1)/1000000),AK426)</f>
        <v>0</v>
      </c>
      <c r="AM426" s="272">
        <f t="shared" si="415"/>
        <v>0</v>
      </c>
      <c r="AN426" s="272">
        <f t="shared" si="415"/>
        <v>0</v>
      </c>
      <c r="AO426" s="272">
        <f t="shared" si="415"/>
        <v>0</v>
      </c>
      <c r="AP426" s="272">
        <f t="shared" si="415"/>
        <v>0</v>
      </c>
      <c r="AQ426" s="272">
        <f t="shared" si="415"/>
        <v>0</v>
      </c>
      <c r="AR426" s="272">
        <f t="shared" si="415"/>
        <v>0</v>
      </c>
      <c r="AS426" s="272">
        <f t="shared" si="415"/>
        <v>0</v>
      </c>
      <c r="AT426" s="272">
        <f t="shared" si="415"/>
        <v>0</v>
      </c>
      <c r="AU426" s="272">
        <f t="shared" si="415"/>
        <v>0</v>
      </c>
      <c r="AV426" s="272">
        <f t="shared" si="415"/>
        <v>0</v>
      </c>
      <c r="AW426" s="272">
        <f t="shared" si="415"/>
        <v>0</v>
      </c>
      <c r="AX426" s="272">
        <f t="shared" si="415"/>
        <v>0</v>
      </c>
      <c r="AY426" s="272">
        <f t="shared" si="415"/>
        <v>0</v>
      </c>
      <c r="AZ426" s="272">
        <f t="shared" si="415"/>
        <v>0</v>
      </c>
      <c r="BA426" s="272">
        <f t="shared" si="415"/>
        <v>0</v>
      </c>
      <c r="BB426" s="272">
        <f t="shared" si="415"/>
        <v>0</v>
      </c>
      <c r="BC426" s="272">
        <f t="shared" si="415"/>
        <v>0</v>
      </c>
      <c r="BD426" s="272">
        <f t="shared" si="415"/>
        <v>0</v>
      </c>
      <c r="BE426" s="272">
        <f t="shared" si="415"/>
        <v>0</v>
      </c>
      <c r="BF426" s="272">
        <f t="shared" si="415"/>
        <v>0</v>
      </c>
      <c r="BG426" s="272">
        <f t="shared" si="415"/>
        <v>0</v>
      </c>
      <c r="BH426" s="272">
        <f t="shared" si="415"/>
        <v>0</v>
      </c>
      <c r="BI426" s="272">
        <f t="shared" si="415"/>
        <v>0</v>
      </c>
      <c r="BJ426" s="272">
        <f t="shared" si="415"/>
        <v>0</v>
      </c>
      <c r="BK426" s="272">
        <f t="shared" si="415"/>
        <v>0</v>
      </c>
      <c r="BL426" s="272">
        <f t="shared" si="415"/>
        <v>0</v>
      </c>
      <c r="BM426" s="272">
        <f t="shared" si="415"/>
        <v>0</v>
      </c>
      <c r="BN426" s="324">
        <f t="shared" si="415"/>
        <v>0</v>
      </c>
    </row>
    <row r="427" spans="32:66" ht="20.100000000000001" customHeight="1">
      <c r="AF427" s="1492"/>
      <c r="AG427" s="251" t="s">
        <v>1222</v>
      </c>
      <c r="AH427" s="280"/>
      <c r="AI427" s="251">
        <f>INDEX('DEFAULT DATA'!$VE$9:$VK$41,START!$C$3,3)</f>
        <v>354</v>
      </c>
      <c r="AJ427" s="195">
        <f>INDEX('DEFAULT DATA'!$AHG$9:$AHN$41,START!$C$3,4)</f>
        <v>0</v>
      </c>
      <c r="AK427" s="345">
        <v>0</v>
      </c>
      <c r="AL427" s="272">
        <f t="shared" ref="AL427:BN427" si="416">IF(AND(AL$373&gt;($D$102+2020),AL$373&lt;($E$102+2022)),AK427+($AI$427*$AJ$427*((100-$F$102)/100)*($C$102/100*$B$102)/($E$102-$D$102+1)/1000000),AK427)</f>
        <v>0</v>
      </c>
      <c r="AM427" s="272">
        <f t="shared" si="416"/>
        <v>0</v>
      </c>
      <c r="AN427" s="272">
        <f t="shared" si="416"/>
        <v>0</v>
      </c>
      <c r="AO427" s="272">
        <f t="shared" si="416"/>
        <v>0</v>
      </c>
      <c r="AP427" s="272">
        <f t="shared" si="416"/>
        <v>0</v>
      </c>
      <c r="AQ427" s="272">
        <f t="shared" si="416"/>
        <v>0</v>
      </c>
      <c r="AR427" s="272">
        <f t="shared" si="416"/>
        <v>0</v>
      </c>
      <c r="AS427" s="272">
        <f t="shared" si="416"/>
        <v>0</v>
      </c>
      <c r="AT427" s="272">
        <f t="shared" si="416"/>
        <v>0</v>
      </c>
      <c r="AU427" s="272">
        <f t="shared" si="416"/>
        <v>0</v>
      </c>
      <c r="AV427" s="272">
        <f t="shared" si="416"/>
        <v>0</v>
      </c>
      <c r="AW427" s="272">
        <f t="shared" si="416"/>
        <v>0</v>
      </c>
      <c r="AX427" s="272">
        <f t="shared" si="416"/>
        <v>0</v>
      </c>
      <c r="AY427" s="272">
        <f t="shared" si="416"/>
        <v>0</v>
      </c>
      <c r="AZ427" s="272">
        <f t="shared" si="416"/>
        <v>0</v>
      </c>
      <c r="BA427" s="272">
        <f t="shared" si="416"/>
        <v>0</v>
      </c>
      <c r="BB427" s="272">
        <f t="shared" si="416"/>
        <v>0</v>
      </c>
      <c r="BC427" s="272">
        <f t="shared" si="416"/>
        <v>0</v>
      </c>
      <c r="BD427" s="272">
        <f t="shared" si="416"/>
        <v>0</v>
      </c>
      <c r="BE427" s="272">
        <f t="shared" si="416"/>
        <v>0</v>
      </c>
      <c r="BF427" s="272">
        <f t="shared" si="416"/>
        <v>0</v>
      </c>
      <c r="BG427" s="272">
        <f t="shared" si="416"/>
        <v>0</v>
      </c>
      <c r="BH427" s="272">
        <f t="shared" si="416"/>
        <v>0</v>
      </c>
      <c r="BI427" s="272">
        <f t="shared" si="416"/>
        <v>0</v>
      </c>
      <c r="BJ427" s="272">
        <f t="shared" si="416"/>
        <v>0</v>
      </c>
      <c r="BK427" s="272">
        <f t="shared" si="416"/>
        <v>0</v>
      </c>
      <c r="BL427" s="272">
        <f t="shared" si="416"/>
        <v>0</v>
      </c>
      <c r="BM427" s="272">
        <f t="shared" si="416"/>
        <v>0</v>
      </c>
      <c r="BN427" s="324">
        <f t="shared" si="416"/>
        <v>0</v>
      </c>
    </row>
    <row r="428" spans="32:66" ht="20.100000000000001" customHeight="1">
      <c r="AF428" s="1492"/>
      <c r="AG428" s="251" t="s">
        <v>1223</v>
      </c>
      <c r="AH428" s="280"/>
      <c r="AI428" s="251">
        <f>INDEX('DEFAULT DATA'!$VE$9:$VK$41,START!$C$3,4)</f>
        <v>0</v>
      </c>
      <c r="AJ428" s="195">
        <f>INDEX('DEFAULT DATA'!$AHG$9:$AHN$41,START!$C$3,5)</f>
        <v>0</v>
      </c>
      <c r="AK428" s="345">
        <v>0</v>
      </c>
      <c r="AL428" s="272">
        <f t="shared" ref="AL428:BN428" si="417">IF(AND(AL$373&gt;($D$102+2020),AL$373&lt;($E$102+2022)),AK428+($AI$428*$AJ$428*((100-$F$102)/100)*($C$102/100*$B$102)/($E$102-$D$102+1)/1000000),AK428)</f>
        <v>0</v>
      </c>
      <c r="AM428" s="272">
        <f t="shared" si="417"/>
        <v>0</v>
      </c>
      <c r="AN428" s="272">
        <f t="shared" si="417"/>
        <v>0</v>
      </c>
      <c r="AO428" s="272">
        <f t="shared" si="417"/>
        <v>0</v>
      </c>
      <c r="AP428" s="272">
        <f t="shared" si="417"/>
        <v>0</v>
      </c>
      <c r="AQ428" s="272">
        <f t="shared" si="417"/>
        <v>0</v>
      </c>
      <c r="AR428" s="272">
        <f t="shared" si="417"/>
        <v>0</v>
      </c>
      <c r="AS428" s="272">
        <f t="shared" si="417"/>
        <v>0</v>
      </c>
      <c r="AT428" s="272">
        <f t="shared" si="417"/>
        <v>0</v>
      </c>
      <c r="AU428" s="272">
        <f t="shared" si="417"/>
        <v>0</v>
      </c>
      <c r="AV428" s="272">
        <f t="shared" si="417"/>
        <v>0</v>
      </c>
      <c r="AW428" s="272">
        <f t="shared" si="417"/>
        <v>0</v>
      </c>
      <c r="AX428" s="272">
        <f t="shared" si="417"/>
        <v>0</v>
      </c>
      <c r="AY428" s="272">
        <f t="shared" si="417"/>
        <v>0</v>
      </c>
      <c r="AZ428" s="272">
        <f t="shared" si="417"/>
        <v>0</v>
      </c>
      <c r="BA428" s="272">
        <f t="shared" si="417"/>
        <v>0</v>
      </c>
      <c r="BB428" s="272">
        <f t="shared" si="417"/>
        <v>0</v>
      </c>
      <c r="BC428" s="272">
        <f t="shared" si="417"/>
        <v>0</v>
      </c>
      <c r="BD428" s="272">
        <f t="shared" si="417"/>
        <v>0</v>
      </c>
      <c r="BE428" s="272">
        <f t="shared" si="417"/>
        <v>0</v>
      </c>
      <c r="BF428" s="272">
        <f t="shared" si="417"/>
        <v>0</v>
      </c>
      <c r="BG428" s="272">
        <f t="shared" si="417"/>
        <v>0</v>
      </c>
      <c r="BH428" s="272">
        <f t="shared" si="417"/>
        <v>0</v>
      </c>
      <c r="BI428" s="272">
        <f t="shared" si="417"/>
        <v>0</v>
      </c>
      <c r="BJ428" s="272">
        <f t="shared" si="417"/>
        <v>0</v>
      </c>
      <c r="BK428" s="272">
        <f t="shared" si="417"/>
        <v>0</v>
      </c>
      <c r="BL428" s="272">
        <f t="shared" si="417"/>
        <v>0</v>
      </c>
      <c r="BM428" s="272">
        <f t="shared" si="417"/>
        <v>0</v>
      </c>
      <c r="BN428" s="324">
        <f t="shared" si="417"/>
        <v>0</v>
      </c>
    </row>
    <row r="429" spans="32:66" ht="20.100000000000001" customHeight="1">
      <c r="AF429" s="1492"/>
      <c r="AG429" s="251" t="s">
        <v>1224</v>
      </c>
      <c r="AH429" s="280"/>
      <c r="AI429" s="251">
        <f>INDEX('DEFAULT DATA'!$VE$9:$VK$41,START!$C$3,5)</f>
        <v>403</v>
      </c>
      <c r="AJ429" s="195">
        <f>INDEX('DEFAULT DATA'!$AHG$9:$AHN$41,START!$C$3,6)</f>
        <v>0</v>
      </c>
      <c r="AK429" s="345">
        <v>0</v>
      </c>
      <c r="AL429" s="272">
        <f t="shared" ref="AL429:BN429" si="418">IF(AND(AL$373&gt;($D$102+2020),AL$373&lt;($E$102+2022)),AK429+($AI$429*$AJ$429*((100-$F$102)/100)*($C$102/100*$B$102)/($E$102-$D$102+1)/1000000),AK429)</f>
        <v>0</v>
      </c>
      <c r="AM429" s="272">
        <f t="shared" si="418"/>
        <v>0</v>
      </c>
      <c r="AN429" s="272">
        <f t="shared" si="418"/>
        <v>0</v>
      </c>
      <c r="AO429" s="272">
        <f t="shared" si="418"/>
        <v>0</v>
      </c>
      <c r="AP429" s="272">
        <f t="shared" si="418"/>
        <v>0</v>
      </c>
      <c r="AQ429" s="272">
        <f t="shared" si="418"/>
        <v>0</v>
      </c>
      <c r="AR429" s="272">
        <f t="shared" si="418"/>
        <v>0</v>
      </c>
      <c r="AS429" s="272">
        <f t="shared" si="418"/>
        <v>0</v>
      </c>
      <c r="AT429" s="272">
        <f t="shared" si="418"/>
        <v>0</v>
      </c>
      <c r="AU429" s="272">
        <f t="shared" si="418"/>
        <v>0</v>
      </c>
      <c r="AV429" s="272">
        <f t="shared" si="418"/>
        <v>0</v>
      </c>
      <c r="AW429" s="272">
        <f t="shared" si="418"/>
        <v>0</v>
      </c>
      <c r="AX429" s="272">
        <f t="shared" si="418"/>
        <v>0</v>
      </c>
      <c r="AY429" s="272">
        <f t="shared" si="418"/>
        <v>0</v>
      </c>
      <c r="AZ429" s="272">
        <f t="shared" si="418"/>
        <v>0</v>
      </c>
      <c r="BA429" s="272">
        <f t="shared" si="418"/>
        <v>0</v>
      </c>
      <c r="BB429" s="272">
        <f t="shared" si="418"/>
        <v>0</v>
      </c>
      <c r="BC429" s="272">
        <f t="shared" si="418"/>
        <v>0</v>
      </c>
      <c r="BD429" s="272">
        <f t="shared" si="418"/>
        <v>0</v>
      </c>
      <c r="BE429" s="272">
        <f t="shared" si="418"/>
        <v>0</v>
      </c>
      <c r="BF429" s="272">
        <f t="shared" si="418"/>
        <v>0</v>
      </c>
      <c r="BG429" s="272">
        <f t="shared" si="418"/>
        <v>0</v>
      </c>
      <c r="BH429" s="272">
        <f t="shared" si="418"/>
        <v>0</v>
      </c>
      <c r="BI429" s="272">
        <f t="shared" si="418"/>
        <v>0</v>
      </c>
      <c r="BJ429" s="272">
        <f t="shared" si="418"/>
        <v>0</v>
      </c>
      <c r="BK429" s="272">
        <f t="shared" si="418"/>
        <v>0</v>
      </c>
      <c r="BL429" s="272">
        <f t="shared" si="418"/>
        <v>0</v>
      </c>
      <c r="BM429" s="272">
        <f t="shared" si="418"/>
        <v>0</v>
      </c>
      <c r="BN429" s="324">
        <f t="shared" si="418"/>
        <v>0</v>
      </c>
    </row>
    <row r="430" spans="32:66" ht="20.100000000000001" customHeight="1">
      <c r="AF430" s="1492"/>
      <c r="AG430" s="251" t="s">
        <v>1225</v>
      </c>
      <c r="AH430" s="280"/>
      <c r="AI430" s="251">
        <f>INDEX('DEFAULT DATA'!$VE$9:$VK$41,START!$C$3,6)</f>
        <v>0</v>
      </c>
      <c r="AJ430" s="195">
        <f>INDEX('DEFAULT DATA'!$AHG$9:$AHN$41,START!$C$3,7)</f>
        <v>0</v>
      </c>
      <c r="AK430" s="345">
        <v>0</v>
      </c>
      <c r="AL430" s="272">
        <f t="shared" ref="AL430:BN430" si="419">IF(AND(AL$373&gt;($D$102+2020),AL$373&lt;($E$102+2022)),AK430+($AI$430*$AJ$430*((100-$F$102)/100)*($C$102/100*$B$102)/($E$102-$D$102+1)/1000000),AK430)</f>
        <v>0</v>
      </c>
      <c r="AM430" s="272">
        <f t="shared" si="419"/>
        <v>0</v>
      </c>
      <c r="AN430" s="272">
        <f t="shared" si="419"/>
        <v>0</v>
      </c>
      <c r="AO430" s="272">
        <f t="shared" si="419"/>
        <v>0</v>
      </c>
      <c r="AP430" s="272">
        <f t="shared" si="419"/>
        <v>0</v>
      </c>
      <c r="AQ430" s="272">
        <f t="shared" si="419"/>
        <v>0</v>
      </c>
      <c r="AR430" s="272">
        <f t="shared" si="419"/>
        <v>0</v>
      </c>
      <c r="AS430" s="272">
        <f t="shared" si="419"/>
        <v>0</v>
      </c>
      <c r="AT430" s="272">
        <f t="shared" si="419"/>
        <v>0</v>
      </c>
      <c r="AU430" s="272">
        <f t="shared" si="419"/>
        <v>0</v>
      </c>
      <c r="AV430" s="272">
        <f t="shared" si="419"/>
        <v>0</v>
      </c>
      <c r="AW430" s="272">
        <f t="shared" si="419"/>
        <v>0</v>
      </c>
      <c r="AX430" s="272">
        <f t="shared" si="419"/>
        <v>0</v>
      </c>
      <c r="AY430" s="272">
        <f t="shared" si="419"/>
        <v>0</v>
      </c>
      <c r="AZ430" s="272">
        <f t="shared" si="419"/>
        <v>0</v>
      </c>
      <c r="BA430" s="272">
        <f t="shared" si="419"/>
        <v>0</v>
      </c>
      <c r="BB430" s="272">
        <f t="shared" si="419"/>
        <v>0</v>
      </c>
      <c r="BC430" s="272">
        <f t="shared" si="419"/>
        <v>0</v>
      </c>
      <c r="BD430" s="272">
        <f t="shared" si="419"/>
        <v>0</v>
      </c>
      <c r="BE430" s="272">
        <f t="shared" si="419"/>
        <v>0</v>
      </c>
      <c r="BF430" s="272">
        <f t="shared" si="419"/>
        <v>0</v>
      </c>
      <c r="BG430" s="272">
        <f t="shared" si="419"/>
        <v>0</v>
      </c>
      <c r="BH430" s="272">
        <f t="shared" si="419"/>
        <v>0</v>
      </c>
      <c r="BI430" s="272">
        <f t="shared" si="419"/>
        <v>0</v>
      </c>
      <c r="BJ430" s="272">
        <f t="shared" si="419"/>
        <v>0</v>
      </c>
      <c r="BK430" s="272">
        <f t="shared" si="419"/>
        <v>0</v>
      </c>
      <c r="BL430" s="272">
        <f t="shared" si="419"/>
        <v>0</v>
      </c>
      <c r="BM430" s="272">
        <f t="shared" si="419"/>
        <v>0</v>
      </c>
      <c r="BN430" s="324">
        <f t="shared" si="419"/>
        <v>0</v>
      </c>
    </row>
    <row r="431" spans="32:66" ht="20.100000000000001" customHeight="1" thickBot="1">
      <c r="AF431" s="1493"/>
      <c r="AG431" s="310" t="s">
        <v>1226</v>
      </c>
      <c r="AH431" s="288"/>
      <c r="AI431" s="310" t="s">
        <v>1497</v>
      </c>
      <c r="AJ431" s="260">
        <f>INDEX('DEFAULT DATA'!$AHG$9:$AHN$41,START!$C$3,8)</f>
        <v>0</v>
      </c>
      <c r="AK431" s="344">
        <v>0</v>
      </c>
      <c r="AL431" s="325">
        <f t="shared" ref="AL431:BN431" si="420">IF(AND(AL$373&gt;($D$102+2020),AL$373&lt;($E$102+2022)),AK431+(AL$5*$AJ$431*((100-$F$102)/100)*($C$102/100*$B$102)/($E$102-$D$102+1)/1000000),AK431)</f>
        <v>0</v>
      </c>
      <c r="AM431" s="325">
        <f t="shared" si="420"/>
        <v>0</v>
      </c>
      <c r="AN431" s="325">
        <f t="shared" si="420"/>
        <v>0</v>
      </c>
      <c r="AO431" s="325">
        <f t="shared" si="420"/>
        <v>0</v>
      </c>
      <c r="AP431" s="325">
        <f t="shared" si="420"/>
        <v>0</v>
      </c>
      <c r="AQ431" s="325">
        <f t="shared" si="420"/>
        <v>0</v>
      </c>
      <c r="AR431" s="325">
        <f t="shared" si="420"/>
        <v>0</v>
      </c>
      <c r="AS431" s="325">
        <f t="shared" si="420"/>
        <v>0</v>
      </c>
      <c r="AT431" s="325">
        <f t="shared" si="420"/>
        <v>0</v>
      </c>
      <c r="AU431" s="325">
        <f t="shared" si="420"/>
        <v>0</v>
      </c>
      <c r="AV431" s="325">
        <f t="shared" si="420"/>
        <v>0</v>
      </c>
      <c r="AW431" s="325">
        <f t="shared" si="420"/>
        <v>0</v>
      </c>
      <c r="AX431" s="325">
        <f t="shared" si="420"/>
        <v>0</v>
      </c>
      <c r="AY431" s="325">
        <f t="shared" si="420"/>
        <v>0</v>
      </c>
      <c r="AZ431" s="325">
        <f t="shared" si="420"/>
        <v>0</v>
      </c>
      <c r="BA431" s="325">
        <f t="shared" si="420"/>
        <v>0</v>
      </c>
      <c r="BB431" s="325">
        <f t="shared" si="420"/>
        <v>0</v>
      </c>
      <c r="BC431" s="325">
        <f t="shared" si="420"/>
        <v>0</v>
      </c>
      <c r="BD431" s="325">
        <f t="shared" si="420"/>
        <v>0</v>
      </c>
      <c r="BE431" s="325">
        <f t="shared" si="420"/>
        <v>0</v>
      </c>
      <c r="BF431" s="325">
        <f t="shared" si="420"/>
        <v>0</v>
      </c>
      <c r="BG431" s="325">
        <f t="shared" si="420"/>
        <v>0</v>
      </c>
      <c r="BH431" s="325">
        <f t="shared" si="420"/>
        <v>0</v>
      </c>
      <c r="BI431" s="325">
        <f t="shared" si="420"/>
        <v>0</v>
      </c>
      <c r="BJ431" s="325">
        <f t="shared" si="420"/>
        <v>0</v>
      </c>
      <c r="BK431" s="325">
        <f t="shared" si="420"/>
        <v>0</v>
      </c>
      <c r="BL431" s="325">
        <f t="shared" si="420"/>
        <v>0</v>
      </c>
      <c r="BM431" s="325">
        <f t="shared" si="420"/>
        <v>0</v>
      </c>
      <c r="BN431" s="326">
        <f t="shared" si="420"/>
        <v>0</v>
      </c>
    </row>
    <row r="432" spans="32:66" ht="20.100000000000001" customHeight="1">
      <c r="AF432" s="311"/>
      <c r="AG432" s="285" t="s">
        <v>1459</v>
      </c>
      <c r="AH432" s="285"/>
      <c r="AI432" s="285"/>
      <c r="AJ432" s="285"/>
      <c r="AK432" s="342">
        <v>0</v>
      </c>
      <c r="AL432" s="327">
        <f>SUM(AL424:AL431)</f>
        <v>0</v>
      </c>
      <c r="AM432" s="327">
        <f t="shared" ref="AM432:BN432" si="421">SUM(AM424:AM431)</f>
        <v>0</v>
      </c>
      <c r="AN432" s="327">
        <f t="shared" si="421"/>
        <v>0</v>
      </c>
      <c r="AO432" s="327">
        <f t="shared" si="421"/>
        <v>0</v>
      </c>
      <c r="AP432" s="327">
        <f t="shared" si="421"/>
        <v>0</v>
      </c>
      <c r="AQ432" s="327">
        <f t="shared" si="421"/>
        <v>0</v>
      </c>
      <c r="AR432" s="327">
        <f t="shared" si="421"/>
        <v>0</v>
      </c>
      <c r="AS432" s="327">
        <f t="shared" si="421"/>
        <v>0</v>
      </c>
      <c r="AT432" s="327">
        <f t="shared" si="421"/>
        <v>0</v>
      </c>
      <c r="AU432" s="327">
        <f t="shared" si="421"/>
        <v>0</v>
      </c>
      <c r="AV432" s="327">
        <f t="shared" si="421"/>
        <v>0</v>
      </c>
      <c r="AW432" s="327">
        <f t="shared" si="421"/>
        <v>0</v>
      </c>
      <c r="AX432" s="327">
        <f t="shared" si="421"/>
        <v>0</v>
      </c>
      <c r="AY432" s="327">
        <f t="shared" si="421"/>
        <v>0</v>
      </c>
      <c r="AZ432" s="327">
        <f t="shared" si="421"/>
        <v>0</v>
      </c>
      <c r="BA432" s="327">
        <f t="shared" si="421"/>
        <v>0</v>
      </c>
      <c r="BB432" s="327">
        <f t="shared" si="421"/>
        <v>0</v>
      </c>
      <c r="BC432" s="327">
        <f t="shared" si="421"/>
        <v>0</v>
      </c>
      <c r="BD432" s="327">
        <f t="shared" si="421"/>
        <v>0</v>
      </c>
      <c r="BE432" s="327">
        <f t="shared" si="421"/>
        <v>0</v>
      </c>
      <c r="BF432" s="327">
        <f t="shared" si="421"/>
        <v>0</v>
      </c>
      <c r="BG432" s="327">
        <f t="shared" si="421"/>
        <v>0</v>
      </c>
      <c r="BH432" s="327">
        <f t="shared" si="421"/>
        <v>0</v>
      </c>
      <c r="BI432" s="327">
        <f t="shared" si="421"/>
        <v>0</v>
      </c>
      <c r="BJ432" s="327">
        <f t="shared" si="421"/>
        <v>0</v>
      </c>
      <c r="BK432" s="327">
        <f t="shared" si="421"/>
        <v>0</v>
      </c>
      <c r="BL432" s="327">
        <f t="shared" si="421"/>
        <v>0</v>
      </c>
      <c r="BM432" s="327">
        <f t="shared" si="421"/>
        <v>0</v>
      </c>
      <c r="BN432" s="327">
        <f t="shared" si="421"/>
        <v>0</v>
      </c>
    </row>
    <row r="433" spans="32:66" ht="20.100000000000001" customHeight="1" thickBot="1"/>
    <row r="434" spans="32:66" ht="20.100000000000001" customHeight="1">
      <c r="AF434" s="1491" t="s">
        <v>1230</v>
      </c>
      <c r="AG434" s="286" t="s">
        <v>933</v>
      </c>
      <c r="AH434" s="287"/>
      <c r="AI434" s="286" t="s">
        <v>1496</v>
      </c>
      <c r="AJ434" s="313">
        <f>INDEX('DEFAULT DATA'!$AHO$9:$AHV$41,START!$C$3,1)</f>
        <v>0</v>
      </c>
      <c r="AK434" s="343">
        <v>0</v>
      </c>
      <c r="AL434" s="328">
        <f t="shared" ref="AL434:BN434" si="422">IF(AND(AL$373&gt;($D$103+2020),AL$373&lt;($E$103+2022)),AK434+(AL$5*$AJ$434*((100-$F$103)/100)*($C$103/100*$B$103)/($E$103-$D$103+1)/1000000),AK434)</f>
        <v>0</v>
      </c>
      <c r="AM434" s="328">
        <f t="shared" si="422"/>
        <v>0</v>
      </c>
      <c r="AN434" s="328">
        <f t="shared" si="422"/>
        <v>0</v>
      </c>
      <c r="AO434" s="328">
        <f t="shared" si="422"/>
        <v>0</v>
      </c>
      <c r="AP434" s="328">
        <f t="shared" si="422"/>
        <v>0</v>
      </c>
      <c r="AQ434" s="328">
        <f t="shared" si="422"/>
        <v>0</v>
      </c>
      <c r="AR434" s="328">
        <f t="shared" si="422"/>
        <v>0</v>
      </c>
      <c r="AS434" s="328">
        <f t="shared" si="422"/>
        <v>0</v>
      </c>
      <c r="AT434" s="328">
        <f t="shared" si="422"/>
        <v>0</v>
      </c>
      <c r="AU434" s="328">
        <f t="shared" si="422"/>
        <v>0</v>
      </c>
      <c r="AV434" s="328">
        <f t="shared" si="422"/>
        <v>0</v>
      </c>
      <c r="AW434" s="328">
        <f t="shared" si="422"/>
        <v>0</v>
      </c>
      <c r="AX434" s="328">
        <f t="shared" si="422"/>
        <v>0</v>
      </c>
      <c r="AY434" s="328">
        <f t="shared" si="422"/>
        <v>0</v>
      </c>
      <c r="AZ434" s="328">
        <f t="shared" si="422"/>
        <v>0</v>
      </c>
      <c r="BA434" s="328">
        <f t="shared" si="422"/>
        <v>0</v>
      </c>
      <c r="BB434" s="328">
        <f t="shared" si="422"/>
        <v>0</v>
      </c>
      <c r="BC434" s="328">
        <f t="shared" si="422"/>
        <v>0</v>
      </c>
      <c r="BD434" s="328">
        <f t="shared" si="422"/>
        <v>0</v>
      </c>
      <c r="BE434" s="328">
        <f t="shared" si="422"/>
        <v>0</v>
      </c>
      <c r="BF434" s="328">
        <f t="shared" si="422"/>
        <v>0</v>
      </c>
      <c r="BG434" s="328">
        <f t="shared" si="422"/>
        <v>0</v>
      </c>
      <c r="BH434" s="328">
        <f t="shared" si="422"/>
        <v>0</v>
      </c>
      <c r="BI434" s="328">
        <f t="shared" si="422"/>
        <v>0</v>
      </c>
      <c r="BJ434" s="328">
        <f t="shared" si="422"/>
        <v>0</v>
      </c>
      <c r="BK434" s="328">
        <f t="shared" si="422"/>
        <v>0</v>
      </c>
      <c r="BL434" s="328">
        <f t="shared" si="422"/>
        <v>0</v>
      </c>
      <c r="BM434" s="328">
        <f t="shared" si="422"/>
        <v>0</v>
      </c>
      <c r="BN434" s="329">
        <f t="shared" si="422"/>
        <v>0</v>
      </c>
    </row>
    <row r="435" spans="32:66" ht="20.100000000000001" customHeight="1">
      <c r="AF435" s="1492"/>
      <c r="AG435" s="251" t="s">
        <v>1220</v>
      </c>
      <c r="AH435" s="280"/>
      <c r="AI435" s="251">
        <f>INDEX('DEFAULT DATA'!$VE$9:$VK$41,START!$C$3,1)</f>
        <v>202</v>
      </c>
      <c r="AJ435" s="195">
        <f>INDEX('DEFAULT DATA'!$AHO$9:$AHV$41,START!$C$3,2)</f>
        <v>0</v>
      </c>
      <c r="AK435" s="345">
        <v>0</v>
      </c>
      <c r="AL435" s="272">
        <f t="shared" ref="AL435:BN435" si="423">IF(AND(AL$373&gt;($D$103+2020),AL$373&lt;($E$103+2022)),AK435+($AI$435*$AJ$435*((100-$F$103)/100)*($C$103/100*$B$103)/($E$103-$D$103+1)/1000000),AK435)</f>
        <v>0</v>
      </c>
      <c r="AM435" s="272">
        <f t="shared" si="423"/>
        <v>0</v>
      </c>
      <c r="AN435" s="272">
        <f t="shared" si="423"/>
        <v>0</v>
      </c>
      <c r="AO435" s="272">
        <f t="shared" si="423"/>
        <v>0</v>
      </c>
      <c r="AP435" s="272">
        <f t="shared" si="423"/>
        <v>0</v>
      </c>
      <c r="AQ435" s="272">
        <f t="shared" si="423"/>
        <v>0</v>
      </c>
      <c r="AR435" s="272">
        <f t="shared" si="423"/>
        <v>0</v>
      </c>
      <c r="AS435" s="272">
        <f t="shared" si="423"/>
        <v>0</v>
      </c>
      <c r="AT435" s="272">
        <f t="shared" si="423"/>
        <v>0</v>
      </c>
      <c r="AU435" s="272">
        <f t="shared" si="423"/>
        <v>0</v>
      </c>
      <c r="AV435" s="272">
        <f t="shared" si="423"/>
        <v>0</v>
      </c>
      <c r="AW435" s="272">
        <f t="shared" si="423"/>
        <v>0</v>
      </c>
      <c r="AX435" s="272">
        <f t="shared" si="423"/>
        <v>0</v>
      </c>
      <c r="AY435" s="272">
        <f t="shared" si="423"/>
        <v>0</v>
      </c>
      <c r="AZ435" s="272">
        <f t="shared" si="423"/>
        <v>0</v>
      </c>
      <c r="BA435" s="272">
        <f t="shared" si="423"/>
        <v>0</v>
      </c>
      <c r="BB435" s="272">
        <f t="shared" si="423"/>
        <v>0</v>
      </c>
      <c r="BC435" s="272">
        <f t="shared" si="423"/>
        <v>0</v>
      </c>
      <c r="BD435" s="272">
        <f t="shared" si="423"/>
        <v>0</v>
      </c>
      <c r="BE435" s="272">
        <f t="shared" si="423"/>
        <v>0</v>
      </c>
      <c r="BF435" s="272">
        <f t="shared" si="423"/>
        <v>0</v>
      </c>
      <c r="BG435" s="272">
        <f t="shared" si="423"/>
        <v>0</v>
      </c>
      <c r="BH435" s="272">
        <f t="shared" si="423"/>
        <v>0</v>
      </c>
      <c r="BI435" s="272">
        <f t="shared" si="423"/>
        <v>0</v>
      </c>
      <c r="BJ435" s="272">
        <f t="shared" si="423"/>
        <v>0</v>
      </c>
      <c r="BK435" s="272">
        <f t="shared" si="423"/>
        <v>0</v>
      </c>
      <c r="BL435" s="272">
        <f t="shared" si="423"/>
        <v>0</v>
      </c>
      <c r="BM435" s="272">
        <f t="shared" si="423"/>
        <v>0</v>
      </c>
      <c r="BN435" s="324">
        <f t="shared" si="423"/>
        <v>0</v>
      </c>
    </row>
    <row r="436" spans="32:66" ht="20.100000000000001" customHeight="1">
      <c r="AF436" s="1492"/>
      <c r="AG436" s="251" t="s">
        <v>1221</v>
      </c>
      <c r="AH436" s="280"/>
      <c r="AI436" s="251">
        <f>INDEX('DEFAULT DATA'!$VE$9:$VK$41,START!$C$3,2)</f>
        <v>279</v>
      </c>
      <c r="AJ436" s="195">
        <f>INDEX('DEFAULT DATA'!$AHO$9:$AHV$41,START!$C$3,3)</f>
        <v>0</v>
      </c>
      <c r="AK436" s="345">
        <v>0</v>
      </c>
      <c r="AL436" s="272">
        <f t="shared" ref="AL436:BN436" si="424">IF(AND(AL$373&gt;($D$103+2020),AL$373&lt;($E$103+2022)),AK436+($AI$436*$AJ$436*((100-$F$103)/100)*($C$103/100*$B$103)/($E$103-$D$103+1)/1000000),AK436)</f>
        <v>0</v>
      </c>
      <c r="AM436" s="272">
        <f t="shared" si="424"/>
        <v>0</v>
      </c>
      <c r="AN436" s="272">
        <f t="shared" si="424"/>
        <v>0</v>
      </c>
      <c r="AO436" s="272">
        <f t="shared" si="424"/>
        <v>0</v>
      </c>
      <c r="AP436" s="272">
        <f t="shared" si="424"/>
        <v>0</v>
      </c>
      <c r="AQ436" s="272">
        <f t="shared" si="424"/>
        <v>0</v>
      </c>
      <c r="AR436" s="272">
        <f t="shared" si="424"/>
        <v>0</v>
      </c>
      <c r="AS436" s="272">
        <f t="shared" si="424"/>
        <v>0</v>
      </c>
      <c r="AT436" s="272">
        <f t="shared" si="424"/>
        <v>0</v>
      </c>
      <c r="AU436" s="272">
        <f t="shared" si="424"/>
        <v>0</v>
      </c>
      <c r="AV436" s="272">
        <f t="shared" si="424"/>
        <v>0</v>
      </c>
      <c r="AW436" s="272">
        <f t="shared" si="424"/>
        <v>0</v>
      </c>
      <c r="AX436" s="272">
        <f t="shared" si="424"/>
        <v>0</v>
      </c>
      <c r="AY436" s="272">
        <f t="shared" si="424"/>
        <v>0</v>
      </c>
      <c r="AZ436" s="272">
        <f t="shared" si="424"/>
        <v>0</v>
      </c>
      <c r="BA436" s="272">
        <f t="shared" si="424"/>
        <v>0</v>
      </c>
      <c r="BB436" s="272">
        <f t="shared" si="424"/>
        <v>0</v>
      </c>
      <c r="BC436" s="272">
        <f t="shared" si="424"/>
        <v>0</v>
      </c>
      <c r="BD436" s="272">
        <f t="shared" si="424"/>
        <v>0</v>
      </c>
      <c r="BE436" s="272">
        <f t="shared" si="424"/>
        <v>0</v>
      </c>
      <c r="BF436" s="272">
        <f t="shared" si="424"/>
        <v>0</v>
      </c>
      <c r="BG436" s="272">
        <f t="shared" si="424"/>
        <v>0</v>
      </c>
      <c r="BH436" s="272">
        <f t="shared" si="424"/>
        <v>0</v>
      </c>
      <c r="BI436" s="272">
        <f t="shared" si="424"/>
        <v>0</v>
      </c>
      <c r="BJ436" s="272">
        <f t="shared" si="424"/>
        <v>0</v>
      </c>
      <c r="BK436" s="272">
        <f t="shared" si="424"/>
        <v>0</v>
      </c>
      <c r="BL436" s="272">
        <f t="shared" si="424"/>
        <v>0</v>
      </c>
      <c r="BM436" s="272">
        <f t="shared" si="424"/>
        <v>0</v>
      </c>
      <c r="BN436" s="324">
        <f t="shared" si="424"/>
        <v>0</v>
      </c>
    </row>
    <row r="437" spans="32:66" ht="20.100000000000001" customHeight="1">
      <c r="AF437" s="1492"/>
      <c r="AG437" s="251" t="s">
        <v>1222</v>
      </c>
      <c r="AH437" s="280"/>
      <c r="AI437" s="251">
        <f>INDEX('DEFAULT DATA'!$VE$9:$VK$41,START!$C$3,3)</f>
        <v>354</v>
      </c>
      <c r="AJ437" s="195">
        <f>INDEX('DEFAULT DATA'!$AHO$9:$AHV$41,START!$C$3,4)</f>
        <v>0</v>
      </c>
      <c r="AK437" s="345">
        <v>0</v>
      </c>
      <c r="AL437" s="272">
        <f t="shared" ref="AL437:BN437" si="425">IF(AND(AL$373&gt;($D$103+2020),AL$373&lt;($E$103+2022)),AK437+($AI$437*$AJ$437*((100-$F$103)/100)*($C$103/100*$B$103)/($E$103-$D$103+1)/1000000),AK437)</f>
        <v>0</v>
      </c>
      <c r="AM437" s="272">
        <f t="shared" si="425"/>
        <v>0</v>
      </c>
      <c r="AN437" s="272">
        <f t="shared" si="425"/>
        <v>0</v>
      </c>
      <c r="AO437" s="272">
        <f t="shared" si="425"/>
        <v>0</v>
      </c>
      <c r="AP437" s="272">
        <f t="shared" si="425"/>
        <v>0</v>
      </c>
      <c r="AQ437" s="272">
        <f t="shared" si="425"/>
        <v>0</v>
      </c>
      <c r="AR437" s="272">
        <f t="shared" si="425"/>
        <v>0</v>
      </c>
      <c r="AS437" s="272">
        <f t="shared" si="425"/>
        <v>0</v>
      </c>
      <c r="AT437" s="272">
        <f t="shared" si="425"/>
        <v>0</v>
      </c>
      <c r="AU437" s="272">
        <f t="shared" si="425"/>
        <v>0</v>
      </c>
      <c r="AV437" s="272">
        <f t="shared" si="425"/>
        <v>0</v>
      </c>
      <c r="AW437" s="272">
        <f t="shared" si="425"/>
        <v>0</v>
      </c>
      <c r="AX437" s="272">
        <f t="shared" si="425"/>
        <v>0</v>
      </c>
      <c r="AY437" s="272">
        <f t="shared" si="425"/>
        <v>0</v>
      </c>
      <c r="AZ437" s="272">
        <f t="shared" si="425"/>
        <v>0</v>
      </c>
      <c r="BA437" s="272">
        <f t="shared" si="425"/>
        <v>0</v>
      </c>
      <c r="BB437" s="272">
        <f t="shared" si="425"/>
        <v>0</v>
      </c>
      <c r="BC437" s="272">
        <f t="shared" si="425"/>
        <v>0</v>
      </c>
      <c r="BD437" s="272">
        <f t="shared" si="425"/>
        <v>0</v>
      </c>
      <c r="BE437" s="272">
        <f t="shared" si="425"/>
        <v>0</v>
      </c>
      <c r="BF437" s="272">
        <f t="shared" si="425"/>
        <v>0</v>
      </c>
      <c r="BG437" s="272">
        <f t="shared" si="425"/>
        <v>0</v>
      </c>
      <c r="BH437" s="272">
        <f t="shared" si="425"/>
        <v>0</v>
      </c>
      <c r="BI437" s="272">
        <f t="shared" si="425"/>
        <v>0</v>
      </c>
      <c r="BJ437" s="272">
        <f t="shared" si="425"/>
        <v>0</v>
      </c>
      <c r="BK437" s="272">
        <f t="shared" si="425"/>
        <v>0</v>
      </c>
      <c r="BL437" s="272">
        <f t="shared" si="425"/>
        <v>0</v>
      </c>
      <c r="BM437" s="272">
        <f t="shared" si="425"/>
        <v>0</v>
      </c>
      <c r="BN437" s="324">
        <f t="shared" si="425"/>
        <v>0</v>
      </c>
    </row>
    <row r="438" spans="32:66" ht="20.100000000000001" customHeight="1">
      <c r="AF438" s="1492"/>
      <c r="AG438" s="251" t="s">
        <v>1223</v>
      </c>
      <c r="AH438" s="280"/>
      <c r="AI438" s="251">
        <f>INDEX('DEFAULT DATA'!$VE$9:$VK$41,START!$C$3,4)</f>
        <v>0</v>
      </c>
      <c r="AJ438" s="195">
        <f>INDEX('DEFAULT DATA'!$AHO$9:$AHV$41,START!$C$3,5)</f>
        <v>0</v>
      </c>
      <c r="AK438" s="345">
        <v>0</v>
      </c>
      <c r="AL438" s="272">
        <f t="shared" ref="AL438:BN438" si="426">IF(AND(AL$373&gt;($D$103+2020),AL$373&lt;($E$103+2022)),AK438+($AI$438*$AJ$438*((100-$F$103)/100)*($C$103/100*$B$103)/($E$103-$D$103+1)/1000000),AK438)</f>
        <v>0</v>
      </c>
      <c r="AM438" s="272">
        <f t="shared" si="426"/>
        <v>0</v>
      </c>
      <c r="AN438" s="272">
        <f t="shared" si="426"/>
        <v>0</v>
      </c>
      <c r="AO438" s="272">
        <f t="shared" si="426"/>
        <v>0</v>
      </c>
      <c r="AP438" s="272">
        <f t="shared" si="426"/>
        <v>0</v>
      </c>
      <c r="AQ438" s="272">
        <f t="shared" si="426"/>
        <v>0</v>
      </c>
      <c r="AR438" s="272">
        <f t="shared" si="426"/>
        <v>0</v>
      </c>
      <c r="AS438" s="272">
        <f t="shared" si="426"/>
        <v>0</v>
      </c>
      <c r="AT438" s="272">
        <f t="shared" si="426"/>
        <v>0</v>
      </c>
      <c r="AU438" s="272">
        <f t="shared" si="426"/>
        <v>0</v>
      </c>
      <c r="AV438" s="272">
        <f t="shared" si="426"/>
        <v>0</v>
      </c>
      <c r="AW438" s="272">
        <f t="shared" si="426"/>
        <v>0</v>
      </c>
      <c r="AX438" s="272">
        <f t="shared" si="426"/>
        <v>0</v>
      </c>
      <c r="AY438" s="272">
        <f t="shared" si="426"/>
        <v>0</v>
      </c>
      <c r="AZ438" s="272">
        <f t="shared" si="426"/>
        <v>0</v>
      </c>
      <c r="BA438" s="272">
        <f t="shared" si="426"/>
        <v>0</v>
      </c>
      <c r="BB438" s="272">
        <f t="shared" si="426"/>
        <v>0</v>
      </c>
      <c r="BC438" s="272">
        <f t="shared" si="426"/>
        <v>0</v>
      </c>
      <c r="BD438" s="272">
        <f t="shared" si="426"/>
        <v>0</v>
      </c>
      <c r="BE438" s="272">
        <f t="shared" si="426"/>
        <v>0</v>
      </c>
      <c r="BF438" s="272">
        <f t="shared" si="426"/>
        <v>0</v>
      </c>
      <c r="BG438" s="272">
        <f t="shared" si="426"/>
        <v>0</v>
      </c>
      <c r="BH438" s="272">
        <f t="shared" si="426"/>
        <v>0</v>
      </c>
      <c r="BI438" s="272">
        <f t="shared" si="426"/>
        <v>0</v>
      </c>
      <c r="BJ438" s="272">
        <f t="shared" si="426"/>
        <v>0</v>
      </c>
      <c r="BK438" s="272">
        <f t="shared" si="426"/>
        <v>0</v>
      </c>
      <c r="BL438" s="272">
        <f t="shared" si="426"/>
        <v>0</v>
      </c>
      <c r="BM438" s="272">
        <f t="shared" si="426"/>
        <v>0</v>
      </c>
      <c r="BN438" s="324">
        <f t="shared" si="426"/>
        <v>0</v>
      </c>
    </row>
    <row r="439" spans="32:66" ht="20.100000000000001" customHeight="1">
      <c r="AF439" s="1492"/>
      <c r="AG439" s="251" t="s">
        <v>1224</v>
      </c>
      <c r="AH439" s="280"/>
      <c r="AI439" s="251">
        <f>INDEX('DEFAULT DATA'!$VE$9:$VK$41,START!$C$3,5)</f>
        <v>403</v>
      </c>
      <c r="AJ439" s="195">
        <f>INDEX('DEFAULT DATA'!$AHO$9:$AHV$41,START!$C$3,6)</f>
        <v>0</v>
      </c>
      <c r="AK439" s="345">
        <v>0</v>
      </c>
      <c r="AL439" s="272">
        <f t="shared" ref="AL439:BN439" si="427">IF(AND(AL$373&gt;($D$103+2020),AL$373&lt;($E$103+2022)),AK439+($AI$439*$AJ$439*((100-$F$103)/100)*($C$103/100*$B$103)/($E$103-$D$103+1)/1000000),AK439)</f>
        <v>0</v>
      </c>
      <c r="AM439" s="272">
        <f t="shared" si="427"/>
        <v>0</v>
      </c>
      <c r="AN439" s="272">
        <f t="shared" si="427"/>
        <v>0</v>
      </c>
      <c r="AO439" s="272">
        <f t="shared" si="427"/>
        <v>0</v>
      </c>
      <c r="AP439" s="272">
        <f t="shared" si="427"/>
        <v>0</v>
      </c>
      <c r="AQ439" s="272">
        <f t="shared" si="427"/>
        <v>0</v>
      </c>
      <c r="AR439" s="272">
        <f t="shared" si="427"/>
        <v>0</v>
      </c>
      <c r="AS439" s="272">
        <f t="shared" si="427"/>
        <v>0</v>
      </c>
      <c r="AT439" s="272">
        <f t="shared" si="427"/>
        <v>0</v>
      </c>
      <c r="AU439" s="272">
        <f t="shared" si="427"/>
        <v>0</v>
      </c>
      <c r="AV439" s="272">
        <f t="shared" si="427"/>
        <v>0</v>
      </c>
      <c r="AW439" s="272">
        <f t="shared" si="427"/>
        <v>0</v>
      </c>
      <c r="AX439" s="272">
        <f t="shared" si="427"/>
        <v>0</v>
      </c>
      <c r="AY439" s="272">
        <f t="shared" si="427"/>
        <v>0</v>
      </c>
      <c r="AZ439" s="272">
        <f t="shared" si="427"/>
        <v>0</v>
      </c>
      <c r="BA439" s="272">
        <f t="shared" si="427"/>
        <v>0</v>
      </c>
      <c r="BB439" s="272">
        <f t="shared" si="427"/>
        <v>0</v>
      </c>
      <c r="BC439" s="272">
        <f t="shared" si="427"/>
        <v>0</v>
      </c>
      <c r="BD439" s="272">
        <f t="shared" si="427"/>
        <v>0</v>
      </c>
      <c r="BE439" s="272">
        <f t="shared" si="427"/>
        <v>0</v>
      </c>
      <c r="BF439" s="272">
        <f t="shared" si="427"/>
        <v>0</v>
      </c>
      <c r="BG439" s="272">
        <f t="shared" si="427"/>
        <v>0</v>
      </c>
      <c r="BH439" s="272">
        <f t="shared" si="427"/>
        <v>0</v>
      </c>
      <c r="BI439" s="272">
        <f t="shared" si="427"/>
        <v>0</v>
      </c>
      <c r="BJ439" s="272">
        <f t="shared" si="427"/>
        <v>0</v>
      </c>
      <c r="BK439" s="272">
        <f t="shared" si="427"/>
        <v>0</v>
      </c>
      <c r="BL439" s="272">
        <f t="shared" si="427"/>
        <v>0</v>
      </c>
      <c r="BM439" s="272">
        <f t="shared" si="427"/>
        <v>0</v>
      </c>
      <c r="BN439" s="324">
        <f t="shared" si="427"/>
        <v>0</v>
      </c>
    </row>
    <row r="440" spans="32:66" ht="20.100000000000001" customHeight="1">
      <c r="AF440" s="1492"/>
      <c r="AG440" s="251" t="s">
        <v>1225</v>
      </c>
      <c r="AH440" s="280"/>
      <c r="AI440" s="251">
        <f>INDEX('DEFAULT DATA'!$VE$9:$VK$41,START!$C$3,6)</f>
        <v>0</v>
      </c>
      <c r="AJ440" s="195">
        <f>INDEX('DEFAULT DATA'!$AHO$9:$AHV$41,START!$C$3,7)</f>
        <v>0</v>
      </c>
      <c r="AK440" s="345">
        <v>0</v>
      </c>
      <c r="AL440" s="272">
        <f t="shared" ref="AL440:BN440" si="428">IF(AND(AL$373&gt;($D$103+2020),AL$373&lt;($E$103+2022)),AK440+($AI$440*$AJ$440*((100-$F$103)/100)*($C$103/100*$B$103)/($E$103-$D$103+1)/1000000),AK440)</f>
        <v>0</v>
      </c>
      <c r="AM440" s="272">
        <f t="shared" si="428"/>
        <v>0</v>
      </c>
      <c r="AN440" s="272">
        <f t="shared" si="428"/>
        <v>0</v>
      </c>
      <c r="AO440" s="272">
        <f t="shared" si="428"/>
        <v>0</v>
      </c>
      <c r="AP440" s="272">
        <f t="shared" si="428"/>
        <v>0</v>
      </c>
      <c r="AQ440" s="272">
        <f t="shared" si="428"/>
        <v>0</v>
      </c>
      <c r="AR440" s="272">
        <f t="shared" si="428"/>
        <v>0</v>
      </c>
      <c r="AS440" s="272">
        <f t="shared" si="428"/>
        <v>0</v>
      </c>
      <c r="AT440" s="272">
        <f t="shared" si="428"/>
        <v>0</v>
      </c>
      <c r="AU440" s="272">
        <f t="shared" si="428"/>
        <v>0</v>
      </c>
      <c r="AV440" s="272">
        <f t="shared" si="428"/>
        <v>0</v>
      </c>
      <c r="AW440" s="272">
        <f t="shared" si="428"/>
        <v>0</v>
      </c>
      <c r="AX440" s="272">
        <f t="shared" si="428"/>
        <v>0</v>
      </c>
      <c r="AY440" s="272">
        <f t="shared" si="428"/>
        <v>0</v>
      </c>
      <c r="AZ440" s="272">
        <f t="shared" si="428"/>
        <v>0</v>
      </c>
      <c r="BA440" s="272">
        <f t="shared" si="428"/>
        <v>0</v>
      </c>
      <c r="BB440" s="272">
        <f t="shared" si="428"/>
        <v>0</v>
      </c>
      <c r="BC440" s="272">
        <f t="shared" si="428"/>
        <v>0</v>
      </c>
      <c r="BD440" s="272">
        <f t="shared" si="428"/>
        <v>0</v>
      </c>
      <c r="BE440" s="272">
        <f t="shared" si="428"/>
        <v>0</v>
      </c>
      <c r="BF440" s="272">
        <f t="shared" si="428"/>
        <v>0</v>
      </c>
      <c r="BG440" s="272">
        <f t="shared" si="428"/>
        <v>0</v>
      </c>
      <c r="BH440" s="272">
        <f t="shared" si="428"/>
        <v>0</v>
      </c>
      <c r="BI440" s="272">
        <f t="shared" si="428"/>
        <v>0</v>
      </c>
      <c r="BJ440" s="272">
        <f t="shared" si="428"/>
        <v>0</v>
      </c>
      <c r="BK440" s="272">
        <f t="shared" si="428"/>
        <v>0</v>
      </c>
      <c r="BL440" s="272">
        <f t="shared" si="428"/>
        <v>0</v>
      </c>
      <c r="BM440" s="272">
        <f t="shared" si="428"/>
        <v>0</v>
      </c>
      <c r="BN440" s="324">
        <f t="shared" si="428"/>
        <v>0</v>
      </c>
    </row>
    <row r="441" spans="32:66" ht="20.100000000000001" customHeight="1" thickBot="1">
      <c r="AF441" s="1493"/>
      <c r="AG441" s="310" t="s">
        <v>1226</v>
      </c>
      <c r="AH441" s="288"/>
      <c r="AI441" s="310" t="s">
        <v>1497</v>
      </c>
      <c r="AJ441" s="260">
        <f>INDEX('DEFAULT DATA'!$AHO$9:$AHV$41,START!$C$3,8)</f>
        <v>0</v>
      </c>
      <c r="AK441" s="344">
        <v>0</v>
      </c>
      <c r="AL441" s="325">
        <f t="shared" ref="AL441:BN441" si="429">IF(AND(AL$373&gt;($D$103+2020),AL$373&lt;($E$103+2022)),AK441+(AL$6*$AJ$441*((100-$F$103)/100)*($C$103/100*$B$103)/($E$103-$D$103+1)/1000000),AK441)</f>
        <v>0</v>
      </c>
      <c r="AM441" s="325">
        <f t="shared" si="429"/>
        <v>0</v>
      </c>
      <c r="AN441" s="325">
        <f t="shared" si="429"/>
        <v>0</v>
      </c>
      <c r="AO441" s="325">
        <f t="shared" si="429"/>
        <v>0</v>
      </c>
      <c r="AP441" s="325">
        <f t="shared" si="429"/>
        <v>0</v>
      </c>
      <c r="AQ441" s="325">
        <f t="shared" si="429"/>
        <v>0</v>
      </c>
      <c r="AR441" s="325">
        <f t="shared" si="429"/>
        <v>0</v>
      </c>
      <c r="AS441" s="325">
        <f t="shared" si="429"/>
        <v>0</v>
      </c>
      <c r="AT441" s="325">
        <f t="shared" si="429"/>
        <v>0</v>
      </c>
      <c r="AU441" s="325">
        <f t="shared" si="429"/>
        <v>0</v>
      </c>
      <c r="AV441" s="325">
        <f t="shared" si="429"/>
        <v>0</v>
      </c>
      <c r="AW441" s="325">
        <f t="shared" si="429"/>
        <v>0</v>
      </c>
      <c r="AX441" s="325">
        <f t="shared" si="429"/>
        <v>0</v>
      </c>
      <c r="AY441" s="325">
        <f t="shared" si="429"/>
        <v>0</v>
      </c>
      <c r="AZ441" s="325">
        <f t="shared" si="429"/>
        <v>0</v>
      </c>
      <c r="BA441" s="325">
        <f t="shared" si="429"/>
        <v>0</v>
      </c>
      <c r="BB441" s="325">
        <f t="shared" si="429"/>
        <v>0</v>
      </c>
      <c r="BC441" s="325">
        <f t="shared" si="429"/>
        <v>0</v>
      </c>
      <c r="BD441" s="325">
        <f t="shared" si="429"/>
        <v>0</v>
      </c>
      <c r="BE441" s="325">
        <f t="shared" si="429"/>
        <v>0</v>
      </c>
      <c r="BF441" s="325">
        <f t="shared" si="429"/>
        <v>0</v>
      </c>
      <c r="BG441" s="325">
        <f t="shared" si="429"/>
        <v>0</v>
      </c>
      <c r="BH441" s="325">
        <f t="shared" si="429"/>
        <v>0</v>
      </c>
      <c r="BI441" s="325">
        <f t="shared" si="429"/>
        <v>0</v>
      </c>
      <c r="BJ441" s="325">
        <f t="shared" si="429"/>
        <v>0</v>
      </c>
      <c r="BK441" s="325">
        <f t="shared" si="429"/>
        <v>0</v>
      </c>
      <c r="BL441" s="325">
        <f t="shared" si="429"/>
        <v>0</v>
      </c>
      <c r="BM441" s="325">
        <f t="shared" si="429"/>
        <v>0</v>
      </c>
      <c r="BN441" s="326">
        <f t="shared" si="429"/>
        <v>0</v>
      </c>
    </row>
    <row r="442" spans="32:66" ht="20.100000000000001" customHeight="1">
      <c r="AF442" s="311"/>
      <c r="AG442" s="285" t="s">
        <v>1460</v>
      </c>
      <c r="AH442" s="285"/>
      <c r="AI442" s="285"/>
      <c r="AJ442" s="285"/>
      <c r="AK442" s="342">
        <v>0</v>
      </c>
      <c r="AL442" s="327">
        <f>SUM(AL434:AL441)</f>
        <v>0</v>
      </c>
      <c r="AM442" s="327">
        <f t="shared" ref="AM442:BN442" si="430">SUM(AM434:AM441)</f>
        <v>0</v>
      </c>
      <c r="AN442" s="327">
        <f t="shared" si="430"/>
        <v>0</v>
      </c>
      <c r="AO442" s="327">
        <f t="shared" si="430"/>
        <v>0</v>
      </c>
      <c r="AP442" s="327">
        <f t="shared" si="430"/>
        <v>0</v>
      </c>
      <c r="AQ442" s="327">
        <f t="shared" si="430"/>
        <v>0</v>
      </c>
      <c r="AR442" s="327">
        <f t="shared" si="430"/>
        <v>0</v>
      </c>
      <c r="AS442" s="327">
        <f t="shared" si="430"/>
        <v>0</v>
      </c>
      <c r="AT442" s="327">
        <f t="shared" si="430"/>
        <v>0</v>
      </c>
      <c r="AU442" s="327">
        <f t="shared" si="430"/>
        <v>0</v>
      </c>
      <c r="AV442" s="327">
        <f t="shared" si="430"/>
        <v>0</v>
      </c>
      <c r="AW442" s="327">
        <f t="shared" si="430"/>
        <v>0</v>
      </c>
      <c r="AX442" s="327">
        <f t="shared" si="430"/>
        <v>0</v>
      </c>
      <c r="AY442" s="327">
        <f t="shared" si="430"/>
        <v>0</v>
      </c>
      <c r="AZ442" s="327">
        <f t="shared" si="430"/>
        <v>0</v>
      </c>
      <c r="BA442" s="327">
        <f t="shared" si="430"/>
        <v>0</v>
      </c>
      <c r="BB442" s="327">
        <f t="shared" si="430"/>
        <v>0</v>
      </c>
      <c r="BC442" s="327">
        <f t="shared" si="430"/>
        <v>0</v>
      </c>
      <c r="BD442" s="327">
        <f t="shared" si="430"/>
        <v>0</v>
      </c>
      <c r="BE442" s="327">
        <f t="shared" si="430"/>
        <v>0</v>
      </c>
      <c r="BF442" s="327">
        <f t="shared" si="430"/>
        <v>0</v>
      </c>
      <c r="BG442" s="327">
        <f t="shared" si="430"/>
        <v>0</v>
      </c>
      <c r="BH442" s="327">
        <f t="shared" si="430"/>
        <v>0</v>
      </c>
      <c r="BI442" s="327">
        <f t="shared" si="430"/>
        <v>0</v>
      </c>
      <c r="BJ442" s="327">
        <f t="shared" si="430"/>
        <v>0</v>
      </c>
      <c r="BK442" s="327">
        <f t="shared" si="430"/>
        <v>0</v>
      </c>
      <c r="BL442" s="327">
        <f t="shared" si="430"/>
        <v>0</v>
      </c>
      <c r="BM442" s="327">
        <f t="shared" si="430"/>
        <v>0</v>
      </c>
      <c r="BN442" s="327">
        <f t="shared" si="430"/>
        <v>0</v>
      </c>
    </row>
    <row r="443" spans="32:66" ht="20.100000000000001" customHeight="1" thickBot="1"/>
    <row r="444" spans="32:66" ht="20.100000000000001" customHeight="1">
      <c r="AF444" s="1491" t="s">
        <v>1231</v>
      </c>
      <c r="AG444" s="286" t="s">
        <v>933</v>
      </c>
      <c r="AH444" s="287"/>
      <c r="AI444" s="286" t="s">
        <v>1496</v>
      </c>
      <c r="AJ444" s="313">
        <f>INDEX('DEFAULT DATA'!$AHW$9:$AID$41,START!$C$3,1)</f>
        <v>0</v>
      </c>
      <c r="AK444" s="343">
        <v>0</v>
      </c>
      <c r="AL444" s="328">
        <f t="shared" ref="AL444:BN444" si="431">IF(AND(AL$373&gt;($D$104+2020),AL$373&lt;($E$104+2022)),AK444+(AL$5*$AJ$444*((100-$F$104)/100)*($C$104/100*$B$104)/($E$104-$D$104+1)/1000000),AK444)</f>
        <v>0</v>
      </c>
      <c r="AM444" s="328">
        <f t="shared" si="431"/>
        <v>0</v>
      </c>
      <c r="AN444" s="328">
        <f t="shared" si="431"/>
        <v>0</v>
      </c>
      <c r="AO444" s="328">
        <f t="shared" si="431"/>
        <v>0</v>
      </c>
      <c r="AP444" s="328">
        <f t="shared" si="431"/>
        <v>0</v>
      </c>
      <c r="AQ444" s="328">
        <f t="shared" si="431"/>
        <v>0</v>
      </c>
      <c r="AR444" s="328">
        <f t="shared" si="431"/>
        <v>0</v>
      </c>
      <c r="AS444" s="328">
        <f t="shared" si="431"/>
        <v>0</v>
      </c>
      <c r="AT444" s="328">
        <f t="shared" si="431"/>
        <v>0</v>
      </c>
      <c r="AU444" s="328">
        <f t="shared" si="431"/>
        <v>0</v>
      </c>
      <c r="AV444" s="328">
        <f t="shared" si="431"/>
        <v>0</v>
      </c>
      <c r="AW444" s="328">
        <f t="shared" si="431"/>
        <v>0</v>
      </c>
      <c r="AX444" s="328">
        <f t="shared" si="431"/>
        <v>0</v>
      </c>
      <c r="AY444" s="328">
        <f t="shared" si="431"/>
        <v>0</v>
      </c>
      <c r="AZ444" s="328">
        <f t="shared" si="431"/>
        <v>0</v>
      </c>
      <c r="BA444" s="328">
        <f t="shared" si="431"/>
        <v>0</v>
      </c>
      <c r="BB444" s="328">
        <f t="shared" si="431"/>
        <v>0</v>
      </c>
      <c r="BC444" s="328">
        <f t="shared" si="431"/>
        <v>0</v>
      </c>
      <c r="BD444" s="328">
        <f t="shared" si="431"/>
        <v>0</v>
      </c>
      <c r="BE444" s="328">
        <f t="shared" si="431"/>
        <v>0</v>
      </c>
      <c r="BF444" s="328">
        <f t="shared" si="431"/>
        <v>0</v>
      </c>
      <c r="BG444" s="328">
        <f t="shared" si="431"/>
        <v>0</v>
      </c>
      <c r="BH444" s="328">
        <f t="shared" si="431"/>
        <v>0</v>
      </c>
      <c r="BI444" s="328">
        <f t="shared" si="431"/>
        <v>0</v>
      </c>
      <c r="BJ444" s="328">
        <f t="shared" si="431"/>
        <v>0</v>
      </c>
      <c r="BK444" s="328">
        <f t="shared" si="431"/>
        <v>0</v>
      </c>
      <c r="BL444" s="328">
        <f t="shared" si="431"/>
        <v>0</v>
      </c>
      <c r="BM444" s="328">
        <f t="shared" si="431"/>
        <v>0</v>
      </c>
      <c r="BN444" s="329">
        <f t="shared" si="431"/>
        <v>0</v>
      </c>
    </row>
    <row r="445" spans="32:66" ht="20.100000000000001" customHeight="1">
      <c r="AF445" s="1492"/>
      <c r="AG445" s="251" t="s">
        <v>1220</v>
      </c>
      <c r="AH445" s="280"/>
      <c r="AI445" s="251">
        <f>INDEX('DEFAULT DATA'!$VE$9:$VK$41,START!$C$3,1)</f>
        <v>202</v>
      </c>
      <c r="AJ445" s="195">
        <f>INDEX('DEFAULT DATA'!$AHW$9:$AID$41,START!$C$3,2)</f>
        <v>0</v>
      </c>
      <c r="AK445" s="345">
        <v>0</v>
      </c>
      <c r="AL445" s="272">
        <f t="shared" ref="AL445:BN445" si="432">IF(AND(AL$373&gt;($D$104+2020),AL$373&lt;($E$104+2022)),AK445+($AI$445*$AJ$445*((100-$F$104)/100)*($C$104/100*$B$104)/($E$104-$D$104+1)/1000000),AK445)</f>
        <v>0</v>
      </c>
      <c r="AM445" s="272">
        <f t="shared" si="432"/>
        <v>0</v>
      </c>
      <c r="AN445" s="272">
        <f t="shared" si="432"/>
        <v>0</v>
      </c>
      <c r="AO445" s="272">
        <f t="shared" si="432"/>
        <v>0</v>
      </c>
      <c r="AP445" s="272">
        <f t="shared" si="432"/>
        <v>0</v>
      </c>
      <c r="AQ445" s="272">
        <f t="shared" si="432"/>
        <v>0</v>
      </c>
      <c r="AR445" s="272">
        <f t="shared" si="432"/>
        <v>0</v>
      </c>
      <c r="AS445" s="272">
        <f t="shared" si="432"/>
        <v>0</v>
      </c>
      <c r="AT445" s="272">
        <f t="shared" si="432"/>
        <v>0</v>
      </c>
      <c r="AU445" s="272">
        <f t="shared" si="432"/>
        <v>0</v>
      </c>
      <c r="AV445" s="272">
        <f t="shared" si="432"/>
        <v>0</v>
      </c>
      <c r="AW445" s="272">
        <f t="shared" si="432"/>
        <v>0</v>
      </c>
      <c r="AX445" s="272">
        <f t="shared" si="432"/>
        <v>0</v>
      </c>
      <c r="AY445" s="272">
        <f t="shared" si="432"/>
        <v>0</v>
      </c>
      <c r="AZ445" s="272">
        <f t="shared" si="432"/>
        <v>0</v>
      </c>
      <c r="BA445" s="272">
        <f t="shared" si="432"/>
        <v>0</v>
      </c>
      <c r="BB445" s="272">
        <f t="shared" si="432"/>
        <v>0</v>
      </c>
      <c r="BC445" s="272">
        <f t="shared" si="432"/>
        <v>0</v>
      </c>
      <c r="BD445" s="272">
        <f t="shared" si="432"/>
        <v>0</v>
      </c>
      <c r="BE445" s="272">
        <f t="shared" si="432"/>
        <v>0</v>
      </c>
      <c r="BF445" s="272">
        <f t="shared" si="432"/>
        <v>0</v>
      </c>
      <c r="BG445" s="272">
        <f t="shared" si="432"/>
        <v>0</v>
      </c>
      <c r="BH445" s="272">
        <f t="shared" si="432"/>
        <v>0</v>
      </c>
      <c r="BI445" s="272">
        <f t="shared" si="432"/>
        <v>0</v>
      </c>
      <c r="BJ445" s="272">
        <f t="shared" si="432"/>
        <v>0</v>
      </c>
      <c r="BK445" s="272">
        <f t="shared" si="432"/>
        <v>0</v>
      </c>
      <c r="BL445" s="272">
        <f t="shared" si="432"/>
        <v>0</v>
      </c>
      <c r="BM445" s="272">
        <f t="shared" si="432"/>
        <v>0</v>
      </c>
      <c r="BN445" s="324">
        <f t="shared" si="432"/>
        <v>0</v>
      </c>
    </row>
    <row r="446" spans="32:66" ht="20.100000000000001" customHeight="1">
      <c r="AF446" s="1492"/>
      <c r="AG446" s="251" t="s">
        <v>1221</v>
      </c>
      <c r="AH446" s="280"/>
      <c r="AI446" s="251">
        <f>INDEX('DEFAULT DATA'!$VE$9:$VK$41,START!$C$3,2)</f>
        <v>279</v>
      </c>
      <c r="AJ446" s="195">
        <f>INDEX('DEFAULT DATA'!$AHW$9:$AID$41,START!$C$3,3)</f>
        <v>0</v>
      </c>
      <c r="AK446" s="345">
        <v>0</v>
      </c>
      <c r="AL446" s="272">
        <f t="shared" ref="AL446:BN446" si="433">IF(AND(AL$373&gt;($D$104+2020),AL$373&lt;($E$104+2022)),AK446+($AI$446*$AJ$446*((100-$F$104)/100)*($C$104/100*$B$104)/($E$104-$D$104+1)/1000000),AK446)</f>
        <v>0</v>
      </c>
      <c r="AM446" s="272">
        <f t="shared" si="433"/>
        <v>0</v>
      </c>
      <c r="AN446" s="272">
        <f t="shared" si="433"/>
        <v>0</v>
      </c>
      <c r="AO446" s="272">
        <f t="shared" si="433"/>
        <v>0</v>
      </c>
      <c r="AP446" s="272">
        <f t="shared" si="433"/>
        <v>0</v>
      </c>
      <c r="AQ446" s="272">
        <f t="shared" si="433"/>
        <v>0</v>
      </c>
      <c r="AR446" s="272">
        <f t="shared" si="433"/>
        <v>0</v>
      </c>
      <c r="AS446" s="272">
        <f t="shared" si="433"/>
        <v>0</v>
      </c>
      <c r="AT446" s="272">
        <f t="shared" si="433"/>
        <v>0</v>
      </c>
      <c r="AU446" s="272">
        <f t="shared" si="433"/>
        <v>0</v>
      </c>
      <c r="AV446" s="272">
        <f t="shared" si="433"/>
        <v>0</v>
      </c>
      <c r="AW446" s="272">
        <f t="shared" si="433"/>
        <v>0</v>
      </c>
      <c r="AX446" s="272">
        <f t="shared" si="433"/>
        <v>0</v>
      </c>
      <c r="AY446" s="272">
        <f t="shared" si="433"/>
        <v>0</v>
      </c>
      <c r="AZ446" s="272">
        <f t="shared" si="433"/>
        <v>0</v>
      </c>
      <c r="BA446" s="272">
        <f t="shared" si="433"/>
        <v>0</v>
      </c>
      <c r="BB446" s="272">
        <f t="shared" si="433"/>
        <v>0</v>
      </c>
      <c r="BC446" s="272">
        <f t="shared" si="433"/>
        <v>0</v>
      </c>
      <c r="BD446" s="272">
        <f t="shared" si="433"/>
        <v>0</v>
      </c>
      <c r="BE446" s="272">
        <f t="shared" si="433"/>
        <v>0</v>
      </c>
      <c r="BF446" s="272">
        <f t="shared" si="433"/>
        <v>0</v>
      </c>
      <c r="BG446" s="272">
        <f t="shared" si="433"/>
        <v>0</v>
      </c>
      <c r="BH446" s="272">
        <f t="shared" si="433"/>
        <v>0</v>
      </c>
      <c r="BI446" s="272">
        <f t="shared" si="433"/>
        <v>0</v>
      </c>
      <c r="BJ446" s="272">
        <f t="shared" si="433"/>
        <v>0</v>
      </c>
      <c r="BK446" s="272">
        <f t="shared" si="433"/>
        <v>0</v>
      </c>
      <c r="BL446" s="272">
        <f t="shared" si="433"/>
        <v>0</v>
      </c>
      <c r="BM446" s="272">
        <f t="shared" si="433"/>
        <v>0</v>
      </c>
      <c r="BN446" s="324">
        <f t="shared" si="433"/>
        <v>0</v>
      </c>
    </row>
    <row r="447" spans="32:66" ht="20.100000000000001" customHeight="1">
      <c r="AF447" s="1492"/>
      <c r="AG447" s="251" t="s">
        <v>1222</v>
      </c>
      <c r="AH447" s="280"/>
      <c r="AI447" s="251">
        <f>INDEX('DEFAULT DATA'!$VE$9:$VK$41,START!$C$3,3)</f>
        <v>354</v>
      </c>
      <c r="AJ447" s="195">
        <f>INDEX('DEFAULT DATA'!$AHW$9:$AID$41,START!$C$3,4)</f>
        <v>0</v>
      </c>
      <c r="AK447" s="345">
        <v>0</v>
      </c>
      <c r="AL447" s="272">
        <f t="shared" ref="AL447:BN447" si="434">IF(AND(AL$373&gt;($D$104+2020),AL$373&lt;($E$104+2022)),AK447+($AI$447*$AJ$447*((100-$F$104)/100)*($C$104/100*$B$104)/($E$104-$D$104+1)/1000000),AK447)</f>
        <v>0</v>
      </c>
      <c r="AM447" s="272">
        <f t="shared" si="434"/>
        <v>0</v>
      </c>
      <c r="AN447" s="272">
        <f t="shared" si="434"/>
        <v>0</v>
      </c>
      <c r="AO447" s="272">
        <f t="shared" si="434"/>
        <v>0</v>
      </c>
      <c r="AP447" s="272">
        <f t="shared" si="434"/>
        <v>0</v>
      </c>
      <c r="AQ447" s="272">
        <f t="shared" si="434"/>
        <v>0</v>
      </c>
      <c r="AR447" s="272">
        <f t="shared" si="434"/>
        <v>0</v>
      </c>
      <c r="AS447" s="272">
        <f t="shared" si="434"/>
        <v>0</v>
      </c>
      <c r="AT447" s="272">
        <f t="shared" si="434"/>
        <v>0</v>
      </c>
      <c r="AU447" s="272">
        <f t="shared" si="434"/>
        <v>0</v>
      </c>
      <c r="AV447" s="272">
        <f t="shared" si="434"/>
        <v>0</v>
      </c>
      <c r="AW447" s="272">
        <f t="shared" si="434"/>
        <v>0</v>
      </c>
      <c r="AX447" s="272">
        <f t="shared" si="434"/>
        <v>0</v>
      </c>
      <c r="AY447" s="272">
        <f t="shared" si="434"/>
        <v>0</v>
      </c>
      <c r="AZ447" s="272">
        <f t="shared" si="434"/>
        <v>0</v>
      </c>
      <c r="BA447" s="272">
        <f t="shared" si="434"/>
        <v>0</v>
      </c>
      <c r="BB447" s="272">
        <f t="shared" si="434"/>
        <v>0</v>
      </c>
      <c r="BC447" s="272">
        <f t="shared" si="434"/>
        <v>0</v>
      </c>
      <c r="BD447" s="272">
        <f t="shared" si="434"/>
        <v>0</v>
      </c>
      <c r="BE447" s="272">
        <f t="shared" si="434"/>
        <v>0</v>
      </c>
      <c r="BF447" s="272">
        <f t="shared" si="434"/>
        <v>0</v>
      </c>
      <c r="BG447" s="272">
        <f t="shared" si="434"/>
        <v>0</v>
      </c>
      <c r="BH447" s="272">
        <f t="shared" si="434"/>
        <v>0</v>
      </c>
      <c r="BI447" s="272">
        <f t="shared" si="434"/>
        <v>0</v>
      </c>
      <c r="BJ447" s="272">
        <f t="shared" si="434"/>
        <v>0</v>
      </c>
      <c r="BK447" s="272">
        <f t="shared" si="434"/>
        <v>0</v>
      </c>
      <c r="BL447" s="272">
        <f t="shared" si="434"/>
        <v>0</v>
      </c>
      <c r="BM447" s="272">
        <f t="shared" si="434"/>
        <v>0</v>
      </c>
      <c r="BN447" s="324">
        <f t="shared" si="434"/>
        <v>0</v>
      </c>
    </row>
    <row r="448" spans="32:66" ht="20.100000000000001" customHeight="1">
      <c r="AF448" s="1492"/>
      <c r="AG448" s="251" t="s">
        <v>1223</v>
      </c>
      <c r="AH448" s="280"/>
      <c r="AI448" s="251">
        <f>INDEX('DEFAULT DATA'!$VE$9:$VK$41,START!$C$3,4)</f>
        <v>0</v>
      </c>
      <c r="AJ448" s="195">
        <f>INDEX('DEFAULT DATA'!$AHW$9:$AID$41,START!$C$3,5)</f>
        <v>0</v>
      </c>
      <c r="AK448" s="345">
        <v>0</v>
      </c>
      <c r="AL448" s="272">
        <f t="shared" ref="AL448:BN448" si="435">IF(AND(AL$373&gt;($D$104+2020),AL$373&lt;($E$104+2022)),AK448+($AI$448*$AJ$448*((100-$F$104)/100)*($C$104/100*$B$104)/($E$104-$D$104+1)/1000000),AK448)</f>
        <v>0</v>
      </c>
      <c r="AM448" s="272">
        <f t="shared" si="435"/>
        <v>0</v>
      </c>
      <c r="AN448" s="272">
        <f t="shared" si="435"/>
        <v>0</v>
      </c>
      <c r="AO448" s="272">
        <f t="shared" si="435"/>
        <v>0</v>
      </c>
      <c r="AP448" s="272">
        <f t="shared" si="435"/>
        <v>0</v>
      </c>
      <c r="AQ448" s="272">
        <f t="shared" si="435"/>
        <v>0</v>
      </c>
      <c r="AR448" s="272">
        <f t="shared" si="435"/>
        <v>0</v>
      </c>
      <c r="AS448" s="272">
        <f t="shared" si="435"/>
        <v>0</v>
      </c>
      <c r="AT448" s="272">
        <f t="shared" si="435"/>
        <v>0</v>
      </c>
      <c r="AU448" s="272">
        <f t="shared" si="435"/>
        <v>0</v>
      </c>
      <c r="AV448" s="272">
        <f t="shared" si="435"/>
        <v>0</v>
      </c>
      <c r="AW448" s="272">
        <f t="shared" si="435"/>
        <v>0</v>
      </c>
      <c r="AX448" s="272">
        <f t="shared" si="435"/>
        <v>0</v>
      </c>
      <c r="AY448" s="272">
        <f t="shared" si="435"/>
        <v>0</v>
      </c>
      <c r="AZ448" s="272">
        <f t="shared" si="435"/>
        <v>0</v>
      </c>
      <c r="BA448" s="272">
        <f t="shared" si="435"/>
        <v>0</v>
      </c>
      <c r="BB448" s="272">
        <f t="shared" si="435"/>
        <v>0</v>
      </c>
      <c r="BC448" s="272">
        <f t="shared" si="435"/>
        <v>0</v>
      </c>
      <c r="BD448" s="272">
        <f t="shared" si="435"/>
        <v>0</v>
      </c>
      <c r="BE448" s="272">
        <f t="shared" si="435"/>
        <v>0</v>
      </c>
      <c r="BF448" s="272">
        <f t="shared" si="435"/>
        <v>0</v>
      </c>
      <c r="BG448" s="272">
        <f t="shared" si="435"/>
        <v>0</v>
      </c>
      <c r="BH448" s="272">
        <f t="shared" si="435"/>
        <v>0</v>
      </c>
      <c r="BI448" s="272">
        <f t="shared" si="435"/>
        <v>0</v>
      </c>
      <c r="BJ448" s="272">
        <f t="shared" si="435"/>
        <v>0</v>
      </c>
      <c r="BK448" s="272">
        <f t="shared" si="435"/>
        <v>0</v>
      </c>
      <c r="BL448" s="272">
        <f t="shared" si="435"/>
        <v>0</v>
      </c>
      <c r="BM448" s="272">
        <f t="shared" si="435"/>
        <v>0</v>
      </c>
      <c r="BN448" s="324">
        <f t="shared" si="435"/>
        <v>0</v>
      </c>
    </row>
    <row r="449" spans="32:66" ht="20.100000000000001" customHeight="1">
      <c r="AF449" s="1492"/>
      <c r="AG449" s="251" t="s">
        <v>1224</v>
      </c>
      <c r="AH449" s="280"/>
      <c r="AI449" s="251">
        <f>INDEX('DEFAULT DATA'!$VE$9:$VK$41,START!$C$3,5)</f>
        <v>403</v>
      </c>
      <c r="AJ449" s="195">
        <f>INDEX('DEFAULT DATA'!$AHW$9:$AID$41,START!$C$3,6)</f>
        <v>0</v>
      </c>
      <c r="AK449" s="345">
        <v>0</v>
      </c>
      <c r="AL449" s="272">
        <f t="shared" ref="AL449:BN449" si="436">IF(AND(AL$373&gt;($D$104+2020),AL$373&lt;($E$104+2022)),AK449+($AI$449*$AJ$449*((100-$F$104)/100)*($C$104/100*$B$104)/($E$104-$D$104+1)/1000000),AK449)</f>
        <v>0</v>
      </c>
      <c r="AM449" s="272">
        <f t="shared" si="436"/>
        <v>0</v>
      </c>
      <c r="AN449" s="272">
        <f t="shared" si="436"/>
        <v>0</v>
      </c>
      <c r="AO449" s="272">
        <f t="shared" si="436"/>
        <v>0</v>
      </c>
      <c r="AP449" s="272">
        <f t="shared" si="436"/>
        <v>0</v>
      </c>
      <c r="AQ449" s="272">
        <f t="shared" si="436"/>
        <v>0</v>
      </c>
      <c r="AR449" s="272">
        <f t="shared" si="436"/>
        <v>0</v>
      </c>
      <c r="AS449" s="272">
        <f t="shared" si="436"/>
        <v>0</v>
      </c>
      <c r="AT449" s="272">
        <f t="shared" si="436"/>
        <v>0</v>
      </c>
      <c r="AU449" s="272">
        <f t="shared" si="436"/>
        <v>0</v>
      </c>
      <c r="AV449" s="272">
        <f t="shared" si="436"/>
        <v>0</v>
      </c>
      <c r="AW449" s="272">
        <f t="shared" si="436"/>
        <v>0</v>
      </c>
      <c r="AX449" s="272">
        <f t="shared" si="436"/>
        <v>0</v>
      </c>
      <c r="AY449" s="272">
        <f t="shared" si="436"/>
        <v>0</v>
      </c>
      <c r="AZ449" s="272">
        <f t="shared" si="436"/>
        <v>0</v>
      </c>
      <c r="BA449" s="272">
        <f t="shared" si="436"/>
        <v>0</v>
      </c>
      <c r="BB449" s="272">
        <f t="shared" si="436"/>
        <v>0</v>
      </c>
      <c r="BC449" s="272">
        <f t="shared" si="436"/>
        <v>0</v>
      </c>
      <c r="BD449" s="272">
        <f t="shared" si="436"/>
        <v>0</v>
      </c>
      <c r="BE449" s="272">
        <f t="shared" si="436"/>
        <v>0</v>
      </c>
      <c r="BF449" s="272">
        <f t="shared" si="436"/>
        <v>0</v>
      </c>
      <c r="BG449" s="272">
        <f t="shared" si="436"/>
        <v>0</v>
      </c>
      <c r="BH449" s="272">
        <f t="shared" si="436"/>
        <v>0</v>
      </c>
      <c r="BI449" s="272">
        <f t="shared" si="436"/>
        <v>0</v>
      </c>
      <c r="BJ449" s="272">
        <f t="shared" si="436"/>
        <v>0</v>
      </c>
      <c r="BK449" s="272">
        <f t="shared" si="436"/>
        <v>0</v>
      </c>
      <c r="BL449" s="272">
        <f t="shared" si="436"/>
        <v>0</v>
      </c>
      <c r="BM449" s="272">
        <f t="shared" si="436"/>
        <v>0</v>
      </c>
      <c r="BN449" s="324">
        <f t="shared" si="436"/>
        <v>0</v>
      </c>
    </row>
    <row r="450" spans="32:66" ht="20.100000000000001" customHeight="1">
      <c r="AF450" s="1492"/>
      <c r="AG450" s="251" t="s">
        <v>1225</v>
      </c>
      <c r="AH450" s="280"/>
      <c r="AI450" s="251">
        <f>INDEX('DEFAULT DATA'!$VE$9:$VK$41,START!$C$3,6)</f>
        <v>0</v>
      </c>
      <c r="AJ450" s="195">
        <f>INDEX('DEFAULT DATA'!$AHW$9:$AID$41,START!$C$3,7)</f>
        <v>0</v>
      </c>
      <c r="AK450" s="345">
        <v>0</v>
      </c>
      <c r="AL450" s="272">
        <f t="shared" ref="AL450:BN450" si="437">IF(AND(AL$373&gt;($D$104+2020),AL$373&lt;($E$104+2022)),AK450+($AI$450*$AJ$450*((100-$F$104)/100)*($C$104/100*$B$104)/($E$104-$D$104+1)/1000000),AK450)</f>
        <v>0</v>
      </c>
      <c r="AM450" s="272">
        <f t="shared" si="437"/>
        <v>0</v>
      </c>
      <c r="AN450" s="272">
        <f t="shared" si="437"/>
        <v>0</v>
      </c>
      <c r="AO450" s="272">
        <f t="shared" si="437"/>
        <v>0</v>
      </c>
      <c r="AP450" s="272">
        <f t="shared" si="437"/>
        <v>0</v>
      </c>
      <c r="AQ450" s="272">
        <f t="shared" si="437"/>
        <v>0</v>
      </c>
      <c r="AR450" s="272">
        <f t="shared" si="437"/>
        <v>0</v>
      </c>
      <c r="AS450" s="272">
        <f t="shared" si="437"/>
        <v>0</v>
      </c>
      <c r="AT450" s="272">
        <f t="shared" si="437"/>
        <v>0</v>
      </c>
      <c r="AU450" s="272">
        <f t="shared" si="437"/>
        <v>0</v>
      </c>
      <c r="AV450" s="272">
        <f t="shared" si="437"/>
        <v>0</v>
      </c>
      <c r="AW450" s="272">
        <f t="shared" si="437"/>
        <v>0</v>
      </c>
      <c r="AX450" s="272">
        <f t="shared" si="437"/>
        <v>0</v>
      </c>
      <c r="AY450" s="272">
        <f t="shared" si="437"/>
        <v>0</v>
      </c>
      <c r="AZ450" s="272">
        <f t="shared" si="437"/>
        <v>0</v>
      </c>
      <c r="BA450" s="272">
        <f t="shared" si="437"/>
        <v>0</v>
      </c>
      <c r="BB450" s="272">
        <f t="shared" si="437"/>
        <v>0</v>
      </c>
      <c r="BC450" s="272">
        <f t="shared" si="437"/>
        <v>0</v>
      </c>
      <c r="BD450" s="272">
        <f t="shared" si="437"/>
        <v>0</v>
      </c>
      <c r="BE450" s="272">
        <f t="shared" si="437"/>
        <v>0</v>
      </c>
      <c r="BF450" s="272">
        <f t="shared" si="437"/>
        <v>0</v>
      </c>
      <c r="BG450" s="272">
        <f t="shared" si="437"/>
        <v>0</v>
      </c>
      <c r="BH450" s="272">
        <f t="shared" si="437"/>
        <v>0</v>
      </c>
      <c r="BI450" s="272">
        <f t="shared" si="437"/>
        <v>0</v>
      </c>
      <c r="BJ450" s="272">
        <f t="shared" si="437"/>
        <v>0</v>
      </c>
      <c r="BK450" s="272">
        <f t="shared" si="437"/>
        <v>0</v>
      </c>
      <c r="BL450" s="272">
        <f t="shared" si="437"/>
        <v>0</v>
      </c>
      <c r="BM450" s="272">
        <f t="shared" si="437"/>
        <v>0</v>
      </c>
      <c r="BN450" s="324">
        <f t="shared" si="437"/>
        <v>0</v>
      </c>
    </row>
    <row r="451" spans="32:66" ht="20.100000000000001" customHeight="1" thickBot="1">
      <c r="AF451" s="1493"/>
      <c r="AG451" s="310" t="s">
        <v>1226</v>
      </c>
      <c r="AH451" s="288"/>
      <c r="AI451" s="310" t="s">
        <v>1497</v>
      </c>
      <c r="AJ451" s="260">
        <f>INDEX('DEFAULT DATA'!$AHW$9:$AID$41,START!$C$3,8)</f>
        <v>0</v>
      </c>
      <c r="AK451" s="344">
        <v>0</v>
      </c>
      <c r="AL451" s="325">
        <f t="shared" ref="AL451:BN451" si="438">IF(AND(AL$373&gt;($D$104+2020),AL$373&lt;($E$104+2022)),AK451+(AL$6*$AJ$451*((100-$F$104)/100)*($C$104/100*$B$104)/($E$104-$D$104+1)/1000000),AK451)</f>
        <v>0</v>
      </c>
      <c r="AM451" s="325">
        <f t="shared" si="438"/>
        <v>0</v>
      </c>
      <c r="AN451" s="325">
        <f t="shared" si="438"/>
        <v>0</v>
      </c>
      <c r="AO451" s="325">
        <f t="shared" si="438"/>
        <v>0</v>
      </c>
      <c r="AP451" s="325">
        <f t="shared" si="438"/>
        <v>0</v>
      </c>
      <c r="AQ451" s="325">
        <f t="shared" si="438"/>
        <v>0</v>
      </c>
      <c r="AR451" s="325">
        <f t="shared" si="438"/>
        <v>0</v>
      </c>
      <c r="AS451" s="325">
        <f t="shared" si="438"/>
        <v>0</v>
      </c>
      <c r="AT451" s="325">
        <f t="shared" si="438"/>
        <v>0</v>
      </c>
      <c r="AU451" s="325">
        <f t="shared" si="438"/>
        <v>0</v>
      </c>
      <c r="AV451" s="325">
        <f t="shared" si="438"/>
        <v>0</v>
      </c>
      <c r="AW451" s="325">
        <f t="shared" si="438"/>
        <v>0</v>
      </c>
      <c r="AX451" s="325">
        <f t="shared" si="438"/>
        <v>0</v>
      </c>
      <c r="AY451" s="325">
        <f t="shared" si="438"/>
        <v>0</v>
      </c>
      <c r="AZ451" s="325">
        <f t="shared" si="438"/>
        <v>0</v>
      </c>
      <c r="BA451" s="325">
        <f t="shared" si="438"/>
        <v>0</v>
      </c>
      <c r="BB451" s="325">
        <f t="shared" si="438"/>
        <v>0</v>
      </c>
      <c r="BC451" s="325">
        <f t="shared" si="438"/>
        <v>0</v>
      </c>
      <c r="BD451" s="325">
        <f t="shared" si="438"/>
        <v>0</v>
      </c>
      <c r="BE451" s="325">
        <f t="shared" si="438"/>
        <v>0</v>
      </c>
      <c r="BF451" s="325">
        <f t="shared" si="438"/>
        <v>0</v>
      </c>
      <c r="BG451" s="325">
        <f t="shared" si="438"/>
        <v>0</v>
      </c>
      <c r="BH451" s="325">
        <f t="shared" si="438"/>
        <v>0</v>
      </c>
      <c r="BI451" s="325">
        <f t="shared" si="438"/>
        <v>0</v>
      </c>
      <c r="BJ451" s="325">
        <f t="shared" si="438"/>
        <v>0</v>
      </c>
      <c r="BK451" s="325">
        <f t="shared" si="438"/>
        <v>0</v>
      </c>
      <c r="BL451" s="325">
        <f t="shared" si="438"/>
        <v>0</v>
      </c>
      <c r="BM451" s="325">
        <f t="shared" si="438"/>
        <v>0</v>
      </c>
      <c r="BN451" s="326">
        <f t="shared" si="438"/>
        <v>0</v>
      </c>
    </row>
    <row r="452" spans="32:66" ht="20.100000000000001" customHeight="1">
      <c r="AF452" s="311"/>
      <c r="AG452" s="285" t="s">
        <v>1461</v>
      </c>
      <c r="AH452" s="285"/>
      <c r="AI452" s="285"/>
      <c r="AJ452" s="285"/>
      <c r="AK452" s="342">
        <v>0</v>
      </c>
      <c r="AL452" s="327">
        <f>SUM(AL444:AL451)</f>
        <v>0</v>
      </c>
      <c r="AM452" s="327">
        <f t="shared" ref="AM452:BN452" si="439">SUM(AM444:AM451)</f>
        <v>0</v>
      </c>
      <c r="AN452" s="327">
        <f t="shared" si="439"/>
        <v>0</v>
      </c>
      <c r="AO452" s="327">
        <f t="shared" si="439"/>
        <v>0</v>
      </c>
      <c r="AP452" s="327">
        <f t="shared" si="439"/>
        <v>0</v>
      </c>
      <c r="AQ452" s="327">
        <f t="shared" si="439"/>
        <v>0</v>
      </c>
      <c r="AR452" s="327">
        <f t="shared" si="439"/>
        <v>0</v>
      </c>
      <c r="AS452" s="327">
        <f t="shared" si="439"/>
        <v>0</v>
      </c>
      <c r="AT452" s="327">
        <f t="shared" si="439"/>
        <v>0</v>
      </c>
      <c r="AU452" s="327">
        <f t="shared" si="439"/>
        <v>0</v>
      </c>
      <c r="AV452" s="327">
        <f t="shared" si="439"/>
        <v>0</v>
      </c>
      <c r="AW452" s="327">
        <f t="shared" si="439"/>
        <v>0</v>
      </c>
      <c r="AX452" s="327">
        <f t="shared" si="439"/>
        <v>0</v>
      </c>
      <c r="AY452" s="327">
        <f t="shared" si="439"/>
        <v>0</v>
      </c>
      <c r="AZ452" s="327">
        <f t="shared" si="439"/>
        <v>0</v>
      </c>
      <c r="BA452" s="327">
        <f t="shared" si="439"/>
        <v>0</v>
      </c>
      <c r="BB452" s="327">
        <f t="shared" si="439"/>
        <v>0</v>
      </c>
      <c r="BC452" s="327">
        <f t="shared" si="439"/>
        <v>0</v>
      </c>
      <c r="BD452" s="327">
        <f t="shared" si="439"/>
        <v>0</v>
      </c>
      <c r="BE452" s="327">
        <f t="shared" si="439"/>
        <v>0</v>
      </c>
      <c r="BF452" s="327">
        <f t="shared" si="439"/>
        <v>0</v>
      </c>
      <c r="BG452" s="327">
        <f t="shared" si="439"/>
        <v>0</v>
      </c>
      <c r="BH452" s="327">
        <f t="shared" si="439"/>
        <v>0</v>
      </c>
      <c r="BI452" s="327">
        <f t="shared" si="439"/>
        <v>0</v>
      </c>
      <c r="BJ452" s="327">
        <f t="shared" si="439"/>
        <v>0</v>
      </c>
      <c r="BK452" s="327">
        <f t="shared" si="439"/>
        <v>0</v>
      </c>
      <c r="BL452" s="327">
        <f t="shared" si="439"/>
        <v>0</v>
      </c>
      <c r="BM452" s="327">
        <f t="shared" si="439"/>
        <v>0</v>
      </c>
      <c r="BN452" s="327">
        <f t="shared" si="439"/>
        <v>0</v>
      </c>
    </row>
    <row r="453" spans="32:66" ht="20.100000000000001" customHeight="1" thickBot="1"/>
    <row r="454" spans="32:66" ht="20.100000000000001" customHeight="1">
      <c r="AF454" s="1491" t="s">
        <v>1232</v>
      </c>
      <c r="AG454" s="286" t="s">
        <v>933</v>
      </c>
      <c r="AH454" s="287"/>
      <c r="AI454" s="286" t="s">
        <v>1496</v>
      </c>
      <c r="AJ454" s="313">
        <f>INDEX('DEFAULT DATA'!$AIE$9:$AIL$41,START!$C$3,1)</f>
        <v>0</v>
      </c>
      <c r="AK454" s="343">
        <v>0</v>
      </c>
      <c r="AL454" s="328">
        <f t="shared" ref="AL454:BN454" si="440">IF(AND(AL$373&gt;($D$105+2020),AL$373&lt;($E$105+2022)),AK454+(AL$5*$AJ$454*((100-$F$105)/100)*($C$105/100*$B$105)/($E$105-$D$105+1)/1000000),AK454)</f>
        <v>0</v>
      </c>
      <c r="AM454" s="328">
        <f t="shared" si="440"/>
        <v>0</v>
      </c>
      <c r="AN454" s="328">
        <f t="shared" si="440"/>
        <v>0</v>
      </c>
      <c r="AO454" s="328">
        <f t="shared" si="440"/>
        <v>0</v>
      </c>
      <c r="AP454" s="328">
        <f t="shared" si="440"/>
        <v>0</v>
      </c>
      <c r="AQ454" s="328">
        <f t="shared" si="440"/>
        <v>0</v>
      </c>
      <c r="AR454" s="328">
        <f t="shared" si="440"/>
        <v>0</v>
      </c>
      <c r="AS454" s="328">
        <f t="shared" si="440"/>
        <v>0</v>
      </c>
      <c r="AT454" s="328">
        <f t="shared" si="440"/>
        <v>0</v>
      </c>
      <c r="AU454" s="328">
        <f t="shared" si="440"/>
        <v>0</v>
      </c>
      <c r="AV454" s="328">
        <f t="shared" si="440"/>
        <v>0</v>
      </c>
      <c r="AW454" s="328">
        <f t="shared" si="440"/>
        <v>0</v>
      </c>
      <c r="AX454" s="328">
        <f t="shared" si="440"/>
        <v>0</v>
      </c>
      <c r="AY454" s="328">
        <f t="shared" si="440"/>
        <v>0</v>
      </c>
      <c r="AZ454" s="328">
        <f t="shared" si="440"/>
        <v>0</v>
      </c>
      <c r="BA454" s="328">
        <f t="shared" si="440"/>
        <v>0</v>
      </c>
      <c r="BB454" s="328">
        <f t="shared" si="440"/>
        <v>0</v>
      </c>
      <c r="BC454" s="328">
        <f t="shared" si="440"/>
        <v>0</v>
      </c>
      <c r="BD454" s="328">
        <f t="shared" si="440"/>
        <v>0</v>
      </c>
      <c r="BE454" s="328">
        <f t="shared" si="440"/>
        <v>0</v>
      </c>
      <c r="BF454" s="328">
        <f t="shared" si="440"/>
        <v>0</v>
      </c>
      <c r="BG454" s="328">
        <f t="shared" si="440"/>
        <v>0</v>
      </c>
      <c r="BH454" s="328">
        <f t="shared" si="440"/>
        <v>0</v>
      </c>
      <c r="BI454" s="328">
        <f t="shared" si="440"/>
        <v>0</v>
      </c>
      <c r="BJ454" s="328">
        <f t="shared" si="440"/>
        <v>0</v>
      </c>
      <c r="BK454" s="328">
        <f t="shared" si="440"/>
        <v>0</v>
      </c>
      <c r="BL454" s="328">
        <f t="shared" si="440"/>
        <v>0</v>
      </c>
      <c r="BM454" s="328">
        <f t="shared" si="440"/>
        <v>0</v>
      </c>
      <c r="BN454" s="329">
        <f t="shared" si="440"/>
        <v>0</v>
      </c>
    </row>
    <row r="455" spans="32:66" ht="20.100000000000001" customHeight="1">
      <c r="AF455" s="1492"/>
      <c r="AG455" s="251" t="s">
        <v>1220</v>
      </c>
      <c r="AH455" s="280"/>
      <c r="AI455" s="251">
        <f>INDEX('DEFAULT DATA'!$VE$9:$VK$41,START!$C$3,1)</f>
        <v>202</v>
      </c>
      <c r="AJ455" s="195">
        <f>INDEX('DEFAULT DATA'!$AIE$9:$AIL$41,START!$C$3,2)</f>
        <v>0</v>
      </c>
      <c r="AK455" s="345">
        <v>0</v>
      </c>
      <c r="AL455" s="272">
        <f t="shared" ref="AL455:BN455" si="441">IF(AND(AL$373&gt;($D$105+2020),AL$373&lt;($E$105+2022)),AK455+($AI$455*$AJ$455*((100-$F$105)/100)*($C$105/100*$B$105)/($E$105-$D$105+1)/1000000),AK455)</f>
        <v>0</v>
      </c>
      <c r="AM455" s="272">
        <f t="shared" si="441"/>
        <v>0</v>
      </c>
      <c r="AN455" s="272">
        <f t="shared" si="441"/>
        <v>0</v>
      </c>
      <c r="AO455" s="272">
        <f t="shared" si="441"/>
        <v>0</v>
      </c>
      <c r="AP455" s="272">
        <f t="shared" si="441"/>
        <v>0</v>
      </c>
      <c r="AQ455" s="272">
        <f t="shared" si="441"/>
        <v>0</v>
      </c>
      <c r="AR455" s="272">
        <f t="shared" si="441"/>
        <v>0</v>
      </c>
      <c r="AS455" s="272">
        <f t="shared" si="441"/>
        <v>0</v>
      </c>
      <c r="AT455" s="272">
        <f t="shared" si="441"/>
        <v>0</v>
      </c>
      <c r="AU455" s="272">
        <f t="shared" si="441"/>
        <v>0</v>
      </c>
      <c r="AV455" s="272">
        <f t="shared" si="441"/>
        <v>0</v>
      </c>
      <c r="AW455" s="272">
        <f t="shared" si="441"/>
        <v>0</v>
      </c>
      <c r="AX455" s="272">
        <f t="shared" si="441"/>
        <v>0</v>
      </c>
      <c r="AY455" s="272">
        <f t="shared" si="441"/>
        <v>0</v>
      </c>
      <c r="AZ455" s="272">
        <f t="shared" si="441"/>
        <v>0</v>
      </c>
      <c r="BA455" s="272">
        <f t="shared" si="441"/>
        <v>0</v>
      </c>
      <c r="BB455" s="272">
        <f t="shared" si="441"/>
        <v>0</v>
      </c>
      <c r="BC455" s="272">
        <f t="shared" si="441"/>
        <v>0</v>
      </c>
      <c r="BD455" s="272">
        <f t="shared" si="441"/>
        <v>0</v>
      </c>
      <c r="BE455" s="272">
        <f t="shared" si="441"/>
        <v>0</v>
      </c>
      <c r="BF455" s="272">
        <f t="shared" si="441"/>
        <v>0</v>
      </c>
      <c r="BG455" s="272">
        <f t="shared" si="441"/>
        <v>0</v>
      </c>
      <c r="BH455" s="272">
        <f t="shared" si="441"/>
        <v>0</v>
      </c>
      <c r="BI455" s="272">
        <f t="shared" si="441"/>
        <v>0</v>
      </c>
      <c r="BJ455" s="272">
        <f t="shared" si="441"/>
        <v>0</v>
      </c>
      <c r="BK455" s="272">
        <f t="shared" si="441"/>
        <v>0</v>
      </c>
      <c r="BL455" s="272">
        <f t="shared" si="441"/>
        <v>0</v>
      </c>
      <c r="BM455" s="272">
        <f t="shared" si="441"/>
        <v>0</v>
      </c>
      <c r="BN455" s="324">
        <f t="shared" si="441"/>
        <v>0</v>
      </c>
    </row>
    <row r="456" spans="32:66" ht="20.100000000000001" customHeight="1">
      <c r="AF456" s="1492"/>
      <c r="AG456" s="251" t="s">
        <v>1221</v>
      </c>
      <c r="AH456" s="280"/>
      <c r="AI456" s="251">
        <f>INDEX('DEFAULT DATA'!$VE$9:$VK$41,START!$C$3,2)</f>
        <v>279</v>
      </c>
      <c r="AJ456" s="195">
        <f>INDEX('DEFAULT DATA'!$AIE$9:$AIL$41,START!$C$3,3)</f>
        <v>0</v>
      </c>
      <c r="AK456" s="345">
        <v>0</v>
      </c>
      <c r="AL456" s="272">
        <f t="shared" ref="AL456:BN456" si="442">IF(AND(AL$373&gt;($D$105+2020),AL$373&lt;($E$105+2022)),AK456+($AI$456*$AJ$456*((100-$F$105)/100)*($C$105/100*$B$105)/($E$105-$D$105+1)/1000000),AK456)</f>
        <v>0</v>
      </c>
      <c r="AM456" s="272">
        <f t="shared" si="442"/>
        <v>0</v>
      </c>
      <c r="AN456" s="272">
        <f t="shared" si="442"/>
        <v>0</v>
      </c>
      <c r="AO456" s="272">
        <f t="shared" si="442"/>
        <v>0</v>
      </c>
      <c r="AP456" s="272">
        <f t="shared" si="442"/>
        <v>0</v>
      </c>
      <c r="AQ456" s="272">
        <f t="shared" si="442"/>
        <v>0</v>
      </c>
      <c r="AR456" s="272">
        <f t="shared" si="442"/>
        <v>0</v>
      </c>
      <c r="AS456" s="272">
        <f t="shared" si="442"/>
        <v>0</v>
      </c>
      <c r="AT456" s="272">
        <f t="shared" si="442"/>
        <v>0</v>
      </c>
      <c r="AU456" s="272">
        <f t="shared" si="442"/>
        <v>0</v>
      </c>
      <c r="AV456" s="272">
        <f t="shared" si="442"/>
        <v>0</v>
      </c>
      <c r="AW456" s="272">
        <f t="shared" si="442"/>
        <v>0</v>
      </c>
      <c r="AX456" s="272">
        <f t="shared" si="442"/>
        <v>0</v>
      </c>
      <c r="AY456" s="272">
        <f t="shared" si="442"/>
        <v>0</v>
      </c>
      <c r="AZ456" s="272">
        <f t="shared" si="442"/>
        <v>0</v>
      </c>
      <c r="BA456" s="272">
        <f t="shared" si="442"/>
        <v>0</v>
      </c>
      <c r="BB456" s="272">
        <f t="shared" si="442"/>
        <v>0</v>
      </c>
      <c r="BC456" s="272">
        <f t="shared" si="442"/>
        <v>0</v>
      </c>
      <c r="BD456" s="272">
        <f t="shared" si="442"/>
        <v>0</v>
      </c>
      <c r="BE456" s="272">
        <f t="shared" si="442"/>
        <v>0</v>
      </c>
      <c r="BF456" s="272">
        <f t="shared" si="442"/>
        <v>0</v>
      </c>
      <c r="BG456" s="272">
        <f t="shared" si="442"/>
        <v>0</v>
      </c>
      <c r="BH456" s="272">
        <f t="shared" si="442"/>
        <v>0</v>
      </c>
      <c r="BI456" s="272">
        <f t="shared" si="442"/>
        <v>0</v>
      </c>
      <c r="BJ456" s="272">
        <f t="shared" si="442"/>
        <v>0</v>
      </c>
      <c r="BK456" s="272">
        <f t="shared" si="442"/>
        <v>0</v>
      </c>
      <c r="BL456" s="272">
        <f t="shared" si="442"/>
        <v>0</v>
      </c>
      <c r="BM456" s="272">
        <f t="shared" si="442"/>
        <v>0</v>
      </c>
      <c r="BN456" s="324">
        <f t="shared" si="442"/>
        <v>0</v>
      </c>
    </row>
    <row r="457" spans="32:66" ht="20.100000000000001" customHeight="1">
      <c r="AF457" s="1492"/>
      <c r="AG457" s="251" t="s">
        <v>1222</v>
      </c>
      <c r="AH457" s="280"/>
      <c r="AI457" s="251">
        <f>INDEX('DEFAULT DATA'!$VE$9:$VK$41,START!$C$3,3)</f>
        <v>354</v>
      </c>
      <c r="AJ457" s="195">
        <f>INDEX('DEFAULT DATA'!$AIE$9:$AIL$41,START!$C$3,4)</f>
        <v>0</v>
      </c>
      <c r="AK457" s="345">
        <v>0</v>
      </c>
      <c r="AL457" s="272">
        <f t="shared" ref="AL457:BN457" si="443">IF(AND(AL$373&gt;($D$105+2020),AL$373&lt;($E$105+2022)),AK457+($AI$457*$AJ$457*((100-$F$105)/100)*($C$105/100*$B$105)/($E$105-$D$105+1)/1000000),AK457)</f>
        <v>0</v>
      </c>
      <c r="AM457" s="272">
        <f t="shared" si="443"/>
        <v>0</v>
      </c>
      <c r="AN457" s="272">
        <f t="shared" si="443"/>
        <v>0</v>
      </c>
      <c r="AO457" s="272">
        <f t="shared" si="443"/>
        <v>0</v>
      </c>
      <c r="AP457" s="272">
        <f t="shared" si="443"/>
        <v>0</v>
      </c>
      <c r="AQ457" s="272">
        <f t="shared" si="443"/>
        <v>0</v>
      </c>
      <c r="AR457" s="272">
        <f t="shared" si="443"/>
        <v>0</v>
      </c>
      <c r="AS457" s="272">
        <f t="shared" si="443"/>
        <v>0</v>
      </c>
      <c r="AT457" s="272">
        <f t="shared" si="443"/>
        <v>0</v>
      </c>
      <c r="AU457" s="272">
        <f t="shared" si="443"/>
        <v>0</v>
      </c>
      <c r="AV457" s="272">
        <f t="shared" si="443"/>
        <v>0</v>
      </c>
      <c r="AW457" s="272">
        <f t="shared" si="443"/>
        <v>0</v>
      </c>
      <c r="AX457" s="272">
        <f t="shared" si="443"/>
        <v>0</v>
      </c>
      <c r="AY457" s="272">
        <f t="shared" si="443"/>
        <v>0</v>
      </c>
      <c r="AZ457" s="272">
        <f t="shared" si="443"/>
        <v>0</v>
      </c>
      <c r="BA457" s="272">
        <f t="shared" si="443"/>
        <v>0</v>
      </c>
      <c r="BB457" s="272">
        <f t="shared" si="443"/>
        <v>0</v>
      </c>
      <c r="BC457" s="272">
        <f t="shared" si="443"/>
        <v>0</v>
      </c>
      <c r="BD457" s="272">
        <f t="shared" si="443"/>
        <v>0</v>
      </c>
      <c r="BE457" s="272">
        <f t="shared" si="443"/>
        <v>0</v>
      </c>
      <c r="BF457" s="272">
        <f t="shared" si="443"/>
        <v>0</v>
      </c>
      <c r="BG457" s="272">
        <f t="shared" si="443"/>
        <v>0</v>
      </c>
      <c r="BH457" s="272">
        <f t="shared" si="443"/>
        <v>0</v>
      </c>
      <c r="BI457" s="272">
        <f t="shared" si="443"/>
        <v>0</v>
      </c>
      <c r="BJ457" s="272">
        <f t="shared" si="443"/>
        <v>0</v>
      </c>
      <c r="BK457" s="272">
        <f t="shared" si="443"/>
        <v>0</v>
      </c>
      <c r="BL457" s="272">
        <f t="shared" si="443"/>
        <v>0</v>
      </c>
      <c r="BM457" s="272">
        <f t="shared" si="443"/>
        <v>0</v>
      </c>
      <c r="BN457" s="324">
        <f t="shared" si="443"/>
        <v>0</v>
      </c>
    </row>
    <row r="458" spans="32:66" ht="20.100000000000001" customHeight="1">
      <c r="AF458" s="1492"/>
      <c r="AG458" s="251" t="s">
        <v>1223</v>
      </c>
      <c r="AH458" s="280"/>
      <c r="AI458" s="251">
        <f>INDEX('DEFAULT DATA'!$VE$9:$VK$41,START!$C$3,4)</f>
        <v>0</v>
      </c>
      <c r="AJ458" s="195">
        <f>INDEX('DEFAULT DATA'!$AIE$9:$AIL$41,START!$C$3,5)</f>
        <v>0</v>
      </c>
      <c r="AK458" s="345">
        <v>0</v>
      </c>
      <c r="AL458" s="272">
        <f t="shared" ref="AL458:BN458" si="444">IF(AND(AL$373&gt;($D$105+2020),AL$373&lt;($E$105+2022)),AK458+($AI$458*$AJ$458*((100-$F$105)/100)*($C$105/100*$B$105)/($E$105-$D$105+1)/1000000),AK458)</f>
        <v>0</v>
      </c>
      <c r="AM458" s="272">
        <f t="shared" si="444"/>
        <v>0</v>
      </c>
      <c r="AN458" s="272">
        <f t="shared" si="444"/>
        <v>0</v>
      </c>
      <c r="AO458" s="272">
        <f t="shared" si="444"/>
        <v>0</v>
      </c>
      <c r="AP458" s="272">
        <f t="shared" si="444"/>
        <v>0</v>
      </c>
      <c r="AQ458" s="272">
        <f t="shared" si="444"/>
        <v>0</v>
      </c>
      <c r="AR458" s="272">
        <f t="shared" si="444"/>
        <v>0</v>
      </c>
      <c r="AS458" s="272">
        <f t="shared" si="444"/>
        <v>0</v>
      </c>
      <c r="AT458" s="272">
        <f t="shared" si="444"/>
        <v>0</v>
      </c>
      <c r="AU458" s="272">
        <f t="shared" si="444"/>
        <v>0</v>
      </c>
      <c r="AV458" s="272">
        <f t="shared" si="444"/>
        <v>0</v>
      </c>
      <c r="AW458" s="272">
        <f t="shared" si="444"/>
        <v>0</v>
      </c>
      <c r="AX458" s="272">
        <f t="shared" si="444"/>
        <v>0</v>
      </c>
      <c r="AY458" s="272">
        <f t="shared" si="444"/>
        <v>0</v>
      </c>
      <c r="AZ458" s="272">
        <f t="shared" si="444"/>
        <v>0</v>
      </c>
      <c r="BA458" s="272">
        <f t="shared" si="444"/>
        <v>0</v>
      </c>
      <c r="BB458" s="272">
        <f t="shared" si="444"/>
        <v>0</v>
      </c>
      <c r="BC458" s="272">
        <f t="shared" si="444"/>
        <v>0</v>
      </c>
      <c r="BD458" s="272">
        <f t="shared" si="444"/>
        <v>0</v>
      </c>
      <c r="BE458" s="272">
        <f t="shared" si="444"/>
        <v>0</v>
      </c>
      <c r="BF458" s="272">
        <f t="shared" si="444"/>
        <v>0</v>
      </c>
      <c r="BG458" s="272">
        <f t="shared" si="444"/>
        <v>0</v>
      </c>
      <c r="BH458" s="272">
        <f t="shared" si="444"/>
        <v>0</v>
      </c>
      <c r="BI458" s="272">
        <f t="shared" si="444"/>
        <v>0</v>
      </c>
      <c r="BJ458" s="272">
        <f t="shared" si="444"/>
        <v>0</v>
      </c>
      <c r="BK458" s="272">
        <f t="shared" si="444"/>
        <v>0</v>
      </c>
      <c r="BL458" s="272">
        <f t="shared" si="444"/>
        <v>0</v>
      </c>
      <c r="BM458" s="272">
        <f t="shared" si="444"/>
        <v>0</v>
      </c>
      <c r="BN458" s="324">
        <f t="shared" si="444"/>
        <v>0</v>
      </c>
    </row>
    <row r="459" spans="32:66" ht="20.100000000000001" customHeight="1">
      <c r="AF459" s="1492"/>
      <c r="AG459" s="251" t="s">
        <v>1224</v>
      </c>
      <c r="AH459" s="280"/>
      <c r="AI459" s="251">
        <f>INDEX('DEFAULT DATA'!$VE$9:$VK$41,START!$C$3,5)</f>
        <v>403</v>
      </c>
      <c r="AJ459" s="195">
        <f>INDEX('DEFAULT DATA'!$AIE$9:$AIL$41,START!$C$3,6)</f>
        <v>0</v>
      </c>
      <c r="AK459" s="345">
        <v>0</v>
      </c>
      <c r="AL459" s="272">
        <f t="shared" ref="AL459:BN459" si="445">IF(AND(AL$373&gt;($D$105+2020),AL$373&lt;($E$105+2022)),AK459+($AI$459*$AJ$459*((100-$F$105)/100)*($C$105/100*$B$105)/($E$105-$D$105+1)/1000000),AK459)</f>
        <v>0</v>
      </c>
      <c r="AM459" s="272">
        <f t="shared" si="445"/>
        <v>0</v>
      </c>
      <c r="AN459" s="272">
        <f t="shared" si="445"/>
        <v>0</v>
      </c>
      <c r="AO459" s="272">
        <f t="shared" si="445"/>
        <v>0</v>
      </c>
      <c r="AP459" s="272">
        <f t="shared" si="445"/>
        <v>0</v>
      </c>
      <c r="AQ459" s="272">
        <f t="shared" si="445"/>
        <v>0</v>
      </c>
      <c r="AR459" s="272">
        <f t="shared" si="445"/>
        <v>0</v>
      </c>
      <c r="AS459" s="272">
        <f t="shared" si="445"/>
        <v>0</v>
      </c>
      <c r="AT459" s="272">
        <f t="shared" si="445"/>
        <v>0</v>
      </c>
      <c r="AU459" s="272">
        <f t="shared" si="445"/>
        <v>0</v>
      </c>
      <c r="AV459" s="272">
        <f t="shared" si="445"/>
        <v>0</v>
      </c>
      <c r="AW459" s="272">
        <f t="shared" si="445"/>
        <v>0</v>
      </c>
      <c r="AX459" s="272">
        <f t="shared" si="445"/>
        <v>0</v>
      </c>
      <c r="AY459" s="272">
        <f t="shared" si="445"/>
        <v>0</v>
      </c>
      <c r="AZ459" s="272">
        <f t="shared" si="445"/>
        <v>0</v>
      </c>
      <c r="BA459" s="272">
        <f t="shared" si="445"/>
        <v>0</v>
      </c>
      <c r="BB459" s="272">
        <f t="shared" si="445"/>
        <v>0</v>
      </c>
      <c r="BC459" s="272">
        <f t="shared" si="445"/>
        <v>0</v>
      </c>
      <c r="BD459" s="272">
        <f t="shared" si="445"/>
        <v>0</v>
      </c>
      <c r="BE459" s="272">
        <f t="shared" si="445"/>
        <v>0</v>
      </c>
      <c r="BF459" s="272">
        <f t="shared" si="445"/>
        <v>0</v>
      </c>
      <c r="BG459" s="272">
        <f t="shared" si="445"/>
        <v>0</v>
      </c>
      <c r="BH459" s="272">
        <f t="shared" si="445"/>
        <v>0</v>
      </c>
      <c r="BI459" s="272">
        <f t="shared" si="445"/>
        <v>0</v>
      </c>
      <c r="BJ459" s="272">
        <f t="shared" si="445"/>
        <v>0</v>
      </c>
      <c r="BK459" s="272">
        <f t="shared" si="445"/>
        <v>0</v>
      </c>
      <c r="BL459" s="272">
        <f t="shared" si="445"/>
        <v>0</v>
      </c>
      <c r="BM459" s="272">
        <f t="shared" si="445"/>
        <v>0</v>
      </c>
      <c r="BN459" s="324">
        <f t="shared" si="445"/>
        <v>0</v>
      </c>
    </row>
    <row r="460" spans="32:66" ht="20.100000000000001" customHeight="1">
      <c r="AF460" s="1492"/>
      <c r="AG460" s="251" t="s">
        <v>1225</v>
      </c>
      <c r="AH460" s="280"/>
      <c r="AI460" s="251">
        <f>INDEX('DEFAULT DATA'!$VE$9:$VK$41,START!$C$3,6)</f>
        <v>0</v>
      </c>
      <c r="AJ460" s="195">
        <f>INDEX('DEFAULT DATA'!$AIE$9:$AIL$41,START!$C$3,7)</f>
        <v>0</v>
      </c>
      <c r="AK460" s="345">
        <v>0</v>
      </c>
      <c r="AL460" s="272">
        <f t="shared" ref="AL460:BN460" si="446">IF(AND(AL$373&gt;($D$105+2020),AL$373&lt;($E$105+2022)),AK460+($AI$460*$AJ$460*((100-$F$105)/100)*($C$105/100*$B$105)/($E$105-$D$105+1)/1000000),AK460)</f>
        <v>0</v>
      </c>
      <c r="AM460" s="272">
        <f t="shared" si="446"/>
        <v>0</v>
      </c>
      <c r="AN460" s="272">
        <f t="shared" si="446"/>
        <v>0</v>
      </c>
      <c r="AO460" s="272">
        <f t="shared" si="446"/>
        <v>0</v>
      </c>
      <c r="AP460" s="272">
        <f t="shared" si="446"/>
        <v>0</v>
      </c>
      <c r="AQ460" s="272">
        <f t="shared" si="446"/>
        <v>0</v>
      </c>
      <c r="AR460" s="272">
        <f t="shared" si="446"/>
        <v>0</v>
      </c>
      <c r="AS460" s="272">
        <f t="shared" si="446"/>
        <v>0</v>
      </c>
      <c r="AT460" s="272">
        <f t="shared" si="446"/>
        <v>0</v>
      </c>
      <c r="AU460" s="272">
        <f t="shared" si="446"/>
        <v>0</v>
      </c>
      <c r="AV460" s="272">
        <f t="shared" si="446"/>
        <v>0</v>
      </c>
      <c r="AW460" s="272">
        <f t="shared" si="446"/>
        <v>0</v>
      </c>
      <c r="AX460" s="272">
        <f t="shared" si="446"/>
        <v>0</v>
      </c>
      <c r="AY460" s="272">
        <f t="shared" si="446"/>
        <v>0</v>
      </c>
      <c r="AZ460" s="272">
        <f t="shared" si="446"/>
        <v>0</v>
      </c>
      <c r="BA460" s="272">
        <f t="shared" si="446"/>
        <v>0</v>
      </c>
      <c r="BB460" s="272">
        <f t="shared" si="446"/>
        <v>0</v>
      </c>
      <c r="BC460" s="272">
        <f t="shared" si="446"/>
        <v>0</v>
      </c>
      <c r="BD460" s="272">
        <f t="shared" si="446"/>
        <v>0</v>
      </c>
      <c r="BE460" s="272">
        <f t="shared" si="446"/>
        <v>0</v>
      </c>
      <c r="BF460" s="272">
        <f t="shared" si="446"/>
        <v>0</v>
      </c>
      <c r="BG460" s="272">
        <f t="shared" si="446"/>
        <v>0</v>
      </c>
      <c r="BH460" s="272">
        <f t="shared" si="446"/>
        <v>0</v>
      </c>
      <c r="BI460" s="272">
        <f t="shared" si="446"/>
        <v>0</v>
      </c>
      <c r="BJ460" s="272">
        <f t="shared" si="446"/>
        <v>0</v>
      </c>
      <c r="BK460" s="272">
        <f t="shared" si="446"/>
        <v>0</v>
      </c>
      <c r="BL460" s="272">
        <f t="shared" si="446"/>
        <v>0</v>
      </c>
      <c r="BM460" s="272">
        <f t="shared" si="446"/>
        <v>0</v>
      </c>
      <c r="BN460" s="324">
        <f t="shared" si="446"/>
        <v>0</v>
      </c>
    </row>
    <row r="461" spans="32:66" ht="20.100000000000001" customHeight="1" thickBot="1">
      <c r="AF461" s="1493"/>
      <c r="AG461" s="310" t="s">
        <v>1226</v>
      </c>
      <c r="AH461" s="288"/>
      <c r="AI461" s="310" t="s">
        <v>1497</v>
      </c>
      <c r="AJ461" s="260">
        <f>INDEX('DEFAULT DATA'!$AIE$9:$AIL$41,START!$C$3,8)</f>
        <v>0</v>
      </c>
      <c r="AK461" s="344">
        <v>0</v>
      </c>
      <c r="AL461" s="325">
        <f t="shared" ref="AL461:BN461" si="447">IF(AND(AL$373&gt;($D$105+2020),AL$373&lt;($E$105+2022)),AK461+(AL$6*$AJ$461*((100-$F$105)/100)*($C$105/100*$B$105)/($E$105-$D$105+1)/1000000),AK461)</f>
        <v>0</v>
      </c>
      <c r="AM461" s="325">
        <f t="shared" si="447"/>
        <v>0</v>
      </c>
      <c r="AN461" s="325">
        <f t="shared" si="447"/>
        <v>0</v>
      </c>
      <c r="AO461" s="325">
        <f t="shared" si="447"/>
        <v>0</v>
      </c>
      <c r="AP461" s="325">
        <f t="shared" si="447"/>
        <v>0</v>
      </c>
      <c r="AQ461" s="325">
        <f t="shared" si="447"/>
        <v>0</v>
      </c>
      <c r="AR461" s="325">
        <f t="shared" si="447"/>
        <v>0</v>
      </c>
      <c r="AS461" s="325">
        <f t="shared" si="447"/>
        <v>0</v>
      </c>
      <c r="AT461" s="325">
        <f t="shared" si="447"/>
        <v>0</v>
      </c>
      <c r="AU461" s="325">
        <f t="shared" si="447"/>
        <v>0</v>
      </c>
      <c r="AV461" s="325">
        <f t="shared" si="447"/>
        <v>0</v>
      </c>
      <c r="AW461" s="325">
        <f t="shared" si="447"/>
        <v>0</v>
      </c>
      <c r="AX461" s="325">
        <f t="shared" si="447"/>
        <v>0</v>
      </c>
      <c r="AY461" s="325">
        <f t="shared" si="447"/>
        <v>0</v>
      </c>
      <c r="AZ461" s="325">
        <f t="shared" si="447"/>
        <v>0</v>
      </c>
      <c r="BA461" s="325">
        <f t="shared" si="447"/>
        <v>0</v>
      </c>
      <c r="BB461" s="325">
        <f t="shared" si="447"/>
        <v>0</v>
      </c>
      <c r="BC461" s="325">
        <f t="shared" si="447"/>
        <v>0</v>
      </c>
      <c r="BD461" s="325">
        <f t="shared" si="447"/>
        <v>0</v>
      </c>
      <c r="BE461" s="325">
        <f t="shared" si="447"/>
        <v>0</v>
      </c>
      <c r="BF461" s="325">
        <f t="shared" si="447"/>
        <v>0</v>
      </c>
      <c r="BG461" s="325">
        <f t="shared" si="447"/>
        <v>0</v>
      </c>
      <c r="BH461" s="325">
        <f t="shared" si="447"/>
        <v>0</v>
      </c>
      <c r="BI461" s="325">
        <f t="shared" si="447"/>
        <v>0</v>
      </c>
      <c r="BJ461" s="325">
        <f t="shared" si="447"/>
        <v>0</v>
      </c>
      <c r="BK461" s="325">
        <f t="shared" si="447"/>
        <v>0</v>
      </c>
      <c r="BL461" s="325">
        <f t="shared" si="447"/>
        <v>0</v>
      </c>
      <c r="BM461" s="325">
        <f t="shared" si="447"/>
        <v>0</v>
      </c>
      <c r="BN461" s="326">
        <f t="shared" si="447"/>
        <v>0</v>
      </c>
    </row>
    <row r="462" spans="32:66" ht="20.100000000000001" customHeight="1">
      <c r="AF462" s="311"/>
      <c r="AG462" s="285" t="s">
        <v>1462</v>
      </c>
      <c r="AH462" s="285"/>
      <c r="AI462" s="285"/>
      <c r="AJ462" s="285"/>
      <c r="AK462" s="342">
        <v>0</v>
      </c>
      <c r="AL462" s="327">
        <f>SUM(AL454:AL461)</f>
        <v>0</v>
      </c>
      <c r="AM462" s="327">
        <f t="shared" ref="AM462:BN462" si="448">SUM(AM454:AM461)</f>
        <v>0</v>
      </c>
      <c r="AN462" s="327">
        <f t="shared" si="448"/>
        <v>0</v>
      </c>
      <c r="AO462" s="327">
        <f t="shared" si="448"/>
        <v>0</v>
      </c>
      <c r="AP462" s="327">
        <f t="shared" si="448"/>
        <v>0</v>
      </c>
      <c r="AQ462" s="327">
        <f t="shared" si="448"/>
        <v>0</v>
      </c>
      <c r="AR462" s="327">
        <f t="shared" si="448"/>
        <v>0</v>
      </c>
      <c r="AS462" s="327">
        <f t="shared" si="448"/>
        <v>0</v>
      </c>
      <c r="AT462" s="327">
        <f t="shared" si="448"/>
        <v>0</v>
      </c>
      <c r="AU462" s="327">
        <f t="shared" si="448"/>
        <v>0</v>
      </c>
      <c r="AV462" s="327">
        <f t="shared" si="448"/>
        <v>0</v>
      </c>
      <c r="AW462" s="327">
        <f t="shared" si="448"/>
        <v>0</v>
      </c>
      <c r="AX462" s="327">
        <f t="shared" si="448"/>
        <v>0</v>
      </c>
      <c r="AY462" s="327">
        <f t="shared" si="448"/>
        <v>0</v>
      </c>
      <c r="AZ462" s="327">
        <f t="shared" si="448"/>
        <v>0</v>
      </c>
      <c r="BA462" s="327">
        <f t="shared" si="448"/>
        <v>0</v>
      </c>
      <c r="BB462" s="327">
        <f t="shared" si="448"/>
        <v>0</v>
      </c>
      <c r="BC462" s="327">
        <f t="shared" si="448"/>
        <v>0</v>
      </c>
      <c r="BD462" s="327">
        <f t="shared" si="448"/>
        <v>0</v>
      </c>
      <c r="BE462" s="327">
        <f t="shared" si="448"/>
        <v>0</v>
      </c>
      <c r="BF462" s="327">
        <f t="shared" si="448"/>
        <v>0</v>
      </c>
      <c r="BG462" s="327">
        <f t="shared" si="448"/>
        <v>0</v>
      </c>
      <c r="BH462" s="327">
        <f t="shared" si="448"/>
        <v>0</v>
      </c>
      <c r="BI462" s="327">
        <f t="shared" si="448"/>
        <v>0</v>
      </c>
      <c r="BJ462" s="327">
        <f t="shared" si="448"/>
        <v>0</v>
      </c>
      <c r="BK462" s="327">
        <f t="shared" si="448"/>
        <v>0</v>
      </c>
      <c r="BL462" s="327">
        <f t="shared" si="448"/>
        <v>0</v>
      </c>
      <c r="BM462" s="327">
        <f t="shared" si="448"/>
        <v>0</v>
      </c>
      <c r="BN462" s="327">
        <f t="shared" si="448"/>
        <v>0</v>
      </c>
    </row>
    <row r="463" spans="32:66" ht="20.100000000000001" customHeight="1" thickBot="1"/>
    <row r="464" spans="32:66" ht="20.100000000000001" customHeight="1">
      <c r="AF464" s="1491" t="s">
        <v>1233</v>
      </c>
      <c r="AG464" s="286" t="s">
        <v>933</v>
      </c>
      <c r="AH464" s="287"/>
      <c r="AI464" s="286" t="s">
        <v>1496</v>
      </c>
      <c r="AJ464" s="313">
        <f>INDEX('DEFAULT DATA'!$AIM$9:$AIT$41,START!$C$3,1)</f>
        <v>0</v>
      </c>
      <c r="AK464" s="343">
        <v>0</v>
      </c>
      <c r="AL464" s="328">
        <f t="shared" ref="AL464:BN464" si="449">IF(AND(AL$373&gt;($D$106+2020),AL$373&lt;($E$106+2022)),AK464+(AL$5*$AJ$464*((100-$F$106)/100)*($C$106/100*$B$106)/($E$106-$D$106+1)/1000000),AK464)</f>
        <v>0</v>
      </c>
      <c r="AM464" s="328">
        <f t="shared" si="449"/>
        <v>0</v>
      </c>
      <c r="AN464" s="328">
        <f t="shared" si="449"/>
        <v>0</v>
      </c>
      <c r="AO464" s="328">
        <f t="shared" si="449"/>
        <v>0</v>
      </c>
      <c r="AP464" s="328">
        <f t="shared" si="449"/>
        <v>0</v>
      </c>
      <c r="AQ464" s="328">
        <f t="shared" si="449"/>
        <v>0</v>
      </c>
      <c r="AR464" s="328">
        <f t="shared" si="449"/>
        <v>0</v>
      </c>
      <c r="AS464" s="328">
        <f t="shared" si="449"/>
        <v>0</v>
      </c>
      <c r="AT464" s="328">
        <f t="shared" si="449"/>
        <v>0</v>
      </c>
      <c r="AU464" s="328">
        <f t="shared" si="449"/>
        <v>0</v>
      </c>
      <c r="AV464" s="328">
        <f t="shared" si="449"/>
        <v>0</v>
      </c>
      <c r="AW464" s="328">
        <f t="shared" si="449"/>
        <v>0</v>
      </c>
      <c r="AX464" s="328">
        <f t="shared" si="449"/>
        <v>0</v>
      </c>
      <c r="AY464" s="328">
        <f t="shared" si="449"/>
        <v>0</v>
      </c>
      <c r="AZ464" s="328">
        <f t="shared" si="449"/>
        <v>0</v>
      </c>
      <c r="BA464" s="328">
        <f t="shared" si="449"/>
        <v>0</v>
      </c>
      <c r="BB464" s="328">
        <f t="shared" si="449"/>
        <v>0</v>
      </c>
      <c r="BC464" s="328">
        <f t="shared" si="449"/>
        <v>0</v>
      </c>
      <c r="BD464" s="328">
        <f t="shared" si="449"/>
        <v>0</v>
      </c>
      <c r="BE464" s="328">
        <f t="shared" si="449"/>
        <v>0</v>
      </c>
      <c r="BF464" s="328">
        <f t="shared" si="449"/>
        <v>0</v>
      </c>
      <c r="BG464" s="328">
        <f t="shared" si="449"/>
        <v>0</v>
      </c>
      <c r="BH464" s="328">
        <f t="shared" si="449"/>
        <v>0</v>
      </c>
      <c r="BI464" s="328">
        <f t="shared" si="449"/>
        <v>0</v>
      </c>
      <c r="BJ464" s="328">
        <f t="shared" si="449"/>
        <v>0</v>
      </c>
      <c r="BK464" s="328">
        <f t="shared" si="449"/>
        <v>0</v>
      </c>
      <c r="BL464" s="328">
        <f t="shared" si="449"/>
        <v>0</v>
      </c>
      <c r="BM464" s="328">
        <f t="shared" si="449"/>
        <v>0</v>
      </c>
      <c r="BN464" s="329">
        <f t="shared" si="449"/>
        <v>0</v>
      </c>
    </row>
    <row r="465" spans="32:66" ht="20.100000000000001" customHeight="1">
      <c r="AF465" s="1492"/>
      <c r="AG465" s="251" t="s">
        <v>1220</v>
      </c>
      <c r="AH465" s="280"/>
      <c r="AI465" s="251">
        <f>INDEX('DEFAULT DATA'!$VE$9:$VK$41,START!$C$3,1)</f>
        <v>202</v>
      </c>
      <c r="AJ465" s="195">
        <f>INDEX('DEFAULT DATA'!$AIM$9:$AIT$41,START!$C$3,2)</f>
        <v>0</v>
      </c>
      <c r="AK465" s="345">
        <v>0</v>
      </c>
      <c r="AL465" s="272">
        <f t="shared" ref="AL465:BN465" si="450">IF(AND(AL$373&gt;($D$106+2020),AL$373&lt;($E$106+2022)),AK465+($AI$465*$AJ$465*((100-$F$106)/100)*($C$106/100*$B$106)/($E$106-$D$106+1)/1000000),AK465)</f>
        <v>0</v>
      </c>
      <c r="AM465" s="272">
        <f t="shared" si="450"/>
        <v>0</v>
      </c>
      <c r="AN465" s="272">
        <f t="shared" si="450"/>
        <v>0</v>
      </c>
      <c r="AO465" s="272">
        <f t="shared" si="450"/>
        <v>0</v>
      </c>
      <c r="AP465" s="272">
        <f t="shared" si="450"/>
        <v>0</v>
      </c>
      <c r="AQ465" s="272">
        <f t="shared" si="450"/>
        <v>0</v>
      </c>
      <c r="AR465" s="272">
        <f t="shared" si="450"/>
        <v>0</v>
      </c>
      <c r="AS465" s="272">
        <f t="shared" si="450"/>
        <v>0</v>
      </c>
      <c r="AT465" s="272">
        <f t="shared" si="450"/>
        <v>0</v>
      </c>
      <c r="AU465" s="272">
        <f t="shared" si="450"/>
        <v>0</v>
      </c>
      <c r="AV465" s="272">
        <f t="shared" si="450"/>
        <v>0</v>
      </c>
      <c r="AW465" s="272">
        <f t="shared" si="450"/>
        <v>0</v>
      </c>
      <c r="AX465" s="272">
        <f t="shared" si="450"/>
        <v>0</v>
      </c>
      <c r="AY465" s="272">
        <f t="shared" si="450"/>
        <v>0</v>
      </c>
      <c r="AZ465" s="272">
        <f t="shared" si="450"/>
        <v>0</v>
      </c>
      <c r="BA465" s="272">
        <f t="shared" si="450"/>
        <v>0</v>
      </c>
      <c r="BB465" s="272">
        <f t="shared" si="450"/>
        <v>0</v>
      </c>
      <c r="BC465" s="272">
        <f t="shared" si="450"/>
        <v>0</v>
      </c>
      <c r="BD465" s="272">
        <f t="shared" si="450"/>
        <v>0</v>
      </c>
      <c r="BE465" s="272">
        <f t="shared" si="450"/>
        <v>0</v>
      </c>
      <c r="BF465" s="272">
        <f t="shared" si="450"/>
        <v>0</v>
      </c>
      <c r="BG465" s="272">
        <f t="shared" si="450"/>
        <v>0</v>
      </c>
      <c r="BH465" s="272">
        <f t="shared" si="450"/>
        <v>0</v>
      </c>
      <c r="BI465" s="272">
        <f t="shared" si="450"/>
        <v>0</v>
      </c>
      <c r="BJ465" s="272">
        <f t="shared" si="450"/>
        <v>0</v>
      </c>
      <c r="BK465" s="272">
        <f t="shared" si="450"/>
        <v>0</v>
      </c>
      <c r="BL465" s="272">
        <f t="shared" si="450"/>
        <v>0</v>
      </c>
      <c r="BM465" s="272">
        <f t="shared" si="450"/>
        <v>0</v>
      </c>
      <c r="BN465" s="324">
        <f t="shared" si="450"/>
        <v>0</v>
      </c>
    </row>
    <row r="466" spans="32:66" ht="20.100000000000001" customHeight="1">
      <c r="AF466" s="1492"/>
      <c r="AG466" s="251" t="s">
        <v>1221</v>
      </c>
      <c r="AH466" s="280"/>
      <c r="AI466" s="251">
        <f>INDEX('DEFAULT DATA'!$VE$9:$VK$41,START!$C$3,2)</f>
        <v>279</v>
      </c>
      <c r="AJ466" s="195">
        <f>INDEX('DEFAULT DATA'!$AIM$9:$AIT$41,START!$C$3,3)</f>
        <v>0</v>
      </c>
      <c r="AK466" s="345">
        <v>0</v>
      </c>
      <c r="AL466" s="272">
        <f t="shared" ref="AL466:BN466" si="451">IF(AND(AL$373&gt;($D$106+2020),AL$373&lt;($E$106+2022)),AK466+($AI$466*$AJ$466*((100-$F$106)/100)*($C$106/100*$B$106)/($E$106-$D$106+1)/1000000),AK466)</f>
        <v>0</v>
      </c>
      <c r="AM466" s="272">
        <f t="shared" si="451"/>
        <v>0</v>
      </c>
      <c r="AN466" s="272">
        <f t="shared" si="451"/>
        <v>0</v>
      </c>
      <c r="AO466" s="272">
        <f t="shared" si="451"/>
        <v>0</v>
      </c>
      <c r="AP466" s="272">
        <f t="shared" si="451"/>
        <v>0</v>
      </c>
      <c r="AQ466" s="272">
        <f t="shared" si="451"/>
        <v>0</v>
      </c>
      <c r="AR466" s="272">
        <f t="shared" si="451"/>
        <v>0</v>
      </c>
      <c r="AS466" s="272">
        <f t="shared" si="451"/>
        <v>0</v>
      </c>
      <c r="AT466" s="272">
        <f t="shared" si="451"/>
        <v>0</v>
      </c>
      <c r="AU466" s="272">
        <f t="shared" si="451"/>
        <v>0</v>
      </c>
      <c r="AV466" s="272">
        <f t="shared" si="451"/>
        <v>0</v>
      </c>
      <c r="AW466" s="272">
        <f t="shared" si="451"/>
        <v>0</v>
      </c>
      <c r="AX466" s="272">
        <f t="shared" si="451"/>
        <v>0</v>
      </c>
      <c r="AY466" s="272">
        <f t="shared" si="451"/>
        <v>0</v>
      </c>
      <c r="AZ466" s="272">
        <f t="shared" si="451"/>
        <v>0</v>
      </c>
      <c r="BA466" s="272">
        <f t="shared" si="451"/>
        <v>0</v>
      </c>
      <c r="BB466" s="272">
        <f t="shared" si="451"/>
        <v>0</v>
      </c>
      <c r="BC466" s="272">
        <f t="shared" si="451"/>
        <v>0</v>
      </c>
      <c r="BD466" s="272">
        <f t="shared" si="451"/>
        <v>0</v>
      </c>
      <c r="BE466" s="272">
        <f t="shared" si="451"/>
        <v>0</v>
      </c>
      <c r="BF466" s="272">
        <f t="shared" si="451"/>
        <v>0</v>
      </c>
      <c r="BG466" s="272">
        <f t="shared" si="451"/>
        <v>0</v>
      </c>
      <c r="BH466" s="272">
        <f t="shared" si="451"/>
        <v>0</v>
      </c>
      <c r="BI466" s="272">
        <f t="shared" si="451"/>
        <v>0</v>
      </c>
      <c r="BJ466" s="272">
        <f t="shared" si="451"/>
        <v>0</v>
      </c>
      <c r="BK466" s="272">
        <f t="shared" si="451"/>
        <v>0</v>
      </c>
      <c r="BL466" s="272">
        <f t="shared" si="451"/>
        <v>0</v>
      </c>
      <c r="BM466" s="272">
        <f t="shared" si="451"/>
        <v>0</v>
      </c>
      <c r="BN466" s="324">
        <f t="shared" si="451"/>
        <v>0</v>
      </c>
    </row>
    <row r="467" spans="32:66" ht="20.100000000000001" customHeight="1">
      <c r="AF467" s="1492"/>
      <c r="AG467" s="251" t="s">
        <v>1222</v>
      </c>
      <c r="AH467" s="280"/>
      <c r="AI467" s="251">
        <f>INDEX('DEFAULT DATA'!$VE$9:$VK$41,START!$C$3,3)</f>
        <v>354</v>
      </c>
      <c r="AJ467" s="195">
        <f>INDEX('DEFAULT DATA'!$AIM$9:$AIT$41,START!$C$3,4)</f>
        <v>0</v>
      </c>
      <c r="AK467" s="345">
        <v>0</v>
      </c>
      <c r="AL467" s="272">
        <f t="shared" ref="AL467:BN467" si="452">IF(AND(AL$373&gt;($D$106+2020),AL$373&lt;($E$106+2022)),AK467+($AI$467*$AJ$467*((100-$F$106)/100)*($C$106/100*$B$106)/($E$106-$D$106+1)/1000000),AK467)</f>
        <v>0</v>
      </c>
      <c r="AM467" s="272">
        <f t="shared" si="452"/>
        <v>0</v>
      </c>
      <c r="AN467" s="272">
        <f t="shared" si="452"/>
        <v>0</v>
      </c>
      <c r="AO467" s="272">
        <f t="shared" si="452"/>
        <v>0</v>
      </c>
      <c r="AP467" s="272">
        <f t="shared" si="452"/>
        <v>0</v>
      </c>
      <c r="AQ467" s="272">
        <f t="shared" si="452"/>
        <v>0</v>
      </c>
      <c r="AR467" s="272">
        <f t="shared" si="452"/>
        <v>0</v>
      </c>
      <c r="AS467" s="272">
        <f t="shared" si="452"/>
        <v>0</v>
      </c>
      <c r="AT467" s="272">
        <f t="shared" si="452"/>
        <v>0</v>
      </c>
      <c r="AU467" s="272">
        <f t="shared" si="452"/>
        <v>0</v>
      </c>
      <c r="AV467" s="272">
        <f t="shared" si="452"/>
        <v>0</v>
      </c>
      <c r="AW467" s="272">
        <f t="shared" si="452"/>
        <v>0</v>
      </c>
      <c r="AX467" s="272">
        <f t="shared" si="452"/>
        <v>0</v>
      </c>
      <c r="AY467" s="272">
        <f t="shared" si="452"/>
        <v>0</v>
      </c>
      <c r="AZ467" s="272">
        <f t="shared" si="452"/>
        <v>0</v>
      </c>
      <c r="BA467" s="272">
        <f t="shared" si="452"/>
        <v>0</v>
      </c>
      <c r="BB467" s="272">
        <f t="shared" si="452"/>
        <v>0</v>
      </c>
      <c r="BC467" s="272">
        <f t="shared" si="452"/>
        <v>0</v>
      </c>
      <c r="BD467" s="272">
        <f t="shared" si="452"/>
        <v>0</v>
      </c>
      <c r="BE467" s="272">
        <f t="shared" si="452"/>
        <v>0</v>
      </c>
      <c r="BF467" s="272">
        <f t="shared" si="452"/>
        <v>0</v>
      </c>
      <c r="BG467" s="272">
        <f t="shared" si="452"/>
        <v>0</v>
      </c>
      <c r="BH467" s="272">
        <f t="shared" si="452"/>
        <v>0</v>
      </c>
      <c r="BI467" s="272">
        <f t="shared" si="452"/>
        <v>0</v>
      </c>
      <c r="BJ467" s="272">
        <f t="shared" si="452"/>
        <v>0</v>
      </c>
      <c r="BK467" s="272">
        <f t="shared" si="452"/>
        <v>0</v>
      </c>
      <c r="BL467" s="272">
        <f t="shared" si="452"/>
        <v>0</v>
      </c>
      <c r="BM467" s="272">
        <f t="shared" si="452"/>
        <v>0</v>
      </c>
      <c r="BN467" s="324">
        <f t="shared" si="452"/>
        <v>0</v>
      </c>
    </row>
    <row r="468" spans="32:66" ht="20.100000000000001" customHeight="1">
      <c r="AF468" s="1492"/>
      <c r="AG468" s="251" t="s">
        <v>1223</v>
      </c>
      <c r="AH468" s="280"/>
      <c r="AI468" s="251">
        <f>INDEX('DEFAULT DATA'!$VE$9:$VK$41,START!$C$3,4)</f>
        <v>0</v>
      </c>
      <c r="AJ468" s="195">
        <f>INDEX('DEFAULT DATA'!$AIM$9:$AIT$41,START!$C$3,5)</f>
        <v>0</v>
      </c>
      <c r="AK468" s="345">
        <v>0</v>
      </c>
      <c r="AL468" s="272">
        <f t="shared" ref="AL468:BN468" si="453">IF(AND(AL$373&gt;($D$106+2020),AL$373&lt;($E$106+2022)),AK468+($AI$468*$AJ$468*((100-$F$106)/100)*($C$106/100*$B$106)/($E$106-$D$106+1)/1000000),AK468)</f>
        <v>0</v>
      </c>
      <c r="AM468" s="272">
        <f t="shared" si="453"/>
        <v>0</v>
      </c>
      <c r="AN468" s="272">
        <f t="shared" si="453"/>
        <v>0</v>
      </c>
      <c r="AO468" s="272">
        <f t="shared" si="453"/>
        <v>0</v>
      </c>
      <c r="AP468" s="272">
        <f t="shared" si="453"/>
        <v>0</v>
      </c>
      <c r="AQ468" s="272">
        <f t="shared" si="453"/>
        <v>0</v>
      </c>
      <c r="AR468" s="272">
        <f t="shared" si="453"/>
        <v>0</v>
      </c>
      <c r="AS468" s="272">
        <f t="shared" si="453"/>
        <v>0</v>
      </c>
      <c r="AT468" s="272">
        <f t="shared" si="453"/>
        <v>0</v>
      </c>
      <c r="AU468" s="272">
        <f t="shared" si="453"/>
        <v>0</v>
      </c>
      <c r="AV468" s="272">
        <f t="shared" si="453"/>
        <v>0</v>
      </c>
      <c r="AW468" s="272">
        <f t="shared" si="453"/>
        <v>0</v>
      </c>
      <c r="AX468" s="272">
        <f t="shared" si="453"/>
        <v>0</v>
      </c>
      <c r="AY468" s="272">
        <f t="shared" si="453"/>
        <v>0</v>
      </c>
      <c r="AZ468" s="272">
        <f t="shared" si="453"/>
        <v>0</v>
      </c>
      <c r="BA468" s="272">
        <f t="shared" si="453"/>
        <v>0</v>
      </c>
      <c r="BB468" s="272">
        <f t="shared" si="453"/>
        <v>0</v>
      </c>
      <c r="BC468" s="272">
        <f t="shared" si="453"/>
        <v>0</v>
      </c>
      <c r="BD468" s="272">
        <f t="shared" si="453"/>
        <v>0</v>
      </c>
      <c r="BE468" s="272">
        <f t="shared" si="453"/>
        <v>0</v>
      </c>
      <c r="BF468" s="272">
        <f t="shared" si="453"/>
        <v>0</v>
      </c>
      <c r="BG468" s="272">
        <f t="shared" si="453"/>
        <v>0</v>
      </c>
      <c r="BH468" s="272">
        <f t="shared" si="453"/>
        <v>0</v>
      </c>
      <c r="BI468" s="272">
        <f t="shared" si="453"/>
        <v>0</v>
      </c>
      <c r="BJ468" s="272">
        <f t="shared" si="453"/>
        <v>0</v>
      </c>
      <c r="BK468" s="272">
        <f t="shared" si="453"/>
        <v>0</v>
      </c>
      <c r="BL468" s="272">
        <f t="shared" si="453"/>
        <v>0</v>
      </c>
      <c r="BM468" s="272">
        <f t="shared" si="453"/>
        <v>0</v>
      </c>
      <c r="BN468" s="324">
        <f t="shared" si="453"/>
        <v>0</v>
      </c>
    </row>
    <row r="469" spans="32:66" ht="20.100000000000001" customHeight="1">
      <c r="AF469" s="1492"/>
      <c r="AG469" s="251" t="s">
        <v>1224</v>
      </c>
      <c r="AH469" s="280"/>
      <c r="AI469" s="251">
        <f>INDEX('DEFAULT DATA'!$VE$9:$VK$41,START!$C$3,5)</f>
        <v>403</v>
      </c>
      <c r="AJ469" s="195">
        <f>INDEX('DEFAULT DATA'!$AIM$9:$AIT$41,START!$C$3,6)</f>
        <v>0</v>
      </c>
      <c r="AK469" s="345">
        <v>0</v>
      </c>
      <c r="AL469" s="272">
        <f t="shared" ref="AL469:BN469" si="454">IF(AND(AL$373&gt;($D$106+2020),AL$373&lt;($E$106+2022)),AK469+($AI$469*$AJ$469*((100-$F$106)/100)*($C$106/100*$B$106)/($E$106-$D$106+1)/1000000),AK469)</f>
        <v>0</v>
      </c>
      <c r="AM469" s="272">
        <f t="shared" si="454"/>
        <v>0</v>
      </c>
      <c r="AN469" s="272">
        <f t="shared" si="454"/>
        <v>0</v>
      </c>
      <c r="AO469" s="272">
        <f t="shared" si="454"/>
        <v>0</v>
      </c>
      <c r="AP469" s="272">
        <f t="shared" si="454"/>
        <v>0</v>
      </c>
      <c r="AQ469" s="272">
        <f t="shared" si="454"/>
        <v>0</v>
      </c>
      <c r="AR469" s="272">
        <f t="shared" si="454"/>
        <v>0</v>
      </c>
      <c r="AS469" s="272">
        <f t="shared" si="454"/>
        <v>0</v>
      </c>
      <c r="AT469" s="272">
        <f t="shared" si="454"/>
        <v>0</v>
      </c>
      <c r="AU469" s="272">
        <f t="shared" si="454"/>
        <v>0</v>
      </c>
      <c r="AV469" s="272">
        <f t="shared" si="454"/>
        <v>0</v>
      </c>
      <c r="AW469" s="272">
        <f t="shared" si="454"/>
        <v>0</v>
      </c>
      <c r="AX469" s="272">
        <f t="shared" si="454"/>
        <v>0</v>
      </c>
      <c r="AY469" s="272">
        <f t="shared" si="454"/>
        <v>0</v>
      </c>
      <c r="AZ469" s="272">
        <f t="shared" si="454"/>
        <v>0</v>
      </c>
      <c r="BA469" s="272">
        <f t="shared" si="454"/>
        <v>0</v>
      </c>
      <c r="BB469" s="272">
        <f t="shared" si="454"/>
        <v>0</v>
      </c>
      <c r="BC469" s="272">
        <f t="shared" si="454"/>
        <v>0</v>
      </c>
      <c r="BD469" s="272">
        <f t="shared" si="454"/>
        <v>0</v>
      </c>
      <c r="BE469" s="272">
        <f t="shared" si="454"/>
        <v>0</v>
      </c>
      <c r="BF469" s="272">
        <f t="shared" si="454"/>
        <v>0</v>
      </c>
      <c r="BG469" s="272">
        <f t="shared" si="454"/>
        <v>0</v>
      </c>
      <c r="BH469" s="272">
        <f t="shared" si="454"/>
        <v>0</v>
      </c>
      <c r="BI469" s="272">
        <f t="shared" si="454"/>
        <v>0</v>
      </c>
      <c r="BJ469" s="272">
        <f t="shared" si="454"/>
        <v>0</v>
      </c>
      <c r="BK469" s="272">
        <f t="shared" si="454"/>
        <v>0</v>
      </c>
      <c r="BL469" s="272">
        <f t="shared" si="454"/>
        <v>0</v>
      </c>
      <c r="BM469" s="272">
        <f t="shared" si="454"/>
        <v>0</v>
      </c>
      <c r="BN469" s="324">
        <f t="shared" si="454"/>
        <v>0</v>
      </c>
    </row>
    <row r="470" spans="32:66" ht="20.100000000000001" customHeight="1">
      <c r="AF470" s="1492"/>
      <c r="AG470" s="251" t="s">
        <v>1225</v>
      </c>
      <c r="AH470" s="280"/>
      <c r="AI470" s="251">
        <f>INDEX('DEFAULT DATA'!$VE$9:$VK$41,START!$C$3,6)</f>
        <v>0</v>
      </c>
      <c r="AJ470" s="195">
        <f>INDEX('DEFAULT DATA'!$AIM$9:$AIT$41,START!$C$3,7)</f>
        <v>0</v>
      </c>
      <c r="AK470" s="345">
        <v>0</v>
      </c>
      <c r="AL470" s="272">
        <f t="shared" ref="AL470:BN470" si="455">IF(AND(AL$373&gt;($D$106+2020),AL$373&lt;($E$106+2022)),AK470+($AI$470*$AJ$470*((100-$F$106)/100)*($C$106/100*$B$106)/($E$106-$D$106+1)/1000000),AK470)</f>
        <v>0</v>
      </c>
      <c r="AM470" s="272">
        <f t="shared" si="455"/>
        <v>0</v>
      </c>
      <c r="AN470" s="272">
        <f t="shared" si="455"/>
        <v>0</v>
      </c>
      <c r="AO470" s="272">
        <f t="shared" si="455"/>
        <v>0</v>
      </c>
      <c r="AP470" s="272">
        <f t="shared" si="455"/>
        <v>0</v>
      </c>
      <c r="AQ470" s="272">
        <f t="shared" si="455"/>
        <v>0</v>
      </c>
      <c r="AR470" s="272">
        <f t="shared" si="455"/>
        <v>0</v>
      </c>
      <c r="AS470" s="272">
        <f t="shared" si="455"/>
        <v>0</v>
      </c>
      <c r="AT470" s="272">
        <f t="shared" si="455"/>
        <v>0</v>
      </c>
      <c r="AU470" s="272">
        <f t="shared" si="455"/>
        <v>0</v>
      </c>
      <c r="AV470" s="272">
        <f t="shared" si="455"/>
        <v>0</v>
      </c>
      <c r="AW470" s="272">
        <f t="shared" si="455"/>
        <v>0</v>
      </c>
      <c r="AX470" s="272">
        <f t="shared" si="455"/>
        <v>0</v>
      </c>
      <c r="AY470" s="272">
        <f t="shared" si="455"/>
        <v>0</v>
      </c>
      <c r="AZ470" s="272">
        <f t="shared" si="455"/>
        <v>0</v>
      </c>
      <c r="BA470" s="272">
        <f t="shared" si="455"/>
        <v>0</v>
      </c>
      <c r="BB470" s="272">
        <f t="shared" si="455"/>
        <v>0</v>
      </c>
      <c r="BC470" s="272">
        <f t="shared" si="455"/>
        <v>0</v>
      </c>
      <c r="BD470" s="272">
        <f t="shared" si="455"/>
        <v>0</v>
      </c>
      <c r="BE470" s="272">
        <f t="shared" si="455"/>
        <v>0</v>
      </c>
      <c r="BF470" s="272">
        <f t="shared" si="455"/>
        <v>0</v>
      </c>
      <c r="BG470" s="272">
        <f t="shared" si="455"/>
        <v>0</v>
      </c>
      <c r="BH470" s="272">
        <f t="shared" si="455"/>
        <v>0</v>
      </c>
      <c r="BI470" s="272">
        <f t="shared" si="455"/>
        <v>0</v>
      </c>
      <c r="BJ470" s="272">
        <f t="shared" si="455"/>
        <v>0</v>
      </c>
      <c r="BK470" s="272">
        <f t="shared" si="455"/>
        <v>0</v>
      </c>
      <c r="BL470" s="272">
        <f t="shared" si="455"/>
        <v>0</v>
      </c>
      <c r="BM470" s="272">
        <f t="shared" si="455"/>
        <v>0</v>
      </c>
      <c r="BN470" s="324">
        <f t="shared" si="455"/>
        <v>0</v>
      </c>
    </row>
    <row r="471" spans="32:66" ht="20.100000000000001" customHeight="1" thickBot="1">
      <c r="AF471" s="1493"/>
      <c r="AG471" s="310" t="s">
        <v>1226</v>
      </c>
      <c r="AH471" s="288"/>
      <c r="AI471" s="310" t="s">
        <v>1497</v>
      </c>
      <c r="AJ471" s="260">
        <f>INDEX('DEFAULT DATA'!$AIM$9:$AIT$41,START!$C$3,8)</f>
        <v>0</v>
      </c>
      <c r="AK471" s="344">
        <v>0</v>
      </c>
      <c r="AL471" s="325">
        <f t="shared" ref="AL471:BN471" si="456">IF(AND(AL$373&gt;($D$106+2020),AL$373&lt;($E$106+2022)),AK471+(AL$6*$AJ$471*((100-$F$106)/100)*($C$106/100*$B$106)/($E$106-$D$106+1)/1000000),AK471)</f>
        <v>0</v>
      </c>
      <c r="AM471" s="325">
        <f t="shared" si="456"/>
        <v>0</v>
      </c>
      <c r="AN471" s="325">
        <f t="shared" si="456"/>
        <v>0</v>
      </c>
      <c r="AO471" s="325">
        <f t="shared" si="456"/>
        <v>0</v>
      </c>
      <c r="AP471" s="325">
        <f t="shared" si="456"/>
        <v>0</v>
      </c>
      <c r="AQ471" s="325">
        <f t="shared" si="456"/>
        <v>0</v>
      </c>
      <c r="AR471" s="325">
        <f t="shared" si="456"/>
        <v>0</v>
      </c>
      <c r="AS471" s="325">
        <f t="shared" si="456"/>
        <v>0</v>
      </c>
      <c r="AT471" s="325">
        <f t="shared" si="456"/>
        <v>0</v>
      </c>
      <c r="AU471" s="325">
        <f t="shared" si="456"/>
        <v>0</v>
      </c>
      <c r="AV471" s="325">
        <f t="shared" si="456"/>
        <v>0</v>
      </c>
      <c r="AW471" s="325">
        <f t="shared" si="456"/>
        <v>0</v>
      </c>
      <c r="AX471" s="325">
        <f t="shared" si="456"/>
        <v>0</v>
      </c>
      <c r="AY471" s="325">
        <f t="shared" si="456"/>
        <v>0</v>
      </c>
      <c r="AZ471" s="325">
        <f t="shared" si="456"/>
        <v>0</v>
      </c>
      <c r="BA471" s="325">
        <f t="shared" si="456"/>
        <v>0</v>
      </c>
      <c r="BB471" s="325">
        <f t="shared" si="456"/>
        <v>0</v>
      </c>
      <c r="BC471" s="325">
        <f t="shared" si="456"/>
        <v>0</v>
      </c>
      <c r="BD471" s="325">
        <f t="shared" si="456"/>
        <v>0</v>
      </c>
      <c r="BE471" s="325">
        <f t="shared" si="456"/>
        <v>0</v>
      </c>
      <c r="BF471" s="325">
        <f t="shared" si="456"/>
        <v>0</v>
      </c>
      <c r="BG471" s="325">
        <f t="shared" si="456"/>
        <v>0</v>
      </c>
      <c r="BH471" s="325">
        <f t="shared" si="456"/>
        <v>0</v>
      </c>
      <c r="BI471" s="325">
        <f t="shared" si="456"/>
        <v>0</v>
      </c>
      <c r="BJ471" s="325">
        <f t="shared" si="456"/>
        <v>0</v>
      </c>
      <c r="BK471" s="325">
        <f t="shared" si="456"/>
        <v>0</v>
      </c>
      <c r="BL471" s="325">
        <f t="shared" si="456"/>
        <v>0</v>
      </c>
      <c r="BM471" s="325">
        <f t="shared" si="456"/>
        <v>0</v>
      </c>
      <c r="BN471" s="326">
        <f t="shared" si="456"/>
        <v>0</v>
      </c>
    </row>
    <row r="472" spans="32:66" ht="20.100000000000001" customHeight="1">
      <c r="AF472" s="311"/>
      <c r="AG472" s="285" t="s">
        <v>1463</v>
      </c>
      <c r="AH472" s="285"/>
      <c r="AI472" s="285"/>
      <c r="AJ472" s="285"/>
      <c r="AK472" s="342">
        <v>0</v>
      </c>
      <c r="AL472" s="327">
        <f>SUM(AL464:AL471)</f>
        <v>0</v>
      </c>
      <c r="AM472" s="327">
        <f t="shared" ref="AM472:BN472" si="457">SUM(AM464:AM471)</f>
        <v>0</v>
      </c>
      <c r="AN472" s="327">
        <f t="shared" si="457"/>
        <v>0</v>
      </c>
      <c r="AO472" s="327">
        <f t="shared" si="457"/>
        <v>0</v>
      </c>
      <c r="AP472" s="327">
        <f t="shared" si="457"/>
        <v>0</v>
      </c>
      <c r="AQ472" s="327">
        <f t="shared" si="457"/>
        <v>0</v>
      </c>
      <c r="AR472" s="327">
        <f t="shared" si="457"/>
        <v>0</v>
      </c>
      <c r="AS472" s="327">
        <f t="shared" si="457"/>
        <v>0</v>
      </c>
      <c r="AT472" s="327">
        <f t="shared" si="457"/>
        <v>0</v>
      </c>
      <c r="AU472" s="327">
        <f t="shared" si="457"/>
        <v>0</v>
      </c>
      <c r="AV472" s="327">
        <f t="shared" si="457"/>
        <v>0</v>
      </c>
      <c r="AW472" s="327">
        <f t="shared" si="457"/>
        <v>0</v>
      </c>
      <c r="AX472" s="327">
        <f t="shared" si="457"/>
        <v>0</v>
      </c>
      <c r="AY472" s="327">
        <f t="shared" si="457"/>
        <v>0</v>
      </c>
      <c r="AZ472" s="327">
        <f t="shared" si="457"/>
        <v>0</v>
      </c>
      <c r="BA472" s="327">
        <f t="shared" si="457"/>
        <v>0</v>
      </c>
      <c r="BB472" s="327">
        <f t="shared" si="457"/>
        <v>0</v>
      </c>
      <c r="BC472" s="327">
        <f t="shared" si="457"/>
        <v>0</v>
      </c>
      <c r="BD472" s="327">
        <f t="shared" si="457"/>
        <v>0</v>
      </c>
      <c r="BE472" s="327">
        <f t="shared" si="457"/>
        <v>0</v>
      </c>
      <c r="BF472" s="327">
        <f t="shared" si="457"/>
        <v>0</v>
      </c>
      <c r="BG472" s="327">
        <f t="shared" si="457"/>
        <v>0</v>
      </c>
      <c r="BH472" s="327">
        <f t="shared" si="457"/>
        <v>0</v>
      </c>
      <c r="BI472" s="327">
        <f t="shared" si="457"/>
        <v>0</v>
      </c>
      <c r="BJ472" s="327">
        <f t="shared" si="457"/>
        <v>0</v>
      </c>
      <c r="BK472" s="327">
        <f t="shared" si="457"/>
        <v>0</v>
      </c>
      <c r="BL472" s="327">
        <f t="shared" si="457"/>
        <v>0</v>
      </c>
      <c r="BM472" s="327">
        <f t="shared" si="457"/>
        <v>0</v>
      </c>
      <c r="BN472" s="327">
        <f t="shared" si="457"/>
        <v>0</v>
      </c>
    </row>
    <row r="475" spans="32:66" ht="20.100000000000001" customHeight="1">
      <c r="AF475" s="921" t="s">
        <v>2526</v>
      </c>
      <c r="AG475" s="922"/>
      <c r="AH475" s="922"/>
      <c r="AI475" s="922"/>
      <c r="AJ475" s="922"/>
      <c r="AK475" s="922"/>
      <c r="AL475" s="922"/>
      <c r="AM475" s="922"/>
      <c r="AN475" s="922"/>
      <c r="AO475" s="922"/>
      <c r="AP475" s="922"/>
      <c r="AQ475" s="922"/>
      <c r="AR475" s="922"/>
      <c r="AS475" s="922"/>
      <c r="AT475" s="527"/>
      <c r="AU475" s="527"/>
      <c r="AV475" s="527"/>
      <c r="AW475" s="527"/>
      <c r="AX475" s="528"/>
    </row>
    <row r="476" spans="32:66" ht="20.100000000000001" customHeight="1">
      <c r="AF476" s="924" t="s">
        <v>2466</v>
      </c>
      <c r="AG476" s="925"/>
      <c r="AH476" s="925"/>
      <c r="AI476" s="925"/>
      <c r="AJ476" s="925"/>
      <c r="AK476" s="925"/>
      <c r="AL476" s="925"/>
      <c r="AM476" s="925"/>
      <c r="AN476" s="925"/>
      <c r="AO476" s="925"/>
      <c r="AP476" s="925"/>
      <c r="AQ476" s="925"/>
      <c r="AR476" s="925"/>
      <c r="AS476" s="925"/>
      <c r="AT476" s="531"/>
      <c r="AU476" s="531"/>
      <c r="AV476" s="531"/>
      <c r="AW476" s="531"/>
      <c r="AX476" s="532"/>
    </row>
    <row r="477" spans="32:66" ht="20.100000000000001" customHeight="1">
      <c r="AF477" s="924" t="s">
        <v>2467</v>
      </c>
      <c r="AG477" s="925"/>
      <c r="AH477" s="925"/>
      <c r="AI477" s="925"/>
      <c r="AJ477" s="925"/>
      <c r="AK477" s="925"/>
      <c r="AL477" s="925"/>
      <c r="AM477" s="925"/>
      <c r="AN477" s="925"/>
      <c r="AO477" s="925"/>
      <c r="AP477" s="925"/>
      <c r="AQ477" s="925"/>
      <c r="AR477" s="925"/>
      <c r="AS477" s="925"/>
      <c r="AT477" s="531"/>
      <c r="AU477" s="531"/>
      <c r="AV477" s="531"/>
      <c r="AW477" s="531"/>
      <c r="AX477" s="532"/>
    </row>
    <row r="478" spans="32:66" ht="20.100000000000001" customHeight="1">
      <c r="AF478" s="927" t="s">
        <v>2468</v>
      </c>
      <c r="AG478" s="925"/>
      <c r="AH478" s="925"/>
      <c r="AI478" s="925"/>
      <c r="AJ478" s="925"/>
      <c r="AK478" s="925"/>
      <c r="AL478" s="925"/>
      <c r="AM478" s="925"/>
      <c r="AN478" s="925"/>
      <c r="AO478" s="925"/>
      <c r="AP478" s="925"/>
      <c r="AQ478" s="925"/>
      <c r="AR478" s="925"/>
      <c r="AS478" s="925"/>
      <c r="AT478" s="531"/>
      <c r="AU478" s="531"/>
      <c r="AV478" s="531"/>
      <c r="AW478" s="531"/>
      <c r="AX478" s="532"/>
    </row>
    <row r="479" spans="32:66" ht="20.100000000000001" customHeight="1">
      <c r="AF479" s="927" t="s">
        <v>2527</v>
      </c>
      <c r="AG479" s="925"/>
      <c r="AH479" s="925"/>
      <c r="AI479" s="925"/>
      <c r="AJ479" s="925"/>
      <c r="AK479" s="925"/>
      <c r="AL479" s="925"/>
      <c r="AM479" s="925"/>
      <c r="AN479" s="925"/>
      <c r="AO479" s="925"/>
      <c r="AP479" s="925"/>
      <c r="AQ479" s="925"/>
      <c r="AR479" s="925"/>
      <c r="AS479" s="925"/>
      <c r="AT479" s="531"/>
      <c r="AU479" s="531"/>
      <c r="AV479" s="531"/>
      <c r="AW479" s="531"/>
      <c r="AX479" s="532"/>
    </row>
    <row r="480" spans="32:66" ht="20.100000000000001" customHeight="1">
      <c r="AF480" s="927" t="s">
        <v>2528</v>
      </c>
      <c r="AG480" s="925"/>
      <c r="AH480" s="925"/>
      <c r="AI480" s="925"/>
      <c r="AJ480" s="925"/>
      <c r="AK480" s="925"/>
      <c r="AL480" s="925"/>
      <c r="AM480" s="925"/>
      <c r="AN480" s="925"/>
      <c r="AO480" s="925"/>
      <c r="AP480" s="925"/>
      <c r="AQ480" s="925"/>
      <c r="AR480" s="925"/>
      <c r="AS480" s="925"/>
      <c r="AT480" s="531"/>
      <c r="AU480" s="531"/>
      <c r="AV480" s="531"/>
      <c r="AW480" s="531"/>
      <c r="AX480" s="532"/>
    </row>
    <row r="481" spans="13:50" ht="20.100000000000001" customHeight="1">
      <c r="AF481" s="927" t="s">
        <v>2529</v>
      </c>
      <c r="AG481" s="925"/>
      <c r="AH481" s="925"/>
      <c r="AI481" s="925"/>
      <c r="AJ481" s="925"/>
      <c r="AK481" s="925"/>
      <c r="AL481" s="925"/>
      <c r="AM481" s="925"/>
      <c r="AN481" s="925"/>
      <c r="AO481" s="925"/>
      <c r="AP481" s="925"/>
      <c r="AQ481" s="925"/>
      <c r="AR481" s="925"/>
      <c r="AS481" s="925"/>
      <c r="AT481" s="531"/>
      <c r="AU481" s="531"/>
      <c r="AV481" s="531"/>
      <c r="AW481" s="531"/>
      <c r="AX481" s="532"/>
    </row>
    <row r="482" spans="13:50" ht="20.100000000000001" customHeight="1">
      <c r="AF482" s="928" t="s">
        <v>1899</v>
      </c>
      <c r="AG482" s="929">
        <v>1</v>
      </c>
      <c r="AH482" s="925"/>
      <c r="AI482" s="925"/>
      <c r="AJ482" s="925"/>
      <c r="AK482" s="925"/>
      <c r="AL482" s="925"/>
      <c r="AM482" s="925"/>
      <c r="AN482" s="925"/>
      <c r="AO482" s="925"/>
      <c r="AP482" s="925"/>
      <c r="AQ482" s="925"/>
      <c r="AR482" s="925"/>
      <c r="AS482" s="925"/>
      <c r="AT482" s="531"/>
      <c r="AU482" s="531"/>
      <c r="AV482" s="531"/>
      <c r="AW482" s="531"/>
      <c r="AX482" s="532"/>
    </row>
    <row r="483" spans="13:50" ht="20.100000000000001" customHeight="1">
      <c r="M483" s="911"/>
      <c r="N483" s="911"/>
      <c r="O483" s="911"/>
      <c r="P483" s="911"/>
      <c r="Q483" s="911"/>
      <c r="R483" s="911"/>
      <c r="S483" s="911"/>
      <c r="T483" s="911"/>
      <c r="U483" s="911"/>
      <c r="V483" s="911"/>
      <c r="W483" s="911"/>
      <c r="X483" s="911"/>
      <c r="Y483" s="911"/>
      <c r="Z483" s="911"/>
      <c r="AA483" s="911"/>
      <c r="AB483" s="911"/>
      <c r="AC483" s="911"/>
      <c r="AD483" s="911"/>
      <c r="AE483" s="911"/>
      <c r="AF483" s="928" t="s">
        <v>1630</v>
      </c>
      <c r="AG483" s="929">
        <v>2</v>
      </c>
      <c r="AH483" s="925"/>
      <c r="AI483" s="925"/>
      <c r="AJ483" s="925"/>
      <c r="AK483" s="925"/>
      <c r="AL483" s="925"/>
      <c r="AM483" s="925"/>
      <c r="AN483" s="925"/>
      <c r="AO483" s="925"/>
      <c r="AP483" s="925"/>
      <c r="AQ483" s="925"/>
      <c r="AR483" s="925"/>
      <c r="AS483" s="925"/>
      <c r="AT483" s="531"/>
      <c r="AU483" s="531"/>
      <c r="AV483" s="531"/>
      <c r="AW483" s="531"/>
      <c r="AX483" s="532"/>
    </row>
    <row r="484" spans="13:50" ht="20.100000000000001" customHeight="1">
      <c r="AF484" s="928" t="s">
        <v>1658</v>
      </c>
      <c r="AG484" s="929">
        <v>3</v>
      </c>
      <c r="AH484" s="925"/>
      <c r="AI484" s="925"/>
      <c r="AJ484" s="925"/>
      <c r="AK484" s="925"/>
      <c r="AL484" s="925"/>
      <c r="AM484" s="925"/>
      <c r="AN484" s="925"/>
      <c r="AO484" s="925"/>
      <c r="AP484" s="925"/>
      <c r="AQ484" s="925"/>
      <c r="AR484" s="925"/>
      <c r="AS484" s="925"/>
      <c r="AT484" s="531"/>
      <c r="AU484" s="531"/>
      <c r="AV484" s="531"/>
      <c r="AW484" s="531"/>
      <c r="AX484" s="532"/>
    </row>
    <row r="485" spans="13:50" ht="20.100000000000001" customHeight="1">
      <c r="AF485" s="928" t="s">
        <v>1745</v>
      </c>
      <c r="AG485" s="929">
        <v>4</v>
      </c>
      <c r="AH485" s="925"/>
      <c r="AI485" s="925"/>
      <c r="AJ485" s="925"/>
      <c r="AK485" s="925"/>
      <c r="AL485" s="925"/>
      <c r="AM485" s="925"/>
      <c r="AN485" s="925"/>
      <c r="AO485" s="925"/>
      <c r="AP485" s="925"/>
      <c r="AQ485" s="925"/>
      <c r="AR485" s="925"/>
      <c r="AS485" s="925"/>
      <c r="AT485" s="531"/>
      <c r="AU485" s="531"/>
      <c r="AV485" s="531"/>
      <c r="AW485" s="531"/>
      <c r="AX485" s="532"/>
    </row>
    <row r="486" spans="13:50" ht="20.100000000000001" customHeight="1">
      <c r="AF486" s="927" t="s">
        <v>2530</v>
      </c>
      <c r="AG486" s="930"/>
      <c r="AH486" s="925"/>
      <c r="AI486" s="925"/>
      <c r="AJ486" s="925"/>
      <c r="AK486" s="925"/>
      <c r="AL486" s="925"/>
      <c r="AM486" s="925"/>
      <c r="AN486" s="925"/>
      <c r="AO486" s="925"/>
      <c r="AP486" s="925"/>
      <c r="AQ486" s="925"/>
      <c r="AR486" s="925"/>
      <c r="AS486" s="925"/>
      <c r="AT486" s="531"/>
      <c r="AU486" s="531"/>
      <c r="AV486" s="531"/>
      <c r="AW486" s="531"/>
      <c r="AX486" s="532"/>
    </row>
    <row r="487" spans="13:50" ht="20.100000000000001" customHeight="1">
      <c r="AF487" s="928" t="s">
        <v>1344</v>
      </c>
      <c r="AG487" s="929">
        <v>1</v>
      </c>
      <c r="AH487" s="925"/>
      <c r="AI487" s="925"/>
      <c r="AJ487" s="925"/>
      <c r="AK487" s="925"/>
      <c r="AL487" s="925"/>
      <c r="AM487" s="925"/>
      <c r="AN487" s="925"/>
      <c r="AO487" s="925"/>
      <c r="AP487" s="925"/>
      <c r="AQ487" s="925"/>
      <c r="AR487" s="925"/>
      <c r="AS487" s="925"/>
      <c r="AT487" s="531"/>
      <c r="AU487" s="531"/>
      <c r="AV487" s="531"/>
      <c r="AW487" s="531"/>
      <c r="AX487" s="532"/>
    </row>
    <row r="488" spans="13:50" ht="20.100000000000001" customHeight="1">
      <c r="AF488" s="928" t="s">
        <v>1345</v>
      </c>
      <c r="AG488" s="929">
        <v>2</v>
      </c>
      <c r="AH488" s="925"/>
      <c r="AI488" s="925"/>
      <c r="AJ488" s="925"/>
      <c r="AK488" s="925"/>
      <c r="AL488" s="925"/>
      <c r="AM488" s="925"/>
      <c r="AN488" s="925"/>
      <c r="AO488" s="925"/>
      <c r="AP488" s="925"/>
      <c r="AQ488" s="925"/>
      <c r="AR488" s="925"/>
      <c r="AS488" s="925"/>
      <c r="AT488" s="531"/>
      <c r="AU488" s="531"/>
      <c r="AV488" s="531"/>
      <c r="AW488" s="531"/>
      <c r="AX488" s="532"/>
    </row>
    <row r="489" spans="13:50" ht="20.100000000000001" customHeight="1">
      <c r="AF489" s="928" t="s">
        <v>1346</v>
      </c>
      <c r="AG489" s="929">
        <v>3</v>
      </c>
      <c r="AH489" s="925"/>
      <c r="AI489" s="925"/>
      <c r="AJ489" s="925"/>
      <c r="AK489" s="925"/>
      <c r="AL489" s="925"/>
      <c r="AM489" s="925"/>
      <c r="AN489" s="925"/>
      <c r="AO489" s="925"/>
      <c r="AP489" s="925"/>
      <c r="AQ489" s="925"/>
      <c r="AR489" s="925"/>
      <c r="AS489" s="925"/>
      <c r="AT489" s="531"/>
      <c r="AU489" s="531"/>
      <c r="AV489" s="531"/>
      <c r="AW489" s="531"/>
      <c r="AX489" s="532"/>
    </row>
    <row r="490" spans="13:50" ht="20.100000000000001" customHeight="1">
      <c r="AF490" s="928" t="s">
        <v>1348</v>
      </c>
      <c r="AG490" s="929">
        <v>4</v>
      </c>
      <c r="AH490" s="925"/>
      <c r="AI490" s="925"/>
      <c r="AJ490" s="925"/>
      <c r="AK490" s="925"/>
      <c r="AL490" s="925"/>
      <c r="AM490" s="925"/>
      <c r="AN490" s="925"/>
      <c r="AO490" s="925"/>
      <c r="AP490" s="925"/>
      <c r="AQ490" s="925"/>
      <c r="AR490" s="925"/>
      <c r="AS490" s="925"/>
      <c r="AT490" s="531"/>
      <c r="AU490" s="531"/>
      <c r="AV490" s="531"/>
      <c r="AW490" s="531"/>
      <c r="AX490" s="532"/>
    </row>
    <row r="491" spans="13:50" ht="20.100000000000001" customHeight="1">
      <c r="AF491" s="928" t="s">
        <v>1349</v>
      </c>
      <c r="AG491" s="929">
        <v>5</v>
      </c>
      <c r="AH491" s="925"/>
      <c r="AI491" s="925"/>
      <c r="AJ491" s="925"/>
      <c r="AK491" s="925"/>
      <c r="AL491" s="925"/>
      <c r="AM491" s="925"/>
      <c r="AN491" s="925"/>
      <c r="AO491" s="925"/>
      <c r="AP491" s="925"/>
      <c r="AQ491" s="925"/>
      <c r="AR491" s="925"/>
      <c r="AS491" s="925"/>
      <c r="AT491" s="531"/>
      <c r="AU491" s="531"/>
      <c r="AV491" s="531"/>
      <c r="AW491" s="531"/>
      <c r="AX491" s="532"/>
    </row>
    <row r="492" spans="13:50" ht="20.100000000000001" customHeight="1">
      <c r="AF492" s="928" t="s">
        <v>1350</v>
      </c>
      <c r="AG492" s="929">
        <v>6</v>
      </c>
      <c r="AH492" s="925"/>
      <c r="AI492" s="925"/>
      <c r="AJ492" s="925"/>
      <c r="AK492" s="925"/>
      <c r="AL492" s="925"/>
      <c r="AM492" s="925"/>
      <c r="AN492" s="925"/>
      <c r="AO492" s="925"/>
      <c r="AP492" s="925"/>
      <c r="AQ492" s="925"/>
      <c r="AR492" s="925"/>
      <c r="AS492" s="925"/>
      <c r="AT492" s="531"/>
      <c r="AU492" s="531"/>
      <c r="AV492" s="531"/>
      <c r="AW492" s="531"/>
      <c r="AX492" s="532"/>
    </row>
    <row r="493" spans="13:50" ht="20.100000000000001" customHeight="1">
      <c r="AF493" s="928" t="s">
        <v>1347</v>
      </c>
      <c r="AG493" s="929">
        <v>7</v>
      </c>
      <c r="AH493" s="925"/>
      <c r="AI493" s="925"/>
      <c r="AJ493" s="925"/>
      <c r="AK493" s="925"/>
      <c r="AL493" s="925"/>
      <c r="AM493" s="925"/>
      <c r="AN493" s="925"/>
      <c r="AO493" s="925"/>
      <c r="AP493" s="925"/>
      <c r="AQ493" s="925"/>
      <c r="AR493" s="925"/>
      <c r="AS493" s="925"/>
      <c r="AT493" s="531"/>
      <c r="AU493" s="531"/>
      <c r="AV493" s="531"/>
      <c r="AW493" s="531"/>
      <c r="AX493" s="532"/>
    </row>
    <row r="494" spans="13:50" ht="20.100000000000001" customHeight="1">
      <c r="AF494" s="931" t="s">
        <v>2447</v>
      </c>
      <c r="AG494" s="932" t="s">
        <v>2449</v>
      </c>
      <c r="AH494" s="925"/>
      <c r="AI494" s="925"/>
      <c r="AJ494" s="925"/>
      <c r="AK494" s="925"/>
      <c r="AL494" s="925"/>
      <c r="AM494" s="925"/>
      <c r="AN494" s="925"/>
      <c r="AO494" s="925"/>
      <c r="AP494" s="925"/>
      <c r="AQ494" s="925"/>
      <c r="AR494" s="925"/>
      <c r="AS494" s="925"/>
      <c r="AT494" s="531"/>
      <c r="AU494" s="531"/>
      <c r="AV494" s="531"/>
      <c r="AW494" s="531"/>
      <c r="AX494" s="532"/>
    </row>
    <row r="495" spans="13:50" ht="20.100000000000001" customHeight="1">
      <c r="AF495" s="931" t="s">
        <v>2531</v>
      </c>
      <c r="AG495" s="930"/>
      <c r="AH495" s="925"/>
      <c r="AI495" s="925"/>
      <c r="AJ495" s="925"/>
      <c r="AK495" s="925"/>
      <c r="AL495" s="930" t="s">
        <v>2532</v>
      </c>
      <c r="AM495" s="925"/>
      <c r="AN495" s="925"/>
      <c r="AO495" s="925"/>
      <c r="AP495" s="925"/>
      <c r="AQ495" s="925"/>
      <c r="AR495" s="925"/>
      <c r="AS495" s="925"/>
      <c r="AT495" s="531"/>
      <c r="AU495" s="531"/>
      <c r="AV495" s="531"/>
      <c r="AW495" s="531"/>
      <c r="AX495" s="532"/>
    </row>
    <row r="496" spans="13:50" ht="20.100000000000001" customHeight="1">
      <c r="AF496" s="931" t="s">
        <v>2448</v>
      </c>
      <c r="AG496" s="930"/>
      <c r="AH496" s="925"/>
      <c r="AI496" s="925"/>
      <c r="AJ496" s="925"/>
      <c r="AK496" s="925"/>
      <c r="AL496" s="930" t="s">
        <v>2459</v>
      </c>
      <c r="AM496" s="925"/>
      <c r="AN496" s="925"/>
      <c r="AO496" s="925"/>
      <c r="AP496" s="925"/>
      <c r="AQ496" s="925"/>
      <c r="AR496" s="925"/>
      <c r="AS496" s="925"/>
      <c r="AT496" s="531"/>
      <c r="AU496" s="531"/>
      <c r="AV496" s="531"/>
      <c r="AW496" s="531"/>
      <c r="AX496" s="532"/>
    </row>
    <row r="497" spans="32:50" ht="20.100000000000001" customHeight="1">
      <c r="AF497" s="931" t="s">
        <v>2463</v>
      </c>
      <c r="AG497" s="930"/>
      <c r="AH497" s="925"/>
      <c r="AI497" s="925"/>
      <c r="AJ497" s="925"/>
      <c r="AK497" s="925"/>
      <c r="AL497" s="930" t="s">
        <v>2464</v>
      </c>
      <c r="AM497" s="925"/>
      <c r="AN497" s="925"/>
      <c r="AO497" s="925"/>
      <c r="AP497" s="925"/>
      <c r="AQ497" s="925"/>
      <c r="AR497" s="925"/>
      <c r="AS497" s="925"/>
      <c r="AT497" s="531"/>
      <c r="AU497" s="531"/>
      <c r="AV497" s="531"/>
      <c r="AW497" s="531"/>
      <c r="AX497" s="532"/>
    </row>
    <row r="498" spans="32:50" ht="20.100000000000001" customHeight="1">
      <c r="AF498" s="933" t="s">
        <v>2450</v>
      </c>
      <c r="AG498" s="930"/>
      <c r="AH498" s="925"/>
      <c r="AI498" s="925"/>
      <c r="AJ498" s="925"/>
      <c r="AK498" s="925"/>
      <c r="AL498" s="1480" t="s">
        <v>2460</v>
      </c>
      <c r="AM498" s="1480"/>
      <c r="AN498" s="1480"/>
      <c r="AO498" s="1480"/>
      <c r="AP498" s="925"/>
      <c r="AQ498" s="925"/>
      <c r="AR498" s="925"/>
      <c r="AS498" s="925"/>
      <c r="AT498" s="531"/>
      <c r="AU498" s="531"/>
      <c r="AV498" s="531"/>
      <c r="AW498" s="531"/>
      <c r="AX498" s="532"/>
    </row>
    <row r="499" spans="32:50" ht="20.100000000000001" customHeight="1">
      <c r="AF499" s="934" t="s">
        <v>2451</v>
      </c>
      <c r="AG499" s="973" t="s">
        <v>2452</v>
      </c>
      <c r="AH499" s="925"/>
      <c r="AI499" s="925"/>
      <c r="AJ499" s="925"/>
      <c r="AK499" s="925"/>
      <c r="AL499" s="1481" t="s">
        <v>2461</v>
      </c>
      <c r="AM499" s="1481"/>
      <c r="AN499" s="1481"/>
      <c r="AO499" s="1481"/>
      <c r="AP499" s="973" t="s">
        <v>2462</v>
      </c>
      <c r="AQ499" s="925"/>
      <c r="AR499" s="925"/>
      <c r="AS499" s="925"/>
      <c r="AT499" s="531"/>
      <c r="AU499" s="531"/>
      <c r="AV499" s="531"/>
      <c r="AW499" s="531"/>
      <c r="AX499" s="532"/>
    </row>
    <row r="500" spans="32:50" ht="20.100000000000001" customHeight="1">
      <c r="AF500" s="931" t="s">
        <v>2525</v>
      </c>
      <c r="AG500" s="930"/>
      <c r="AH500" s="925"/>
      <c r="AI500" s="925"/>
      <c r="AJ500" s="925"/>
      <c r="AK500" s="925"/>
      <c r="AL500" s="930"/>
      <c r="AM500" s="925"/>
      <c r="AN500" s="925"/>
      <c r="AO500" s="925"/>
      <c r="AP500" s="925"/>
      <c r="AQ500" s="925"/>
      <c r="AR500" s="925"/>
      <c r="AS500" s="925"/>
      <c r="AT500" s="531"/>
      <c r="AU500" s="531"/>
      <c r="AV500" s="531"/>
      <c r="AW500" s="531"/>
      <c r="AX500" s="532"/>
    </row>
    <row r="501" spans="32:50" ht="20.100000000000001" customHeight="1">
      <c r="AF501" s="927" t="s">
        <v>2533</v>
      </c>
      <c r="AG501" s="925"/>
      <c r="AH501" s="925"/>
      <c r="AI501" s="925"/>
      <c r="AJ501" s="925"/>
      <c r="AK501" s="925"/>
      <c r="AL501" s="925"/>
      <c r="AM501" s="925"/>
      <c r="AN501" s="925"/>
      <c r="AO501" s="925"/>
      <c r="AP501" s="925"/>
      <c r="AQ501" s="925"/>
      <c r="AR501" s="925"/>
      <c r="AS501" s="925"/>
      <c r="AT501" s="531"/>
      <c r="AU501" s="531"/>
      <c r="AV501" s="531"/>
      <c r="AW501" s="531"/>
      <c r="AX501" s="532"/>
    </row>
    <row r="502" spans="32:50" ht="20.100000000000001" customHeight="1">
      <c r="AF502" s="927"/>
      <c r="AG502" s="925"/>
      <c r="AH502" s="925"/>
      <c r="AI502" s="925"/>
      <c r="AJ502" s="925"/>
      <c r="AK502" s="925"/>
      <c r="AL502" s="925"/>
      <c r="AM502" s="925"/>
      <c r="AN502" s="925"/>
      <c r="AO502" s="925"/>
      <c r="AP502" s="925"/>
      <c r="AQ502" s="925"/>
      <c r="AR502" s="925"/>
      <c r="AS502" s="925"/>
      <c r="AT502" s="531"/>
      <c r="AU502" s="531"/>
      <c r="AV502" s="531"/>
      <c r="AW502" s="531"/>
      <c r="AX502" s="532"/>
    </row>
    <row r="503" spans="32:50" ht="20.100000000000001" customHeight="1">
      <c r="AF503" s="927" t="s">
        <v>2469</v>
      </c>
      <c r="AG503" s="925"/>
      <c r="AH503" s="925"/>
      <c r="AI503" s="925"/>
      <c r="AJ503" s="925"/>
      <c r="AK503" s="925"/>
      <c r="AL503" s="925"/>
      <c r="AM503" s="925"/>
      <c r="AN503" s="925"/>
      <c r="AO503" s="925"/>
      <c r="AP503" s="925"/>
      <c r="AQ503" s="925"/>
      <c r="AR503" s="925"/>
      <c r="AS503" s="925"/>
      <c r="AT503" s="531"/>
      <c r="AU503" s="531"/>
      <c r="AV503" s="531"/>
      <c r="AW503" s="531"/>
      <c r="AX503" s="532"/>
    </row>
    <row r="504" spans="32:50" ht="20.100000000000001" customHeight="1">
      <c r="AF504" s="924" t="s">
        <v>2534</v>
      </c>
      <c r="AG504" s="935"/>
      <c r="AH504" s="925"/>
      <c r="AI504" s="925"/>
      <c r="AJ504" s="925"/>
      <c r="AK504" s="925"/>
      <c r="AL504" s="925"/>
      <c r="AM504" s="925"/>
      <c r="AN504" s="925"/>
      <c r="AO504" s="925"/>
      <c r="AP504" s="925"/>
      <c r="AQ504" s="925"/>
      <c r="AR504" s="925"/>
      <c r="AS504" s="925"/>
      <c r="AT504" s="531"/>
      <c r="AU504" s="531"/>
      <c r="AV504" s="531"/>
      <c r="AW504" s="531"/>
      <c r="AX504" s="532"/>
    </row>
    <row r="505" spans="32:50" ht="20.100000000000001" customHeight="1">
      <c r="AF505" s="927" t="s">
        <v>2453</v>
      </c>
      <c r="AG505" s="935"/>
      <c r="AH505" s="925"/>
      <c r="AI505" s="925"/>
      <c r="AJ505" s="925"/>
      <c r="AK505" s="925"/>
      <c r="AL505" s="925"/>
      <c r="AM505" s="925"/>
      <c r="AN505" s="925"/>
      <c r="AO505" s="925"/>
      <c r="AP505" s="925"/>
      <c r="AQ505" s="925"/>
      <c r="AR505" s="925"/>
      <c r="AS505" s="925"/>
      <c r="AT505" s="531"/>
      <c r="AU505" s="531"/>
      <c r="AV505" s="531"/>
      <c r="AW505" s="531"/>
      <c r="AX505" s="532"/>
    </row>
    <row r="506" spans="32:50" ht="18" customHeight="1">
      <c r="AF506" s="936" t="s">
        <v>2470</v>
      </c>
      <c r="AG506" s="935"/>
      <c r="AH506" s="925"/>
      <c r="AI506" s="925"/>
      <c r="AJ506" s="925"/>
      <c r="AK506" s="925"/>
      <c r="AL506" s="925"/>
      <c r="AM506" s="925"/>
      <c r="AN506" s="925"/>
      <c r="AO506" s="925"/>
      <c r="AP506" s="925"/>
      <c r="AQ506" s="925"/>
      <c r="AR506" s="925"/>
      <c r="AS506" s="925"/>
      <c r="AT506" s="531"/>
      <c r="AU506" s="531"/>
      <c r="AV506" s="531"/>
      <c r="AW506" s="531"/>
      <c r="AX506" s="532"/>
    </row>
    <row r="507" spans="32:50" ht="20.100000000000001" customHeight="1">
      <c r="AF507" s="936" t="s">
        <v>2454</v>
      </c>
      <c r="AG507" s="925"/>
      <c r="AH507" s="925"/>
      <c r="AI507" s="925"/>
      <c r="AJ507" s="925"/>
      <c r="AK507" s="925"/>
      <c r="AL507" s="925"/>
      <c r="AM507" s="925"/>
      <c r="AN507" s="925"/>
      <c r="AO507" s="925"/>
      <c r="AP507" s="925"/>
      <c r="AQ507" s="925"/>
      <c r="AR507" s="925"/>
      <c r="AS507" s="925"/>
      <c r="AT507" s="531"/>
      <c r="AU507" s="531"/>
      <c r="AV507" s="531"/>
      <c r="AW507" s="531"/>
      <c r="AX507" s="532"/>
    </row>
    <row r="508" spans="32:50" ht="20.100000000000001" customHeight="1">
      <c r="AF508" s="936" t="s">
        <v>2455</v>
      </c>
      <c r="AG508" s="925"/>
      <c r="AH508" s="925"/>
      <c r="AI508" s="925"/>
      <c r="AJ508" s="925"/>
      <c r="AK508" s="925"/>
      <c r="AL508" s="925"/>
      <c r="AM508" s="925"/>
      <c r="AN508" s="925"/>
      <c r="AO508" s="925"/>
      <c r="AP508" s="925"/>
      <c r="AQ508" s="925"/>
      <c r="AR508" s="925"/>
      <c r="AS508" s="925"/>
      <c r="AT508" s="531"/>
      <c r="AU508" s="531"/>
      <c r="AV508" s="531"/>
      <c r="AW508" s="531"/>
      <c r="AX508" s="532"/>
    </row>
    <row r="509" spans="32:50" ht="20.100000000000001" customHeight="1">
      <c r="AF509" s="936" t="s">
        <v>2456</v>
      </c>
      <c r="AG509" s="925"/>
      <c r="AH509" s="925"/>
      <c r="AI509" s="925"/>
      <c r="AJ509" s="925"/>
      <c r="AK509" s="925"/>
      <c r="AL509" s="925"/>
      <c r="AM509" s="925"/>
      <c r="AN509" s="925"/>
      <c r="AO509" s="925"/>
      <c r="AP509" s="925"/>
      <c r="AQ509" s="925"/>
      <c r="AR509" s="925"/>
      <c r="AS509" s="925"/>
      <c r="AT509" s="531"/>
      <c r="AU509" s="531"/>
      <c r="AV509" s="531"/>
      <c r="AW509" s="531"/>
      <c r="AX509" s="532"/>
    </row>
    <row r="510" spans="32:50" ht="20.100000000000001" customHeight="1">
      <c r="AF510" s="936" t="s">
        <v>2457</v>
      </c>
      <c r="AG510" s="925"/>
      <c r="AH510" s="925"/>
      <c r="AI510" s="925"/>
      <c r="AJ510" s="925"/>
      <c r="AK510" s="925"/>
      <c r="AL510" s="925"/>
      <c r="AM510" s="925"/>
      <c r="AN510" s="925"/>
      <c r="AO510" s="925"/>
      <c r="AP510" s="925"/>
      <c r="AQ510" s="925"/>
      <c r="AR510" s="925"/>
      <c r="AS510" s="925"/>
      <c r="AT510" s="531"/>
      <c r="AU510" s="531"/>
      <c r="AV510" s="531"/>
      <c r="AW510" s="531"/>
      <c r="AX510" s="532"/>
    </row>
    <row r="511" spans="32:50" ht="20.100000000000001" customHeight="1">
      <c r="AF511" s="937" t="s">
        <v>2458</v>
      </c>
      <c r="AG511" s="938"/>
      <c r="AH511" s="938"/>
      <c r="AI511" s="938"/>
      <c r="AJ511" s="938"/>
      <c r="AK511" s="938"/>
      <c r="AL511" s="938"/>
      <c r="AM511" s="938"/>
      <c r="AN511" s="938"/>
      <c r="AO511" s="938"/>
      <c r="AP511" s="938"/>
      <c r="AQ511" s="938"/>
      <c r="AR511" s="938"/>
      <c r="AS511" s="938"/>
      <c r="AT511" s="534"/>
      <c r="AU511" s="534"/>
      <c r="AV511" s="534"/>
      <c r="AW511" s="534"/>
      <c r="AX511" s="535"/>
    </row>
    <row r="512" spans="32:50" ht="20.100000000000001" customHeight="1">
      <c r="AF512" s="912"/>
    </row>
    <row r="513" spans="11:93" ht="20.100000000000001" customHeight="1">
      <c r="AF513" s="290" t="s">
        <v>1505</v>
      </c>
      <c r="BQ513" s="402" t="s">
        <v>2570</v>
      </c>
    </row>
    <row r="514" spans="11:93" ht="20.100000000000001" customHeight="1" thickBot="1">
      <c r="AF514" s="333" t="s">
        <v>1473</v>
      </c>
      <c r="AG514" s="333"/>
      <c r="AH514" s="334" t="s">
        <v>977</v>
      </c>
      <c r="AI514" s="284" t="s">
        <v>1260</v>
      </c>
      <c r="AJ514" s="284" t="s">
        <v>1261</v>
      </c>
      <c r="AK514" s="346">
        <v>2021</v>
      </c>
      <c r="AL514" s="284">
        <v>2022</v>
      </c>
      <c r="AM514" s="284">
        <f>AL514+1</f>
        <v>2023</v>
      </c>
      <c r="AN514" s="284">
        <f t="shared" ref="AN514" si="458">AM514+1</f>
        <v>2024</v>
      </c>
      <c r="AO514" s="284">
        <f t="shared" ref="AO514" si="459">AN514+1</f>
        <v>2025</v>
      </c>
      <c r="AP514" s="284">
        <f t="shared" ref="AP514" si="460">AO514+1</f>
        <v>2026</v>
      </c>
      <c r="AQ514" s="284">
        <f t="shared" ref="AQ514" si="461">AP514+1</f>
        <v>2027</v>
      </c>
      <c r="AR514" s="284">
        <f t="shared" ref="AR514" si="462">AQ514+1</f>
        <v>2028</v>
      </c>
      <c r="AS514" s="284">
        <f t="shared" ref="AS514" si="463">AR514+1</f>
        <v>2029</v>
      </c>
      <c r="AT514" s="284">
        <f t="shared" ref="AT514" si="464">AS514+1</f>
        <v>2030</v>
      </c>
      <c r="AU514" s="284">
        <f t="shared" ref="AU514" si="465">AT514+1</f>
        <v>2031</v>
      </c>
      <c r="AV514" s="284">
        <f t="shared" ref="AV514" si="466">AU514+1</f>
        <v>2032</v>
      </c>
      <c r="AW514" s="284">
        <f t="shared" ref="AW514" si="467">AV514+1</f>
        <v>2033</v>
      </c>
      <c r="AX514" s="284">
        <f t="shared" ref="AX514" si="468">AW514+1</f>
        <v>2034</v>
      </c>
      <c r="AY514" s="284">
        <f t="shared" ref="AY514" si="469">AX514+1</f>
        <v>2035</v>
      </c>
      <c r="AZ514" s="284">
        <f t="shared" ref="AZ514" si="470">AY514+1</f>
        <v>2036</v>
      </c>
      <c r="BA514" s="284">
        <f t="shared" ref="BA514" si="471">AZ514+1</f>
        <v>2037</v>
      </c>
      <c r="BB514" s="284">
        <f t="shared" ref="BB514" si="472">BA514+1</f>
        <v>2038</v>
      </c>
      <c r="BC514" s="284">
        <f t="shared" ref="BC514" si="473">BB514+1</f>
        <v>2039</v>
      </c>
      <c r="BD514" s="284">
        <f t="shared" ref="BD514" si="474">BC514+1</f>
        <v>2040</v>
      </c>
      <c r="BE514" s="284">
        <f t="shared" ref="BE514" si="475">BD514+1</f>
        <v>2041</v>
      </c>
      <c r="BF514" s="284">
        <f t="shared" ref="BF514" si="476">BE514+1</f>
        <v>2042</v>
      </c>
      <c r="BG514" s="284">
        <f t="shared" ref="BG514" si="477">BF514+1</f>
        <v>2043</v>
      </c>
      <c r="BH514" s="284">
        <f t="shared" ref="BH514" si="478">BG514+1</f>
        <v>2044</v>
      </c>
      <c r="BI514" s="284">
        <f t="shared" ref="BI514" si="479">BH514+1</f>
        <v>2045</v>
      </c>
      <c r="BJ514" s="284">
        <f t="shared" ref="BJ514" si="480">BI514+1</f>
        <v>2046</v>
      </c>
      <c r="BK514" s="284">
        <f t="shared" ref="BK514" si="481">BJ514+1</f>
        <v>2047</v>
      </c>
      <c r="BL514" s="284">
        <f t="shared" ref="BL514" si="482">BK514+1</f>
        <v>2048</v>
      </c>
      <c r="BM514" s="284">
        <f t="shared" ref="BM514" si="483">BL514+1</f>
        <v>2049</v>
      </c>
      <c r="BN514" s="284">
        <f t="shared" ref="BN514" si="484">BM514+1</f>
        <v>2050</v>
      </c>
      <c r="BQ514" s="279" t="s">
        <v>2557</v>
      </c>
      <c r="CL514" s="555" t="s">
        <v>2471</v>
      </c>
      <c r="CM514" s="17" t="s">
        <v>2472</v>
      </c>
      <c r="CN514" s="17" t="s">
        <v>2552</v>
      </c>
      <c r="CO514" s="412" t="s">
        <v>1598</v>
      </c>
    </row>
    <row r="515" spans="11:93" ht="20.100000000000001" customHeight="1">
      <c r="AF515" s="1491" t="str">
        <f>INDEX('MENU OPTIONS'!B27:B30,A114,1)</f>
        <v>Apartment</v>
      </c>
      <c r="AG515" s="286" t="s">
        <v>933</v>
      </c>
      <c r="AH515" s="286" t="s">
        <v>1496</v>
      </c>
      <c r="AI515" s="330">
        <f>INDEX('DEFAULT DATA'!$XC$9:$AFR$41,START!$C$3,(1+(($A$114-1)*8)+(($D$114-1)*32)))</f>
        <v>8094.4978366369323</v>
      </c>
      <c r="AJ515" s="330">
        <f>INDEX('DEFAULT DATA'!$XC$9:$AFR$41,START!$C$3,(1+(($A$114-1)*8)+(($E$114-1)*32)))</f>
        <v>0</v>
      </c>
      <c r="AK515" s="343">
        <v>0</v>
      </c>
      <c r="AL515" s="322">
        <f t="shared" ref="AL515:BN515" si="485">IF(AND(AL$514&gt;($I$114+2020),AL$514&lt;($J$114+2022)),AK515+($C$114*(($AI$515-$AJ$515)+($F$114/100*$AJ$515))/($J$114-$I$114+1)*AL$5/1000000),AK515)</f>
        <v>0</v>
      </c>
      <c r="AM515" s="322">
        <f t="shared" si="485"/>
        <v>0</v>
      </c>
      <c r="AN515" s="322">
        <f t="shared" si="485"/>
        <v>0</v>
      </c>
      <c r="AO515" s="322">
        <f t="shared" si="485"/>
        <v>0</v>
      </c>
      <c r="AP515" s="322">
        <f t="shared" si="485"/>
        <v>0</v>
      </c>
      <c r="AQ515" s="322">
        <f t="shared" si="485"/>
        <v>0</v>
      </c>
      <c r="AR515" s="322">
        <f t="shared" si="485"/>
        <v>0</v>
      </c>
      <c r="AS515" s="322">
        <f t="shared" si="485"/>
        <v>0</v>
      </c>
      <c r="AT515" s="322">
        <f t="shared" si="485"/>
        <v>1479.7193868893139</v>
      </c>
      <c r="AU515" s="322">
        <f t="shared" si="485"/>
        <v>1479.7193868893139</v>
      </c>
      <c r="AV515" s="322">
        <f t="shared" si="485"/>
        <v>1479.7193868893139</v>
      </c>
      <c r="AW515" s="322">
        <f t="shared" si="485"/>
        <v>1479.7193868893139</v>
      </c>
      <c r="AX515" s="322">
        <f t="shared" si="485"/>
        <v>1479.7193868893139</v>
      </c>
      <c r="AY515" s="322">
        <f t="shared" si="485"/>
        <v>1479.7193868893139</v>
      </c>
      <c r="AZ515" s="322">
        <f t="shared" si="485"/>
        <v>1479.7193868893139</v>
      </c>
      <c r="BA515" s="322">
        <f t="shared" si="485"/>
        <v>1479.7193868893139</v>
      </c>
      <c r="BB515" s="322">
        <f t="shared" si="485"/>
        <v>1479.7193868893139</v>
      </c>
      <c r="BC515" s="322">
        <f t="shared" si="485"/>
        <v>1479.7193868893139</v>
      </c>
      <c r="BD515" s="322">
        <f t="shared" si="485"/>
        <v>1479.7193868893139</v>
      </c>
      <c r="BE515" s="322">
        <f t="shared" si="485"/>
        <v>1479.7193868893139</v>
      </c>
      <c r="BF515" s="322">
        <f t="shared" si="485"/>
        <v>1479.7193868893139</v>
      </c>
      <c r="BG515" s="322">
        <f t="shared" si="485"/>
        <v>1479.7193868893139</v>
      </c>
      <c r="BH515" s="322">
        <f t="shared" si="485"/>
        <v>1479.7193868893139</v>
      </c>
      <c r="BI515" s="322">
        <f t="shared" si="485"/>
        <v>1479.7193868893139</v>
      </c>
      <c r="BJ515" s="322">
        <f t="shared" si="485"/>
        <v>1479.7193868893139</v>
      </c>
      <c r="BK515" s="322">
        <f t="shared" si="485"/>
        <v>1479.7193868893139</v>
      </c>
      <c r="BL515" s="322">
        <f t="shared" si="485"/>
        <v>1479.7193868893139</v>
      </c>
      <c r="BM515" s="322">
        <f t="shared" si="485"/>
        <v>1479.7193868893139</v>
      </c>
      <c r="BN515" s="323">
        <f t="shared" si="485"/>
        <v>1479.7193868893139</v>
      </c>
      <c r="BP515" s="536" t="s">
        <v>933</v>
      </c>
      <c r="BQ515" s="1438" t="str">
        <f>CONCATENATE("GHG_",BP515,"a = GHG_",BP515,"a-1 + (C113 * ",CL515," - ",CM515," + F113 / 100 * ",CM515," * ",CO515," / (",CN515,") / 1000000")</f>
        <v>GHG_Electricitya = GHG_Electricitya-1 + (C113 * BUI_COL(51+((A113-1)*8)+((D113-1)*32)) - BUI_COL(51+((A113-1)*8)+((E113-1)*32)) + F113 / 100 * BUI_COL(51+((A113-1)*8)+((E113-1)*32)) * GRID_ELECTRICITY_emission_factora (from row4) / (J113-I113+1) / 1000000</v>
      </c>
      <c r="BR515" s="1438"/>
      <c r="BS515" s="1438"/>
      <c r="BT515" s="1438"/>
      <c r="BU515" s="1438"/>
      <c r="BV515" s="1438"/>
      <c r="BW515" s="1438"/>
      <c r="BX515" s="1438"/>
      <c r="BY515" s="1438"/>
      <c r="BZ515" s="1438"/>
      <c r="CA515" s="1438"/>
      <c r="CB515" s="1438"/>
      <c r="CC515" s="1438"/>
      <c r="CD515" s="1438"/>
      <c r="CE515" s="1438"/>
      <c r="CF515" s="1438"/>
      <c r="CG515" s="1438"/>
      <c r="CH515" s="1438"/>
      <c r="CI515" s="1438"/>
      <c r="CJ515" s="1438"/>
      <c r="CK515" s="1438"/>
      <c r="CL515" s="918" t="s">
        <v>2473</v>
      </c>
      <c r="CM515" s="918" t="s">
        <v>2474</v>
      </c>
      <c r="CN515" s="918" t="s">
        <v>2555</v>
      </c>
      <c r="CO515" s="918" t="s">
        <v>1881</v>
      </c>
    </row>
    <row r="516" spans="11:93" ht="20.100000000000001" customHeight="1">
      <c r="AF516" s="1492"/>
      <c r="AG516" s="251" t="s">
        <v>1220</v>
      </c>
      <c r="AH516" s="251">
        <f>INDEX('DEFAULT DATA'!$VE$9:$VK$41,START!$C$3,1)</f>
        <v>202</v>
      </c>
      <c r="AI516" s="262">
        <f>INDEX('DEFAULT DATA'!$XC$9:$AFR$41,START!$C$3,(2+(($A$114-1)*8)+(($D$114-1)*32)))</f>
        <v>224.84716212880369</v>
      </c>
      <c r="AJ516" s="262">
        <f>INDEX('DEFAULT DATA'!$XC$9:$AFR$41,START!$C$3,(2+(($A$114-1)*8)+(($E$114-1)*32)))</f>
        <v>0</v>
      </c>
      <c r="AK516" s="345">
        <v>0</v>
      </c>
      <c r="AL516" s="272">
        <f t="shared" ref="AL516:BN516" si="486">IF(AND(AL$514&gt;($I$114+2020),AL$514&lt;($J$114+2022)),AK516+($C$114*(($AI$516-$AJ$516)+($F$114/100*$AJ$516))/($J$114-$I$114+1)*$AH$516/1000000),AK516)</f>
        <v>0</v>
      </c>
      <c r="AM516" s="272">
        <f t="shared" si="486"/>
        <v>0</v>
      </c>
      <c r="AN516" s="272">
        <f t="shared" si="486"/>
        <v>0</v>
      </c>
      <c r="AO516" s="272">
        <f t="shared" si="486"/>
        <v>0</v>
      </c>
      <c r="AP516" s="272">
        <f t="shared" si="486"/>
        <v>0</v>
      </c>
      <c r="AQ516" s="272">
        <f t="shared" si="486"/>
        <v>0</v>
      </c>
      <c r="AR516" s="272">
        <f t="shared" si="486"/>
        <v>0</v>
      </c>
      <c r="AS516" s="272">
        <f t="shared" si="486"/>
        <v>0</v>
      </c>
      <c r="AT516" s="272">
        <f t="shared" si="486"/>
        <v>90.8382535000367</v>
      </c>
      <c r="AU516" s="272">
        <f t="shared" si="486"/>
        <v>90.8382535000367</v>
      </c>
      <c r="AV516" s="272">
        <f t="shared" si="486"/>
        <v>90.8382535000367</v>
      </c>
      <c r="AW516" s="272">
        <f t="shared" si="486"/>
        <v>90.8382535000367</v>
      </c>
      <c r="AX516" s="272">
        <f t="shared" si="486"/>
        <v>90.8382535000367</v>
      </c>
      <c r="AY516" s="272">
        <f t="shared" si="486"/>
        <v>90.8382535000367</v>
      </c>
      <c r="AZ516" s="272">
        <f t="shared" si="486"/>
        <v>90.8382535000367</v>
      </c>
      <c r="BA516" s="272">
        <f t="shared" si="486"/>
        <v>90.8382535000367</v>
      </c>
      <c r="BB516" s="272">
        <f t="shared" si="486"/>
        <v>90.8382535000367</v>
      </c>
      <c r="BC516" s="272">
        <f t="shared" si="486"/>
        <v>90.8382535000367</v>
      </c>
      <c r="BD516" s="272">
        <f t="shared" si="486"/>
        <v>90.8382535000367</v>
      </c>
      <c r="BE516" s="272">
        <f t="shared" si="486"/>
        <v>90.8382535000367</v>
      </c>
      <c r="BF516" s="272">
        <f t="shared" si="486"/>
        <v>90.8382535000367</v>
      </c>
      <c r="BG516" s="272">
        <f t="shared" si="486"/>
        <v>90.8382535000367</v>
      </c>
      <c r="BH516" s="272">
        <f t="shared" si="486"/>
        <v>90.8382535000367</v>
      </c>
      <c r="BI516" s="272">
        <f t="shared" si="486"/>
        <v>90.8382535000367</v>
      </c>
      <c r="BJ516" s="272">
        <f t="shared" si="486"/>
        <v>90.8382535000367</v>
      </c>
      <c r="BK516" s="272">
        <f t="shared" si="486"/>
        <v>90.8382535000367</v>
      </c>
      <c r="BL516" s="272">
        <f t="shared" si="486"/>
        <v>90.8382535000367</v>
      </c>
      <c r="BM516" s="272">
        <f t="shared" si="486"/>
        <v>90.8382535000367</v>
      </c>
      <c r="BN516" s="324">
        <f t="shared" si="486"/>
        <v>90.8382535000367</v>
      </c>
      <c r="BP516" s="536" t="s">
        <v>1220</v>
      </c>
      <c r="BQ516" s="1438" t="str">
        <f t="shared" ref="BQ516:BQ522" si="487">CONCATENATE("GHG_",BP516,"a = GHG_",BP516,"a-1 + (C113 * ",CL516," - ",CM516," + F113 / 100 * ",CM516," * ",CO516," / (",CN516,") / 1000000")</f>
        <v>GHG_Gasa = GHG_Gasa-1 + (C113 * BUI_COL(52+((A113-1)*8)+((D113-1)*32)) - BUI_COL(52+((A113-1)*8)+((E113-1)*32)) + F113 / 100 * BUI_COL(52+((A113-1)*8)+((E113-1)*32)) * BUI_COL1 / (J113-I113+1) / 1000000</v>
      </c>
      <c r="BR516" s="1438"/>
      <c r="BS516" s="1438"/>
      <c r="BT516" s="1438"/>
      <c r="BU516" s="1438"/>
      <c r="BV516" s="1438"/>
      <c r="BW516" s="1438"/>
      <c r="BX516" s="1438"/>
      <c r="BY516" s="1438"/>
      <c r="BZ516" s="1438"/>
      <c r="CA516" s="1438"/>
      <c r="CB516" s="1438"/>
      <c r="CC516" s="1438"/>
      <c r="CD516" s="1438"/>
      <c r="CE516" s="1438"/>
      <c r="CF516" s="1438"/>
      <c r="CG516" s="1438"/>
      <c r="CH516" s="1438"/>
      <c r="CI516" s="1438"/>
      <c r="CJ516" s="1438"/>
      <c r="CK516" s="1438"/>
      <c r="CL516" s="918" t="s">
        <v>2475</v>
      </c>
      <c r="CM516" s="918" t="s">
        <v>2482</v>
      </c>
      <c r="CN516" s="918" t="s">
        <v>2555</v>
      </c>
      <c r="CO516" s="918" t="s">
        <v>1248</v>
      </c>
    </row>
    <row r="517" spans="11:93" ht="20.100000000000001" customHeight="1">
      <c r="AF517" s="1492"/>
      <c r="AG517" s="251" t="s">
        <v>1221</v>
      </c>
      <c r="AH517" s="251">
        <f>INDEX('DEFAULT DATA'!$VE$9:$VK$41,START!$C$3,2)</f>
        <v>279</v>
      </c>
      <c r="AI517" s="262">
        <f>INDEX('DEFAULT DATA'!$XC$9:$AFR$41,START!$C$3,(3+(($A$114-1)*8)+(($D$114-1)*32)))</f>
        <v>1798.7772970304295</v>
      </c>
      <c r="AJ517" s="262">
        <f>INDEX('DEFAULT DATA'!$XC$9:$AFR$41,START!$C$3,(3+(($A$114-1)*8)+(($E$114-1)*32)))</f>
        <v>0</v>
      </c>
      <c r="AK517" s="345">
        <v>0</v>
      </c>
      <c r="AL517" s="272">
        <f t="shared" ref="AL517:BN517" si="488">IF(AND(AL$514&gt;($I$114+2020),AL$514&lt;($J$114+2022)),AK517+($C$114*(($AI$517-$AJ$517)+($F$114/100*$AJ$517))/($J$114-$I$114+1)*$AH$517/1000000),AK517)</f>
        <v>0</v>
      </c>
      <c r="AM517" s="272">
        <f t="shared" si="488"/>
        <v>0</v>
      </c>
      <c r="AN517" s="272">
        <f t="shared" si="488"/>
        <v>0</v>
      </c>
      <c r="AO517" s="272">
        <f t="shared" si="488"/>
        <v>0</v>
      </c>
      <c r="AP517" s="272">
        <f t="shared" si="488"/>
        <v>0</v>
      </c>
      <c r="AQ517" s="272">
        <f t="shared" si="488"/>
        <v>0</v>
      </c>
      <c r="AR517" s="272">
        <f t="shared" si="488"/>
        <v>0</v>
      </c>
      <c r="AS517" s="272">
        <f t="shared" si="488"/>
        <v>0</v>
      </c>
      <c r="AT517" s="272">
        <f t="shared" si="488"/>
        <v>1003.7177317429797</v>
      </c>
      <c r="AU517" s="272">
        <f t="shared" si="488"/>
        <v>1003.7177317429797</v>
      </c>
      <c r="AV517" s="272">
        <f t="shared" si="488"/>
        <v>1003.7177317429797</v>
      </c>
      <c r="AW517" s="272">
        <f t="shared" si="488"/>
        <v>1003.7177317429797</v>
      </c>
      <c r="AX517" s="272">
        <f t="shared" si="488"/>
        <v>1003.7177317429797</v>
      </c>
      <c r="AY517" s="272">
        <f t="shared" si="488"/>
        <v>1003.7177317429797</v>
      </c>
      <c r="AZ517" s="272">
        <f t="shared" si="488"/>
        <v>1003.7177317429797</v>
      </c>
      <c r="BA517" s="272">
        <f t="shared" si="488"/>
        <v>1003.7177317429797</v>
      </c>
      <c r="BB517" s="272">
        <f t="shared" si="488"/>
        <v>1003.7177317429797</v>
      </c>
      <c r="BC517" s="272">
        <f t="shared" si="488"/>
        <v>1003.7177317429797</v>
      </c>
      <c r="BD517" s="272">
        <f t="shared" si="488"/>
        <v>1003.7177317429797</v>
      </c>
      <c r="BE517" s="272">
        <f t="shared" si="488"/>
        <v>1003.7177317429797</v>
      </c>
      <c r="BF517" s="272">
        <f t="shared" si="488"/>
        <v>1003.7177317429797</v>
      </c>
      <c r="BG517" s="272">
        <f t="shared" si="488"/>
        <v>1003.7177317429797</v>
      </c>
      <c r="BH517" s="272">
        <f t="shared" si="488"/>
        <v>1003.7177317429797</v>
      </c>
      <c r="BI517" s="272">
        <f t="shared" si="488"/>
        <v>1003.7177317429797</v>
      </c>
      <c r="BJ517" s="272">
        <f t="shared" si="488"/>
        <v>1003.7177317429797</v>
      </c>
      <c r="BK517" s="272">
        <f t="shared" si="488"/>
        <v>1003.7177317429797</v>
      </c>
      <c r="BL517" s="272">
        <f t="shared" si="488"/>
        <v>1003.7177317429797</v>
      </c>
      <c r="BM517" s="272">
        <f t="shared" si="488"/>
        <v>1003.7177317429797</v>
      </c>
      <c r="BN517" s="324">
        <f t="shared" si="488"/>
        <v>1003.7177317429797</v>
      </c>
      <c r="BP517" s="536" t="s">
        <v>1221</v>
      </c>
      <c r="BQ517" s="1438" t="str">
        <f t="shared" si="487"/>
        <v>GHG_Oila = GHG_Oila-1 + (C113 * BUI_COL(53+((A113-1)*8)+((D113-1)*32)) - BUI_COL(53+((A113-1)*8)+((E113-1)*32)) + F113 / 100 * BUI_COL(53+((A113-1)*8)+((E113-1)*32)) * BUI_COL2 / (J113-I113+1) / 1000000</v>
      </c>
      <c r="BR517" s="1438"/>
      <c r="BS517" s="1438"/>
      <c r="BT517" s="1438"/>
      <c r="BU517" s="1438"/>
      <c r="BV517" s="1438"/>
      <c r="BW517" s="1438"/>
      <c r="BX517" s="1438"/>
      <c r="BY517" s="1438"/>
      <c r="BZ517" s="1438"/>
      <c r="CA517" s="1438"/>
      <c r="CB517" s="1438"/>
      <c r="CC517" s="1438"/>
      <c r="CD517" s="1438"/>
      <c r="CE517" s="1438"/>
      <c r="CF517" s="1438"/>
      <c r="CG517" s="1438"/>
      <c r="CH517" s="1438"/>
      <c r="CI517" s="1438"/>
      <c r="CJ517" s="1438"/>
      <c r="CK517" s="1438"/>
      <c r="CL517" s="918" t="s">
        <v>2476</v>
      </c>
      <c r="CM517" s="918" t="s">
        <v>2483</v>
      </c>
      <c r="CN517" s="918" t="s">
        <v>2555</v>
      </c>
      <c r="CO517" s="918" t="s">
        <v>1621</v>
      </c>
    </row>
    <row r="518" spans="11:93" ht="20.100000000000001" customHeight="1">
      <c r="K518" s="347"/>
      <c r="L518" s="347"/>
      <c r="M518" s="347"/>
      <c r="N518" s="347"/>
      <c r="O518" s="347"/>
      <c r="P518" s="347"/>
      <c r="Q518" s="347"/>
      <c r="R518" s="347"/>
      <c r="S518" s="347"/>
      <c r="T518" s="347"/>
      <c r="U518" s="347"/>
      <c r="V518" s="347"/>
      <c r="W518" s="347"/>
      <c r="X518" s="347"/>
      <c r="Y518" s="347"/>
      <c r="Z518" s="347"/>
      <c r="AA518" s="347"/>
      <c r="AB518" s="347"/>
      <c r="AC518" s="347"/>
      <c r="AD518" s="347"/>
      <c r="AE518" s="347"/>
      <c r="AF518" s="1492"/>
      <c r="AG518" s="251" t="s">
        <v>1222</v>
      </c>
      <c r="AH518" s="251">
        <f>INDEX('DEFAULT DATA'!$VE$9:$VK$41,START!$C$3,3)</f>
        <v>354</v>
      </c>
      <c r="AI518" s="262">
        <f>INDEX('DEFAULT DATA'!$XC$9:$AFR$41,START!$C$3,(4+(($A$114-1)*8)+(($D$114-1)*32)))</f>
        <v>0</v>
      </c>
      <c r="AJ518" s="262">
        <f>INDEX('DEFAULT DATA'!$XC$9:$AFR$41,START!$C$3,(4+(($A$114-1)*8)+(($E$114-1)*32)))</f>
        <v>0</v>
      </c>
      <c r="AK518" s="345">
        <v>0</v>
      </c>
      <c r="AL518" s="272">
        <f t="shared" ref="AL518:BN518" si="489">IF(AND(AL$514&gt;($I$114+2020),AL$514&lt;($J$114+2022)),AK518+($C$114*(($AI$518-$AJ$518)+($F$114/100*$AJ$518))/($J$114-$I$114+1)*$AH$518/1000000),AK518)</f>
        <v>0</v>
      </c>
      <c r="AM518" s="272">
        <f t="shared" si="489"/>
        <v>0</v>
      </c>
      <c r="AN518" s="272">
        <f t="shared" si="489"/>
        <v>0</v>
      </c>
      <c r="AO518" s="272">
        <f t="shared" si="489"/>
        <v>0</v>
      </c>
      <c r="AP518" s="272">
        <f t="shared" si="489"/>
        <v>0</v>
      </c>
      <c r="AQ518" s="272">
        <f t="shared" si="489"/>
        <v>0</v>
      </c>
      <c r="AR518" s="272">
        <f t="shared" si="489"/>
        <v>0</v>
      </c>
      <c r="AS518" s="272">
        <f t="shared" si="489"/>
        <v>0</v>
      </c>
      <c r="AT518" s="272">
        <f t="shared" si="489"/>
        <v>0</v>
      </c>
      <c r="AU518" s="272">
        <f t="shared" si="489"/>
        <v>0</v>
      </c>
      <c r="AV518" s="272">
        <f t="shared" si="489"/>
        <v>0</v>
      </c>
      <c r="AW518" s="272">
        <f t="shared" si="489"/>
        <v>0</v>
      </c>
      <c r="AX518" s="272">
        <f t="shared" si="489"/>
        <v>0</v>
      </c>
      <c r="AY518" s="272">
        <f t="shared" si="489"/>
        <v>0</v>
      </c>
      <c r="AZ518" s="272">
        <f t="shared" si="489"/>
        <v>0</v>
      </c>
      <c r="BA518" s="272">
        <f t="shared" si="489"/>
        <v>0</v>
      </c>
      <c r="BB518" s="272">
        <f t="shared" si="489"/>
        <v>0</v>
      </c>
      <c r="BC518" s="272">
        <f t="shared" si="489"/>
        <v>0</v>
      </c>
      <c r="BD518" s="272">
        <f t="shared" si="489"/>
        <v>0</v>
      </c>
      <c r="BE518" s="272">
        <f t="shared" si="489"/>
        <v>0</v>
      </c>
      <c r="BF518" s="272">
        <f t="shared" si="489"/>
        <v>0</v>
      </c>
      <c r="BG518" s="272">
        <f t="shared" si="489"/>
        <v>0</v>
      </c>
      <c r="BH518" s="272">
        <f t="shared" si="489"/>
        <v>0</v>
      </c>
      <c r="BI518" s="272">
        <f t="shared" si="489"/>
        <v>0</v>
      </c>
      <c r="BJ518" s="272">
        <f t="shared" si="489"/>
        <v>0</v>
      </c>
      <c r="BK518" s="272">
        <f t="shared" si="489"/>
        <v>0</v>
      </c>
      <c r="BL518" s="272">
        <f t="shared" si="489"/>
        <v>0</v>
      </c>
      <c r="BM518" s="272">
        <f t="shared" si="489"/>
        <v>0</v>
      </c>
      <c r="BN518" s="324">
        <f t="shared" si="489"/>
        <v>0</v>
      </c>
      <c r="BP518" s="536" t="s">
        <v>1222</v>
      </c>
      <c r="BQ518" s="1438" t="str">
        <f t="shared" si="487"/>
        <v>GHG_Coala = GHG_Coala-1 + (C113 * BUI_COL(54+((A113-1)*8)+((D113-1)*32)) - BUI_COL(54+((A113-1)*8)+((E113-1)*32)) + F113 / 100 * BUI_COL(54+((A113-1)*8)+((E113-1)*32)) * BUI_COL3 / (J113-I113+1) / 1000000</v>
      </c>
      <c r="BR518" s="1438"/>
      <c r="BS518" s="1438"/>
      <c r="BT518" s="1438"/>
      <c r="BU518" s="1438"/>
      <c r="BV518" s="1438"/>
      <c r="BW518" s="1438"/>
      <c r="BX518" s="1438"/>
      <c r="BY518" s="1438"/>
      <c r="BZ518" s="1438"/>
      <c r="CA518" s="1438"/>
      <c r="CB518" s="1438"/>
      <c r="CC518" s="1438"/>
      <c r="CD518" s="1438"/>
      <c r="CE518" s="1438"/>
      <c r="CF518" s="1438"/>
      <c r="CG518" s="1438"/>
      <c r="CH518" s="1438"/>
      <c r="CI518" s="1438"/>
      <c r="CJ518" s="1438"/>
      <c r="CK518" s="1438"/>
      <c r="CL518" s="918" t="s">
        <v>2477</v>
      </c>
      <c r="CM518" s="918" t="s">
        <v>2484</v>
      </c>
      <c r="CN518" s="918" t="s">
        <v>2555</v>
      </c>
      <c r="CO518" s="918" t="s">
        <v>1622</v>
      </c>
    </row>
    <row r="519" spans="11:93" ht="20.100000000000001" customHeight="1">
      <c r="AF519" s="1492"/>
      <c r="AG519" s="251" t="s">
        <v>1223</v>
      </c>
      <c r="AH519" s="251">
        <f>INDEX('DEFAULT DATA'!$VE$9:$VK$41,START!$C$3,4)</f>
        <v>0</v>
      </c>
      <c r="AI519" s="262">
        <f>INDEX('DEFAULT DATA'!$XC$9:$AFR$41,START!$C$3,(5+(($A$114-1)*8)+(($D$114-1)*32)))</f>
        <v>0</v>
      </c>
      <c r="AJ519" s="262">
        <f>INDEX('DEFAULT DATA'!$XC$9:$AFR$41,START!$C$3,(5+(($A$114-1)*8)+(($E$114-1)*32)))</f>
        <v>0</v>
      </c>
      <c r="AK519" s="345">
        <v>0</v>
      </c>
      <c r="AL519" s="272">
        <f t="shared" ref="AL519:BN519" si="490">IF(AND(AL$514&gt;($I$114+2020),AL$514&lt;($J$114+2022)),AK519+($C$114*(($AI$519-$AJ$519)+($F$114/100*$AJ$519))/($J$114-$I$114+1)*$AH$519/1000000),AK519)</f>
        <v>0</v>
      </c>
      <c r="AM519" s="272">
        <f t="shared" si="490"/>
        <v>0</v>
      </c>
      <c r="AN519" s="272">
        <f t="shared" si="490"/>
        <v>0</v>
      </c>
      <c r="AO519" s="272">
        <f t="shared" si="490"/>
        <v>0</v>
      </c>
      <c r="AP519" s="272">
        <f t="shared" si="490"/>
        <v>0</v>
      </c>
      <c r="AQ519" s="272">
        <f t="shared" si="490"/>
        <v>0</v>
      </c>
      <c r="AR519" s="272">
        <f t="shared" si="490"/>
        <v>0</v>
      </c>
      <c r="AS519" s="272">
        <f t="shared" si="490"/>
        <v>0</v>
      </c>
      <c r="AT519" s="272">
        <f t="shared" si="490"/>
        <v>0</v>
      </c>
      <c r="AU519" s="272">
        <f t="shared" si="490"/>
        <v>0</v>
      </c>
      <c r="AV519" s="272">
        <f t="shared" si="490"/>
        <v>0</v>
      </c>
      <c r="AW519" s="272">
        <f t="shared" si="490"/>
        <v>0</v>
      </c>
      <c r="AX519" s="272">
        <f t="shared" si="490"/>
        <v>0</v>
      </c>
      <c r="AY519" s="272">
        <f t="shared" si="490"/>
        <v>0</v>
      </c>
      <c r="AZ519" s="272">
        <f t="shared" si="490"/>
        <v>0</v>
      </c>
      <c r="BA519" s="272">
        <f t="shared" si="490"/>
        <v>0</v>
      </c>
      <c r="BB519" s="272">
        <f t="shared" si="490"/>
        <v>0</v>
      </c>
      <c r="BC519" s="272">
        <f t="shared" si="490"/>
        <v>0</v>
      </c>
      <c r="BD519" s="272">
        <f t="shared" si="490"/>
        <v>0</v>
      </c>
      <c r="BE519" s="272">
        <f t="shared" si="490"/>
        <v>0</v>
      </c>
      <c r="BF519" s="272">
        <f t="shared" si="490"/>
        <v>0</v>
      </c>
      <c r="BG519" s="272">
        <f t="shared" si="490"/>
        <v>0</v>
      </c>
      <c r="BH519" s="272">
        <f t="shared" si="490"/>
        <v>0</v>
      </c>
      <c r="BI519" s="272">
        <f t="shared" si="490"/>
        <v>0</v>
      </c>
      <c r="BJ519" s="272">
        <f t="shared" si="490"/>
        <v>0</v>
      </c>
      <c r="BK519" s="272">
        <f t="shared" si="490"/>
        <v>0</v>
      </c>
      <c r="BL519" s="272">
        <f t="shared" si="490"/>
        <v>0</v>
      </c>
      <c r="BM519" s="272">
        <f t="shared" si="490"/>
        <v>0</v>
      </c>
      <c r="BN519" s="324">
        <f t="shared" si="490"/>
        <v>0</v>
      </c>
      <c r="BP519" s="536" t="s">
        <v>1223</v>
      </c>
      <c r="BQ519" s="1438" t="str">
        <f t="shared" si="487"/>
        <v>GHG_Peata = GHG_Peata-1 + (C113 * BUI_COL(55+((A113-1)*8)+((D113-1)*32)) - BUI_COL(55+((A113-1)*8)+((E113-1)*32)) + F113 / 100 * BUI_COL(55+((A113-1)*8)+((E113-1)*32)) * BUI_COL4 / (J113-I113+1) / 1000000</v>
      </c>
      <c r="BR519" s="1438"/>
      <c r="BS519" s="1438"/>
      <c r="BT519" s="1438"/>
      <c r="BU519" s="1438"/>
      <c r="BV519" s="1438"/>
      <c r="BW519" s="1438"/>
      <c r="BX519" s="1438"/>
      <c r="BY519" s="1438"/>
      <c r="BZ519" s="1438"/>
      <c r="CA519" s="1438"/>
      <c r="CB519" s="1438"/>
      <c r="CC519" s="1438"/>
      <c r="CD519" s="1438"/>
      <c r="CE519" s="1438"/>
      <c r="CF519" s="1438"/>
      <c r="CG519" s="1438"/>
      <c r="CH519" s="1438"/>
      <c r="CI519" s="1438"/>
      <c r="CJ519" s="1438"/>
      <c r="CK519" s="1438"/>
      <c r="CL519" s="918" t="s">
        <v>2478</v>
      </c>
      <c r="CM519" s="918" t="s">
        <v>2485</v>
      </c>
      <c r="CN519" s="918" t="s">
        <v>2555</v>
      </c>
      <c r="CO519" s="918" t="s">
        <v>1623</v>
      </c>
    </row>
    <row r="520" spans="11:93" ht="20.100000000000001" customHeight="1">
      <c r="AF520" s="1492"/>
      <c r="AG520" s="251" t="s">
        <v>1224</v>
      </c>
      <c r="AH520" s="251">
        <f>INDEX('DEFAULT DATA'!$VE$9:$VK$41,START!$C$3,5)</f>
        <v>403</v>
      </c>
      <c r="AI520" s="262">
        <f>INDEX('DEFAULT DATA'!$XC$9:$AFR$41,START!$C$3,(6+(($A$114-1)*8)+(($D$114-1)*32)))</f>
        <v>0</v>
      </c>
      <c r="AJ520" s="262">
        <f>INDEX('DEFAULT DATA'!$XC$9:$AFR$41,START!$C$3,(6+(($A$114-1)*8)+(($E$114-1)*32)))</f>
        <v>0</v>
      </c>
      <c r="AK520" s="345">
        <v>0</v>
      </c>
      <c r="AL520" s="272">
        <f t="shared" ref="AL520:BN520" si="491">IF(AND(AL$514&gt;($I$114+2020),AL$514&lt;($J$114+2022)),AK520+($C$114*(($AI$520-$AJ$520)+($F$114/100*$AJ$520))/($J$114-$I$114+1)*$AH$520/1000000),AK520)</f>
        <v>0</v>
      </c>
      <c r="AM520" s="272">
        <f t="shared" si="491"/>
        <v>0</v>
      </c>
      <c r="AN520" s="272">
        <f t="shared" si="491"/>
        <v>0</v>
      </c>
      <c r="AO520" s="272">
        <f t="shared" si="491"/>
        <v>0</v>
      </c>
      <c r="AP520" s="272">
        <f t="shared" si="491"/>
        <v>0</v>
      </c>
      <c r="AQ520" s="272">
        <f t="shared" si="491"/>
        <v>0</v>
      </c>
      <c r="AR520" s="272">
        <f t="shared" si="491"/>
        <v>0</v>
      </c>
      <c r="AS520" s="272">
        <f t="shared" si="491"/>
        <v>0</v>
      </c>
      <c r="AT520" s="272">
        <f t="shared" si="491"/>
        <v>0</v>
      </c>
      <c r="AU520" s="272">
        <f t="shared" si="491"/>
        <v>0</v>
      </c>
      <c r="AV520" s="272">
        <f t="shared" si="491"/>
        <v>0</v>
      </c>
      <c r="AW520" s="272">
        <f t="shared" si="491"/>
        <v>0</v>
      </c>
      <c r="AX520" s="272">
        <f t="shared" si="491"/>
        <v>0</v>
      </c>
      <c r="AY520" s="272">
        <f t="shared" si="491"/>
        <v>0</v>
      </c>
      <c r="AZ520" s="272">
        <f t="shared" si="491"/>
        <v>0</v>
      </c>
      <c r="BA520" s="272">
        <f t="shared" si="491"/>
        <v>0</v>
      </c>
      <c r="BB520" s="272">
        <f t="shared" si="491"/>
        <v>0</v>
      </c>
      <c r="BC520" s="272">
        <f t="shared" si="491"/>
        <v>0</v>
      </c>
      <c r="BD520" s="272">
        <f t="shared" si="491"/>
        <v>0</v>
      </c>
      <c r="BE520" s="272">
        <f t="shared" si="491"/>
        <v>0</v>
      </c>
      <c r="BF520" s="272">
        <f t="shared" si="491"/>
        <v>0</v>
      </c>
      <c r="BG520" s="272">
        <f t="shared" si="491"/>
        <v>0</v>
      </c>
      <c r="BH520" s="272">
        <f t="shared" si="491"/>
        <v>0</v>
      </c>
      <c r="BI520" s="272">
        <f t="shared" si="491"/>
        <v>0</v>
      </c>
      <c r="BJ520" s="272">
        <f t="shared" si="491"/>
        <v>0</v>
      </c>
      <c r="BK520" s="272">
        <f t="shared" si="491"/>
        <v>0</v>
      </c>
      <c r="BL520" s="272">
        <f t="shared" si="491"/>
        <v>0</v>
      </c>
      <c r="BM520" s="272">
        <f t="shared" si="491"/>
        <v>0</v>
      </c>
      <c r="BN520" s="324">
        <f t="shared" si="491"/>
        <v>0</v>
      </c>
      <c r="BP520" s="536" t="s">
        <v>1224</v>
      </c>
      <c r="BQ520" s="1438" t="str">
        <f t="shared" si="487"/>
        <v>GHG_Wooda = GHG_Wooda-1 + (C113 * BUI_COL(56+((A113-1)*8)+((D113-1)*32)) - BUI_COL(56+((A113-1)*8)+((E113-1)*32)) + F113 / 100 * BUI_COL(56+((A113-1)*8)+((E113-1)*32)) * BUI_COL5 / (J113-I113+1) / 1000000</v>
      </c>
      <c r="BR520" s="1438"/>
      <c r="BS520" s="1438"/>
      <c r="BT520" s="1438"/>
      <c r="BU520" s="1438"/>
      <c r="BV520" s="1438"/>
      <c r="BW520" s="1438"/>
      <c r="BX520" s="1438"/>
      <c r="BY520" s="1438"/>
      <c r="BZ520" s="1438"/>
      <c r="CA520" s="1438"/>
      <c r="CB520" s="1438"/>
      <c r="CC520" s="1438"/>
      <c r="CD520" s="1438"/>
      <c r="CE520" s="1438"/>
      <c r="CF520" s="1438"/>
      <c r="CG520" s="1438"/>
      <c r="CH520" s="1438"/>
      <c r="CI520" s="1438"/>
      <c r="CJ520" s="1438"/>
      <c r="CK520" s="1438"/>
      <c r="CL520" s="918" t="s">
        <v>2479</v>
      </c>
      <c r="CM520" s="918" t="s">
        <v>2486</v>
      </c>
      <c r="CN520" s="918" t="s">
        <v>2555</v>
      </c>
      <c r="CO520" s="918" t="s">
        <v>1624</v>
      </c>
    </row>
    <row r="521" spans="11:93" ht="20.100000000000001" customHeight="1">
      <c r="AF521" s="1492"/>
      <c r="AG521" s="251" t="s">
        <v>1225</v>
      </c>
      <c r="AH521" s="251">
        <f>INDEX('DEFAULT DATA'!$VE$9:$VK$41,START!$C$3,6)</f>
        <v>0</v>
      </c>
      <c r="AI521" s="262">
        <f>INDEX('DEFAULT DATA'!$XC$9:$AFR$41,START!$C$3,(7+(($A$114-1)*8)+(($D$114-1)*32)))</f>
        <v>5621.1790532200921</v>
      </c>
      <c r="AJ521" s="262">
        <f>INDEX('DEFAULT DATA'!$XC$9:$AFR$41,START!$C$3,(7+(($A$114-1)*8)+(($E$114-1)*32)))</f>
        <v>0</v>
      </c>
      <c r="AK521" s="345">
        <v>0</v>
      </c>
      <c r="AL521" s="272">
        <f t="shared" ref="AL521:BN521" si="492">IF(AND(AL$514&gt;($I$114+2020),AL$514&lt;($J$114+2022)),AK521+($C$114*(($AI$521-$AJ$521)+($F$114/100*$AJ$521))/($J$114-$I$114+1)*$AH$521/1000000),AK521)</f>
        <v>0</v>
      </c>
      <c r="AM521" s="272">
        <f t="shared" si="492"/>
        <v>0</v>
      </c>
      <c r="AN521" s="272">
        <f t="shared" si="492"/>
        <v>0</v>
      </c>
      <c r="AO521" s="272">
        <f t="shared" si="492"/>
        <v>0</v>
      </c>
      <c r="AP521" s="272">
        <f t="shared" si="492"/>
        <v>0</v>
      </c>
      <c r="AQ521" s="272">
        <f t="shared" si="492"/>
        <v>0</v>
      </c>
      <c r="AR521" s="272">
        <f t="shared" si="492"/>
        <v>0</v>
      </c>
      <c r="AS521" s="272">
        <f t="shared" si="492"/>
        <v>0</v>
      </c>
      <c r="AT521" s="272">
        <f t="shared" si="492"/>
        <v>0</v>
      </c>
      <c r="AU521" s="272">
        <f t="shared" si="492"/>
        <v>0</v>
      </c>
      <c r="AV521" s="272">
        <f t="shared" si="492"/>
        <v>0</v>
      </c>
      <c r="AW521" s="272">
        <f t="shared" si="492"/>
        <v>0</v>
      </c>
      <c r="AX521" s="272">
        <f t="shared" si="492"/>
        <v>0</v>
      </c>
      <c r="AY521" s="272">
        <f t="shared" si="492"/>
        <v>0</v>
      </c>
      <c r="AZ521" s="272">
        <f t="shared" si="492"/>
        <v>0</v>
      </c>
      <c r="BA521" s="272">
        <f t="shared" si="492"/>
        <v>0</v>
      </c>
      <c r="BB521" s="272">
        <f t="shared" si="492"/>
        <v>0</v>
      </c>
      <c r="BC521" s="272">
        <f t="shared" si="492"/>
        <v>0</v>
      </c>
      <c r="BD521" s="272">
        <f t="shared" si="492"/>
        <v>0</v>
      </c>
      <c r="BE521" s="272">
        <f t="shared" si="492"/>
        <v>0</v>
      </c>
      <c r="BF521" s="272">
        <f t="shared" si="492"/>
        <v>0</v>
      </c>
      <c r="BG521" s="272">
        <f t="shared" si="492"/>
        <v>0</v>
      </c>
      <c r="BH521" s="272">
        <f t="shared" si="492"/>
        <v>0</v>
      </c>
      <c r="BI521" s="272">
        <f t="shared" si="492"/>
        <v>0</v>
      </c>
      <c r="BJ521" s="272">
        <f t="shared" si="492"/>
        <v>0</v>
      </c>
      <c r="BK521" s="272">
        <f t="shared" si="492"/>
        <v>0</v>
      </c>
      <c r="BL521" s="272">
        <f t="shared" si="492"/>
        <v>0</v>
      </c>
      <c r="BM521" s="272">
        <f t="shared" si="492"/>
        <v>0</v>
      </c>
      <c r="BN521" s="324">
        <f t="shared" si="492"/>
        <v>0</v>
      </c>
      <c r="BP521" s="536" t="s">
        <v>1225</v>
      </c>
      <c r="BQ521" s="1438" t="str">
        <f t="shared" si="487"/>
        <v>GHG_Renewablea = GHG_Renewablea-1 + (C113 * BUI_COL(57+((A113-1)*8)+((D113-1)*32)) - BUI_COL(57+((A113-1)*8)+((E113-1)*32)) + F113 / 100 * BUI_COL(57+((A113-1)*8)+((E113-1)*32)) * BUI_COL6 / (J113-I113+1) / 1000000</v>
      </c>
      <c r="BR521" s="1438"/>
      <c r="BS521" s="1438"/>
      <c r="BT521" s="1438"/>
      <c r="BU521" s="1438"/>
      <c r="BV521" s="1438"/>
      <c r="BW521" s="1438"/>
      <c r="BX521" s="1438"/>
      <c r="BY521" s="1438"/>
      <c r="BZ521" s="1438"/>
      <c r="CA521" s="1438"/>
      <c r="CB521" s="1438"/>
      <c r="CC521" s="1438"/>
      <c r="CD521" s="1438"/>
      <c r="CE521" s="1438"/>
      <c r="CF521" s="1438"/>
      <c r="CG521" s="1438"/>
      <c r="CH521" s="1438"/>
      <c r="CI521" s="1438"/>
      <c r="CJ521" s="1438"/>
      <c r="CK521" s="1438"/>
      <c r="CL521" s="918" t="s">
        <v>2480</v>
      </c>
      <c r="CM521" s="918" t="s">
        <v>2487</v>
      </c>
      <c r="CN521" s="918" t="s">
        <v>2555</v>
      </c>
      <c r="CO521" s="918" t="s">
        <v>1625</v>
      </c>
    </row>
    <row r="522" spans="11:93" ht="20.100000000000001" customHeight="1" thickBot="1">
      <c r="AF522" s="1493"/>
      <c r="AG522" s="310" t="s">
        <v>1226</v>
      </c>
      <c r="AH522" s="310" t="s">
        <v>1497</v>
      </c>
      <c r="AI522" s="335">
        <f>INDEX('DEFAULT DATA'!$XC$9:$AFR$41,START!$C$3,(8+(($A$114-1)*8)+(($D$114-1)*32)))</f>
        <v>6745.41486386411</v>
      </c>
      <c r="AJ522" s="335">
        <f>INDEX('DEFAULT DATA'!$XC$9:$AFR$41,START!$C$3,(8+(($A$114-1)*8)+(($E$114-1)*32)))</f>
        <v>0</v>
      </c>
      <c r="AK522" s="348">
        <v>0</v>
      </c>
      <c r="AL522" s="325">
        <f t="shared" ref="AL522:BN522" si="493">IF(AND(AL$514&gt;($I$114+2020),AL$514&lt;($J$114+2022)),AK522+($C$114*(($AI$522-$AJ$522)+($F$114/100*$AJ$522))/($J$114-$I$114+1)*AL$6/1000000),AK522)</f>
        <v>0</v>
      </c>
      <c r="AM522" s="325">
        <f t="shared" si="493"/>
        <v>0</v>
      </c>
      <c r="AN522" s="325">
        <f t="shared" si="493"/>
        <v>0</v>
      </c>
      <c r="AO522" s="325">
        <f t="shared" si="493"/>
        <v>0</v>
      </c>
      <c r="AP522" s="325">
        <f t="shared" si="493"/>
        <v>0</v>
      </c>
      <c r="AQ522" s="325">
        <f t="shared" si="493"/>
        <v>0</v>
      </c>
      <c r="AR522" s="325">
        <f t="shared" si="493"/>
        <v>0</v>
      </c>
      <c r="AS522" s="325">
        <f t="shared" si="493"/>
        <v>0</v>
      </c>
      <c r="AT522" s="325">
        <f t="shared" si="493"/>
        <v>4721.7904047048769</v>
      </c>
      <c r="AU522" s="325">
        <f t="shared" si="493"/>
        <v>4721.7904047048769</v>
      </c>
      <c r="AV522" s="325">
        <f t="shared" si="493"/>
        <v>4721.7904047048769</v>
      </c>
      <c r="AW522" s="325">
        <f t="shared" si="493"/>
        <v>4721.7904047048769</v>
      </c>
      <c r="AX522" s="325">
        <f t="shared" si="493"/>
        <v>4721.7904047048769</v>
      </c>
      <c r="AY522" s="325">
        <f t="shared" si="493"/>
        <v>4721.7904047048769</v>
      </c>
      <c r="AZ522" s="325">
        <f t="shared" si="493"/>
        <v>4721.7904047048769</v>
      </c>
      <c r="BA522" s="325">
        <f t="shared" si="493"/>
        <v>4721.7904047048769</v>
      </c>
      <c r="BB522" s="325">
        <f t="shared" si="493"/>
        <v>4721.7904047048769</v>
      </c>
      <c r="BC522" s="325">
        <f t="shared" si="493"/>
        <v>4721.7904047048769</v>
      </c>
      <c r="BD522" s="325">
        <f t="shared" si="493"/>
        <v>4721.7904047048769</v>
      </c>
      <c r="BE522" s="325">
        <f t="shared" si="493"/>
        <v>4721.7904047048769</v>
      </c>
      <c r="BF522" s="325">
        <f t="shared" si="493"/>
        <v>4721.7904047048769</v>
      </c>
      <c r="BG522" s="325">
        <f t="shared" si="493"/>
        <v>4721.7904047048769</v>
      </c>
      <c r="BH522" s="325">
        <f t="shared" si="493"/>
        <v>4721.7904047048769</v>
      </c>
      <c r="BI522" s="325">
        <f t="shared" si="493"/>
        <v>4721.7904047048769</v>
      </c>
      <c r="BJ522" s="325">
        <f t="shared" si="493"/>
        <v>4721.7904047048769</v>
      </c>
      <c r="BK522" s="325">
        <f t="shared" si="493"/>
        <v>4721.7904047048769</v>
      </c>
      <c r="BL522" s="325">
        <f t="shared" si="493"/>
        <v>4721.7904047048769</v>
      </c>
      <c r="BM522" s="325">
        <f t="shared" si="493"/>
        <v>4721.7904047048769</v>
      </c>
      <c r="BN522" s="326">
        <f t="shared" si="493"/>
        <v>4721.7904047048769</v>
      </c>
      <c r="BP522" s="536" t="s">
        <v>1226</v>
      </c>
      <c r="BQ522" s="1438" t="str">
        <f t="shared" si="487"/>
        <v>GHG_Heata = GHG_Heata-1 + (C113 * BUI_COL(58+((A113-1)*8)+((D113-1)*32)) - BUI_COL(58+((A113-1)*8)+((E113-1)*32)) + F113 / 100 * BUI_COL(58+((A113-1)*8)+((E113-1)*32)) * DISTRICT_HEATING_emission_factora (from row 5) / (J113-I113+1) / 1000000</v>
      </c>
      <c r="BR522" s="1438"/>
      <c r="BS522" s="1438"/>
      <c r="BT522" s="1438"/>
      <c r="BU522" s="1438"/>
      <c r="BV522" s="1438"/>
      <c r="BW522" s="1438"/>
      <c r="BX522" s="1438"/>
      <c r="BY522" s="1438"/>
      <c r="BZ522" s="1438"/>
      <c r="CA522" s="1438"/>
      <c r="CB522" s="1438"/>
      <c r="CC522" s="1438"/>
      <c r="CD522" s="1438"/>
      <c r="CE522" s="1438"/>
      <c r="CF522" s="1438"/>
      <c r="CG522" s="1438"/>
      <c r="CH522" s="1438"/>
      <c r="CI522" s="1438"/>
      <c r="CJ522" s="1438"/>
      <c r="CK522" s="1438"/>
      <c r="CL522" s="918" t="s">
        <v>2481</v>
      </c>
      <c r="CM522" s="918" t="s">
        <v>2488</v>
      </c>
      <c r="CN522" s="918" t="s">
        <v>2555</v>
      </c>
      <c r="CO522" s="918" t="s">
        <v>1882</v>
      </c>
    </row>
    <row r="523" spans="11:93" ht="20.100000000000001" customHeight="1">
      <c r="AF523" s="332"/>
      <c r="AG523" s="308" t="s">
        <v>310</v>
      </c>
      <c r="AH523" s="309"/>
      <c r="AI523" s="309"/>
      <c r="AJ523" s="309"/>
      <c r="AK523" s="344">
        <v>0</v>
      </c>
      <c r="AL523" s="327">
        <f>SUM(AL515:AL522)</f>
        <v>0</v>
      </c>
      <c r="AM523" s="327">
        <f t="shared" ref="AM523:BN523" si="494">SUM(AM515:AM522)</f>
        <v>0</v>
      </c>
      <c r="AN523" s="327">
        <f t="shared" si="494"/>
        <v>0</v>
      </c>
      <c r="AO523" s="327">
        <f t="shared" si="494"/>
        <v>0</v>
      </c>
      <c r="AP523" s="327">
        <f t="shared" si="494"/>
        <v>0</v>
      </c>
      <c r="AQ523" s="327">
        <f t="shared" si="494"/>
        <v>0</v>
      </c>
      <c r="AR523" s="327">
        <f t="shared" si="494"/>
        <v>0</v>
      </c>
      <c r="AS523" s="327">
        <f t="shared" si="494"/>
        <v>0</v>
      </c>
      <c r="AT523" s="327">
        <f t="shared" si="494"/>
        <v>7296.0657768372075</v>
      </c>
      <c r="AU523" s="327">
        <f t="shared" si="494"/>
        <v>7296.0657768372075</v>
      </c>
      <c r="AV523" s="327">
        <f t="shared" si="494"/>
        <v>7296.0657768372075</v>
      </c>
      <c r="AW523" s="327">
        <f t="shared" si="494"/>
        <v>7296.0657768372075</v>
      </c>
      <c r="AX523" s="327">
        <f t="shared" si="494"/>
        <v>7296.0657768372075</v>
      </c>
      <c r="AY523" s="327">
        <f t="shared" si="494"/>
        <v>7296.0657768372075</v>
      </c>
      <c r="AZ523" s="327">
        <f t="shared" si="494"/>
        <v>7296.0657768372075</v>
      </c>
      <c r="BA523" s="327">
        <f t="shared" si="494"/>
        <v>7296.0657768372075</v>
      </c>
      <c r="BB523" s="327">
        <f t="shared" si="494"/>
        <v>7296.0657768372075</v>
      </c>
      <c r="BC523" s="327">
        <f t="shared" si="494"/>
        <v>7296.0657768372075</v>
      </c>
      <c r="BD523" s="327">
        <f t="shared" si="494"/>
        <v>7296.0657768372075</v>
      </c>
      <c r="BE523" s="327">
        <f t="shared" si="494"/>
        <v>7296.0657768372075</v>
      </c>
      <c r="BF523" s="327">
        <f t="shared" si="494"/>
        <v>7296.0657768372075</v>
      </c>
      <c r="BG523" s="327">
        <f t="shared" si="494"/>
        <v>7296.0657768372075</v>
      </c>
      <c r="BH523" s="327">
        <f t="shared" si="494"/>
        <v>7296.0657768372075</v>
      </c>
      <c r="BI523" s="327">
        <f t="shared" si="494"/>
        <v>7296.0657768372075</v>
      </c>
      <c r="BJ523" s="327">
        <f t="shared" si="494"/>
        <v>7296.0657768372075</v>
      </c>
      <c r="BK523" s="327">
        <f t="shared" si="494"/>
        <v>7296.0657768372075</v>
      </c>
      <c r="BL523" s="327">
        <f t="shared" si="494"/>
        <v>7296.0657768372075</v>
      </c>
      <c r="BM523" s="327">
        <f t="shared" si="494"/>
        <v>7296.0657768372075</v>
      </c>
      <c r="BN523" s="327">
        <f t="shared" si="494"/>
        <v>7296.0657768372075</v>
      </c>
    </row>
    <row r="525" spans="11:93" ht="20.100000000000001" customHeight="1" thickBot="1">
      <c r="AF525" s="333" t="s">
        <v>1473</v>
      </c>
      <c r="AG525" s="333"/>
      <c r="AH525" s="334" t="s">
        <v>977</v>
      </c>
      <c r="AI525" s="284" t="s">
        <v>1260</v>
      </c>
      <c r="AJ525" s="284" t="s">
        <v>1261</v>
      </c>
      <c r="AK525" s="346">
        <v>2021</v>
      </c>
      <c r="AL525" s="284">
        <v>2022</v>
      </c>
      <c r="AM525" s="284">
        <v>2023</v>
      </c>
      <c r="AN525" s="284">
        <v>2024</v>
      </c>
      <c r="AO525" s="284">
        <v>2025</v>
      </c>
      <c r="AP525" s="284">
        <v>2026</v>
      </c>
      <c r="AQ525" s="284">
        <v>2027</v>
      </c>
      <c r="AR525" s="284">
        <v>2028</v>
      </c>
      <c r="AS525" s="284">
        <v>2029</v>
      </c>
      <c r="AT525" s="284">
        <v>2030</v>
      </c>
      <c r="AU525" s="284">
        <v>2031</v>
      </c>
      <c r="AV525" s="284">
        <v>2032</v>
      </c>
      <c r="AW525" s="284">
        <v>2033</v>
      </c>
      <c r="AX525" s="284">
        <v>2034</v>
      </c>
      <c r="AY525" s="284">
        <v>2035</v>
      </c>
      <c r="AZ525" s="284">
        <v>2036</v>
      </c>
      <c r="BA525" s="284">
        <v>2037</v>
      </c>
      <c r="BB525" s="284">
        <v>2038</v>
      </c>
      <c r="BC525" s="284">
        <v>2039</v>
      </c>
      <c r="BD525" s="284">
        <v>2040</v>
      </c>
      <c r="BE525" s="284">
        <v>2041</v>
      </c>
      <c r="BF525" s="284">
        <v>2042</v>
      </c>
      <c r="BG525" s="284">
        <v>2043</v>
      </c>
      <c r="BH525" s="284">
        <v>2044</v>
      </c>
      <c r="BI525" s="284">
        <v>2045</v>
      </c>
      <c r="BJ525" s="284">
        <v>2046</v>
      </c>
      <c r="BK525" s="284">
        <v>2047</v>
      </c>
      <c r="BL525" s="284">
        <v>2048</v>
      </c>
      <c r="BM525" s="284">
        <v>2049</v>
      </c>
      <c r="BN525" s="284">
        <v>2050</v>
      </c>
      <c r="BQ525" s="279" t="s">
        <v>2558</v>
      </c>
      <c r="CL525" s="555" t="s">
        <v>2471</v>
      </c>
      <c r="CM525" s="17" t="s">
        <v>2472</v>
      </c>
      <c r="CN525" s="17" t="s">
        <v>2552</v>
      </c>
      <c r="CO525" s="412" t="s">
        <v>1598</v>
      </c>
    </row>
    <row r="526" spans="11:93" ht="20.100000000000001" customHeight="1">
      <c r="AF526" s="1504" t="str">
        <f>INDEX('MENU OPTIONS'!B27:B30,A115,1)</f>
        <v>Detached</v>
      </c>
      <c r="AG526" s="286" t="s">
        <v>933</v>
      </c>
      <c r="AH526" s="286" t="s">
        <v>1496</v>
      </c>
      <c r="AI526" s="330">
        <f>INDEX('DEFAULT DATA'!$XC$9:$AFR$41,START!$C$3,(1+(($A$115-1)*8)+(($D$115-1)*32)))</f>
        <v>18039.720174892303</v>
      </c>
      <c r="AJ526" s="330">
        <f>INDEX('DEFAULT DATA'!$XC$9:$AFR$41,START!$C$3,(1+(($A$115-1)*8)+(($E$115-1)*32)))</f>
        <v>3044.6214149576331</v>
      </c>
      <c r="AK526" s="343">
        <v>0</v>
      </c>
      <c r="AL526" s="322">
        <f t="shared" ref="AL526:BN526" si="495">IF(AND(AL$525&gt;($I$115+2020),AL$525&lt;($J$115+2022)),AK526+($C$115*(($AI$526-$AJ$526)+($F$115/100*$AJ$526))/($J$115-$I$115+1)*AL$5/1000000),AK526)</f>
        <v>0</v>
      </c>
      <c r="AM526" s="322">
        <f t="shared" si="495"/>
        <v>0</v>
      </c>
      <c r="AN526" s="322">
        <f t="shared" si="495"/>
        <v>0</v>
      </c>
      <c r="AO526" s="322">
        <f t="shared" si="495"/>
        <v>0</v>
      </c>
      <c r="AP526" s="322">
        <f t="shared" si="495"/>
        <v>0</v>
      </c>
      <c r="AQ526" s="322">
        <f t="shared" si="495"/>
        <v>0</v>
      </c>
      <c r="AR526" s="322">
        <f t="shared" si="495"/>
        <v>0</v>
      </c>
      <c r="AS526" s="322">
        <f t="shared" si="495"/>
        <v>0</v>
      </c>
      <c r="AT526" s="322">
        <f t="shared" si="495"/>
        <v>2264.6059863803303</v>
      </c>
      <c r="AU526" s="322">
        <f t="shared" si="495"/>
        <v>4404.6586435097415</v>
      </c>
      <c r="AV526" s="322">
        <f t="shared" si="495"/>
        <v>6427.0084044970354</v>
      </c>
      <c r="AW526" s="322">
        <f t="shared" si="495"/>
        <v>8338.1289286300289</v>
      </c>
      <c r="AX526" s="322">
        <f t="shared" si="495"/>
        <v>10144.137823935707</v>
      </c>
      <c r="AY526" s="322">
        <f t="shared" si="495"/>
        <v>11850.816229999573</v>
      </c>
      <c r="AZ526" s="322">
        <f t="shared" si="495"/>
        <v>11850.816229999573</v>
      </c>
      <c r="BA526" s="322">
        <f t="shared" si="495"/>
        <v>11850.816229999573</v>
      </c>
      <c r="BB526" s="322">
        <f t="shared" si="495"/>
        <v>11850.816229999573</v>
      </c>
      <c r="BC526" s="322">
        <f t="shared" si="495"/>
        <v>11850.816229999573</v>
      </c>
      <c r="BD526" s="322">
        <f t="shared" si="495"/>
        <v>11850.816229999573</v>
      </c>
      <c r="BE526" s="322">
        <f t="shared" si="495"/>
        <v>11850.816229999573</v>
      </c>
      <c r="BF526" s="322">
        <f t="shared" si="495"/>
        <v>11850.816229999573</v>
      </c>
      <c r="BG526" s="322">
        <f t="shared" si="495"/>
        <v>11850.816229999573</v>
      </c>
      <c r="BH526" s="322">
        <f t="shared" si="495"/>
        <v>11850.816229999573</v>
      </c>
      <c r="BI526" s="322">
        <f t="shared" si="495"/>
        <v>11850.816229999573</v>
      </c>
      <c r="BJ526" s="322">
        <f t="shared" si="495"/>
        <v>11850.816229999573</v>
      </c>
      <c r="BK526" s="322">
        <f t="shared" si="495"/>
        <v>11850.816229999573</v>
      </c>
      <c r="BL526" s="322">
        <f t="shared" si="495"/>
        <v>11850.816229999573</v>
      </c>
      <c r="BM526" s="322">
        <f t="shared" si="495"/>
        <v>11850.816229999573</v>
      </c>
      <c r="BN526" s="323">
        <f t="shared" si="495"/>
        <v>11850.816229999573</v>
      </c>
      <c r="BP526" s="536" t="s">
        <v>933</v>
      </c>
      <c r="BQ526" s="1438" t="str">
        <f>CONCATENATE("GHG_",BP526,"a = GHG_",BP526,"a-1 + (C114 * ",CL526," - ",CM526," + F114 / 100 * ",CM526," * ",CO526," / (",CN526,") / 1000000")</f>
        <v>GHG_Electricitya = GHG_Electricitya-1 + (C114 * BUI_COL(51+((A114-1)*8)+((D114-1)*32)) - BUI_COL(51+((A114-1)*8)+((E114-1)*32)) + F114 / 100 * BUI_COL(51+((A114-1)*8)+((E114-1)*32)) * GRID_ELECTRICITY_emission_factora (from row4) / (J114-I114+1) / 1000000</v>
      </c>
      <c r="BR526" s="1438"/>
      <c r="BS526" s="1438"/>
      <c r="BT526" s="1438"/>
      <c r="BU526" s="1438"/>
      <c r="BV526" s="1438"/>
      <c r="BW526" s="1438"/>
      <c r="BX526" s="1438"/>
      <c r="BY526" s="1438"/>
      <c r="BZ526" s="1438"/>
      <c r="CA526" s="1438"/>
      <c r="CB526" s="1438"/>
      <c r="CC526" s="1438"/>
      <c r="CD526" s="1438"/>
      <c r="CE526" s="1438"/>
      <c r="CF526" s="1438"/>
      <c r="CG526" s="1438"/>
      <c r="CH526" s="1438"/>
      <c r="CI526" s="1438"/>
      <c r="CJ526" s="1438"/>
      <c r="CK526" s="1438"/>
      <c r="CL526" s="918" t="s">
        <v>2489</v>
      </c>
      <c r="CM526" s="918" t="s">
        <v>2490</v>
      </c>
      <c r="CN526" s="918" t="s">
        <v>2556</v>
      </c>
      <c r="CO526" s="918" t="s">
        <v>1881</v>
      </c>
    </row>
    <row r="527" spans="11:93" ht="20.100000000000001" customHeight="1">
      <c r="AF527" s="1505"/>
      <c r="AG527" s="251" t="s">
        <v>1220</v>
      </c>
      <c r="AH527" s="251">
        <f>INDEX('DEFAULT DATA'!$VE$9:$VK$41,START!$C$3,1)</f>
        <v>202</v>
      </c>
      <c r="AI527" s="262">
        <f>INDEX('DEFAULT DATA'!$XC$9:$AFR$41,START!$C$3,(2+(($A$115-1)*8)+(($D$115-1)*32)))</f>
        <v>501.10333819145285</v>
      </c>
      <c r="AJ527" s="262">
        <f>INDEX('DEFAULT DATA'!$XC$9:$AFR$41,START!$C$3,(2+(($A$115-1)*8)+(($E$115-1)*32)))</f>
        <v>0</v>
      </c>
      <c r="AK527" s="345">
        <v>0</v>
      </c>
      <c r="AL527" s="272">
        <f t="shared" ref="AL527:BN527" si="496">IF(AND(AL$525&gt;($I$115+2020),AL$525&lt;($J$115+2022)),AK527+($C$115*(($AI$527-$AJ$527)+($F$115/100*$AJ$527))/($J$115-$I$115+1)*$AH$527/1000000),AK527)</f>
        <v>0</v>
      </c>
      <c r="AM527" s="272">
        <f t="shared" si="496"/>
        <v>0</v>
      </c>
      <c r="AN527" s="272">
        <f t="shared" si="496"/>
        <v>0</v>
      </c>
      <c r="AO527" s="272">
        <f t="shared" si="496"/>
        <v>0</v>
      </c>
      <c r="AP527" s="272">
        <f t="shared" si="496"/>
        <v>0</v>
      </c>
      <c r="AQ527" s="272">
        <f t="shared" si="496"/>
        <v>0</v>
      </c>
      <c r="AR527" s="272">
        <f t="shared" si="496"/>
        <v>0</v>
      </c>
      <c r="AS527" s="272">
        <f t="shared" si="496"/>
        <v>0</v>
      </c>
      <c r="AT527" s="272">
        <f t="shared" si="496"/>
        <v>151.8343114720102</v>
      </c>
      <c r="AU527" s="272">
        <f t="shared" si="496"/>
        <v>303.6686229440204</v>
      </c>
      <c r="AV527" s="272">
        <f t="shared" si="496"/>
        <v>455.5029344160306</v>
      </c>
      <c r="AW527" s="272">
        <f t="shared" si="496"/>
        <v>607.3372458880408</v>
      </c>
      <c r="AX527" s="272">
        <f t="shared" si="496"/>
        <v>759.171557360051</v>
      </c>
      <c r="AY527" s="272">
        <f t="shared" si="496"/>
        <v>911.0058688320612</v>
      </c>
      <c r="AZ527" s="272">
        <f t="shared" si="496"/>
        <v>911.0058688320612</v>
      </c>
      <c r="BA527" s="272">
        <f t="shared" si="496"/>
        <v>911.0058688320612</v>
      </c>
      <c r="BB527" s="272">
        <f t="shared" si="496"/>
        <v>911.0058688320612</v>
      </c>
      <c r="BC527" s="272">
        <f t="shared" si="496"/>
        <v>911.0058688320612</v>
      </c>
      <c r="BD527" s="272">
        <f t="shared" si="496"/>
        <v>911.0058688320612</v>
      </c>
      <c r="BE527" s="272">
        <f t="shared" si="496"/>
        <v>911.0058688320612</v>
      </c>
      <c r="BF527" s="272">
        <f t="shared" si="496"/>
        <v>911.0058688320612</v>
      </c>
      <c r="BG527" s="272">
        <f t="shared" si="496"/>
        <v>911.0058688320612</v>
      </c>
      <c r="BH527" s="272">
        <f t="shared" si="496"/>
        <v>911.0058688320612</v>
      </c>
      <c r="BI527" s="272">
        <f t="shared" si="496"/>
        <v>911.0058688320612</v>
      </c>
      <c r="BJ527" s="272">
        <f t="shared" si="496"/>
        <v>911.0058688320612</v>
      </c>
      <c r="BK527" s="272">
        <f t="shared" si="496"/>
        <v>911.0058688320612</v>
      </c>
      <c r="BL527" s="272">
        <f t="shared" si="496"/>
        <v>911.0058688320612</v>
      </c>
      <c r="BM527" s="272">
        <f t="shared" si="496"/>
        <v>911.0058688320612</v>
      </c>
      <c r="BN527" s="324">
        <f t="shared" si="496"/>
        <v>911.0058688320612</v>
      </c>
      <c r="BP527" s="536" t="s">
        <v>1220</v>
      </c>
      <c r="BQ527" s="1438" t="str">
        <f t="shared" ref="BQ527:BQ533" si="497">CONCATENATE("GHG_",BP527,"a = GHG_",BP527,"a-1 + (C114 * ",CL527," - ",CM527," + F114 / 100 * ",CM527," * ",CO527," / (",CN527,") / 1000000")</f>
        <v>GHG_Gasa = GHG_Gasa-1 + (C114 * BUI_COL(51+((A114-1)*8)+((D114-1)*32)) - BUI_COL(51+((A114-1)*8)+((E114-1)*32)) + F114 / 100 * BUI_COL(51+((A114-1)*8)+((E114-1)*32)) * BUI_COL1 / (J114-I114+1) / 1000000</v>
      </c>
      <c r="BR527" s="1438"/>
      <c r="BS527" s="1438"/>
      <c r="BT527" s="1438"/>
      <c r="BU527" s="1438"/>
      <c r="BV527" s="1438"/>
      <c r="BW527" s="1438"/>
      <c r="BX527" s="1438"/>
      <c r="BY527" s="1438"/>
      <c r="BZ527" s="1438"/>
      <c r="CA527" s="1438"/>
      <c r="CB527" s="1438"/>
      <c r="CC527" s="1438"/>
      <c r="CD527" s="1438"/>
      <c r="CE527" s="1438"/>
      <c r="CF527" s="1438"/>
      <c r="CG527" s="1438"/>
      <c r="CH527" s="1438"/>
      <c r="CI527" s="1438"/>
      <c r="CJ527" s="1438"/>
      <c r="CK527" s="1438"/>
      <c r="CL527" s="918" t="s">
        <v>2489</v>
      </c>
      <c r="CM527" s="918" t="s">
        <v>2490</v>
      </c>
      <c r="CN527" s="918" t="s">
        <v>2556</v>
      </c>
      <c r="CO527" s="918" t="s">
        <v>1248</v>
      </c>
    </row>
    <row r="528" spans="11:93" ht="20.100000000000001" customHeight="1">
      <c r="AF528" s="1505"/>
      <c r="AG528" s="251" t="s">
        <v>1221</v>
      </c>
      <c r="AH528" s="251">
        <f>INDEX('DEFAULT DATA'!$VE$9:$VK$41,START!$C$3,2)</f>
        <v>279</v>
      </c>
      <c r="AI528" s="262">
        <f>INDEX('DEFAULT DATA'!$XC$9:$AFR$41,START!$C$3,(3+(($A$115-1)*8)+(($D$115-1)*32)))</f>
        <v>4008.8267055316228</v>
      </c>
      <c r="AJ528" s="262">
        <f>INDEX('DEFAULT DATA'!$XC$9:$AFR$41,START!$C$3,(3+(($A$115-1)*8)+(($E$115-1)*32)))</f>
        <v>0</v>
      </c>
      <c r="AK528" s="345">
        <v>0</v>
      </c>
      <c r="AL528" s="272">
        <f t="shared" ref="AL528:BN528" si="498">IF(AND(AL$525&gt;($I$115+2020),AL$525&lt;($J$115+2022)),AK528+($C$115*(($AI$528-$AJ$528)+($F$115/100*$AJ$517))/($J$115-$I$115+1)*$AH$528/1000000),AK528)</f>
        <v>0</v>
      </c>
      <c r="AM528" s="272">
        <f t="shared" si="498"/>
        <v>0</v>
      </c>
      <c r="AN528" s="272">
        <f t="shared" si="498"/>
        <v>0</v>
      </c>
      <c r="AO528" s="272">
        <f t="shared" si="498"/>
        <v>0</v>
      </c>
      <c r="AP528" s="272">
        <f t="shared" si="498"/>
        <v>0</v>
      </c>
      <c r="AQ528" s="272">
        <f t="shared" si="498"/>
        <v>0</v>
      </c>
      <c r="AR528" s="272">
        <f t="shared" si="498"/>
        <v>0</v>
      </c>
      <c r="AS528" s="272">
        <f t="shared" si="498"/>
        <v>0</v>
      </c>
      <c r="AT528" s="272">
        <f t="shared" si="498"/>
        <v>1677.693976264984</v>
      </c>
      <c r="AU528" s="272">
        <f t="shared" si="498"/>
        <v>3355.3879525299681</v>
      </c>
      <c r="AV528" s="272">
        <f t="shared" si="498"/>
        <v>5033.0819287949525</v>
      </c>
      <c r="AW528" s="272">
        <f t="shared" si="498"/>
        <v>6710.7759050599361</v>
      </c>
      <c r="AX528" s="272">
        <f t="shared" si="498"/>
        <v>8388.4698813249197</v>
      </c>
      <c r="AY528" s="272">
        <f t="shared" si="498"/>
        <v>10066.163857589903</v>
      </c>
      <c r="AZ528" s="272">
        <f t="shared" si="498"/>
        <v>10066.163857589903</v>
      </c>
      <c r="BA528" s="272">
        <f t="shared" si="498"/>
        <v>10066.163857589903</v>
      </c>
      <c r="BB528" s="272">
        <f t="shared" si="498"/>
        <v>10066.163857589903</v>
      </c>
      <c r="BC528" s="272">
        <f t="shared" si="498"/>
        <v>10066.163857589903</v>
      </c>
      <c r="BD528" s="272">
        <f t="shared" si="498"/>
        <v>10066.163857589903</v>
      </c>
      <c r="BE528" s="272">
        <f t="shared" si="498"/>
        <v>10066.163857589903</v>
      </c>
      <c r="BF528" s="272">
        <f t="shared" si="498"/>
        <v>10066.163857589903</v>
      </c>
      <c r="BG528" s="272">
        <f t="shared" si="498"/>
        <v>10066.163857589903</v>
      </c>
      <c r="BH528" s="272">
        <f t="shared" si="498"/>
        <v>10066.163857589903</v>
      </c>
      <c r="BI528" s="272">
        <f t="shared" si="498"/>
        <v>10066.163857589903</v>
      </c>
      <c r="BJ528" s="272">
        <f t="shared" si="498"/>
        <v>10066.163857589903</v>
      </c>
      <c r="BK528" s="272">
        <f t="shared" si="498"/>
        <v>10066.163857589903</v>
      </c>
      <c r="BL528" s="272">
        <f t="shared" si="498"/>
        <v>10066.163857589903</v>
      </c>
      <c r="BM528" s="272">
        <f t="shared" si="498"/>
        <v>10066.163857589903</v>
      </c>
      <c r="BN528" s="324">
        <f t="shared" si="498"/>
        <v>10066.163857589903</v>
      </c>
      <c r="BP528" s="536" t="s">
        <v>1221</v>
      </c>
      <c r="BQ528" s="1438" t="str">
        <f t="shared" si="497"/>
        <v>GHG_Oila = GHG_Oila-1 + (C114 * BUI_COL(51+((A114-1)*8)+((D114-1)*32)) - BUI_COL(51+((A114-1)*8)+((E114-1)*32)) + F114 / 100 * BUI_COL(51+((A114-1)*8)+((E114-1)*32)) * BUI_COL2 / (J114-I114+1) / 1000000</v>
      </c>
      <c r="BR528" s="1438"/>
      <c r="BS528" s="1438"/>
      <c r="BT528" s="1438"/>
      <c r="BU528" s="1438"/>
      <c r="BV528" s="1438"/>
      <c r="BW528" s="1438"/>
      <c r="BX528" s="1438"/>
      <c r="BY528" s="1438"/>
      <c r="BZ528" s="1438"/>
      <c r="CA528" s="1438"/>
      <c r="CB528" s="1438"/>
      <c r="CC528" s="1438"/>
      <c r="CD528" s="1438"/>
      <c r="CE528" s="1438"/>
      <c r="CF528" s="1438"/>
      <c r="CG528" s="1438"/>
      <c r="CH528" s="1438"/>
      <c r="CI528" s="1438"/>
      <c r="CJ528" s="1438"/>
      <c r="CK528" s="1438"/>
      <c r="CL528" s="918" t="s">
        <v>2489</v>
      </c>
      <c r="CM528" s="918" t="s">
        <v>2490</v>
      </c>
      <c r="CN528" s="918" t="s">
        <v>2556</v>
      </c>
      <c r="CO528" s="918" t="s">
        <v>1621</v>
      </c>
    </row>
    <row r="529" spans="32:93" ht="20.100000000000001" customHeight="1">
      <c r="AF529" s="1505"/>
      <c r="AG529" s="251" t="s">
        <v>1222</v>
      </c>
      <c r="AH529" s="251">
        <f>INDEX('DEFAULT DATA'!$VE$9:$VK$41,START!$C$3,3)</f>
        <v>354</v>
      </c>
      <c r="AI529" s="262">
        <f>INDEX('DEFAULT DATA'!$XC$9:$AFR$41,START!$C$3,(4+(($A$115-1)*8)+(($D$115-1)*32)))</f>
        <v>0</v>
      </c>
      <c r="AJ529" s="262">
        <f>INDEX('DEFAULT DATA'!$XC$9:$AFR$41,START!$C$3,(4+(($A$115-1)*8)+(($E$115-1)*32)))</f>
        <v>0</v>
      </c>
      <c r="AK529" s="345">
        <v>0</v>
      </c>
      <c r="AL529" s="272">
        <f t="shared" ref="AL529:BN529" si="499">IF(AND(AL$525&gt;($I$115+2020),AL$525&lt;($J$115+2022)),AK529+($C$115*(($AI$529-$AJ$529)+($F$115/100*$AJ$529))/($J$115-$I$115+1)*$AH$529/1000000),AK529)</f>
        <v>0</v>
      </c>
      <c r="AM529" s="272">
        <f t="shared" si="499"/>
        <v>0</v>
      </c>
      <c r="AN529" s="272">
        <f t="shared" si="499"/>
        <v>0</v>
      </c>
      <c r="AO529" s="272">
        <f t="shared" si="499"/>
        <v>0</v>
      </c>
      <c r="AP529" s="272">
        <f t="shared" si="499"/>
        <v>0</v>
      </c>
      <c r="AQ529" s="272">
        <f t="shared" si="499"/>
        <v>0</v>
      </c>
      <c r="AR529" s="272">
        <f t="shared" si="499"/>
        <v>0</v>
      </c>
      <c r="AS529" s="272">
        <f t="shared" si="499"/>
        <v>0</v>
      </c>
      <c r="AT529" s="272">
        <f t="shared" si="499"/>
        <v>0</v>
      </c>
      <c r="AU529" s="272">
        <f t="shared" si="499"/>
        <v>0</v>
      </c>
      <c r="AV529" s="272">
        <f t="shared" si="499"/>
        <v>0</v>
      </c>
      <c r="AW529" s="272">
        <f t="shared" si="499"/>
        <v>0</v>
      </c>
      <c r="AX529" s="272">
        <f t="shared" si="499"/>
        <v>0</v>
      </c>
      <c r="AY529" s="272">
        <f t="shared" si="499"/>
        <v>0</v>
      </c>
      <c r="AZ529" s="272">
        <f t="shared" si="499"/>
        <v>0</v>
      </c>
      <c r="BA529" s="272">
        <f t="shared" si="499"/>
        <v>0</v>
      </c>
      <c r="BB529" s="272">
        <f t="shared" si="499"/>
        <v>0</v>
      </c>
      <c r="BC529" s="272">
        <f t="shared" si="499"/>
        <v>0</v>
      </c>
      <c r="BD529" s="272">
        <f t="shared" si="499"/>
        <v>0</v>
      </c>
      <c r="BE529" s="272">
        <f t="shared" si="499"/>
        <v>0</v>
      </c>
      <c r="BF529" s="272">
        <f t="shared" si="499"/>
        <v>0</v>
      </c>
      <c r="BG529" s="272">
        <f t="shared" si="499"/>
        <v>0</v>
      </c>
      <c r="BH529" s="272">
        <f t="shared" si="499"/>
        <v>0</v>
      </c>
      <c r="BI529" s="272">
        <f t="shared" si="499"/>
        <v>0</v>
      </c>
      <c r="BJ529" s="272">
        <f t="shared" si="499"/>
        <v>0</v>
      </c>
      <c r="BK529" s="272">
        <f t="shared" si="499"/>
        <v>0</v>
      </c>
      <c r="BL529" s="272">
        <f t="shared" si="499"/>
        <v>0</v>
      </c>
      <c r="BM529" s="272">
        <f t="shared" si="499"/>
        <v>0</v>
      </c>
      <c r="BN529" s="324">
        <f t="shared" si="499"/>
        <v>0</v>
      </c>
      <c r="BP529" s="536" t="s">
        <v>1222</v>
      </c>
      <c r="BQ529" s="1438" t="str">
        <f t="shared" si="497"/>
        <v>GHG_Coala = GHG_Coala-1 + (C114 * BUI_COL(51+((A114-1)*8)+((D114-1)*32)) - BUI_COL(51+((A114-1)*8)+((E114-1)*32)) + F114 / 100 * BUI_COL(51+((A114-1)*8)+((E114-1)*32)) * BUI_COL3 / (J114-I114+1) / 1000000</v>
      </c>
      <c r="BR529" s="1438"/>
      <c r="BS529" s="1438"/>
      <c r="BT529" s="1438"/>
      <c r="BU529" s="1438"/>
      <c r="BV529" s="1438"/>
      <c r="BW529" s="1438"/>
      <c r="BX529" s="1438"/>
      <c r="BY529" s="1438"/>
      <c r="BZ529" s="1438"/>
      <c r="CA529" s="1438"/>
      <c r="CB529" s="1438"/>
      <c r="CC529" s="1438"/>
      <c r="CD529" s="1438"/>
      <c r="CE529" s="1438"/>
      <c r="CF529" s="1438"/>
      <c r="CG529" s="1438"/>
      <c r="CH529" s="1438"/>
      <c r="CI529" s="1438"/>
      <c r="CJ529" s="1438"/>
      <c r="CK529" s="1438"/>
      <c r="CL529" s="918" t="s">
        <v>2489</v>
      </c>
      <c r="CM529" s="918" t="s">
        <v>2490</v>
      </c>
      <c r="CN529" s="918" t="s">
        <v>2556</v>
      </c>
      <c r="CO529" s="918" t="s">
        <v>1622</v>
      </c>
    </row>
    <row r="530" spans="32:93" ht="20.100000000000001" customHeight="1">
      <c r="AF530" s="1505"/>
      <c r="AG530" s="251" t="s">
        <v>1223</v>
      </c>
      <c r="AH530" s="251">
        <f>INDEX('DEFAULT DATA'!$VE$9:$VK$41,START!$C$3,4)</f>
        <v>0</v>
      </c>
      <c r="AI530" s="262">
        <f>INDEX('DEFAULT DATA'!$XC$9:$AFR$41,START!$C$3,(5+(($A$115-1)*8)+(($D$115-1)*32)))</f>
        <v>0</v>
      </c>
      <c r="AJ530" s="262">
        <f>INDEX('DEFAULT DATA'!$XC$9:$AFR$41,START!$C$3,(5+(($A$115-1)*8)+(($E$115-1)*32)))</f>
        <v>0</v>
      </c>
      <c r="AK530" s="345">
        <v>0</v>
      </c>
      <c r="AL530" s="272">
        <f t="shared" ref="AL530:BN530" si="500">IF(AND(AL$525&gt;($I$115+2020),AL$525&lt;($J$115+2022)),AK530+($C$115*(($AI$530-$AJ$530)+($F$115/100*$AJ$530))/($J$115-$I$115+1)*$AH$530/1000000),AK530)</f>
        <v>0</v>
      </c>
      <c r="AM530" s="272">
        <f t="shared" si="500"/>
        <v>0</v>
      </c>
      <c r="AN530" s="272">
        <f t="shared" si="500"/>
        <v>0</v>
      </c>
      <c r="AO530" s="272">
        <f t="shared" si="500"/>
        <v>0</v>
      </c>
      <c r="AP530" s="272">
        <f t="shared" si="500"/>
        <v>0</v>
      </c>
      <c r="AQ530" s="272">
        <f t="shared" si="500"/>
        <v>0</v>
      </c>
      <c r="AR530" s="272">
        <f t="shared" si="500"/>
        <v>0</v>
      </c>
      <c r="AS530" s="272">
        <f t="shared" si="500"/>
        <v>0</v>
      </c>
      <c r="AT530" s="272">
        <f t="shared" si="500"/>
        <v>0</v>
      </c>
      <c r="AU530" s="272">
        <f t="shared" si="500"/>
        <v>0</v>
      </c>
      <c r="AV530" s="272">
        <f t="shared" si="500"/>
        <v>0</v>
      </c>
      <c r="AW530" s="272">
        <f t="shared" si="500"/>
        <v>0</v>
      </c>
      <c r="AX530" s="272">
        <f t="shared" si="500"/>
        <v>0</v>
      </c>
      <c r="AY530" s="272">
        <f t="shared" si="500"/>
        <v>0</v>
      </c>
      <c r="AZ530" s="272">
        <f t="shared" si="500"/>
        <v>0</v>
      </c>
      <c r="BA530" s="272">
        <f t="shared" si="500"/>
        <v>0</v>
      </c>
      <c r="BB530" s="272">
        <f t="shared" si="500"/>
        <v>0</v>
      </c>
      <c r="BC530" s="272">
        <f t="shared" si="500"/>
        <v>0</v>
      </c>
      <c r="BD530" s="272">
        <f t="shared" si="500"/>
        <v>0</v>
      </c>
      <c r="BE530" s="272">
        <f t="shared" si="500"/>
        <v>0</v>
      </c>
      <c r="BF530" s="272">
        <f t="shared" si="500"/>
        <v>0</v>
      </c>
      <c r="BG530" s="272">
        <f t="shared" si="500"/>
        <v>0</v>
      </c>
      <c r="BH530" s="272">
        <f t="shared" si="500"/>
        <v>0</v>
      </c>
      <c r="BI530" s="272">
        <f t="shared" si="500"/>
        <v>0</v>
      </c>
      <c r="BJ530" s="272">
        <f t="shared" si="500"/>
        <v>0</v>
      </c>
      <c r="BK530" s="272">
        <f t="shared" si="500"/>
        <v>0</v>
      </c>
      <c r="BL530" s="272">
        <f t="shared" si="500"/>
        <v>0</v>
      </c>
      <c r="BM530" s="272">
        <f t="shared" si="500"/>
        <v>0</v>
      </c>
      <c r="BN530" s="324">
        <f t="shared" si="500"/>
        <v>0</v>
      </c>
      <c r="BP530" s="536" t="s">
        <v>1223</v>
      </c>
      <c r="BQ530" s="1438" t="str">
        <f t="shared" si="497"/>
        <v>GHG_Peata = GHG_Peata-1 + (C114 * BUI_COL(51+((A114-1)*8)+((D114-1)*32)) - BUI_COL(51+((A114-1)*8)+((E114-1)*32)) + F114 / 100 * BUI_COL(51+((A114-1)*8)+((E114-1)*32)) * BUI_COL4 / (J114-I114+1) / 1000000</v>
      </c>
      <c r="BR530" s="1438"/>
      <c r="BS530" s="1438"/>
      <c r="BT530" s="1438"/>
      <c r="BU530" s="1438"/>
      <c r="BV530" s="1438"/>
      <c r="BW530" s="1438"/>
      <c r="BX530" s="1438"/>
      <c r="BY530" s="1438"/>
      <c r="BZ530" s="1438"/>
      <c r="CA530" s="1438"/>
      <c r="CB530" s="1438"/>
      <c r="CC530" s="1438"/>
      <c r="CD530" s="1438"/>
      <c r="CE530" s="1438"/>
      <c r="CF530" s="1438"/>
      <c r="CG530" s="1438"/>
      <c r="CH530" s="1438"/>
      <c r="CI530" s="1438"/>
      <c r="CJ530" s="1438"/>
      <c r="CK530" s="1438"/>
      <c r="CL530" s="918" t="s">
        <v>2489</v>
      </c>
      <c r="CM530" s="918" t="s">
        <v>2490</v>
      </c>
      <c r="CN530" s="918" t="s">
        <v>2556</v>
      </c>
      <c r="CO530" s="918" t="s">
        <v>1623</v>
      </c>
    </row>
    <row r="531" spans="32:93" ht="20.100000000000001" customHeight="1">
      <c r="AF531" s="1505"/>
      <c r="AG531" s="251" t="s">
        <v>1224</v>
      </c>
      <c r="AH531" s="251">
        <f>INDEX('DEFAULT DATA'!$VE$9:$VK$41,START!$C$3,5)</f>
        <v>403</v>
      </c>
      <c r="AI531" s="262">
        <f>INDEX('DEFAULT DATA'!$XC$9:$AFR$41,START!$C$3,(6+(($A$115-1)*8)+(($D$115-1)*32)))</f>
        <v>0</v>
      </c>
      <c r="AJ531" s="262">
        <f>INDEX('DEFAULT DATA'!$XC$9:$AFR$41,START!$C$3,(6+(($A$115-1)*8)+(($E$115-1)*32)))</f>
        <v>0</v>
      </c>
      <c r="AK531" s="345">
        <v>0</v>
      </c>
      <c r="AL531" s="272">
        <f t="shared" ref="AL531:BN531" si="501">IF(AND(AL$525&gt;($I$115+2020),AL$525&lt;($J$115+2022)),AK531+($C$115*(($AI$531-$AJ$531)+($F$115/100*$AJ$531))/($J$115-$I$115+1)*$AH$531/1000000),AK531)</f>
        <v>0</v>
      </c>
      <c r="AM531" s="272">
        <f t="shared" si="501"/>
        <v>0</v>
      </c>
      <c r="AN531" s="272">
        <f t="shared" si="501"/>
        <v>0</v>
      </c>
      <c r="AO531" s="272">
        <f t="shared" si="501"/>
        <v>0</v>
      </c>
      <c r="AP531" s="272">
        <f t="shared" si="501"/>
        <v>0</v>
      </c>
      <c r="AQ531" s="272">
        <f t="shared" si="501"/>
        <v>0</v>
      </c>
      <c r="AR531" s="272">
        <f t="shared" si="501"/>
        <v>0</v>
      </c>
      <c r="AS531" s="272">
        <f t="shared" si="501"/>
        <v>0</v>
      </c>
      <c r="AT531" s="272">
        <f t="shared" si="501"/>
        <v>0</v>
      </c>
      <c r="AU531" s="272">
        <f t="shared" si="501"/>
        <v>0</v>
      </c>
      <c r="AV531" s="272">
        <f t="shared" si="501"/>
        <v>0</v>
      </c>
      <c r="AW531" s="272">
        <f t="shared" si="501"/>
        <v>0</v>
      </c>
      <c r="AX531" s="272">
        <f t="shared" si="501"/>
        <v>0</v>
      </c>
      <c r="AY531" s="272">
        <f t="shared" si="501"/>
        <v>0</v>
      </c>
      <c r="AZ531" s="272">
        <f t="shared" si="501"/>
        <v>0</v>
      </c>
      <c r="BA531" s="272">
        <f t="shared" si="501"/>
        <v>0</v>
      </c>
      <c r="BB531" s="272">
        <f t="shared" si="501"/>
        <v>0</v>
      </c>
      <c r="BC531" s="272">
        <f t="shared" si="501"/>
        <v>0</v>
      </c>
      <c r="BD531" s="272">
        <f t="shared" si="501"/>
        <v>0</v>
      </c>
      <c r="BE531" s="272">
        <f t="shared" si="501"/>
        <v>0</v>
      </c>
      <c r="BF531" s="272">
        <f t="shared" si="501"/>
        <v>0</v>
      </c>
      <c r="BG531" s="272">
        <f t="shared" si="501"/>
        <v>0</v>
      </c>
      <c r="BH531" s="272">
        <f t="shared" si="501"/>
        <v>0</v>
      </c>
      <c r="BI531" s="272">
        <f t="shared" si="501"/>
        <v>0</v>
      </c>
      <c r="BJ531" s="272">
        <f t="shared" si="501"/>
        <v>0</v>
      </c>
      <c r="BK531" s="272">
        <f t="shared" si="501"/>
        <v>0</v>
      </c>
      <c r="BL531" s="272">
        <f t="shared" si="501"/>
        <v>0</v>
      </c>
      <c r="BM531" s="272">
        <f t="shared" si="501"/>
        <v>0</v>
      </c>
      <c r="BN531" s="324">
        <f t="shared" si="501"/>
        <v>0</v>
      </c>
      <c r="BP531" s="536" t="s">
        <v>1224</v>
      </c>
      <c r="BQ531" s="1438" t="str">
        <f t="shared" si="497"/>
        <v>GHG_Wooda = GHG_Wooda-1 + (C114 * BUI_COL(51+((A114-1)*8)+((D114-1)*32)) - BUI_COL(51+((A114-1)*8)+((E114-1)*32)) + F114 / 100 * BUI_COL(51+((A114-1)*8)+((E114-1)*32)) * BUI_COL5 / (J114-I114+1) / 1000000</v>
      </c>
      <c r="BR531" s="1438"/>
      <c r="BS531" s="1438"/>
      <c r="BT531" s="1438"/>
      <c r="BU531" s="1438"/>
      <c r="BV531" s="1438"/>
      <c r="BW531" s="1438"/>
      <c r="BX531" s="1438"/>
      <c r="BY531" s="1438"/>
      <c r="BZ531" s="1438"/>
      <c r="CA531" s="1438"/>
      <c r="CB531" s="1438"/>
      <c r="CC531" s="1438"/>
      <c r="CD531" s="1438"/>
      <c r="CE531" s="1438"/>
      <c r="CF531" s="1438"/>
      <c r="CG531" s="1438"/>
      <c r="CH531" s="1438"/>
      <c r="CI531" s="1438"/>
      <c r="CJ531" s="1438"/>
      <c r="CK531" s="1438"/>
      <c r="CL531" s="918" t="s">
        <v>2489</v>
      </c>
      <c r="CM531" s="918" t="s">
        <v>2490</v>
      </c>
      <c r="CN531" s="918" t="s">
        <v>2556</v>
      </c>
      <c r="CO531" s="918" t="s">
        <v>1624</v>
      </c>
    </row>
    <row r="532" spans="32:93" ht="20.100000000000001" customHeight="1">
      <c r="AF532" s="1505"/>
      <c r="AG532" s="251" t="s">
        <v>1225</v>
      </c>
      <c r="AH532" s="251">
        <f>INDEX('DEFAULT DATA'!$VE$9:$VK$41,START!$C$3,6)</f>
        <v>0</v>
      </c>
      <c r="AI532" s="262">
        <f>INDEX('DEFAULT DATA'!$XC$9:$AFR$41,START!$C$3,(7+(($A$115-1)*8)+(($D$115-1)*32)))</f>
        <v>12527.583454786321</v>
      </c>
      <c r="AJ532" s="262">
        <f>INDEX('DEFAULT DATA'!$XC$9:$AFR$41,START!$C$3,(7+(($A$115-1)*8)+(($E$115-1)*32)))</f>
        <v>2114.3204270539118</v>
      </c>
      <c r="AK532" s="345">
        <v>0</v>
      </c>
      <c r="AL532" s="272">
        <f t="shared" ref="AL532:BN532" si="502">IF(AND(AL$525&gt;($I$115+2020),AL$525&lt;($J$115+2022)),AK532+($C$115*(($AI$532-$AJ$532)+($F$115/100*$AJ$532))/($J$115-$I$115+1)*$AH$532/1000000),AK532)</f>
        <v>0</v>
      </c>
      <c r="AM532" s="272">
        <f t="shared" si="502"/>
        <v>0</v>
      </c>
      <c r="AN532" s="272">
        <f t="shared" si="502"/>
        <v>0</v>
      </c>
      <c r="AO532" s="272">
        <f t="shared" si="502"/>
        <v>0</v>
      </c>
      <c r="AP532" s="272">
        <f t="shared" si="502"/>
        <v>0</v>
      </c>
      <c r="AQ532" s="272">
        <f t="shared" si="502"/>
        <v>0</v>
      </c>
      <c r="AR532" s="272">
        <f t="shared" si="502"/>
        <v>0</v>
      </c>
      <c r="AS532" s="272">
        <f t="shared" si="502"/>
        <v>0</v>
      </c>
      <c r="AT532" s="272">
        <f t="shared" si="502"/>
        <v>0</v>
      </c>
      <c r="AU532" s="272">
        <f t="shared" si="502"/>
        <v>0</v>
      </c>
      <c r="AV532" s="272">
        <f t="shared" si="502"/>
        <v>0</v>
      </c>
      <c r="AW532" s="272">
        <f t="shared" si="502"/>
        <v>0</v>
      </c>
      <c r="AX532" s="272">
        <f t="shared" si="502"/>
        <v>0</v>
      </c>
      <c r="AY532" s="272">
        <f t="shared" si="502"/>
        <v>0</v>
      </c>
      <c r="AZ532" s="272">
        <f t="shared" si="502"/>
        <v>0</v>
      </c>
      <c r="BA532" s="272">
        <f t="shared" si="502"/>
        <v>0</v>
      </c>
      <c r="BB532" s="272">
        <f t="shared" si="502"/>
        <v>0</v>
      </c>
      <c r="BC532" s="272">
        <f t="shared" si="502"/>
        <v>0</v>
      </c>
      <c r="BD532" s="272">
        <f t="shared" si="502"/>
        <v>0</v>
      </c>
      <c r="BE532" s="272">
        <f t="shared" si="502"/>
        <v>0</v>
      </c>
      <c r="BF532" s="272">
        <f t="shared" si="502"/>
        <v>0</v>
      </c>
      <c r="BG532" s="272">
        <f t="shared" si="502"/>
        <v>0</v>
      </c>
      <c r="BH532" s="272">
        <f t="shared" si="502"/>
        <v>0</v>
      </c>
      <c r="BI532" s="272">
        <f t="shared" si="502"/>
        <v>0</v>
      </c>
      <c r="BJ532" s="272">
        <f t="shared" si="502"/>
        <v>0</v>
      </c>
      <c r="BK532" s="272">
        <f t="shared" si="502"/>
        <v>0</v>
      </c>
      <c r="BL532" s="272">
        <f t="shared" si="502"/>
        <v>0</v>
      </c>
      <c r="BM532" s="272">
        <f t="shared" si="502"/>
        <v>0</v>
      </c>
      <c r="BN532" s="324">
        <f t="shared" si="502"/>
        <v>0</v>
      </c>
      <c r="BP532" s="536" t="s">
        <v>1225</v>
      </c>
      <c r="BQ532" s="1438" t="str">
        <f t="shared" si="497"/>
        <v>GHG_Renewablea = GHG_Renewablea-1 + (C114 * BUI_COL(51+((A114-1)*8)+((D114-1)*32)) - BUI_COL(51+((A114-1)*8)+((E114-1)*32)) + F114 / 100 * BUI_COL(51+((A114-1)*8)+((E114-1)*32)) * BUI_COL6 / (J114-I114+1) / 1000000</v>
      </c>
      <c r="BR532" s="1438"/>
      <c r="BS532" s="1438"/>
      <c r="BT532" s="1438"/>
      <c r="BU532" s="1438"/>
      <c r="BV532" s="1438"/>
      <c r="BW532" s="1438"/>
      <c r="BX532" s="1438"/>
      <c r="BY532" s="1438"/>
      <c r="BZ532" s="1438"/>
      <c r="CA532" s="1438"/>
      <c r="CB532" s="1438"/>
      <c r="CC532" s="1438"/>
      <c r="CD532" s="1438"/>
      <c r="CE532" s="1438"/>
      <c r="CF532" s="1438"/>
      <c r="CG532" s="1438"/>
      <c r="CH532" s="1438"/>
      <c r="CI532" s="1438"/>
      <c r="CJ532" s="1438"/>
      <c r="CK532" s="1438"/>
      <c r="CL532" s="918" t="s">
        <v>2489</v>
      </c>
      <c r="CM532" s="918" t="s">
        <v>2490</v>
      </c>
      <c r="CN532" s="918" t="s">
        <v>2556</v>
      </c>
      <c r="CO532" s="918" t="s">
        <v>1625</v>
      </c>
    </row>
    <row r="533" spans="32:93" ht="20.100000000000001" customHeight="1" thickBot="1">
      <c r="AF533" s="1506"/>
      <c r="AG533" s="310" t="s">
        <v>1226</v>
      </c>
      <c r="AH533" s="310" t="s">
        <v>1497</v>
      </c>
      <c r="AI533" s="335">
        <f>INDEX('DEFAULT DATA'!$XC$9:$AFR$41,START!$C$3,(8+(($A$115-1)*8)+(($D$115-1)*32)))</f>
        <v>15033.100145743585</v>
      </c>
      <c r="AJ533" s="335">
        <f>INDEX('DEFAULT DATA'!$XC$9:$AFR$41,START!$C$3,(8+(($A$115-1)*8)+(($E$115-1)*32)))</f>
        <v>2537.1845124646939</v>
      </c>
      <c r="AK533" s="348">
        <v>0</v>
      </c>
      <c r="AL533" s="325">
        <f t="shared" ref="AL533:BN533" si="503">IF(AND(AL$525&gt;($I$115+2020),AL$525&lt;($J$115+2022)),AK533+($C$115*(($AI$533-$AJ$533)+($F$115/100*$AJ$533))/($J$115-$I$115+1)*AL$6/1000000),AK533)</f>
        <v>0</v>
      </c>
      <c r="AM533" s="325">
        <f t="shared" si="503"/>
        <v>0</v>
      </c>
      <c r="AN533" s="325">
        <f t="shared" si="503"/>
        <v>0</v>
      </c>
      <c r="AO533" s="325">
        <f t="shared" si="503"/>
        <v>0</v>
      </c>
      <c r="AP533" s="325">
        <f t="shared" si="503"/>
        <v>0</v>
      </c>
      <c r="AQ533" s="325">
        <f t="shared" si="503"/>
        <v>0</v>
      </c>
      <c r="AR533" s="325">
        <f t="shared" si="503"/>
        <v>0</v>
      </c>
      <c r="AS533" s="325">
        <f t="shared" si="503"/>
        <v>0</v>
      </c>
      <c r="AT533" s="325">
        <f t="shared" si="503"/>
        <v>7226.3666419933998</v>
      </c>
      <c r="AU533" s="325">
        <f t="shared" si="503"/>
        <v>14452.7332839868</v>
      </c>
      <c r="AV533" s="325">
        <f t="shared" si="503"/>
        <v>21679.099925980197</v>
      </c>
      <c r="AW533" s="325">
        <f t="shared" si="503"/>
        <v>28905.466567973599</v>
      </c>
      <c r="AX533" s="325">
        <f t="shared" si="503"/>
        <v>36131.833209967001</v>
      </c>
      <c r="AY533" s="325">
        <f t="shared" si="503"/>
        <v>43358.199851960402</v>
      </c>
      <c r="AZ533" s="325">
        <f t="shared" si="503"/>
        <v>43358.199851960402</v>
      </c>
      <c r="BA533" s="325">
        <f t="shared" si="503"/>
        <v>43358.199851960402</v>
      </c>
      <c r="BB533" s="325">
        <f t="shared" si="503"/>
        <v>43358.199851960402</v>
      </c>
      <c r="BC533" s="325">
        <f t="shared" si="503"/>
        <v>43358.199851960402</v>
      </c>
      <c r="BD533" s="325">
        <f t="shared" si="503"/>
        <v>43358.199851960402</v>
      </c>
      <c r="BE533" s="325">
        <f t="shared" si="503"/>
        <v>43358.199851960402</v>
      </c>
      <c r="BF533" s="325">
        <f t="shared" si="503"/>
        <v>43358.199851960402</v>
      </c>
      <c r="BG533" s="325">
        <f t="shared" si="503"/>
        <v>43358.199851960402</v>
      </c>
      <c r="BH533" s="325">
        <f t="shared" si="503"/>
        <v>43358.199851960402</v>
      </c>
      <c r="BI533" s="325">
        <f t="shared" si="503"/>
        <v>43358.199851960402</v>
      </c>
      <c r="BJ533" s="325">
        <f t="shared" si="503"/>
        <v>43358.199851960402</v>
      </c>
      <c r="BK533" s="325">
        <f t="shared" si="503"/>
        <v>43358.199851960402</v>
      </c>
      <c r="BL533" s="325">
        <f t="shared" si="503"/>
        <v>43358.199851960402</v>
      </c>
      <c r="BM533" s="325">
        <f t="shared" si="503"/>
        <v>43358.199851960402</v>
      </c>
      <c r="BN533" s="326">
        <f t="shared" si="503"/>
        <v>43358.199851960402</v>
      </c>
      <c r="BP533" s="536" t="s">
        <v>1226</v>
      </c>
      <c r="BQ533" s="1438" t="str">
        <f t="shared" si="497"/>
        <v>GHG_Heata = GHG_Heata-1 + (C114 * BUI_COL(51+((A114-1)*8)+((D114-1)*32)) - BUI_COL(51+((A114-1)*8)+((E114-1)*32)) + F114 / 100 * BUI_COL(51+((A114-1)*8)+((E114-1)*32)) * DISTRICT_HEATING_emission_factora (from row 5) / (J114-I114+1) / 1000000</v>
      </c>
      <c r="BR533" s="1438"/>
      <c r="BS533" s="1438"/>
      <c r="BT533" s="1438"/>
      <c r="BU533" s="1438"/>
      <c r="BV533" s="1438"/>
      <c r="BW533" s="1438"/>
      <c r="BX533" s="1438"/>
      <c r="BY533" s="1438"/>
      <c r="BZ533" s="1438"/>
      <c r="CA533" s="1438"/>
      <c r="CB533" s="1438"/>
      <c r="CC533" s="1438"/>
      <c r="CD533" s="1438"/>
      <c r="CE533" s="1438"/>
      <c r="CF533" s="1438"/>
      <c r="CG533" s="1438"/>
      <c r="CH533" s="1438"/>
      <c r="CI533" s="1438"/>
      <c r="CJ533" s="1438"/>
      <c r="CK533" s="1438"/>
      <c r="CL533" s="918" t="s">
        <v>2489</v>
      </c>
      <c r="CM533" s="918" t="s">
        <v>2490</v>
      </c>
      <c r="CN533" s="918" t="s">
        <v>2556</v>
      </c>
      <c r="CO533" s="918" t="s">
        <v>1882</v>
      </c>
    </row>
    <row r="534" spans="32:93" ht="20.100000000000001" customHeight="1">
      <c r="AF534" s="332"/>
      <c r="AG534" s="308" t="s">
        <v>310</v>
      </c>
      <c r="AH534" s="309"/>
      <c r="AI534" s="309"/>
      <c r="AJ534" s="309"/>
      <c r="AK534" s="342">
        <v>0</v>
      </c>
      <c r="AL534" s="327">
        <f>SUM(AL526:AL533)</f>
        <v>0</v>
      </c>
      <c r="AM534" s="327">
        <f t="shared" ref="AM534:BN534" si="504">SUM(AM526:AM533)</f>
        <v>0</v>
      </c>
      <c r="AN534" s="327">
        <f t="shared" si="504"/>
        <v>0</v>
      </c>
      <c r="AO534" s="327">
        <f t="shared" si="504"/>
        <v>0</v>
      </c>
      <c r="AP534" s="327">
        <f t="shared" si="504"/>
        <v>0</v>
      </c>
      <c r="AQ534" s="327">
        <f t="shared" si="504"/>
        <v>0</v>
      </c>
      <c r="AR534" s="327">
        <f t="shared" si="504"/>
        <v>0</v>
      </c>
      <c r="AS534" s="327">
        <f t="shared" si="504"/>
        <v>0</v>
      </c>
      <c r="AT534" s="327">
        <f t="shared" si="504"/>
        <v>11320.500916110725</v>
      </c>
      <c r="AU534" s="327">
        <f t="shared" si="504"/>
        <v>22516.448502970528</v>
      </c>
      <c r="AV534" s="327">
        <f t="shared" si="504"/>
        <v>33594.693193688217</v>
      </c>
      <c r="AW534" s="327">
        <f t="shared" si="504"/>
        <v>44561.708647551604</v>
      </c>
      <c r="AX534" s="327">
        <f t="shared" si="504"/>
        <v>55423.61247258768</v>
      </c>
      <c r="AY534" s="327">
        <f t="shared" si="504"/>
        <v>66186.185808381939</v>
      </c>
      <c r="AZ534" s="327">
        <f t="shared" si="504"/>
        <v>66186.185808381939</v>
      </c>
      <c r="BA534" s="327">
        <f t="shared" si="504"/>
        <v>66186.185808381939</v>
      </c>
      <c r="BB534" s="327">
        <f t="shared" si="504"/>
        <v>66186.185808381939</v>
      </c>
      <c r="BC534" s="327">
        <f t="shared" si="504"/>
        <v>66186.185808381939</v>
      </c>
      <c r="BD534" s="327">
        <f t="shared" si="504"/>
        <v>66186.185808381939</v>
      </c>
      <c r="BE534" s="327">
        <f t="shared" si="504"/>
        <v>66186.185808381939</v>
      </c>
      <c r="BF534" s="327">
        <f t="shared" si="504"/>
        <v>66186.185808381939</v>
      </c>
      <c r="BG534" s="327">
        <f t="shared" si="504"/>
        <v>66186.185808381939</v>
      </c>
      <c r="BH534" s="327">
        <f t="shared" si="504"/>
        <v>66186.185808381939</v>
      </c>
      <c r="BI534" s="327">
        <f t="shared" si="504"/>
        <v>66186.185808381939</v>
      </c>
      <c r="BJ534" s="327">
        <f t="shared" si="504"/>
        <v>66186.185808381939</v>
      </c>
      <c r="BK534" s="327">
        <f t="shared" si="504"/>
        <v>66186.185808381939</v>
      </c>
      <c r="BL534" s="327">
        <f t="shared" si="504"/>
        <v>66186.185808381939</v>
      </c>
      <c r="BM534" s="327">
        <f t="shared" si="504"/>
        <v>66186.185808381939</v>
      </c>
      <c r="BN534" s="327">
        <f t="shared" si="504"/>
        <v>66186.185808381939</v>
      </c>
    </row>
    <row r="536" spans="32:93" ht="20.100000000000001" customHeight="1" thickBot="1">
      <c r="AF536" s="333" t="s">
        <v>1473</v>
      </c>
      <c r="AG536" s="333"/>
      <c r="AH536" s="334" t="s">
        <v>977</v>
      </c>
      <c r="AI536" s="284" t="s">
        <v>1260</v>
      </c>
      <c r="AJ536" s="284" t="s">
        <v>1261</v>
      </c>
      <c r="AK536" s="346">
        <v>2021</v>
      </c>
      <c r="AL536" s="284">
        <v>2022</v>
      </c>
      <c r="AM536" s="284">
        <v>2023</v>
      </c>
      <c r="AN536" s="284">
        <v>2024</v>
      </c>
      <c r="AO536" s="284">
        <v>2025</v>
      </c>
      <c r="AP536" s="284">
        <v>2026</v>
      </c>
      <c r="AQ536" s="284">
        <v>2027</v>
      </c>
      <c r="AR536" s="284">
        <v>2028</v>
      </c>
      <c r="AS536" s="284">
        <v>2029</v>
      </c>
      <c r="AT536" s="284">
        <v>2030</v>
      </c>
      <c r="AU536" s="284">
        <v>2031</v>
      </c>
      <c r="AV536" s="284">
        <v>2032</v>
      </c>
      <c r="AW536" s="284">
        <v>2033</v>
      </c>
      <c r="AX536" s="284">
        <v>2034</v>
      </c>
      <c r="AY536" s="284">
        <v>2035</v>
      </c>
      <c r="AZ536" s="284">
        <v>2036</v>
      </c>
      <c r="BA536" s="284">
        <v>2037</v>
      </c>
      <c r="BB536" s="284">
        <v>2038</v>
      </c>
      <c r="BC536" s="284">
        <v>2039</v>
      </c>
      <c r="BD536" s="284">
        <v>2040</v>
      </c>
      <c r="BE536" s="284">
        <v>2041</v>
      </c>
      <c r="BF536" s="284">
        <v>2042</v>
      </c>
      <c r="BG536" s="284">
        <v>2043</v>
      </c>
      <c r="BH536" s="284">
        <v>2044</v>
      </c>
      <c r="BI536" s="284">
        <v>2045</v>
      </c>
      <c r="BJ536" s="284">
        <v>2046</v>
      </c>
      <c r="BK536" s="284">
        <v>2047</v>
      </c>
      <c r="BL536" s="284">
        <v>2048</v>
      </c>
      <c r="BM536" s="284">
        <v>2049</v>
      </c>
      <c r="BN536" s="284">
        <v>2050</v>
      </c>
      <c r="BQ536" s="279" t="s">
        <v>2559</v>
      </c>
      <c r="CL536" s="555" t="s">
        <v>2471</v>
      </c>
      <c r="CM536" s="17" t="s">
        <v>2472</v>
      </c>
      <c r="CN536" s="17" t="s">
        <v>2552</v>
      </c>
      <c r="CO536" s="412" t="s">
        <v>1598</v>
      </c>
    </row>
    <row r="537" spans="32:93" ht="20.100000000000001" customHeight="1">
      <c r="AF537" s="1504" t="str">
        <f>INDEX('MENU OPTIONS'!B27:B30,A116,1)</f>
        <v>Terraced</v>
      </c>
      <c r="AG537" s="286" t="s">
        <v>933</v>
      </c>
      <c r="AH537" s="286" t="s">
        <v>1496</v>
      </c>
      <c r="AI537" s="330">
        <f>INDEX('DEFAULT DATA'!$XC$9:$AFR$41,START!$C$3,(1+(($A$116-1)*8)+(($D$116-1)*32)))</f>
        <v>11208.110167832496</v>
      </c>
      <c r="AJ537" s="330">
        <f>INDEX('DEFAULT DATA'!$XC$9:$AFR$41,START!$C$3,(1+(($A$116-1)*8)+(($E$116-1)*32)))</f>
        <v>1891.6286897665766</v>
      </c>
      <c r="AK537" s="343">
        <v>0</v>
      </c>
      <c r="AL537" s="322">
        <f t="shared" ref="AL537:BN537" si="505">IF(AND(AL$536&gt;($I$116+2020),AL$536&lt;($J$116+2022)),AK537+(AL$5*($AI$537-$AJ$537)*$C$116*((100-$F$116)/100)/($J$116-$I$116+1)/1000000),AK537)</f>
        <v>0</v>
      </c>
      <c r="AM537" s="322">
        <f t="shared" si="505"/>
        <v>0</v>
      </c>
      <c r="AN537" s="322">
        <f t="shared" si="505"/>
        <v>0</v>
      </c>
      <c r="AO537" s="322">
        <f t="shared" si="505"/>
        <v>0</v>
      </c>
      <c r="AP537" s="322">
        <f t="shared" si="505"/>
        <v>0</v>
      </c>
      <c r="AQ537" s="322">
        <f t="shared" si="505"/>
        <v>0</v>
      </c>
      <c r="AR537" s="322">
        <f t="shared" si="505"/>
        <v>0</v>
      </c>
      <c r="AS537" s="322">
        <f t="shared" si="505"/>
        <v>0</v>
      </c>
      <c r="AT537" s="322">
        <f t="shared" si="505"/>
        <v>0</v>
      </c>
      <c r="AU537" s="322">
        <f t="shared" si="505"/>
        <v>0</v>
      </c>
      <c r="AV537" s="322">
        <f t="shared" si="505"/>
        <v>0</v>
      </c>
      <c r="AW537" s="322">
        <f t="shared" si="505"/>
        <v>0</v>
      </c>
      <c r="AX537" s="322">
        <f t="shared" si="505"/>
        <v>0</v>
      </c>
      <c r="AY537" s="322">
        <f t="shared" si="505"/>
        <v>0</v>
      </c>
      <c r="AZ537" s="322">
        <f t="shared" si="505"/>
        <v>0</v>
      </c>
      <c r="BA537" s="322">
        <f t="shared" si="505"/>
        <v>0</v>
      </c>
      <c r="BB537" s="322">
        <f t="shared" si="505"/>
        <v>0</v>
      </c>
      <c r="BC537" s="322">
        <f t="shared" si="505"/>
        <v>0</v>
      </c>
      <c r="BD537" s="322">
        <f t="shared" si="505"/>
        <v>0</v>
      </c>
      <c r="BE537" s="322">
        <f t="shared" si="505"/>
        <v>0</v>
      </c>
      <c r="BF537" s="322">
        <f t="shared" si="505"/>
        <v>0</v>
      </c>
      <c r="BG537" s="322">
        <f t="shared" si="505"/>
        <v>0</v>
      </c>
      <c r="BH537" s="322">
        <f t="shared" si="505"/>
        <v>0</v>
      </c>
      <c r="BI537" s="322">
        <f t="shared" si="505"/>
        <v>0</v>
      </c>
      <c r="BJ537" s="322">
        <f t="shared" si="505"/>
        <v>0</v>
      </c>
      <c r="BK537" s="322">
        <f t="shared" si="505"/>
        <v>0</v>
      </c>
      <c r="BL537" s="322">
        <f t="shared" si="505"/>
        <v>0</v>
      </c>
      <c r="BM537" s="322">
        <f t="shared" si="505"/>
        <v>0</v>
      </c>
      <c r="BN537" s="323">
        <f t="shared" si="505"/>
        <v>0</v>
      </c>
      <c r="BP537" s="536" t="s">
        <v>933</v>
      </c>
      <c r="BQ537" s="1438" t="str">
        <f>CONCATENATE("GHG_",BP537,"a = GHG_",BP537,"a-1 + (C115 * ",CL537," - ",CM537," + F115 / 100 * ",CM537," * ",CO537," / (",CN537,") / 1000000")</f>
        <v>GHG_Electricitya = GHG_Electricitya-1 + (C115 * BUI_COL(51+((A115-1)*8)+((D115-1)*32)) - BUI_COL(51+((A115-1)*8)+((E115-1)*32)) + F115 / 100 * BUI_COL(51+((A115-1)*8)+((E115-1)*32)) * GRID_ELECTRICITY_emission_factora (from row4) / (J115-I115+1) / 1000000</v>
      </c>
      <c r="BR537" s="1438"/>
      <c r="BS537" s="1438"/>
      <c r="BT537" s="1438"/>
      <c r="BU537" s="1438"/>
      <c r="BV537" s="1438"/>
      <c r="BW537" s="1438"/>
      <c r="BX537" s="1438"/>
      <c r="BY537" s="1438"/>
      <c r="BZ537" s="1438"/>
      <c r="CA537" s="1438"/>
      <c r="CB537" s="1438"/>
      <c r="CC537" s="1438"/>
      <c r="CD537" s="1438"/>
      <c r="CE537" s="1438"/>
      <c r="CF537" s="1438"/>
      <c r="CG537" s="1438"/>
      <c r="CH537" s="1438"/>
      <c r="CI537" s="1438"/>
      <c r="CJ537" s="1438"/>
      <c r="CK537" s="1438"/>
      <c r="CL537" s="918" t="s">
        <v>2491</v>
      </c>
      <c r="CM537" s="918" t="s">
        <v>2492</v>
      </c>
      <c r="CN537" s="918" t="s">
        <v>2560</v>
      </c>
      <c r="CO537" s="918" t="s">
        <v>1881</v>
      </c>
    </row>
    <row r="538" spans="32:93" ht="20.100000000000001" customHeight="1">
      <c r="AF538" s="1505"/>
      <c r="AG538" s="251" t="s">
        <v>1220</v>
      </c>
      <c r="AH538" s="251">
        <f>INDEX('DEFAULT DATA'!$VE$9:$VK$41,START!$C$3,1)</f>
        <v>202</v>
      </c>
      <c r="AI538" s="262">
        <f>INDEX('DEFAULT DATA'!$XC$9:$AFR$41,START!$C$3,(2+(($A$116-1)*8)+(($D$116-1)*32)))</f>
        <v>311.33639355090264</v>
      </c>
      <c r="AJ538" s="262">
        <f>INDEX('DEFAULT DATA'!$XC$9:$AFR$41,START!$C$3,(2+(($A$116-1)*8)+(($E$116-1)*32)))</f>
        <v>0</v>
      </c>
      <c r="AK538" s="345">
        <v>0</v>
      </c>
      <c r="AL538" s="272">
        <f t="shared" ref="AL538:BN538" si="506">IF(AND(AL$536&gt;($I$116+2020),AL$536&lt;($J$116+2022)),AK538+($AH$538*($AI$538-$AJ$538)*$C$116*((100-$F$116)/100)/($J$116-$I$116+1)/1000000),AK538)</f>
        <v>0</v>
      </c>
      <c r="AM538" s="272">
        <f t="shared" si="506"/>
        <v>0</v>
      </c>
      <c r="AN538" s="272">
        <f t="shared" si="506"/>
        <v>0</v>
      </c>
      <c r="AO538" s="272">
        <f t="shared" si="506"/>
        <v>0</v>
      </c>
      <c r="AP538" s="272">
        <f t="shared" si="506"/>
        <v>0</v>
      </c>
      <c r="AQ538" s="272">
        <f t="shared" si="506"/>
        <v>0</v>
      </c>
      <c r="AR538" s="272">
        <f t="shared" si="506"/>
        <v>0</v>
      </c>
      <c r="AS538" s="272">
        <f t="shared" si="506"/>
        <v>0</v>
      </c>
      <c r="AT538" s="272">
        <f t="shared" si="506"/>
        <v>0</v>
      </c>
      <c r="AU538" s="272">
        <f t="shared" si="506"/>
        <v>0</v>
      </c>
      <c r="AV538" s="272">
        <f t="shared" si="506"/>
        <v>0</v>
      </c>
      <c r="AW538" s="272">
        <f t="shared" si="506"/>
        <v>0</v>
      </c>
      <c r="AX538" s="272">
        <f t="shared" si="506"/>
        <v>0</v>
      </c>
      <c r="AY538" s="272">
        <f t="shared" si="506"/>
        <v>0</v>
      </c>
      <c r="AZ538" s="272">
        <f t="shared" si="506"/>
        <v>0</v>
      </c>
      <c r="BA538" s="272">
        <f t="shared" si="506"/>
        <v>0</v>
      </c>
      <c r="BB538" s="272">
        <f t="shared" si="506"/>
        <v>0</v>
      </c>
      <c r="BC538" s="272">
        <f t="shared" si="506"/>
        <v>0</v>
      </c>
      <c r="BD538" s="272">
        <f t="shared" si="506"/>
        <v>0</v>
      </c>
      <c r="BE538" s="272">
        <f t="shared" si="506"/>
        <v>0</v>
      </c>
      <c r="BF538" s="272">
        <f t="shared" si="506"/>
        <v>0</v>
      </c>
      <c r="BG538" s="272">
        <f t="shared" si="506"/>
        <v>0</v>
      </c>
      <c r="BH538" s="272">
        <f t="shared" si="506"/>
        <v>0</v>
      </c>
      <c r="BI538" s="272">
        <f t="shared" si="506"/>
        <v>0</v>
      </c>
      <c r="BJ538" s="272">
        <f t="shared" si="506"/>
        <v>0</v>
      </c>
      <c r="BK538" s="272">
        <f t="shared" si="506"/>
        <v>0</v>
      </c>
      <c r="BL538" s="272">
        <f t="shared" si="506"/>
        <v>0</v>
      </c>
      <c r="BM538" s="272">
        <f t="shared" si="506"/>
        <v>0</v>
      </c>
      <c r="BN538" s="324">
        <f t="shared" si="506"/>
        <v>0</v>
      </c>
      <c r="BP538" s="536" t="s">
        <v>1220</v>
      </c>
      <c r="BQ538" s="1438" t="str">
        <f t="shared" ref="BQ538:BQ544" si="507">CONCATENATE("GHG_",BP538,"a = GHG_",BP538,"a-1 + (C115 * ",CL538," - ",CM538," + F115 / 100 * ",CM538," * ",CO538," / (J115-I115+1) / 1000000")</f>
        <v>GHG_Gasa = GHG_Gasa-1 + (C115 * BUI_COL(51+((A115-1)*8)+((D115-1)*32)) - BUI_COL(51+((A115-1)*8)+((E115-1)*32)) + F115 / 100 * BUI_COL(51+((A115-1)*8)+((E115-1)*32)) * BUI_COL1 / (J115-I115+1) / 1000000</v>
      </c>
      <c r="BR538" s="1438"/>
      <c r="BS538" s="1438"/>
      <c r="BT538" s="1438"/>
      <c r="BU538" s="1438"/>
      <c r="BV538" s="1438"/>
      <c r="BW538" s="1438"/>
      <c r="BX538" s="1438"/>
      <c r="BY538" s="1438"/>
      <c r="BZ538" s="1438"/>
      <c r="CA538" s="1438"/>
      <c r="CB538" s="1438"/>
      <c r="CC538" s="1438"/>
      <c r="CD538" s="1438"/>
      <c r="CE538" s="1438"/>
      <c r="CF538" s="1438"/>
      <c r="CG538" s="1438"/>
      <c r="CH538" s="1438"/>
      <c r="CI538" s="1438"/>
      <c r="CJ538" s="1438"/>
      <c r="CK538" s="1438"/>
      <c r="CL538" s="918" t="s">
        <v>2491</v>
      </c>
      <c r="CM538" s="918" t="s">
        <v>2492</v>
      </c>
      <c r="CN538" s="918" t="s">
        <v>2560</v>
      </c>
      <c r="CO538" s="918" t="s">
        <v>1248</v>
      </c>
    </row>
    <row r="539" spans="32:93" ht="20.100000000000001" customHeight="1">
      <c r="AF539" s="1505"/>
      <c r="AG539" s="251" t="s">
        <v>1221</v>
      </c>
      <c r="AH539" s="251">
        <f>INDEX('DEFAULT DATA'!$VE$9:$VK$41,START!$C$3,2)</f>
        <v>279</v>
      </c>
      <c r="AI539" s="262">
        <f>INDEX('DEFAULT DATA'!$XC$9:$AFR$41,START!$C$3,(3+(($A$116-1)*8)+(($D$116-1)*32)))</f>
        <v>2490.6911484072211</v>
      </c>
      <c r="AJ539" s="262">
        <f>INDEX('DEFAULT DATA'!$XC$9:$AFR$41,START!$C$3,(3+(($A$116-1)*8)+(($E$116-1)*32)))</f>
        <v>0</v>
      </c>
      <c r="AK539" s="345">
        <v>0</v>
      </c>
      <c r="AL539" s="272">
        <f t="shared" ref="AL539:BN539" si="508">IF(AND(AL$536&gt;($I$116+2020),AL$536&lt;($J$116+2022)),AK539+($AH$539*($AI$539-$AJ$539)*$C$116*((100-$F$116)/100)/($J$116-$I$116+1)/1000000),AK539)</f>
        <v>0</v>
      </c>
      <c r="AM539" s="272">
        <f t="shared" si="508"/>
        <v>0</v>
      </c>
      <c r="AN539" s="272">
        <f t="shared" si="508"/>
        <v>0</v>
      </c>
      <c r="AO539" s="272">
        <f t="shared" si="508"/>
        <v>0</v>
      </c>
      <c r="AP539" s="272">
        <f t="shared" si="508"/>
        <v>0</v>
      </c>
      <c r="AQ539" s="272">
        <f t="shared" si="508"/>
        <v>0</v>
      </c>
      <c r="AR539" s="272">
        <f t="shared" si="508"/>
        <v>0</v>
      </c>
      <c r="AS539" s="272">
        <f t="shared" si="508"/>
        <v>0</v>
      </c>
      <c r="AT539" s="272">
        <f t="shared" si="508"/>
        <v>0</v>
      </c>
      <c r="AU539" s="272">
        <f t="shared" si="508"/>
        <v>0</v>
      </c>
      <c r="AV539" s="272">
        <f t="shared" si="508"/>
        <v>0</v>
      </c>
      <c r="AW539" s="272">
        <f t="shared" si="508"/>
        <v>0</v>
      </c>
      <c r="AX539" s="272">
        <f t="shared" si="508"/>
        <v>0</v>
      </c>
      <c r="AY539" s="272">
        <f t="shared" si="508"/>
        <v>0</v>
      </c>
      <c r="AZ539" s="272">
        <f t="shared" si="508"/>
        <v>0</v>
      </c>
      <c r="BA539" s="272">
        <f t="shared" si="508"/>
        <v>0</v>
      </c>
      <c r="BB539" s="272">
        <f t="shared" si="508"/>
        <v>0</v>
      </c>
      <c r="BC539" s="272">
        <f t="shared" si="508"/>
        <v>0</v>
      </c>
      <c r="BD539" s="272">
        <f t="shared" si="508"/>
        <v>0</v>
      </c>
      <c r="BE539" s="272">
        <f t="shared" si="508"/>
        <v>0</v>
      </c>
      <c r="BF539" s="272">
        <f t="shared" si="508"/>
        <v>0</v>
      </c>
      <c r="BG539" s="272">
        <f t="shared" si="508"/>
        <v>0</v>
      </c>
      <c r="BH539" s="272">
        <f t="shared" si="508"/>
        <v>0</v>
      </c>
      <c r="BI539" s="272">
        <f t="shared" si="508"/>
        <v>0</v>
      </c>
      <c r="BJ539" s="272">
        <f t="shared" si="508"/>
        <v>0</v>
      </c>
      <c r="BK539" s="272">
        <f t="shared" si="508"/>
        <v>0</v>
      </c>
      <c r="BL539" s="272">
        <f t="shared" si="508"/>
        <v>0</v>
      </c>
      <c r="BM539" s="272">
        <f t="shared" si="508"/>
        <v>0</v>
      </c>
      <c r="BN539" s="324">
        <f t="shared" si="508"/>
        <v>0</v>
      </c>
      <c r="BP539" s="536" t="s">
        <v>1221</v>
      </c>
      <c r="BQ539" s="1438" t="str">
        <f t="shared" si="507"/>
        <v>GHG_Oila = GHG_Oila-1 + (C115 * BUI_COL(51+((A115-1)*8)+((D115-1)*32)) - BUI_COL(51+((A115-1)*8)+((E115-1)*32)) + F115 / 100 * BUI_COL(51+((A115-1)*8)+((E115-1)*32)) * BUI_COL2 / (J115-I115+1) / 1000000</v>
      </c>
      <c r="BR539" s="1438"/>
      <c r="BS539" s="1438"/>
      <c r="BT539" s="1438"/>
      <c r="BU539" s="1438"/>
      <c r="BV539" s="1438"/>
      <c r="BW539" s="1438"/>
      <c r="BX539" s="1438"/>
      <c r="BY539" s="1438"/>
      <c r="BZ539" s="1438"/>
      <c r="CA539" s="1438"/>
      <c r="CB539" s="1438"/>
      <c r="CC539" s="1438"/>
      <c r="CD539" s="1438"/>
      <c r="CE539" s="1438"/>
      <c r="CF539" s="1438"/>
      <c r="CG539" s="1438"/>
      <c r="CH539" s="1438"/>
      <c r="CI539" s="1438"/>
      <c r="CJ539" s="1438"/>
      <c r="CK539" s="1438"/>
      <c r="CL539" s="918" t="s">
        <v>2491</v>
      </c>
      <c r="CM539" s="918" t="s">
        <v>2492</v>
      </c>
      <c r="CN539" s="918" t="s">
        <v>2560</v>
      </c>
      <c r="CO539" s="918" t="s">
        <v>1621</v>
      </c>
    </row>
    <row r="540" spans="32:93" ht="20.100000000000001" customHeight="1">
      <c r="AF540" s="1505"/>
      <c r="AG540" s="251" t="s">
        <v>1222</v>
      </c>
      <c r="AH540" s="251">
        <f>INDEX('DEFAULT DATA'!$VE$9:$VK$41,START!$C$3,3)</f>
        <v>354</v>
      </c>
      <c r="AI540" s="262">
        <f>INDEX('DEFAULT DATA'!$XC$9:$AFR$41,START!$C$3,(4+(($A$116-1)*8)+(($D$116-1)*32)))</f>
        <v>0</v>
      </c>
      <c r="AJ540" s="262">
        <f>INDEX('DEFAULT DATA'!$XC$9:$AFR$41,START!$C$3,(4+(($A$116-1)*8)+(($E$116-1)*32)))</f>
        <v>0</v>
      </c>
      <c r="AK540" s="345">
        <v>0</v>
      </c>
      <c r="AL540" s="272">
        <f t="shared" ref="AL540:BN540" si="509">IF(AND(AL$536&gt;($I$116+2020),AL$536&lt;($J$116+2022)),AK540+($AH$540*($AI$540-$AJ$540)*$C$116*((100-$F$116)/100)/($J$116-$I$116+1)/1000000),AK540)</f>
        <v>0</v>
      </c>
      <c r="AM540" s="272">
        <f t="shared" si="509"/>
        <v>0</v>
      </c>
      <c r="AN540" s="272">
        <f t="shared" si="509"/>
        <v>0</v>
      </c>
      <c r="AO540" s="272">
        <f t="shared" si="509"/>
        <v>0</v>
      </c>
      <c r="AP540" s="272">
        <f t="shared" si="509"/>
        <v>0</v>
      </c>
      <c r="AQ540" s="272">
        <f t="shared" si="509"/>
        <v>0</v>
      </c>
      <c r="AR540" s="272">
        <f t="shared" si="509"/>
        <v>0</v>
      </c>
      <c r="AS540" s="272">
        <f t="shared" si="509"/>
        <v>0</v>
      </c>
      <c r="AT540" s="272">
        <f t="shared" si="509"/>
        <v>0</v>
      </c>
      <c r="AU540" s="272">
        <f t="shared" si="509"/>
        <v>0</v>
      </c>
      <c r="AV540" s="272">
        <f t="shared" si="509"/>
        <v>0</v>
      </c>
      <c r="AW540" s="272">
        <f t="shared" si="509"/>
        <v>0</v>
      </c>
      <c r="AX540" s="272">
        <f t="shared" si="509"/>
        <v>0</v>
      </c>
      <c r="AY540" s="272">
        <f t="shared" si="509"/>
        <v>0</v>
      </c>
      <c r="AZ540" s="272">
        <f t="shared" si="509"/>
        <v>0</v>
      </c>
      <c r="BA540" s="272">
        <f t="shared" si="509"/>
        <v>0</v>
      </c>
      <c r="BB540" s="272">
        <f t="shared" si="509"/>
        <v>0</v>
      </c>
      <c r="BC540" s="272">
        <f t="shared" si="509"/>
        <v>0</v>
      </c>
      <c r="BD540" s="272">
        <f t="shared" si="509"/>
        <v>0</v>
      </c>
      <c r="BE540" s="272">
        <f t="shared" si="509"/>
        <v>0</v>
      </c>
      <c r="BF540" s="272">
        <f t="shared" si="509"/>
        <v>0</v>
      </c>
      <c r="BG540" s="272">
        <f t="shared" si="509"/>
        <v>0</v>
      </c>
      <c r="BH540" s="272">
        <f t="shared" si="509"/>
        <v>0</v>
      </c>
      <c r="BI540" s="272">
        <f t="shared" si="509"/>
        <v>0</v>
      </c>
      <c r="BJ540" s="272">
        <f t="shared" si="509"/>
        <v>0</v>
      </c>
      <c r="BK540" s="272">
        <f t="shared" si="509"/>
        <v>0</v>
      </c>
      <c r="BL540" s="272">
        <f t="shared" si="509"/>
        <v>0</v>
      </c>
      <c r="BM540" s="272">
        <f t="shared" si="509"/>
        <v>0</v>
      </c>
      <c r="BN540" s="324">
        <f t="shared" si="509"/>
        <v>0</v>
      </c>
      <c r="BP540" s="536" t="s">
        <v>1222</v>
      </c>
      <c r="BQ540" s="1438" t="str">
        <f t="shared" si="507"/>
        <v>GHG_Coala = GHG_Coala-1 + (C115 * BUI_COL(51+((A115-1)*8)+((D115-1)*32)) - BUI_COL(51+((A115-1)*8)+((E115-1)*32)) + F115 / 100 * BUI_COL(51+((A115-1)*8)+((E115-1)*32)) * BUI_COL3 / (J115-I115+1) / 1000000</v>
      </c>
      <c r="BR540" s="1438"/>
      <c r="BS540" s="1438"/>
      <c r="BT540" s="1438"/>
      <c r="BU540" s="1438"/>
      <c r="BV540" s="1438"/>
      <c r="BW540" s="1438"/>
      <c r="BX540" s="1438"/>
      <c r="BY540" s="1438"/>
      <c r="BZ540" s="1438"/>
      <c r="CA540" s="1438"/>
      <c r="CB540" s="1438"/>
      <c r="CC540" s="1438"/>
      <c r="CD540" s="1438"/>
      <c r="CE540" s="1438"/>
      <c r="CF540" s="1438"/>
      <c r="CG540" s="1438"/>
      <c r="CH540" s="1438"/>
      <c r="CI540" s="1438"/>
      <c r="CJ540" s="1438"/>
      <c r="CK540" s="1438"/>
      <c r="CL540" s="918" t="s">
        <v>2491</v>
      </c>
      <c r="CM540" s="918" t="s">
        <v>2492</v>
      </c>
      <c r="CN540" s="918" t="s">
        <v>2560</v>
      </c>
      <c r="CO540" s="918" t="s">
        <v>1622</v>
      </c>
    </row>
    <row r="541" spans="32:93" ht="20.100000000000001" customHeight="1">
      <c r="AF541" s="1505"/>
      <c r="AG541" s="251" t="s">
        <v>1223</v>
      </c>
      <c r="AH541" s="251">
        <f>INDEX('DEFAULT DATA'!$VE$9:$VK$41,START!$C$3,4)</f>
        <v>0</v>
      </c>
      <c r="AI541" s="262">
        <f>INDEX('DEFAULT DATA'!$XC$9:$AFR$41,START!$C$3,(5+(($A$116-1)*8)+(($D$116-1)*32)))</f>
        <v>0</v>
      </c>
      <c r="AJ541" s="262">
        <f>INDEX('DEFAULT DATA'!$XC$9:$AFR$41,START!$C$3,(5+(($A$116-1)*8)+(($E$116-1)*32)))</f>
        <v>0</v>
      </c>
      <c r="AK541" s="345">
        <v>0</v>
      </c>
      <c r="AL541" s="272">
        <f t="shared" ref="AL541:BN541" si="510">IF(AND(AL$536&gt;($I$116+2020),AL$536&lt;($J$116+2022)),AK541+($AH$541*($AI$541-$AJ$541)*$C$116*((100-$F$116)/100)/($J$116-$I$116+1)/1000000),AK541)</f>
        <v>0</v>
      </c>
      <c r="AM541" s="272">
        <f t="shared" si="510"/>
        <v>0</v>
      </c>
      <c r="AN541" s="272">
        <f t="shared" si="510"/>
        <v>0</v>
      </c>
      <c r="AO541" s="272">
        <f t="shared" si="510"/>
        <v>0</v>
      </c>
      <c r="AP541" s="272">
        <f t="shared" si="510"/>
        <v>0</v>
      </c>
      <c r="AQ541" s="272">
        <f t="shared" si="510"/>
        <v>0</v>
      </c>
      <c r="AR541" s="272">
        <f t="shared" si="510"/>
        <v>0</v>
      </c>
      <c r="AS541" s="272">
        <f t="shared" si="510"/>
        <v>0</v>
      </c>
      <c r="AT541" s="272">
        <f t="shared" si="510"/>
        <v>0</v>
      </c>
      <c r="AU541" s="272">
        <f t="shared" si="510"/>
        <v>0</v>
      </c>
      <c r="AV541" s="272">
        <f t="shared" si="510"/>
        <v>0</v>
      </c>
      <c r="AW541" s="272">
        <f t="shared" si="510"/>
        <v>0</v>
      </c>
      <c r="AX541" s="272">
        <f t="shared" si="510"/>
        <v>0</v>
      </c>
      <c r="AY541" s="272">
        <f t="shared" si="510"/>
        <v>0</v>
      </c>
      <c r="AZ541" s="272">
        <f t="shared" si="510"/>
        <v>0</v>
      </c>
      <c r="BA541" s="272">
        <f t="shared" si="510"/>
        <v>0</v>
      </c>
      <c r="BB541" s="272">
        <f t="shared" si="510"/>
        <v>0</v>
      </c>
      <c r="BC541" s="272">
        <f t="shared" si="510"/>
        <v>0</v>
      </c>
      <c r="BD541" s="272">
        <f t="shared" si="510"/>
        <v>0</v>
      </c>
      <c r="BE541" s="272">
        <f t="shared" si="510"/>
        <v>0</v>
      </c>
      <c r="BF541" s="272">
        <f t="shared" si="510"/>
        <v>0</v>
      </c>
      <c r="BG541" s="272">
        <f t="shared" si="510"/>
        <v>0</v>
      </c>
      <c r="BH541" s="272">
        <f t="shared" si="510"/>
        <v>0</v>
      </c>
      <c r="BI541" s="272">
        <f t="shared" si="510"/>
        <v>0</v>
      </c>
      <c r="BJ541" s="272">
        <f t="shared" si="510"/>
        <v>0</v>
      </c>
      <c r="BK541" s="272">
        <f t="shared" si="510"/>
        <v>0</v>
      </c>
      <c r="BL541" s="272">
        <f t="shared" si="510"/>
        <v>0</v>
      </c>
      <c r="BM541" s="272">
        <f t="shared" si="510"/>
        <v>0</v>
      </c>
      <c r="BN541" s="324">
        <f t="shared" si="510"/>
        <v>0</v>
      </c>
      <c r="BP541" s="536" t="s">
        <v>1223</v>
      </c>
      <c r="BQ541" s="1438" t="str">
        <f t="shared" si="507"/>
        <v>GHG_Peata = GHG_Peata-1 + (C115 * BUI_COL(51+((A115-1)*8)+((D115-1)*32)) - BUI_COL(51+((A115-1)*8)+((E115-1)*32)) + F115 / 100 * BUI_COL(51+((A115-1)*8)+((E115-1)*32)) * BUI_COL4 / (J115-I115+1) / 1000000</v>
      </c>
      <c r="BR541" s="1438"/>
      <c r="BS541" s="1438"/>
      <c r="BT541" s="1438"/>
      <c r="BU541" s="1438"/>
      <c r="BV541" s="1438"/>
      <c r="BW541" s="1438"/>
      <c r="BX541" s="1438"/>
      <c r="BY541" s="1438"/>
      <c r="BZ541" s="1438"/>
      <c r="CA541" s="1438"/>
      <c r="CB541" s="1438"/>
      <c r="CC541" s="1438"/>
      <c r="CD541" s="1438"/>
      <c r="CE541" s="1438"/>
      <c r="CF541" s="1438"/>
      <c r="CG541" s="1438"/>
      <c r="CH541" s="1438"/>
      <c r="CI541" s="1438"/>
      <c r="CJ541" s="1438"/>
      <c r="CK541" s="1438"/>
      <c r="CL541" s="918" t="s">
        <v>2491</v>
      </c>
      <c r="CM541" s="918" t="s">
        <v>2492</v>
      </c>
      <c r="CN541" s="918" t="s">
        <v>2560</v>
      </c>
      <c r="CO541" s="918" t="s">
        <v>1623</v>
      </c>
    </row>
    <row r="542" spans="32:93" ht="20.100000000000001" customHeight="1">
      <c r="AF542" s="1505"/>
      <c r="AG542" s="251" t="s">
        <v>1224</v>
      </c>
      <c r="AH542" s="251">
        <f>INDEX('DEFAULT DATA'!$VE$9:$VK$41,START!$C$3,5)</f>
        <v>403</v>
      </c>
      <c r="AI542" s="262">
        <f>INDEX('DEFAULT DATA'!$XC$9:$AFR$41,START!$C$3,(6+(($A$116-1)*8)+(($D$116-1)*32)))</f>
        <v>0</v>
      </c>
      <c r="AJ542" s="262">
        <f>INDEX('DEFAULT DATA'!$XC$9:$AFR$41,START!$C$3,(6+(($A$116-1)*8)+(($E$116-1)*32)))</f>
        <v>0</v>
      </c>
      <c r="AK542" s="345">
        <v>0</v>
      </c>
      <c r="AL542" s="272">
        <f t="shared" ref="AL542:BN542" si="511">IF(AND(AL$536&gt;($I$116+2020),AL$536&lt;($J$116+2022)),AK542+($AH$542*($AI$542-$AJ$542)*$C$116*((100-$F$116)/100)/($J$116-$I$116+1)/1000000),AK542)</f>
        <v>0</v>
      </c>
      <c r="AM542" s="272">
        <f t="shared" si="511"/>
        <v>0</v>
      </c>
      <c r="AN542" s="272">
        <f t="shared" si="511"/>
        <v>0</v>
      </c>
      <c r="AO542" s="272">
        <f t="shared" si="511"/>
        <v>0</v>
      </c>
      <c r="AP542" s="272">
        <f t="shared" si="511"/>
        <v>0</v>
      </c>
      <c r="AQ542" s="272">
        <f t="shared" si="511"/>
        <v>0</v>
      </c>
      <c r="AR542" s="272">
        <f t="shared" si="511"/>
        <v>0</v>
      </c>
      <c r="AS542" s="272">
        <f t="shared" si="511"/>
        <v>0</v>
      </c>
      <c r="AT542" s="272">
        <f t="shared" si="511"/>
        <v>0</v>
      </c>
      <c r="AU542" s="272">
        <f t="shared" si="511"/>
        <v>0</v>
      </c>
      <c r="AV542" s="272">
        <f t="shared" si="511"/>
        <v>0</v>
      </c>
      <c r="AW542" s="272">
        <f t="shared" si="511"/>
        <v>0</v>
      </c>
      <c r="AX542" s="272">
        <f t="shared" si="511"/>
        <v>0</v>
      </c>
      <c r="AY542" s="272">
        <f t="shared" si="511"/>
        <v>0</v>
      </c>
      <c r="AZ542" s="272">
        <f t="shared" si="511"/>
        <v>0</v>
      </c>
      <c r="BA542" s="272">
        <f t="shared" si="511"/>
        <v>0</v>
      </c>
      <c r="BB542" s="272">
        <f t="shared" si="511"/>
        <v>0</v>
      </c>
      <c r="BC542" s="272">
        <f t="shared" si="511"/>
        <v>0</v>
      </c>
      <c r="BD542" s="272">
        <f t="shared" si="511"/>
        <v>0</v>
      </c>
      <c r="BE542" s="272">
        <f t="shared" si="511"/>
        <v>0</v>
      </c>
      <c r="BF542" s="272">
        <f t="shared" si="511"/>
        <v>0</v>
      </c>
      <c r="BG542" s="272">
        <f t="shared" si="511"/>
        <v>0</v>
      </c>
      <c r="BH542" s="272">
        <f t="shared" si="511"/>
        <v>0</v>
      </c>
      <c r="BI542" s="272">
        <f t="shared" si="511"/>
        <v>0</v>
      </c>
      <c r="BJ542" s="272">
        <f t="shared" si="511"/>
        <v>0</v>
      </c>
      <c r="BK542" s="272">
        <f t="shared" si="511"/>
        <v>0</v>
      </c>
      <c r="BL542" s="272">
        <f t="shared" si="511"/>
        <v>0</v>
      </c>
      <c r="BM542" s="272">
        <f t="shared" si="511"/>
        <v>0</v>
      </c>
      <c r="BN542" s="324">
        <f t="shared" si="511"/>
        <v>0</v>
      </c>
      <c r="BP542" s="536" t="s">
        <v>1224</v>
      </c>
      <c r="BQ542" s="1438" t="str">
        <f t="shared" si="507"/>
        <v>GHG_Wooda = GHG_Wooda-1 + (C115 * BUI_COL(51+((A115-1)*8)+((D115-1)*32)) - BUI_COL(51+((A115-1)*8)+((E115-1)*32)) + F115 / 100 * BUI_COL(51+((A115-1)*8)+((E115-1)*32)) * BUI_COL5 / (J115-I115+1) / 1000000</v>
      </c>
      <c r="BR542" s="1438"/>
      <c r="BS542" s="1438"/>
      <c r="BT542" s="1438"/>
      <c r="BU542" s="1438"/>
      <c r="BV542" s="1438"/>
      <c r="BW542" s="1438"/>
      <c r="BX542" s="1438"/>
      <c r="BY542" s="1438"/>
      <c r="BZ542" s="1438"/>
      <c r="CA542" s="1438"/>
      <c r="CB542" s="1438"/>
      <c r="CC542" s="1438"/>
      <c r="CD542" s="1438"/>
      <c r="CE542" s="1438"/>
      <c r="CF542" s="1438"/>
      <c r="CG542" s="1438"/>
      <c r="CH542" s="1438"/>
      <c r="CI542" s="1438"/>
      <c r="CJ542" s="1438"/>
      <c r="CK542" s="1438"/>
      <c r="CL542" s="918" t="s">
        <v>2491</v>
      </c>
      <c r="CM542" s="918" t="s">
        <v>2492</v>
      </c>
      <c r="CN542" s="918" t="s">
        <v>2560</v>
      </c>
      <c r="CO542" s="918" t="s">
        <v>1624</v>
      </c>
    </row>
    <row r="543" spans="32:93" ht="20.100000000000001" customHeight="1">
      <c r="AF543" s="1505"/>
      <c r="AG543" s="251" t="s">
        <v>1225</v>
      </c>
      <c r="AH543" s="251">
        <f>INDEX('DEFAULT DATA'!$VE$9:$VK$41,START!$C$3,6)</f>
        <v>0</v>
      </c>
      <c r="AI543" s="262">
        <f>INDEX('DEFAULT DATA'!$XC$9:$AFR$41,START!$C$3,(7+(($A$116-1)*8)+(($D$116-1)*32)))</f>
        <v>7783.4098387725662</v>
      </c>
      <c r="AJ543" s="262">
        <f>INDEX('DEFAULT DATA'!$XC$9:$AFR$41,START!$C$3,(7+(($A$116-1)*8)+(($E$116-1)*32)))</f>
        <v>1313.6310345601225</v>
      </c>
      <c r="AK543" s="345">
        <v>0</v>
      </c>
      <c r="AL543" s="272">
        <f t="shared" ref="AL543:BN543" si="512">IF(AND(AL$536&gt;($I$116+2020),AL$536&lt;($J$116+2022)),AK543+($AH$543*($AI$543-$AJ$543)*$C$116*((100-$F$116)/100)/($J$116-$I$116+1)/1000000),AK543)</f>
        <v>0</v>
      </c>
      <c r="AM543" s="272">
        <f t="shared" si="512"/>
        <v>0</v>
      </c>
      <c r="AN543" s="272">
        <f t="shared" si="512"/>
        <v>0</v>
      </c>
      <c r="AO543" s="272">
        <f t="shared" si="512"/>
        <v>0</v>
      </c>
      <c r="AP543" s="272">
        <f t="shared" si="512"/>
        <v>0</v>
      </c>
      <c r="AQ543" s="272">
        <f t="shared" si="512"/>
        <v>0</v>
      </c>
      <c r="AR543" s="272">
        <f t="shared" si="512"/>
        <v>0</v>
      </c>
      <c r="AS543" s="272">
        <f t="shared" si="512"/>
        <v>0</v>
      </c>
      <c r="AT543" s="272">
        <f t="shared" si="512"/>
        <v>0</v>
      </c>
      <c r="AU543" s="272">
        <f t="shared" si="512"/>
        <v>0</v>
      </c>
      <c r="AV543" s="272">
        <f t="shared" si="512"/>
        <v>0</v>
      </c>
      <c r="AW543" s="272">
        <f t="shared" si="512"/>
        <v>0</v>
      </c>
      <c r="AX543" s="272">
        <f t="shared" si="512"/>
        <v>0</v>
      </c>
      <c r="AY543" s="272">
        <f t="shared" si="512"/>
        <v>0</v>
      </c>
      <c r="AZ543" s="272">
        <f t="shared" si="512"/>
        <v>0</v>
      </c>
      <c r="BA543" s="272">
        <f t="shared" si="512"/>
        <v>0</v>
      </c>
      <c r="BB543" s="272">
        <f t="shared" si="512"/>
        <v>0</v>
      </c>
      <c r="BC543" s="272">
        <f t="shared" si="512"/>
        <v>0</v>
      </c>
      <c r="BD543" s="272">
        <f t="shared" si="512"/>
        <v>0</v>
      </c>
      <c r="BE543" s="272">
        <f t="shared" si="512"/>
        <v>0</v>
      </c>
      <c r="BF543" s="272">
        <f t="shared" si="512"/>
        <v>0</v>
      </c>
      <c r="BG543" s="272">
        <f t="shared" si="512"/>
        <v>0</v>
      </c>
      <c r="BH543" s="272">
        <f t="shared" si="512"/>
        <v>0</v>
      </c>
      <c r="BI543" s="272">
        <f t="shared" si="512"/>
        <v>0</v>
      </c>
      <c r="BJ543" s="272">
        <f t="shared" si="512"/>
        <v>0</v>
      </c>
      <c r="BK543" s="272">
        <f t="shared" si="512"/>
        <v>0</v>
      </c>
      <c r="BL543" s="272">
        <f t="shared" si="512"/>
        <v>0</v>
      </c>
      <c r="BM543" s="272">
        <f t="shared" si="512"/>
        <v>0</v>
      </c>
      <c r="BN543" s="324">
        <f t="shared" si="512"/>
        <v>0</v>
      </c>
      <c r="BP543" s="536" t="s">
        <v>1225</v>
      </c>
      <c r="BQ543" s="1438" t="str">
        <f t="shared" si="507"/>
        <v>GHG_Renewablea = GHG_Renewablea-1 + (C115 * BUI_COL(51+((A115-1)*8)+((D115-1)*32)) - BUI_COL(51+((A115-1)*8)+((E115-1)*32)) + F115 / 100 * BUI_COL(51+((A115-1)*8)+((E115-1)*32)) * BUI_COL6 / (J115-I115+1) / 1000000</v>
      </c>
      <c r="BR543" s="1438"/>
      <c r="BS543" s="1438"/>
      <c r="BT543" s="1438"/>
      <c r="BU543" s="1438"/>
      <c r="BV543" s="1438"/>
      <c r="BW543" s="1438"/>
      <c r="BX543" s="1438"/>
      <c r="BY543" s="1438"/>
      <c r="BZ543" s="1438"/>
      <c r="CA543" s="1438"/>
      <c r="CB543" s="1438"/>
      <c r="CC543" s="1438"/>
      <c r="CD543" s="1438"/>
      <c r="CE543" s="1438"/>
      <c r="CF543" s="1438"/>
      <c r="CG543" s="1438"/>
      <c r="CH543" s="1438"/>
      <c r="CI543" s="1438"/>
      <c r="CJ543" s="1438"/>
      <c r="CK543" s="1438"/>
      <c r="CL543" s="918" t="s">
        <v>2491</v>
      </c>
      <c r="CM543" s="918" t="s">
        <v>2492</v>
      </c>
      <c r="CN543" s="918" t="s">
        <v>2560</v>
      </c>
      <c r="CO543" s="918" t="s">
        <v>1625</v>
      </c>
    </row>
    <row r="544" spans="32:93" ht="20.100000000000001" customHeight="1" thickBot="1">
      <c r="AF544" s="1506"/>
      <c r="AG544" s="310" t="s">
        <v>1226</v>
      </c>
      <c r="AH544" s="310" t="s">
        <v>1497</v>
      </c>
      <c r="AI544" s="335">
        <f>INDEX('DEFAULT DATA'!$XC$9:$AFR$41,START!$C$3,(8+(($A$116-1)*8)+(($D$116-1)*32)))</f>
        <v>9340.0918065270798</v>
      </c>
      <c r="AJ544" s="335">
        <f>INDEX('DEFAULT DATA'!$XC$9:$AFR$41,START!$C$3,(8+(($A$116-1)*8)+(($E$116-1)*32)))</f>
        <v>1576.3572414721468</v>
      </c>
      <c r="AK544" s="348">
        <v>0</v>
      </c>
      <c r="AL544" s="325">
        <f t="shared" ref="AL544:BN544" si="513">IF(AND(AL$536&gt;($I$116+2020),AL$536&lt;($J$116+2022)),AK544+(AL$6*($AI$544-$AJ$544)*$C$116*((100-$F$116)/100)/($J$116-$I$116+1)/1000000),AK544)</f>
        <v>0</v>
      </c>
      <c r="AM544" s="325">
        <f t="shared" si="513"/>
        <v>0</v>
      </c>
      <c r="AN544" s="325">
        <f t="shared" si="513"/>
        <v>0</v>
      </c>
      <c r="AO544" s="325">
        <f t="shared" si="513"/>
        <v>0</v>
      </c>
      <c r="AP544" s="325">
        <f t="shared" si="513"/>
        <v>0</v>
      </c>
      <c r="AQ544" s="325">
        <f t="shared" si="513"/>
        <v>0</v>
      </c>
      <c r="AR544" s="325">
        <f t="shared" si="513"/>
        <v>0</v>
      </c>
      <c r="AS544" s="325">
        <f t="shared" si="513"/>
        <v>0</v>
      </c>
      <c r="AT544" s="325">
        <f t="shared" si="513"/>
        <v>0</v>
      </c>
      <c r="AU544" s="325">
        <f t="shared" si="513"/>
        <v>0</v>
      </c>
      <c r="AV544" s="325">
        <f t="shared" si="513"/>
        <v>0</v>
      </c>
      <c r="AW544" s="325">
        <f t="shared" si="513"/>
        <v>0</v>
      </c>
      <c r="AX544" s="325">
        <f t="shared" si="513"/>
        <v>0</v>
      </c>
      <c r="AY544" s="325">
        <f t="shared" si="513"/>
        <v>0</v>
      </c>
      <c r="AZ544" s="325">
        <f t="shared" si="513"/>
        <v>0</v>
      </c>
      <c r="BA544" s="325">
        <f t="shared" si="513"/>
        <v>0</v>
      </c>
      <c r="BB544" s="325">
        <f t="shared" si="513"/>
        <v>0</v>
      </c>
      <c r="BC544" s="325">
        <f t="shared" si="513"/>
        <v>0</v>
      </c>
      <c r="BD544" s="325">
        <f t="shared" si="513"/>
        <v>0</v>
      </c>
      <c r="BE544" s="325">
        <f t="shared" si="513"/>
        <v>0</v>
      </c>
      <c r="BF544" s="325">
        <f t="shared" si="513"/>
        <v>0</v>
      </c>
      <c r="BG544" s="325">
        <f t="shared" si="513"/>
        <v>0</v>
      </c>
      <c r="BH544" s="325">
        <f t="shared" si="513"/>
        <v>0</v>
      </c>
      <c r="BI544" s="325">
        <f t="shared" si="513"/>
        <v>0</v>
      </c>
      <c r="BJ544" s="325">
        <f t="shared" si="513"/>
        <v>0</v>
      </c>
      <c r="BK544" s="325">
        <f t="shared" si="513"/>
        <v>0</v>
      </c>
      <c r="BL544" s="325">
        <f t="shared" si="513"/>
        <v>0</v>
      </c>
      <c r="BM544" s="325">
        <f t="shared" si="513"/>
        <v>0</v>
      </c>
      <c r="BN544" s="326">
        <f t="shared" si="513"/>
        <v>0</v>
      </c>
      <c r="BP544" s="536" t="s">
        <v>1226</v>
      </c>
      <c r="BQ544" s="1438" t="str">
        <f t="shared" si="507"/>
        <v>GHG_Heata = GHG_Heata-1 + (C115 * BUI_COL(51+((A115-1)*8)+((D115-1)*32)) - BUI_COL(51+((A115-1)*8)+((E115-1)*32)) + F115 / 100 * BUI_COL(51+((A115-1)*8)+((E115-1)*32)) * DISTRICT_HEATING_emission_factora (from row 5) / (J115-I115+1) / 1000000</v>
      </c>
      <c r="BR544" s="1438"/>
      <c r="BS544" s="1438"/>
      <c r="BT544" s="1438"/>
      <c r="BU544" s="1438"/>
      <c r="BV544" s="1438"/>
      <c r="BW544" s="1438"/>
      <c r="BX544" s="1438"/>
      <c r="BY544" s="1438"/>
      <c r="BZ544" s="1438"/>
      <c r="CA544" s="1438"/>
      <c r="CB544" s="1438"/>
      <c r="CC544" s="1438"/>
      <c r="CD544" s="1438"/>
      <c r="CE544" s="1438"/>
      <c r="CF544" s="1438"/>
      <c r="CG544" s="1438"/>
      <c r="CH544" s="1438"/>
      <c r="CI544" s="1438"/>
      <c r="CJ544" s="1438"/>
      <c r="CK544" s="1438"/>
      <c r="CL544" s="918" t="s">
        <v>2491</v>
      </c>
      <c r="CM544" s="918" t="s">
        <v>2492</v>
      </c>
      <c r="CN544" s="918" t="s">
        <v>2560</v>
      </c>
      <c r="CO544" s="918" t="s">
        <v>1882</v>
      </c>
    </row>
    <row r="545" spans="32:93" ht="20.100000000000001" customHeight="1">
      <c r="AF545" s="332"/>
      <c r="AG545" s="308" t="s">
        <v>310</v>
      </c>
      <c r="AH545" s="309"/>
      <c r="AI545" s="309"/>
      <c r="AJ545" s="309"/>
      <c r="AK545" s="344">
        <v>0</v>
      </c>
      <c r="AL545" s="327">
        <f>SUM(AL537:AL544)</f>
        <v>0</v>
      </c>
      <c r="AM545" s="327">
        <f t="shared" ref="AM545:BN545" si="514">SUM(AM537:AM544)</f>
        <v>0</v>
      </c>
      <c r="AN545" s="327">
        <f t="shared" si="514"/>
        <v>0</v>
      </c>
      <c r="AO545" s="327">
        <f t="shared" si="514"/>
        <v>0</v>
      </c>
      <c r="AP545" s="327">
        <f t="shared" si="514"/>
        <v>0</v>
      </c>
      <c r="AQ545" s="327">
        <f t="shared" si="514"/>
        <v>0</v>
      </c>
      <c r="AR545" s="327">
        <f t="shared" si="514"/>
        <v>0</v>
      </c>
      <c r="AS545" s="327">
        <f t="shared" si="514"/>
        <v>0</v>
      </c>
      <c r="AT545" s="327">
        <f t="shared" si="514"/>
        <v>0</v>
      </c>
      <c r="AU545" s="327">
        <f t="shared" si="514"/>
        <v>0</v>
      </c>
      <c r="AV545" s="327">
        <f t="shared" si="514"/>
        <v>0</v>
      </c>
      <c r="AW545" s="327">
        <f t="shared" si="514"/>
        <v>0</v>
      </c>
      <c r="AX545" s="327">
        <f t="shared" si="514"/>
        <v>0</v>
      </c>
      <c r="AY545" s="327">
        <f t="shared" si="514"/>
        <v>0</v>
      </c>
      <c r="AZ545" s="327">
        <f t="shared" si="514"/>
        <v>0</v>
      </c>
      <c r="BA545" s="327">
        <f t="shared" si="514"/>
        <v>0</v>
      </c>
      <c r="BB545" s="327">
        <f t="shared" si="514"/>
        <v>0</v>
      </c>
      <c r="BC545" s="327">
        <f t="shared" si="514"/>
        <v>0</v>
      </c>
      <c r="BD545" s="327">
        <f t="shared" si="514"/>
        <v>0</v>
      </c>
      <c r="BE545" s="327">
        <f t="shared" si="514"/>
        <v>0</v>
      </c>
      <c r="BF545" s="327">
        <f t="shared" si="514"/>
        <v>0</v>
      </c>
      <c r="BG545" s="327">
        <f t="shared" si="514"/>
        <v>0</v>
      </c>
      <c r="BH545" s="327">
        <f t="shared" si="514"/>
        <v>0</v>
      </c>
      <c r="BI545" s="327">
        <f t="shared" si="514"/>
        <v>0</v>
      </c>
      <c r="BJ545" s="327">
        <f t="shared" si="514"/>
        <v>0</v>
      </c>
      <c r="BK545" s="327">
        <f t="shared" si="514"/>
        <v>0</v>
      </c>
      <c r="BL545" s="327">
        <f t="shared" si="514"/>
        <v>0</v>
      </c>
      <c r="BM545" s="327">
        <f t="shared" si="514"/>
        <v>0</v>
      </c>
      <c r="BN545" s="327">
        <f t="shared" si="514"/>
        <v>0</v>
      </c>
    </row>
    <row r="547" spans="32:93" ht="20.100000000000001" customHeight="1" thickBot="1">
      <c r="AF547" s="333" t="s">
        <v>1473</v>
      </c>
      <c r="AG547" s="333"/>
      <c r="AH547" s="334" t="s">
        <v>977</v>
      </c>
      <c r="AI547" s="284" t="s">
        <v>1260</v>
      </c>
      <c r="AJ547" s="284" t="s">
        <v>1261</v>
      </c>
      <c r="AK547" s="346">
        <v>2021</v>
      </c>
      <c r="AL547" s="284">
        <v>2022</v>
      </c>
      <c r="AM547" s="284">
        <v>2023</v>
      </c>
      <c r="AN547" s="284">
        <v>2024</v>
      </c>
      <c r="AO547" s="284">
        <v>2025</v>
      </c>
      <c r="AP547" s="284">
        <v>2026</v>
      </c>
      <c r="AQ547" s="284">
        <v>2027</v>
      </c>
      <c r="AR547" s="284">
        <v>2028</v>
      </c>
      <c r="AS547" s="284">
        <v>2029</v>
      </c>
      <c r="AT547" s="284">
        <v>2030</v>
      </c>
      <c r="AU547" s="284">
        <v>2031</v>
      </c>
      <c r="AV547" s="284">
        <v>2032</v>
      </c>
      <c r="AW547" s="284">
        <v>2033</v>
      </c>
      <c r="AX547" s="284">
        <v>2034</v>
      </c>
      <c r="AY547" s="284">
        <v>2035</v>
      </c>
      <c r="AZ547" s="284">
        <v>2036</v>
      </c>
      <c r="BA547" s="284">
        <v>2037</v>
      </c>
      <c r="BB547" s="284">
        <v>2038</v>
      </c>
      <c r="BC547" s="284">
        <v>2039</v>
      </c>
      <c r="BD547" s="284">
        <v>2040</v>
      </c>
      <c r="BE547" s="284">
        <v>2041</v>
      </c>
      <c r="BF547" s="284">
        <v>2042</v>
      </c>
      <c r="BG547" s="284">
        <v>2043</v>
      </c>
      <c r="BH547" s="284">
        <v>2044</v>
      </c>
      <c r="BI547" s="284">
        <v>2045</v>
      </c>
      <c r="BJ547" s="284">
        <v>2046</v>
      </c>
      <c r="BK547" s="284">
        <v>2047</v>
      </c>
      <c r="BL547" s="284">
        <v>2048</v>
      </c>
      <c r="BM547" s="284">
        <v>2049</v>
      </c>
      <c r="BN547" s="284">
        <v>2050</v>
      </c>
      <c r="BQ547" s="279" t="s">
        <v>2562</v>
      </c>
      <c r="CL547" s="555" t="s">
        <v>2471</v>
      </c>
      <c r="CM547" s="17" t="s">
        <v>2472</v>
      </c>
      <c r="CN547" s="17" t="s">
        <v>2552</v>
      </c>
      <c r="CO547" s="412" t="s">
        <v>1598</v>
      </c>
    </row>
    <row r="548" spans="32:93" ht="20.100000000000001" customHeight="1">
      <c r="AF548" s="1504" t="str">
        <f>INDEX('MENU OPTIONS'!B27:B30,A117,1)</f>
        <v>Terraced</v>
      </c>
      <c r="AG548" s="286" t="s">
        <v>933</v>
      </c>
      <c r="AH548" s="286" t="s">
        <v>1496</v>
      </c>
      <c r="AI548" s="330">
        <f>INDEX('DEFAULT DATA'!$XC$9:$AFR$41,START!$C$3,(1+(($A$117-1)*8)+(($D$117-1)*32)))</f>
        <v>11208.110167832496</v>
      </c>
      <c r="AJ548" s="330">
        <f>INDEX('DEFAULT DATA'!$XC$9:$AFR$41,START!$C$3,(1+(($A$117-1)*8)+(($E$117-1)*32)))</f>
        <v>1891.6286897665766</v>
      </c>
      <c r="AK548" s="343">
        <v>0</v>
      </c>
      <c r="AL548" s="322">
        <f t="shared" ref="AL548:BN548" si="515">IF(AND(AL$547&gt;($I$117+2020),AL$547&lt;($J$117+2022)),AK548+(AL$5*($AI$548-$AJ$548)*$C$117*((100-$F$117)/100)/($J$117-$I$117+1)/1000000),AK548)</f>
        <v>0</v>
      </c>
      <c r="AM548" s="322">
        <f t="shared" si="515"/>
        <v>0</v>
      </c>
      <c r="AN548" s="322">
        <f t="shared" si="515"/>
        <v>0</v>
      </c>
      <c r="AO548" s="322">
        <f t="shared" si="515"/>
        <v>0</v>
      </c>
      <c r="AP548" s="322">
        <f t="shared" si="515"/>
        <v>0</v>
      </c>
      <c r="AQ548" s="322">
        <f t="shared" si="515"/>
        <v>0</v>
      </c>
      <c r="AR548" s="322">
        <f t="shared" si="515"/>
        <v>0</v>
      </c>
      <c r="AS548" s="322">
        <f t="shared" si="515"/>
        <v>0</v>
      </c>
      <c r="AT548" s="322">
        <f t="shared" si="515"/>
        <v>0</v>
      </c>
      <c r="AU548" s="322">
        <f t="shared" si="515"/>
        <v>0</v>
      </c>
      <c r="AV548" s="322">
        <f t="shared" si="515"/>
        <v>0</v>
      </c>
      <c r="AW548" s="322">
        <f t="shared" si="515"/>
        <v>0</v>
      </c>
      <c r="AX548" s="322">
        <f t="shared" si="515"/>
        <v>0</v>
      </c>
      <c r="AY548" s="322">
        <f t="shared" si="515"/>
        <v>0</v>
      </c>
      <c r="AZ548" s="322">
        <f t="shared" si="515"/>
        <v>0</v>
      </c>
      <c r="BA548" s="322">
        <f t="shared" si="515"/>
        <v>0</v>
      </c>
      <c r="BB548" s="322">
        <f t="shared" si="515"/>
        <v>0</v>
      </c>
      <c r="BC548" s="322">
        <f t="shared" si="515"/>
        <v>0</v>
      </c>
      <c r="BD548" s="322">
        <f t="shared" si="515"/>
        <v>0</v>
      </c>
      <c r="BE548" s="322">
        <f t="shared" si="515"/>
        <v>0</v>
      </c>
      <c r="BF548" s="322">
        <f t="shared" si="515"/>
        <v>0</v>
      </c>
      <c r="BG548" s="322">
        <f t="shared" si="515"/>
        <v>0</v>
      </c>
      <c r="BH548" s="322">
        <f t="shared" si="515"/>
        <v>0</v>
      </c>
      <c r="BI548" s="322">
        <f t="shared" si="515"/>
        <v>0</v>
      </c>
      <c r="BJ548" s="322">
        <f t="shared" si="515"/>
        <v>0</v>
      </c>
      <c r="BK548" s="322">
        <f t="shared" si="515"/>
        <v>0</v>
      </c>
      <c r="BL548" s="322">
        <f t="shared" si="515"/>
        <v>0</v>
      </c>
      <c r="BM548" s="322">
        <f t="shared" si="515"/>
        <v>0</v>
      </c>
      <c r="BN548" s="323">
        <f t="shared" si="515"/>
        <v>0</v>
      </c>
      <c r="BP548" s="536" t="s">
        <v>933</v>
      </c>
      <c r="BQ548" s="1438" t="str">
        <f>CONCATENATE("GHG_",BP548,"a = GHG_",BP548,"a-1 + (C116 * ",CL548," - ",CM548," + F116 / 100 * ",CM548," * ",CO548," / (",CN548,") / 1000000")</f>
        <v>GHG_Electricitya = GHG_Electricitya-1 + (C116 * BUI_COL(51+((A116-1)*8)+((D116-1)*32)) - BUI_COL(51+((A116-1)*8)+((E116-1)*32)) + F116 / 100 * BUI_COL(51+((A116-1)*8)+((E116-1)*32)) * GRID_ELECTRICITY_emission_factora (from row4) / (J116-I116+1) / 1000000</v>
      </c>
      <c r="BR548" s="1438"/>
      <c r="BS548" s="1438"/>
      <c r="BT548" s="1438"/>
      <c r="BU548" s="1438"/>
      <c r="BV548" s="1438"/>
      <c r="BW548" s="1438"/>
      <c r="BX548" s="1438"/>
      <c r="BY548" s="1438"/>
      <c r="BZ548" s="1438"/>
      <c r="CA548" s="1438"/>
      <c r="CB548" s="1438"/>
      <c r="CC548" s="1438"/>
      <c r="CD548" s="1438"/>
      <c r="CE548" s="1438"/>
      <c r="CF548" s="1438"/>
      <c r="CG548" s="1438"/>
      <c r="CH548" s="1438"/>
      <c r="CI548" s="1438"/>
      <c r="CJ548" s="1438"/>
      <c r="CK548" s="1438"/>
      <c r="CL548" s="918" t="s">
        <v>2493</v>
      </c>
      <c r="CM548" s="918" t="s">
        <v>2494</v>
      </c>
      <c r="CN548" s="918" t="s">
        <v>2561</v>
      </c>
      <c r="CO548" s="918" t="s">
        <v>1881</v>
      </c>
    </row>
    <row r="549" spans="32:93" ht="20.100000000000001" customHeight="1">
      <c r="AF549" s="1505"/>
      <c r="AG549" s="251" t="s">
        <v>1220</v>
      </c>
      <c r="AH549" s="251">
        <f>INDEX('DEFAULT DATA'!$VE$9:$VK$41,START!$C$3,1)</f>
        <v>202</v>
      </c>
      <c r="AI549" s="262">
        <f>INDEX('DEFAULT DATA'!$XC$9:$AFR$41,START!$C$3,(2+(($A$117-1)*8)+(($D$117-1)*32)))</f>
        <v>311.33639355090264</v>
      </c>
      <c r="AJ549" s="262">
        <f>INDEX('DEFAULT DATA'!$XC$9:$AFR$41,START!$C$3,(2+(($A$117-1)*8)+(($E$117-1)*32)))</f>
        <v>0</v>
      </c>
      <c r="AK549" s="345">
        <v>0</v>
      </c>
      <c r="AL549" s="272">
        <f t="shared" ref="AL549:BN549" si="516">IF(AND(AL$547&gt;($I$117+2020),AL$547&lt;($J$117+2022)),AK549+($AH$549*($AI$549-$AJ$549)*$C$117*((100-$F$117)/100)/($J$117-$I$117+1)/1000000),AK549)</f>
        <v>0</v>
      </c>
      <c r="AM549" s="272">
        <f t="shared" si="516"/>
        <v>0</v>
      </c>
      <c r="AN549" s="272">
        <f t="shared" si="516"/>
        <v>0</v>
      </c>
      <c r="AO549" s="272">
        <f t="shared" si="516"/>
        <v>0</v>
      </c>
      <c r="AP549" s="272">
        <f t="shared" si="516"/>
        <v>0</v>
      </c>
      <c r="AQ549" s="272">
        <f t="shared" si="516"/>
        <v>0</v>
      </c>
      <c r="AR549" s="272">
        <f t="shared" si="516"/>
        <v>0</v>
      </c>
      <c r="AS549" s="272">
        <f t="shared" si="516"/>
        <v>0</v>
      </c>
      <c r="AT549" s="272">
        <f t="shared" si="516"/>
        <v>0</v>
      </c>
      <c r="AU549" s="272">
        <f t="shared" si="516"/>
        <v>0</v>
      </c>
      <c r="AV549" s="272">
        <f t="shared" si="516"/>
        <v>0</v>
      </c>
      <c r="AW549" s="272">
        <f t="shared" si="516"/>
        <v>0</v>
      </c>
      <c r="AX549" s="272">
        <f t="shared" si="516"/>
        <v>0</v>
      </c>
      <c r="AY549" s="272">
        <f t="shared" si="516"/>
        <v>0</v>
      </c>
      <c r="AZ549" s="272">
        <f t="shared" si="516"/>
        <v>0</v>
      </c>
      <c r="BA549" s="272">
        <f t="shared" si="516"/>
        <v>0</v>
      </c>
      <c r="BB549" s="272">
        <f t="shared" si="516"/>
        <v>0</v>
      </c>
      <c r="BC549" s="272">
        <f t="shared" si="516"/>
        <v>0</v>
      </c>
      <c r="BD549" s="272">
        <f t="shared" si="516"/>
        <v>0</v>
      </c>
      <c r="BE549" s="272">
        <f t="shared" si="516"/>
        <v>0</v>
      </c>
      <c r="BF549" s="272">
        <f t="shared" si="516"/>
        <v>0</v>
      </c>
      <c r="BG549" s="272">
        <f t="shared" si="516"/>
        <v>0</v>
      </c>
      <c r="BH549" s="272">
        <f t="shared" si="516"/>
        <v>0</v>
      </c>
      <c r="BI549" s="272">
        <f t="shared" si="516"/>
        <v>0</v>
      </c>
      <c r="BJ549" s="272">
        <f t="shared" si="516"/>
        <v>0</v>
      </c>
      <c r="BK549" s="272">
        <f t="shared" si="516"/>
        <v>0</v>
      </c>
      <c r="BL549" s="272">
        <f t="shared" si="516"/>
        <v>0</v>
      </c>
      <c r="BM549" s="272">
        <f t="shared" si="516"/>
        <v>0</v>
      </c>
      <c r="BN549" s="324">
        <f t="shared" si="516"/>
        <v>0</v>
      </c>
      <c r="BP549" s="536" t="s">
        <v>1220</v>
      </c>
      <c r="BQ549" s="1438" t="str">
        <f t="shared" ref="BQ549:BQ555" si="517">CONCATENATE("GHG_",BP549,"a = GHG_",BP549,"a-1 + (C116 * ",CL549," - ",CM549," + F116 / 100 * ",CM549," * ",CO549," / (",CN549,") / 1000000")</f>
        <v>GHG_Gasa = GHG_Gasa-1 + (C116 * BUI_COL(51+((A116-1)*8)+((D116-1)*32)) - BUI_COL(51+((A116-1)*8)+((E116-1)*32)) + F116 / 100 * BUI_COL(51+((A116-1)*8)+((E116-1)*32)) * BUI_COL1 / (J116-I116+1) / 1000000</v>
      </c>
      <c r="BR549" s="1438"/>
      <c r="BS549" s="1438"/>
      <c r="BT549" s="1438"/>
      <c r="BU549" s="1438"/>
      <c r="BV549" s="1438"/>
      <c r="BW549" s="1438"/>
      <c r="BX549" s="1438"/>
      <c r="BY549" s="1438"/>
      <c r="BZ549" s="1438"/>
      <c r="CA549" s="1438"/>
      <c r="CB549" s="1438"/>
      <c r="CC549" s="1438"/>
      <c r="CD549" s="1438"/>
      <c r="CE549" s="1438"/>
      <c r="CF549" s="1438"/>
      <c r="CG549" s="1438"/>
      <c r="CH549" s="1438"/>
      <c r="CI549" s="1438"/>
      <c r="CJ549" s="1438"/>
      <c r="CK549" s="1438"/>
      <c r="CL549" s="918" t="s">
        <v>2493</v>
      </c>
      <c r="CM549" s="918" t="s">
        <v>2494</v>
      </c>
      <c r="CN549" s="918" t="s">
        <v>2561</v>
      </c>
      <c r="CO549" s="918" t="s">
        <v>1248</v>
      </c>
    </row>
    <row r="550" spans="32:93" ht="20.100000000000001" customHeight="1">
      <c r="AF550" s="1505"/>
      <c r="AG550" s="251" t="s">
        <v>1221</v>
      </c>
      <c r="AH550" s="251">
        <f>INDEX('DEFAULT DATA'!$VE$9:$VK$41,START!$C$3,2)</f>
        <v>279</v>
      </c>
      <c r="AI550" s="262">
        <f>INDEX('DEFAULT DATA'!$XC$9:$AFR$41,START!$C$3,(3+(($A$117-1)*8)+(($D$117-1)*32)))</f>
        <v>2490.6911484072211</v>
      </c>
      <c r="AJ550" s="262">
        <f>INDEX('DEFAULT DATA'!$XC$9:$AFR$41,START!$C$3,(3+(($A$117-1)*8)+(($E$117-1)*32)))</f>
        <v>0</v>
      </c>
      <c r="AK550" s="345">
        <v>0</v>
      </c>
      <c r="AL550" s="272">
        <f t="shared" ref="AL550:BN550" si="518">IF(AND(AL$547&gt;($I$117+2020),AL$547&lt;($J$117+2022)),AK550+($AH$550*($AI$550-$AJ$550)*$C$117*((100-$F$117)/100)/($J$117-$I$117+1)/1000000),AK550)</f>
        <v>0</v>
      </c>
      <c r="AM550" s="272">
        <f t="shared" si="518"/>
        <v>0</v>
      </c>
      <c r="AN550" s="272">
        <f t="shared" si="518"/>
        <v>0</v>
      </c>
      <c r="AO550" s="272">
        <f t="shared" si="518"/>
        <v>0</v>
      </c>
      <c r="AP550" s="272">
        <f t="shared" si="518"/>
        <v>0</v>
      </c>
      <c r="AQ550" s="272">
        <f t="shared" si="518"/>
        <v>0</v>
      </c>
      <c r="AR550" s="272">
        <f t="shared" si="518"/>
        <v>0</v>
      </c>
      <c r="AS550" s="272">
        <f t="shared" si="518"/>
        <v>0</v>
      </c>
      <c r="AT550" s="272">
        <f t="shared" si="518"/>
        <v>0</v>
      </c>
      <c r="AU550" s="272">
        <f t="shared" si="518"/>
        <v>0</v>
      </c>
      <c r="AV550" s="272">
        <f t="shared" si="518"/>
        <v>0</v>
      </c>
      <c r="AW550" s="272">
        <f t="shared" si="518"/>
        <v>0</v>
      </c>
      <c r="AX550" s="272">
        <f t="shared" si="518"/>
        <v>0</v>
      </c>
      <c r="AY550" s="272">
        <f t="shared" si="518"/>
        <v>0</v>
      </c>
      <c r="AZ550" s="272">
        <f t="shared" si="518"/>
        <v>0</v>
      </c>
      <c r="BA550" s="272">
        <f t="shared" si="518"/>
        <v>0</v>
      </c>
      <c r="BB550" s="272">
        <f t="shared" si="518"/>
        <v>0</v>
      </c>
      <c r="BC550" s="272">
        <f t="shared" si="518"/>
        <v>0</v>
      </c>
      <c r="BD550" s="272">
        <f t="shared" si="518"/>
        <v>0</v>
      </c>
      <c r="BE550" s="272">
        <f t="shared" si="518"/>
        <v>0</v>
      </c>
      <c r="BF550" s="272">
        <f t="shared" si="518"/>
        <v>0</v>
      </c>
      <c r="BG550" s="272">
        <f t="shared" si="518"/>
        <v>0</v>
      </c>
      <c r="BH550" s="272">
        <f t="shared" si="518"/>
        <v>0</v>
      </c>
      <c r="BI550" s="272">
        <f t="shared" si="518"/>
        <v>0</v>
      </c>
      <c r="BJ550" s="272">
        <f t="shared" si="518"/>
        <v>0</v>
      </c>
      <c r="BK550" s="272">
        <f t="shared" si="518"/>
        <v>0</v>
      </c>
      <c r="BL550" s="272">
        <f t="shared" si="518"/>
        <v>0</v>
      </c>
      <c r="BM550" s="272">
        <f t="shared" si="518"/>
        <v>0</v>
      </c>
      <c r="BN550" s="324">
        <f t="shared" si="518"/>
        <v>0</v>
      </c>
      <c r="BP550" s="536" t="s">
        <v>1221</v>
      </c>
      <c r="BQ550" s="1438" t="str">
        <f t="shared" si="517"/>
        <v>GHG_Oila = GHG_Oila-1 + (C116 * BUI_COL(51+((A116-1)*8)+((D116-1)*32)) - BUI_COL(51+((A116-1)*8)+((E116-1)*32)) + F116 / 100 * BUI_COL(51+((A116-1)*8)+((E116-1)*32)) * BUI_COL2 / (J116-I116+1) / 1000000</v>
      </c>
      <c r="BR550" s="1438"/>
      <c r="BS550" s="1438"/>
      <c r="BT550" s="1438"/>
      <c r="BU550" s="1438"/>
      <c r="BV550" s="1438"/>
      <c r="BW550" s="1438"/>
      <c r="BX550" s="1438"/>
      <c r="BY550" s="1438"/>
      <c r="BZ550" s="1438"/>
      <c r="CA550" s="1438"/>
      <c r="CB550" s="1438"/>
      <c r="CC550" s="1438"/>
      <c r="CD550" s="1438"/>
      <c r="CE550" s="1438"/>
      <c r="CF550" s="1438"/>
      <c r="CG550" s="1438"/>
      <c r="CH550" s="1438"/>
      <c r="CI550" s="1438"/>
      <c r="CJ550" s="1438"/>
      <c r="CK550" s="1438"/>
      <c r="CL550" s="918" t="s">
        <v>2493</v>
      </c>
      <c r="CM550" s="918" t="s">
        <v>2494</v>
      </c>
      <c r="CN550" s="918" t="s">
        <v>2561</v>
      </c>
      <c r="CO550" s="918" t="s">
        <v>1621</v>
      </c>
    </row>
    <row r="551" spans="32:93" ht="20.100000000000001" customHeight="1">
      <c r="AF551" s="1505"/>
      <c r="AG551" s="251" t="s">
        <v>1222</v>
      </c>
      <c r="AH551" s="251">
        <f>INDEX('DEFAULT DATA'!$VE$9:$VK$41,START!$C$3,3)</f>
        <v>354</v>
      </c>
      <c r="AI551" s="262">
        <f>INDEX('DEFAULT DATA'!$XC$9:$AFR$41,START!$C$3,(4+(($A$117-1)*8)+(($D$117-1)*32)))</f>
        <v>0</v>
      </c>
      <c r="AJ551" s="262">
        <f>INDEX('DEFAULT DATA'!$XC$9:$AFR$41,START!$C$3,(4+(($A$117-1)*8)+(($E$117-1)*32)))</f>
        <v>0</v>
      </c>
      <c r="AK551" s="345">
        <v>0</v>
      </c>
      <c r="AL551" s="272">
        <f t="shared" ref="AL551:BN551" si="519">IF(AND(AL$547&gt;($I$117+2020),AL$547&lt;($J$117+2022)),AK551+($AH$551*($AI$551-$AJ$551)*$C$117*((100-$F$117)/100)/($J$117-$I$117+1)/1000000),AK551)</f>
        <v>0</v>
      </c>
      <c r="AM551" s="272">
        <f t="shared" si="519"/>
        <v>0</v>
      </c>
      <c r="AN551" s="272">
        <f t="shared" si="519"/>
        <v>0</v>
      </c>
      <c r="AO551" s="272">
        <f t="shared" si="519"/>
        <v>0</v>
      </c>
      <c r="AP551" s="272">
        <f t="shared" si="519"/>
        <v>0</v>
      </c>
      <c r="AQ551" s="272">
        <f t="shared" si="519"/>
        <v>0</v>
      </c>
      <c r="AR551" s="272">
        <f t="shared" si="519"/>
        <v>0</v>
      </c>
      <c r="AS551" s="272">
        <f t="shared" si="519"/>
        <v>0</v>
      </c>
      <c r="AT551" s="272">
        <f t="shared" si="519"/>
        <v>0</v>
      </c>
      <c r="AU551" s="272">
        <f t="shared" si="519"/>
        <v>0</v>
      </c>
      <c r="AV551" s="272">
        <f t="shared" si="519"/>
        <v>0</v>
      </c>
      <c r="AW551" s="272">
        <f t="shared" si="519"/>
        <v>0</v>
      </c>
      <c r="AX551" s="272">
        <f t="shared" si="519"/>
        <v>0</v>
      </c>
      <c r="AY551" s="272">
        <f t="shared" si="519"/>
        <v>0</v>
      </c>
      <c r="AZ551" s="272">
        <f t="shared" si="519"/>
        <v>0</v>
      </c>
      <c r="BA551" s="272">
        <f t="shared" si="519"/>
        <v>0</v>
      </c>
      <c r="BB551" s="272">
        <f t="shared" si="519"/>
        <v>0</v>
      </c>
      <c r="BC551" s="272">
        <f t="shared" si="519"/>
        <v>0</v>
      </c>
      <c r="BD551" s="272">
        <f t="shared" si="519"/>
        <v>0</v>
      </c>
      <c r="BE551" s="272">
        <f t="shared" si="519"/>
        <v>0</v>
      </c>
      <c r="BF551" s="272">
        <f t="shared" si="519"/>
        <v>0</v>
      </c>
      <c r="BG551" s="272">
        <f t="shared" si="519"/>
        <v>0</v>
      </c>
      <c r="BH551" s="272">
        <f t="shared" si="519"/>
        <v>0</v>
      </c>
      <c r="BI551" s="272">
        <f t="shared" si="519"/>
        <v>0</v>
      </c>
      <c r="BJ551" s="272">
        <f t="shared" si="519"/>
        <v>0</v>
      </c>
      <c r="BK551" s="272">
        <f t="shared" si="519"/>
        <v>0</v>
      </c>
      <c r="BL551" s="272">
        <f t="shared" si="519"/>
        <v>0</v>
      </c>
      <c r="BM551" s="272">
        <f t="shared" si="519"/>
        <v>0</v>
      </c>
      <c r="BN551" s="324">
        <f t="shared" si="519"/>
        <v>0</v>
      </c>
      <c r="BP551" s="536" t="s">
        <v>1222</v>
      </c>
      <c r="BQ551" s="1438" t="str">
        <f t="shared" si="517"/>
        <v>GHG_Coala = GHG_Coala-1 + (C116 * BUI_COL(51+((A116-1)*8)+((D116-1)*32)) - BUI_COL(51+((A116-1)*8)+((E116-1)*32)) + F116 / 100 * BUI_COL(51+((A116-1)*8)+((E116-1)*32)) * BUI_COL3 / (J116-I116+1) / 1000000</v>
      </c>
      <c r="BR551" s="1438"/>
      <c r="BS551" s="1438"/>
      <c r="BT551" s="1438"/>
      <c r="BU551" s="1438"/>
      <c r="BV551" s="1438"/>
      <c r="BW551" s="1438"/>
      <c r="BX551" s="1438"/>
      <c r="BY551" s="1438"/>
      <c r="BZ551" s="1438"/>
      <c r="CA551" s="1438"/>
      <c r="CB551" s="1438"/>
      <c r="CC551" s="1438"/>
      <c r="CD551" s="1438"/>
      <c r="CE551" s="1438"/>
      <c r="CF551" s="1438"/>
      <c r="CG551" s="1438"/>
      <c r="CH551" s="1438"/>
      <c r="CI551" s="1438"/>
      <c r="CJ551" s="1438"/>
      <c r="CK551" s="1438"/>
      <c r="CL551" s="918" t="s">
        <v>2493</v>
      </c>
      <c r="CM551" s="918" t="s">
        <v>2494</v>
      </c>
      <c r="CN551" s="918" t="s">
        <v>2561</v>
      </c>
      <c r="CO551" s="918" t="s">
        <v>1622</v>
      </c>
    </row>
    <row r="552" spans="32:93" ht="20.100000000000001" customHeight="1">
      <c r="AF552" s="1505"/>
      <c r="AG552" s="251" t="s">
        <v>1223</v>
      </c>
      <c r="AH552" s="251">
        <f>INDEX('DEFAULT DATA'!$VE$9:$VK$41,START!$C$3,4)</f>
        <v>0</v>
      </c>
      <c r="AI552" s="262">
        <f>INDEX('DEFAULT DATA'!$XC$9:$AFR$41,START!$C$3,(5+(($A$117-1)*8)+(($D$117-1)*32)))</f>
        <v>0</v>
      </c>
      <c r="AJ552" s="262">
        <f>INDEX('DEFAULT DATA'!$XC$9:$AFR$41,START!$C$3,(5+(($A$117-1)*8)+(($E$117-1)*32)))</f>
        <v>0</v>
      </c>
      <c r="AK552" s="345">
        <v>0</v>
      </c>
      <c r="AL552" s="272">
        <f t="shared" ref="AL552:BN552" si="520">IF(AND(AL$547&gt;($I$117+2020),AL$547&lt;($J$117+2022)),AK552+($AH$552*($AI$552-$AJ$552)*$C$117*((100-$F$117)/100)/($J$117-$I$117+1)/1000000),AK552)</f>
        <v>0</v>
      </c>
      <c r="AM552" s="272">
        <f t="shared" si="520"/>
        <v>0</v>
      </c>
      <c r="AN552" s="272">
        <f t="shared" si="520"/>
        <v>0</v>
      </c>
      <c r="AO552" s="272">
        <f t="shared" si="520"/>
        <v>0</v>
      </c>
      <c r="AP552" s="272">
        <f t="shared" si="520"/>
        <v>0</v>
      </c>
      <c r="AQ552" s="272">
        <f t="shared" si="520"/>
        <v>0</v>
      </c>
      <c r="AR552" s="272">
        <f t="shared" si="520"/>
        <v>0</v>
      </c>
      <c r="AS552" s="272">
        <f t="shared" si="520"/>
        <v>0</v>
      </c>
      <c r="AT552" s="272">
        <f t="shared" si="520"/>
        <v>0</v>
      </c>
      <c r="AU552" s="272">
        <f t="shared" si="520"/>
        <v>0</v>
      </c>
      <c r="AV552" s="272">
        <f t="shared" si="520"/>
        <v>0</v>
      </c>
      <c r="AW552" s="272">
        <f t="shared" si="520"/>
        <v>0</v>
      </c>
      <c r="AX552" s="272">
        <f t="shared" si="520"/>
        <v>0</v>
      </c>
      <c r="AY552" s="272">
        <f t="shared" si="520"/>
        <v>0</v>
      </c>
      <c r="AZ552" s="272">
        <f t="shared" si="520"/>
        <v>0</v>
      </c>
      <c r="BA552" s="272">
        <f t="shared" si="520"/>
        <v>0</v>
      </c>
      <c r="BB552" s="272">
        <f t="shared" si="520"/>
        <v>0</v>
      </c>
      <c r="BC552" s="272">
        <f t="shared" si="520"/>
        <v>0</v>
      </c>
      <c r="BD552" s="272">
        <f t="shared" si="520"/>
        <v>0</v>
      </c>
      <c r="BE552" s="272">
        <f t="shared" si="520"/>
        <v>0</v>
      </c>
      <c r="BF552" s="272">
        <f t="shared" si="520"/>
        <v>0</v>
      </c>
      <c r="BG552" s="272">
        <f t="shared" si="520"/>
        <v>0</v>
      </c>
      <c r="BH552" s="272">
        <f t="shared" si="520"/>
        <v>0</v>
      </c>
      <c r="BI552" s="272">
        <f t="shared" si="520"/>
        <v>0</v>
      </c>
      <c r="BJ552" s="272">
        <f t="shared" si="520"/>
        <v>0</v>
      </c>
      <c r="BK552" s="272">
        <f t="shared" si="520"/>
        <v>0</v>
      </c>
      <c r="BL552" s="272">
        <f t="shared" si="520"/>
        <v>0</v>
      </c>
      <c r="BM552" s="272">
        <f t="shared" si="520"/>
        <v>0</v>
      </c>
      <c r="BN552" s="324">
        <f t="shared" si="520"/>
        <v>0</v>
      </c>
      <c r="BP552" s="536" t="s">
        <v>1223</v>
      </c>
      <c r="BQ552" s="1438" t="str">
        <f t="shared" si="517"/>
        <v>GHG_Peata = GHG_Peata-1 + (C116 * BUI_COL(51+((A116-1)*8)+((D116-1)*32)) - BUI_COL(51+((A116-1)*8)+((E116-1)*32)) + F116 / 100 * BUI_COL(51+((A116-1)*8)+((E116-1)*32)) * BUI_COL4 / (J116-I116+1) / 1000000</v>
      </c>
      <c r="BR552" s="1438"/>
      <c r="BS552" s="1438"/>
      <c r="BT552" s="1438"/>
      <c r="BU552" s="1438"/>
      <c r="BV552" s="1438"/>
      <c r="BW552" s="1438"/>
      <c r="BX552" s="1438"/>
      <c r="BY552" s="1438"/>
      <c r="BZ552" s="1438"/>
      <c r="CA552" s="1438"/>
      <c r="CB552" s="1438"/>
      <c r="CC552" s="1438"/>
      <c r="CD552" s="1438"/>
      <c r="CE552" s="1438"/>
      <c r="CF552" s="1438"/>
      <c r="CG552" s="1438"/>
      <c r="CH552" s="1438"/>
      <c r="CI552" s="1438"/>
      <c r="CJ552" s="1438"/>
      <c r="CK552" s="1438"/>
      <c r="CL552" s="918" t="s">
        <v>2493</v>
      </c>
      <c r="CM552" s="918" t="s">
        <v>2494</v>
      </c>
      <c r="CN552" s="918" t="s">
        <v>2561</v>
      </c>
      <c r="CO552" s="918" t="s">
        <v>1623</v>
      </c>
    </row>
    <row r="553" spans="32:93" ht="20.100000000000001" customHeight="1">
      <c r="AF553" s="1505"/>
      <c r="AG553" s="251" t="s">
        <v>1224</v>
      </c>
      <c r="AH553" s="251">
        <f>INDEX('DEFAULT DATA'!$VE$9:$VK$41,START!$C$3,5)</f>
        <v>403</v>
      </c>
      <c r="AI553" s="262">
        <f>INDEX('DEFAULT DATA'!$XC$9:$AFR$41,START!$C$3,(6+(($A$117-1)*8)+(($D$117-1)*32)))</f>
        <v>0</v>
      </c>
      <c r="AJ553" s="262">
        <f>INDEX('DEFAULT DATA'!$XC$9:$AFR$41,START!$C$3,(6+(($A$117-1)*8)+(($E$117-1)*32)))</f>
        <v>0</v>
      </c>
      <c r="AK553" s="345">
        <v>0</v>
      </c>
      <c r="AL553" s="272">
        <f t="shared" ref="AL553:BN553" si="521">IF(AND(AL$547&gt;($I$117+2020),AL$547&lt;($J$117+2022)),AK553+($AH$553*($AI$553-$AJ$553)*$C$117*((100-$F$117)/100)/($J$117-$I$117+1)/1000000),AK553)</f>
        <v>0</v>
      </c>
      <c r="AM553" s="272">
        <f t="shared" si="521"/>
        <v>0</v>
      </c>
      <c r="AN553" s="272">
        <f t="shared" si="521"/>
        <v>0</v>
      </c>
      <c r="AO553" s="272">
        <f t="shared" si="521"/>
        <v>0</v>
      </c>
      <c r="AP553" s="272">
        <f t="shared" si="521"/>
        <v>0</v>
      </c>
      <c r="AQ553" s="272">
        <f t="shared" si="521"/>
        <v>0</v>
      </c>
      <c r="AR553" s="272">
        <f t="shared" si="521"/>
        <v>0</v>
      </c>
      <c r="AS553" s="272">
        <f t="shared" si="521"/>
        <v>0</v>
      </c>
      <c r="AT553" s="272">
        <f t="shared" si="521"/>
        <v>0</v>
      </c>
      <c r="AU553" s="272">
        <f t="shared" si="521"/>
        <v>0</v>
      </c>
      <c r="AV553" s="272">
        <f t="shared" si="521"/>
        <v>0</v>
      </c>
      <c r="AW553" s="272">
        <f t="shared" si="521"/>
        <v>0</v>
      </c>
      <c r="AX553" s="272">
        <f t="shared" si="521"/>
        <v>0</v>
      </c>
      <c r="AY553" s="272">
        <f t="shared" si="521"/>
        <v>0</v>
      </c>
      <c r="AZ553" s="272">
        <f t="shared" si="521"/>
        <v>0</v>
      </c>
      <c r="BA553" s="272">
        <f t="shared" si="521"/>
        <v>0</v>
      </c>
      <c r="BB553" s="272">
        <f t="shared" si="521"/>
        <v>0</v>
      </c>
      <c r="BC553" s="272">
        <f t="shared" si="521"/>
        <v>0</v>
      </c>
      <c r="BD553" s="272">
        <f t="shared" si="521"/>
        <v>0</v>
      </c>
      <c r="BE553" s="272">
        <f t="shared" si="521"/>
        <v>0</v>
      </c>
      <c r="BF553" s="272">
        <f t="shared" si="521"/>
        <v>0</v>
      </c>
      <c r="BG553" s="272">
        <f t="shared" si="521"/>
        <v>0</v>
      </c>
      <c r="BH553" s="272">
        <f t="shared" si="521"/>
        <v>0</v>
      </c>
      <c r="BI553" s="272">
        <f t="shared" si="521"/>
        <v>0</v>
      </c>
      <c r="BJ553" s="272">
        <f t="shared" si="521"/>
        <v>0</v>
      </c>
      <c r="BK553" s="272">
        <f t="shared" si="521"/>
        <v>0</v>
      </c>
      <c r="BL553" s="272">
        <f t="shared" si="521"/>
        <v>0</v>
      </c>
      <c r="BM553" s="272">
        <f t="shared" si="521"/>
        <v>0</v>
      </c>
      <c r="BN553" s="324">
        <f t="shared" si="521"/>
        <v>0</v>
      </c>
      <c r="BP553" s="536" t="s">
        <v>1224</v>
      </c>
      <c r="BQ553" s="1438" t="str">
        <f t="shared" si="517"/>
        <v>GHG_Wooda = GHG_Wooda-1 + (C116 * BUI_COL(51+((A116-1)*8)+((D116-1)*32)) - BUI_COL(51+((A116-1)*8)+((E116-1)*32)) + F116 / 100 * BUI_COL(51+((A116-1)*8)+((E116-1)*32)) * BUI_COL5 / (J116-I116+1) / 1000000</v>
      </c>
      <c r="BR553" s="1438"/>
      <c r="BS553" s="1438"/>
      <c r="BT553" s="1438"/>
      <c r="BU553" s="1438"/>
      <c r="BV553" s="1438"/>
      <c r="BW553" s="1438"/>
      <c r="BX553" s="1438"/>
      <c r="BY553" s="1438"/>
      <c r="BZ553" s="1438"/>
      <c r="CA553" s="1438"/>
      <c r="CB553" s="1438"/>
      <c r="CC553" s="1438"/>
      <c r="CD553" s="1438"/>
      <c r="CE553" s="1438"/>
      <c r="CF553" s="1438"/>
      <c r="CG553" s="1438"/>
      <c r="CH553" s="1438"/>
      <c r="CI553" s="1438"/>
      <c r="CJ553" s="1438"/>
      <c r="CK553" s="1438"/>
      <c r="CL553" s="918" t="s">
        <v>2493</v>
      </c>
      <c r="CM553" s="918" t="s">
        <v>2494</v>
      </c>
      <c r="CN553" s="918" t="s">
        <v>2561</v>
      </c>
      <c r="CO553" s="918" t="s">
        <v>1624</v>
      </c>
    </row>
    <row r="554" spans="32:93" ht="20.100000000000001" customHeight="1">
      <c r="AF554" s="1505"/>
      <c r="AG554" s="251" t="s">
        <v>1225</v>
      </c>
      <c r="AH554" s="251">
        <f>INDEX('DEFAULT DATA'!$VE$9:$VK$41,START!$C$3,6)</f>
        <v>0</v>
      </c>
      <c r="AI554" s="262">
        <f>INDEX('DEFAULT DATA'!$XC$9:$AFR$41,START!$C$3,(7+(($A$117-1)*8)+(($D$117-1)*32)))</f>
        <v>7783.4098387725662</v>
      </c>
      <c r="AJ554" s="262">
        <f>INDEX('DEFAULT DATA'!$XC$9:$AFR$41,START!$C$3,(7+(($A$117-1)*8)+(($E$117-1)*32)))</f>
        <v>1313.6310345601225</v>
      </c>
      <c r="AK554" s="345">
        <v>0</v>
      </c>
      <c r="AL554" s="272">
        <f t="shared" ref="AL554:BN554" si="522">IF(AND(AL$547&gt;($I$117+2020),AL$547&lt;($J$117+2022)),AK554+($AH$554*($AI$554-$AJ$554)*$C$117*((100-$F$117)/100)/($J$117-$I$117+1)/1000000),AK554)</f>
        <v>0</v>
      </c>
      <c r="AM554" s="272">
        <f t="shared" si="522"/>
        <v>0</v>
      </c>
      <c r="AN554" s="272">
        <f t="shared" si="522"/>
        <v>0</v>
      </c>
      <c r="AO554" s="272">
        <f t="shared" si="522"/>
        <v>0</v>
      </c>
      <c r="AP554" s="272">
        <f t="shared" si="522"/>
        <v>0</v>
      </c>
      <c r="AQ554" s="272">
        <f t="shared" si="522"/>
        <v>0</v>
      </c>
      <c r="AR554" s="272">
        <f t="shared" si="522"/>
        <v>0</v>
      </c>
      <c r="AS554" s="272">
        <f t="shared" si="522"/>
        <v>0</v>
      </c>
      <c r="AT554" s="272">
        <f t="shared" si="522"/>
        <v>0</v>
      </c>
      <c r="AU554" s="272">
        <f t="shared" si="522"/>
        <v>0</v>
      </c>
      <c r="AV554" s="272">
        <f t="shared" si="522"/>
        <v>0</v>
      </c>
      <c r="AW554" s="272">
        <f t="shared" si="522"/>
        <v>0</v>
      </c>
      <c r="AX554" s="272">
        <f t="shared" si="522"/>
        <v>0</v>
      </c>
      <c r="AY554" s="272">
        <f t="shared" si="522"/>
        <v>0</v>
      </c>
      <c r="AZ554" s="272">
        <f t="shared" si="522"/>
        <v>0</v>
      </c>
      <c r="BA554" s="272">
        <f t="shared" si="522"/>
        <v>0</v>
      </c>
      <c r="BB554" s="272">
        <f t="shared" si="522"/>
        <v>0</v>
      </c>
      <c r="BC554" s="272">
        <f t="shared" si="522"/>
        <v>0</v>
      </c>
      <c r="BD554" s="272">
        <f t="shared" si="522"/>
        <v>0</v>
      </c>
      <c r="BE554" s="272">
        <f t="shared" si="522"/>
        <v>0</v>
      </c>
      <c r="BF554" s="272">
        <f t="shared" si="522"/>
        <v>0</v>
      </c>
      <c r="BG554" s="272">
        <f t="shared" si="522"/>
        <v>0</v>
      </c>
      <c r="BH554" s="272">
        <f t="shared" si="522"/>
        <v>0</v>
      </c>
      <c r="BI554" s="272">
        <f t="shared" si="522"/>
        <v>0</v>
      </c>
      <c r="BJ554" s="272">
        <f t="shared" si="522"/>
        <v>0</v>
      </c>
      <c r="BK554" s="272">
        <f t="shared" si="522"/>
        <v>0</v>
      </c>
      <c r="BL554" s="272">
        <f t="shared" si="522"/>
        <v>0</v>
      </c>
      <c r="BM554" s="272">
        <f t="shared" si="522"/>
        <v>0</v>
      </c>
      <c r="BN554" s="324">
        <f t="shared" si="522"/>
        <v>0</v>
      </c>
      <c r="BP554" s="536" t="s">
        <v>1225</v>
      </c>
      <c r="BQ554" s="1438" t="str">
        <f t="shared" si="517"/>
        <v>GHG_Renewablea = GHG_Renewablea-1 + (C116 * BUI_COL(51+((A116-1)*8)+((D116-1)*32)) - BUI_COL(51+((A116-1)*8)+((E116-1)*32)) + F116 / 100 * BUI_COL(51+((A116-1)*8)+((E116-1)*32)) * BUI_COL6 / (J116-I116+1) / 1000000</v>
      </c>
      <c r="BR554" s="1438"/>
      <c r="BS554" s="1438"/>
      <c r="BT554" s="1438"/>
      <c r="BU554" s="1438"/>
      <c r="BV554" s="1438"/>
      <c r="BW554" s="1438"/>
      <c r="BX554" s="1438"/>
      <c r="BY554" s="1438"/>
      <c r="BZ554" s="1438"/>
      <c r="CA554" s="1438"/>
      <c r="CB554" s="1438"/>
      <c r="CC554" s="1438"/>
      <c r="CD554" s="1438"/>
      <c r="CE554" s="1438"/>
      <c r="CF554" s="1438"/>
      <c r="CG554" s="1438"/>
      <c r="CH554" s="1438"/>
      <c r="CI554" s="1438"/>
      <c r="CJ554" s="1438"/>
      <c r="CK554" s="1438"/>
      <c r="CL554" s="918" t="s">
        <v>2493</v>
      </c>
      <c r="CM554" s="918" t="s">
        <v>2494</v>
      </c>
      <c r="CN554" s="918" t="s">
        <v>2561</v>
      </c>
      <c r="CO554" s="918" t="s">
        <v>1625</v>
      </c>
    </row>
    <row r="555" spans="32:93" ht="20.100000000000001" customHeight="1" thickBot="1">
      <c r="AF555" s="1506"/>
      <c r="AG555" s="310" t="s">
        <v>1226</v>
      </c>
      <c r="AH555" s="310" t="s">
        <v>1497</v>
      </c>
      <c r="AI555" s="335">
        <f>INDEX('DEFAULT DATA'!$XC$9:$AFR$41,START!$C$3,(8+(($A$117-1)*8)+(($D$117-1)*32)))</f>
        <v>9340.0918065270798</v>
      </c>
      <c r="AJ555" s="335">
        <f>INDEX('DEFAULT DATA'!$XC$9:$AFR$41,START!$C$3,(8+(($A$117-1)*8)+(($E$117-1)*32)))</f>
        <v>1576.3572414721468</v>
      </c>
      <c r="AK555" s="348">
        <v>0</v>
      </c>
      <c r="AL555" s="325">
        <f t="shared" ref="AL555:BN555" si="523">IF(AND(AL$547&gt;($I$117+2020),AL$547&lt;($J$117+2022)),AK555+(AL$6*($AI$555-$AJ$555)*$C$117*((100-$F$117)/100)/($J$117-$I$117+1)/1000000),AK555)</f>
        <v>0</v>
      </c>
      <c r="AM555" s="325">
        <f t="shared" si="523"/>
        <v>0</v>
      </c>
      <c r="AN555" s="325">
        <f t="shared" si="523"/>
        <v>0</v>
      </c>
      <c r="AO555" s="325">
        <f t="shared" si="523"/>
        <v>0</v>
      </c>
      <c r="AP555" s="325">
        <f t="shared" si="523"/>
        <v>0</v>
      </c>
      <c r="AQ555" s="325">
        <f t="shared" si="523"/>
        <v>0</v>
      </c>
      <c r="AR555" s="325">
        <f t="shared" si="523"/>
        <v>0</v>
      </c>
      <c r="AS555" s="325">
        <f t="shared" si="523"/>
        <v>0</v>
      </c>
      <c r="AT555" s="325">
        <f t="shared" si="523"/>
        <v>0</v>
      </c>
      <c r="AU555" s="325">
        <f t="shared" si="523"/>
        <v>0</v>
      </c>
      <c r="AV555" s="325">
        <f t="shared" si="523"/>
        <v>0</v>
      </c>
      <c r="AW555" s="325">
        <f t="shared" si="523"/>
        <v>0</v>
      </c>
      <c r="AX555" s="325">
        <f t="shared" si="523"/>
        <v>0</v>
      </c>
      <c r="AY555" s="325">
        <f t="shared" si="523"/>
        <v>0</v>
      </c>
      <c r="AZ555" s="325">
        <f t="shared" si="523"/>
        <v>0</v>
      </c>
      <c r="BA555" s="325">
        <f t="shared" si="523"/>
        <v>0</v>
      </c>
      <c r="BB555" s="325">
        <f t="shared" si="523"/>
        <v>0</v>
      </c>
      <c r="BC555" s="325">
        <f t="shared" si="523"/>
        <v>0</v>
      </c>
      <c r="BD555" s="325">
        <f t="shared" si="523"/>
        <v>0</v>
      </c>
      <c r="BE555" s="325">
        <f t="shared" si="523"/>
        <v>0</v>
      </c>
      <c r="BF555" s="325">
        <f t="shared" si="523"/>
        <v>0</v>
      </c>
      <c r="BG555" s="325">
        <f t="shared" si="523"/>
        <v>0</v>
      </c>
      <c r="BH555" s="325">
        <f t="shared" si="523"/>
        <v>0</v>
      </c>
      <c r="BI555" s="325">
        <f t="shared" si="523"/>
        <v>0</v>
      </c>
      <c r="BJ555" s="325">
        <f t="shared" si="523"/>
        <v>0</v>
      </c>
      <c r="BK555" s="325">
        <f t="shared" si="523"/>
        <v>0</v>
      </c>
      <c r="BL555" s="325">
        <f t="shared" si="523"/>
        <v>0</v>
      </c>
      <c r="BM555" s="325">
        <f t="shared" si="523"/>
        <v>0</v>
      </c>
      <c r="BN555" s="326">
        <f t="shared" si="523"/>
        <v>0</v>
      </c>
      <c r="BP555" s="536" t="s">
        <v>1226</v>
      </c>
      <c r="BQ555" s="1438" t="str">
        <f t="shared" si="517"/>
        <v>GHG_Heata = GHG_Heata-1 + (C116 * BUI_COL(51+((A116-1)*8)+((D116-1)*32)) - BUI_COL(51+((A116-1)*8)+((E116-1)*32)) + F116 / 100 * BUI_COL(51+((A116-1)*8)+((E116-1)*32)) * DISTRICT_HEATING_emission_factora (from row 5) / (J116-I116+1) / 1000000</v>
      </c>
      <c r="BR555" s="1438"/>
      <c r="BS555" s="1438"/>
      <c r="BT555" s="1438"/>
      <c r="BU555" s="1438"/>
      <c r="BV555" s="1438"/>
      <c r="BW555" s="1438"/>
      <c r="BX555" s="1438"/>
      <c r="BY555" s="1438"/>
      <c r="BZ555" s="1438"/>
      <c r="CA555" s="1438"/>
      <c r="CB555" s="1438"/>
      <c r="CC555" s="1438"/>
      <c r="CD555" s="1438"/>
      <c r="CE555" s="1438"/>
      <c r="CF555" s="1438"/>
      <c r="CG555" s="1438"/>
      <c r="CH555" s="1438"/>
      <c r="CI555" s="1438"/>
      <c r="CJ555" s="1438"/>
      <c r="CK555" s="1438"/>
      <c r="CL555" s="918" t="s">
        <v>2493</v>
      </c>
      <c r="CM555" s="918" t="s">
        <v>2494</v>
      </c>
      <c r="CN555" s="918" t="s">
        <v>2561</v>
      </c>
      <c r="CO555" s="918" t="s">
        <v>1882</v>
      </c>
    </row>
    <row r="556" spans="32:93" ht="20.100000000000001" customHeight="1">
      <c r="AF556" s="332"/>
      <c r="AG556" s="308" t="s">
        <v>310</v>
      </c>
      <c r="AH556" s="309"/>
      <c r="AI556" s="309"/>
      <c r="AJ556" s="309"/>
      <c r="AK556" s="344">
        <v>0</v>
      </c>
      <c r="AL556" s="327">
        <f>SUM(AL548:AL555)</f>
        <v>0</v>
      </c>
      <c r="AM556" s="327">
        <f t="shared" ref="AM556:BN556" si="524">SUM(AM548:AM555)</f>
        <v>0</v>
      </c>
      <c r="AN556" s="327">
        <f t="shared" si="524"/>
        <v>0</v>
      </c>
      <c r="AO556" s="327">
        <f t="shared" si="524"/>
        <v>0</v>
      </c>
      <c r="AP556" s="327">
        <f t="shared" si="524"/>
        <v>0</v>
      </c>
      <c r="AQ556" s="327">
        <f t="shared" si="524"/>
        <v>0</v>
      </c>
      <c r="AR556" s="327">
        <f t="shared" si="524"/>
        <v>0</v>
      </c>
      <c r="AS556" s="327">
        <f t="shared" si="524"/>
        <v>0</v>
      </c>
      <c r="AT556" s="327">
        <f t="shared" si="524"/>
        <v>0</v>
      </c>
      <c r="AU556" s="327">
        <f t="shared" si="524"/>
        <v>0</v>
      </c>
      <c r="AV556" s="327">
        <f t="shared" si="524"/>
        <v>0</v>
      </c>
      <c r="AW556" s="327">
        <f t="shared" si="524"/>
        <v>0</v>
      </c>
      <c r="AX556" s="327">
        <f t="shared" si="524"/>
        <v>0</v>
      </c>
      <c r="AY556" s="327">
        <f t="shared" si="524"/>
        <v>0</v>
      </c>
      <c r="AZ556" s="327">
        <f t="shared" si="524"/>
        <v>0</v>
      </c>
      <c r="BA556" s="327">
        <f t="shared" si="524"/>
        <v>0</v>
      </c>
      <c r="BB556" s="327">
        <f t="shared" si="524"/>
        <v>0</v>
      </c>
      <c r="BC556" s="327">
        <f t="shared" si="524"/>
        <v>0</v>
      </c>
      <c r="BD556" s="327">
        <f t="shared" si="524"/>
        <v>0</v>
      </c>
      <c r="BE556" s="327">
        <f t="shared" si="524"/>
        <v>0</v>
      </c>
      <c r="BF556" s="327">
        <f t="shared" si="524"/>
        <v>0</v>
      </c>
      <c r="BG556" s="327">
        <f t="shared" si="524"/>
        <v>0</v>
      </c>
      <c r="BH556" s="327">
        <f t="shared" si="524"/>
        <v>0</v>
      </c>
      <c r="BI556" s="327">
        <f t="shared" si="524"/>
        <v>0</v>
      </c>
      <c r="BJ556" s="327">
        <f t="shared" si="524"/>
        <v>0</v>
      </c>
      <c r="BK556" s="327">
        <f t="shared" si="524"/>
        <v>0</v>
      </c>
      <c r="BL556" s="327">
        <f t="shared" si="524"/>
        <v>0</v>
      </c>
      <c r="BM556" s="327">
        <f t="shared" si="524"/>
        <v>0</v>
      </c>
      <c r="BN556" s="327">
        <f t="shared" si="524"/>
        <v>0</v>
      </c>
    </row>
    <row r="558" spans="32:93" ht="20.100000000000001" customHeight="1" thickBot="1">
      <c r="AF558" s="333" t="s">
        <v>1473</v>
      </c>
      <c r="AG558" s="333"/>
      <c r="AH558" s="334" t="s">
        <v>977</v>
      </c>
      <c r="AI558" s="284" t="s">
        <v>1260</v>
      </c>
      <c r="AJ558" s="284" t="s">
        <v>1261</v>
      </c>
      <c r="AK558" s="346">
        <v>2021</v>
      </c>
      <c r="AL558" s="284">
        <v>2022</v>
      </c>
      <c r="AM558" s="284">
        <v>2023</v>
      </c>
      <c r="AN558" s="284">
        <v>2024</v>
      </c>
      <c r="AO558" s="284">
        <v>2025</v>
      </c>
      <c r="AP558" s="284">
        <v>2026</v>
      </c>
      <c r="AQ558" s="284">
        <v>2027</v>
      </c>
      <c r="AR558" s="284">
        <v>2028</v>
      </c>
      <c r="AS558" s="284">
        <v>2029</v>
      </c>
      <c r="AT558" s="284">
        <v>2030</v>
      </c>
      <c r="AU558" s="284">
        <v>2031</v>
      </c>
      <c r="AV558" s="284">
        <v>2032</v>
      </c>
      <c r="AW558" s="284">
        <v>2033</v>
      </c>
      <c r="AX558" s="284">
        <v>2034</v>
      </c>
      <c r="AY558" s="284">
        <v>2035</v>
      </c>
      <c r="AZ558" s="284">
        <v>2036</v>
      </c>
      <c r="BA558" s="284">
        <v>2037</v>
      </c>
      <c r="BB558" s="284">
        <v>2038</v>
      </c>
      <c r="BC558" s="284">
        <v>2039</v>
      </c>
      <c r="BD558" s="284">
        <v>2040</v>
      </c>
      <c r="BE558" s="284">
        <v>2041</v>
      </c>
      <c r="BF558" s="284">
        <v>2042</v>
      </c>
      <c r="BG558" s="284">
        <v>2043</v>
      </c>
      <c r="BH558" s="284">
        <v>2044</v>
      </c>
      <c r="BI558" s="284">
        <v>2045</v>
      </c>
      <c r="BJ558" s="284">
        <v>2046</v>
      </c>
      <c r="BK558" s="284">
        <v>2047</v>
      </c>
      <c r="BL558" s="284">
        <v>2048</v>
      </c>
      <c r="BM558" s="284">
        <v>2049</v>
      </c>
      <c r="BN558" s="284">
        <v>2050</v>
      </c>
      <c r="BQ558" s="279" t="s">
        <v>2563</v>
      </c>
      <c r="CL558" s="555" t="s">
        <v>2471</v>
      </c>
      <c r="CM558" s="17" t="s">
        <v>2472</v>
      </c>
      <c r="CN558" s="17" t="s">
        <v>2552</v>
      </c>
      <c r="CO558" s="412" t="s">
        <v>1598</v>
      </c>
    </row>
    <row r="559" spans="32:93" ht="20.100000000000001" customHeight="1">
      <c r="AF559" s="1504" t="str">
        <f>INDEX('MENU OPTIONS'!B27:B30,A118,1)</f>
        <v>Terraced</v>
      </c>
      <c r="AG559" s="286" t="s">
        <v>933</v>
      </c>
      <c r="AH559" s="286" t="s">
        <v>1496</v>
      </c>
      <c r="AI559" s="330">
        <f>INDEX('DEFAULT DATA'!$XC$9:$AFR$41,START!$C$3,(1+(($A$118-1)*8)+(($D$118-1)*32)))</f>
        <v>11208.110167832496</v>
      </c>
      <c r="AJ559" s="330">
        <f>INDEX('DEFAULT DATA'!$XC$9:$AFR$41,START!$C$3,(1+(($A$118-1)*8)+(($E$118-1)*32)))</f>
        <v>1891.6286897665766</v>
      </c>
      <c r="AK559" s="343">
        <v>0</v>
      </c>
      <c r="AL559" s="322">
        <f t="shared" ref="AL559:BN559" si="525">IF(AND(AL$558&gt;($I$118+2020),AL$558&lt;($J$118+2022)),AK559+(AL$5*($AI$559-$AJ$559)*$C$118*((100-$F$118)/100)/($J$118-$I$118+1)/1000000),AK559)</f>
        <v>0</v>
      </c>
      <c r="AM559" s="322">
        <f t="shared" si="525"/>
        <v>0</v>
      </c>
      <c r="AN559" s="322">
        <f t="shared" si="525"/>
        <v>0</v>
      </c>
      <c r="AO559" s="322">
        <f t="shared" si="525"/>
        <v>0</v>
      </c>
      <c r="AP559" s="322">
        <f t="shared" si="525"/>
        <v>0</v>
      </c>
      <c r="AQ559" s="322">
        <f t="shared" si="525"/>
        <v>0</v>
      </c>
      <c r="AR559" s="322">
        <f t="shared" si="525"/>
        <v>0</v>
      </c>
      <c r="AS559" s="322">
        <f t="shared" si="525"/>
        <v>0</v>
      </c>
      <c r="AT559" s="322">
        <f t="shared" si="525"/>
        <v>0</v>
      </c>
      <c r="AU559" s="322">
        <f t="shared" si="525"/>
        <v>0</v>
      </c>
      <c r="AV559" s="322">
        <f t="shared" si="525"/>
        <v>0</v>
      </c>
      <c r="AW559" s="322">
        <f t="shared" si="525"/>
        <v>0</v>
      </c>
      <c r="AX559" s="322">
        <f t="shared" si="525"/>
        <v>0</v>
      </c>
      <c r="AY559" s="322">
        <f t="shared" si="525"/>
        <v>0</v>
      </c>
      <c r="AZ559" s="322">
        <f t="shared" si="525"/>
        <v>0</v>
      </c>
      <c r="BA559" s="322">
        <f t="shared" si="525"/>
        <v>0</v>
      </c>
      <c r="BB559" s="322">
        <f t="shared" si="525"/>
        <v>0</v>
      </c>
      <c r="BC559" s="322">
        <f t="shared" si="525"/>
        <v>0</v>
      </c>
      <c r="BD559" s="322">
        <f t="shared" si="525"/>
        <v>0</v>
      </c>
      <c r="BE559" s="322">
        <f t="shared" si="525"/>
        <v>0</v>
      </c>
      <c r="BF559" s="322">
        <f t="shared" si="525"/>
        <v>0</v>
      </c>
      <c r="BG559" s="322">
        <f t="shared" si="525"/>
        <v>0</v>
      </c>
      <c r="BH559" s="322">
        <f t="shared" si="525"/>
        <v>0</v>
      </c>
      <c r="BI559" s="322">
        <f t="shared" si="525"/>
        <v>0</v>
      </c>
      <c r="BJ559" s="322">
        <f t="shared" si="525"/>
        <v>0</v>
      </c>
      <c r="BK559" s="322">
        <f t="shared" si="525"/>
        <v>0</v>
      </c>
      <c r="BL559" s="322">
        <f t="shared" si="525"/>
        <v>0</v>
      </c>
      <c r="BM559" s="322">
        <f t="shared" si="525"/>
        <v>0</v>
      </c>
      <c r="BN559" s="323">
        <f t="shared" si="525"/>
        <v>0</v>
      </c>
      <c r="BP559" s="536" t="s">
        <v>933</v>
      </c>
      <c r="BQ559" s="1438" t="str">
        <f>CONCATENATE("GHG_",BP559,"a = GHG_",BP559,"a-1 + (C117 * ",CL559," - ",CM559," + F117 / 100 * ",CM559," * ",CO559," / (",CN559,") / 1000000")</f>
        <v>GHG_Electricitya = GHG_Electricitya-1 + (C117 * BUI_COL(51+((A117-1)*8)+((D117-1)*32)) - BUI_COL(51+((A117-1)*8)+((E117-1)*32)) + F117 / 100 * BUI_COL(51+((A117-1)*8)+((E117-1)*32)) * GRID_ELECTRICITY_emission_factora (from row4) / (J117-I117+1) / 1000000</v>
      </c>
      <c r="BR559" s="1438"/>
      <c r="BS559" s="1438"/>
      <c r="BT559" s="1438"/>
      <c r="BU559" s="1438"/>
      <c r="BV559" s="1438"/>
      <c r="BW559" s="1438"/>
      <c r="BX559" s="1438"/>
      <c r="BY559" s="1438"/>
      <c r="BZ559" s="1438"/>
      <c r="CA559" s="1438"/>
      <c r="CB559" s="1438"/>
      <c r="CC559" s="1438"/>
      <c r="CD559" s="1438"/>
      <c r="CE559" s="1438"/>
      <c r="CF559" s="1438"/>
      <c r="CG559" s="1438"/>
      <c r="CH559" s="1438"/>
      <c r="CI559" s="1438"/>
      <c r="CJ559" s="1438"/>
      <c r="CK559" s="1438"/>
      <c r="CL559" s="918" t="s">
        <v>2495</v>
      </c>
      <c r="CM559" s="918" t="s">
        <v>2496</v>
      </c>
      <c r="CN559" s="918" t="s">
        <v>2553</v>
      </c>
      <c r="CO559" s="918" t="s">
        <v>1881</v>
      </c>
    </row>
    <row r="560" spans="32:93" ht="20.100000000000001" customHeight="1">
      <c r="AF560" s="1505"/>
      <c r="AG560" s="251" t="s">
        <v>1220</v>
      </c>
      <c r="AH560" s="251">
        <f>INDEX('DEFAULT DATA'!$VE$9:$VK$41,START!$C$3,1)</f>
        <v>202</v>
      </c>
      <c r="AI560" s="262">
        <f>INDEX('DEFAULT DATA'!$XC$9:$AFR$41,START!$C$3,(2+(($A$118-1)*8)+(($D$118-1)*32)))</f>
        <v>311.33639355090264</v>
      </c>
      <c r="AJ560" s="262">
        <f>INDEX('DEFAULT DATA'!$XC$9:$AFR$41,START!$C$3,(2+(($A$118-1)*8)+(($E$118-1)*32)))</f>
        <v>0</v>
      </c>
      <c r="AK560" s="345">
        <v>0</v>
      </c>
      <c r="AL560" s="272">
        <f t="shared" ref="AL560:BN560" si="526">IF(AND(AL$558&gt;($I$118+2020),AL$558&lt;($J$118+2022)),AK560+($AH$560*($AI$560-$AJ$560)*$C$118*((100-$F$118)/100)/($J$118-$I$118+1)/1000000),AK560)</f>
        <v>0</v>
      </c>
      <c r="AM560" s="272">
        <f t="shared" si="526"/>
        <v>0</v>
      </c>
      <c r="AN560" s="272">
        <f t="shared" si="526"/>
        <v>0</v>
      </c>
      <c r="AO560" s="272">
        <f t="shared" si="526"/>
        <v>0</v>
      </c>
      <c r="AP560" s="272">
        <f t="shared" si="526"/>
        <v>0</v>
      </c>
      <c r="AQ560" s="272">
        <f t="shared" si="526"/>
        <v>0</v>
      </c>
      <c r="AR560" s="272">
        <f t="shared" si="526"/>
        <v>0</v>
      </c>
      <c r="AS560" s="272">
        <f t="shared" si="526"/>
        <v>0</v>
      </c>
      <c r="AT560" s="272">
        <f t="shared" si="526"/>
        <v>0</v>
      </c>
      <c r="AU560" s="272">
        <f t="shared" si="526"/>
        <v>0</v>
      </c>
      <c r="AV560" s="272">
        <f t="shared" si="526"/>
        <v>0</v>
      </c>
      <c r="AW560" s="272">
        <f t="shared" si="526"/>
        <v>0</v>
      </c>
      <c r="AX560" s="272">
        <f t="shared" si="526"/>
        <v>0</v>
      </c>
      <c r="AY560" s="272">
        <f t="shared" si="526"/>
        <v>0</v>
      </c>
      <c r="AZ560" s="272">
        <f t="shared" si="526"/>
        <v>0</v>
      </c>
      <c r="BA560" s="272">
        <f t="shared" si="526"/>
        <v>0</v>
      </c>
      <c r="BB560" s="272">
        <f t="shared" si="526"/>
        <v>0</v>
      </c>
      <c r="BC560" s="272">
        <f t="shared" si="526"/>
        <v>0</v>
      </c>
      <c r="BD560" s="272">
        <f t="shared" si="526"/>
        <v>0</v>
      </c>
      <c r="BE560" s="272">
        <f t="shared" si="526"/>
        <v>0</v>
      </c>
      <c r="BF560" s="272">
        <f t="shared" si="526"/>
        <v>0</v>
      </c>
      <c r="BG560" s="272">
        <f t="shared" si="526"/>
        <v>0</v>
      </c>
      <c r="BH560" s="272">
        <f t="shared" si="526"/>
        <v>0</v>
      </c>
      <c r="BI560" s="272">
        <f t="shared" si="526"/>
        <v>0</v>
      </c>
      <c r="BJ560" s="272">
        <f t="shared" si="526"/>
        <v>0</v>
      </c>
      <c r="BK560" s="272">
        <f t="shared" si="526"/>
        <v>0</v>
      </c>
      <c r="BL560" s="272">
        <f t="shared" si="526"/>
        <v>0</v>
      </c>
      <c r="BM560" s="272">
        <f t="shared" si="526"/>
        <v>0</v>
      </c>
      <c r="BN560" s="324">
        <f t="shared" si="526"/>
        <v>0</v>
      </c>
      <c r="BP560" s="536" t="s">
        <v>1220</v>
      </c>
      <c r="BQ560" s="1438" t="str">
        <f t="shared" ref="BQ560:BQ566" si="527">CONCATENATE("GHG_",BP560,"a = GHG_",BP560,"a-1 + (C117 * ",CL560," - ",CM560," + F117 / 100 * ",CM560," * ",CO560," / (",CN560,") / 1000000")</f>
        <v>GHG_Gasa = GHG_Gasa-1 + (C117 * BUI_COL(51+((A117-1)*8)+((D117-1)*32)) - BUI_COL(51+((A117-1)*8)+((E117-1)*32)) + F117 / 100 * BUI_COL(51+((A117-1)*8)+((E117-1)*32)) * BUI_COL1 / (J117-I117+1) / 1000000</v>
      </c>
      <c r="BR560" s="1438"/>
      <c r="BS560" s="1438"/>
      <c r="BT560" s="1438"/>
      <c r="BU560" s="1438"/>
      <c r="BV560" s="1438"/>
      <c r="BW560" s="1438"/>
      <c r="BX560" s="1438"/>
      <c r="BY560" s="1438"/>
      <c r="BZ560" s="1438"/>
      <c r="CA560" s="1438"/>
      <c r="CB560" s="1438"/>
      <c r="CC560" s="1438"/>
      <c r="CD560" s="1438"/>
      <c r="CE560" s="1438"/>
      <c r="CF560" s="1438"/>
      <c r="CG560" s="1438"/>
      <c r="CH560" s="1438"/>
      <c r="CI560" s="1438"/>
      <c r="CJ560" s="1438"/>
      <c r="CK560" s="1438"/>
      <c r="CL560" s="918" t="s">
        <v>2495</v>
      </c>
      <c r="CM560" s="918" t="s">
        <v>2496</v>
      </c>
      <c r="CN560" s="918" t="s">
        <v>2553</v>
      </c>
      <c r="CO560" s="918" t="s">
        <v>1248</v>
      </c>
    </row>
    <row r="561" spans="32:93" ht="20.100000000000001" customHeight="1">
      <c r="AF561" s="1505"/>
      <c r="AG561" s="251" t="s">
        <v>1221</v>
      </c>
      <c r="AH561" s="251">
        <f>INDEX('DEFAULT DATA'!$VE$9:$VK$41,START!$C$3,2)</f>
        <v>279</v>
      </c>
      <c r="AI561" s="262">
        <f>INDEX('DEFAULT DATA'!$XC$9:$AFR$41,START!$C$3,(3+(($A$118-1)*8)+(($D$118-1)*32)))</f>
        <v>2490.6911484072211</v>
      </c>
      <c r="AJ561" s="262">
        <f>INDEX('DEFAULT DATA'!$XC$9:$AFR$41,START!$C$3,(3+(($A$118-1)*8)+(($E$118-1)*32)))</f>
        <v>0</v>
      </c>
      <c r="AK561" s="345">
        <v>0</v>
      </c>
      <c r="AL561" s="272">
        <f t="shared" ref="AL561:BN561" si="528">IF(AND(AL$558&gt;($I$118+2020),AL$558&lt;($J$118+2022)),AK561+($AH$561*($AI$561-$AJ$561)*$C$118*((100-$F$118)/100)/($J$118-$I$118+1)/1000000),AK561)</f>
        <v>0</v>
      </c>
      <c r="AM561" s="272">
        <f t="shared" si="528"/>
        <v>0</v>
      </c>
      <c r="AN561" s="272">
        <f t="shared" si="528"/>
        <v>0</v>
      </c>
      <c r="AO561" s="272">
        <f t="shared" si="528"/>
        <v>0</v>
      </c>
      <c r="AP561" s="272">
        <f t="shared" si="528"/>
        <v>0</v>
      </c>
      <c r="AQ561" s="272">
        <f t="shared" si="528"/>
        <v>0</v>
      </c>
      <c r="AR561" s="272">
        <f t="shared" si="528"/>
        <v>0</v>
      </c>
      <c r="AS561" s="272">
        <f t="shared" si="528"/>
        <v>0</v>
      </c>
      <c r="AT561" s="272">
        <f t="shared" si="528"/>
        <v>0</v>
      </c>
      <c r="AU561" s="272">
        <f t="shared" si="528"/>
        <v>0</v>
      </c>
      <c r="AV561" s="272">
        <f t="shared" si="528"/>
        <v>0</v>
      </c>
      <c r="AW561" s="272">
        <f t="shared" si="528"/>
        <v>0</v>
      </c>
      <c r="AX561" s="272">
        <f t="shared" si="528"/>
        <v>0</v>
      </c>
      <c r="AY561" s="272">
        <f t="shared" si="528"/>
        <v>0</v>
      </c>
      <c r="AZ561" s="272">
        <f t="shared" si="528"/>
        <v>0</v>
      </c>
      <c r="BA561" s="272">
        <f t="shared" si="528"/>
        <v>0</v>
      </c>
      <c r="BB561" s="272">
        <f t="shared" si="528"/>
        <v>0</v>
      </c>
      <c r="BC561" s="272">
        <f t="shared" si="528"/>
        <v>0</v>
      </c>
      <c r="BD561" s="272">
        <f t="shared" si="528"/>
        <v>0</v>
      </c>
      <c r="BE561" s="272">
        <f t="shared" si="528"/>
        <v>0</v>
      </c>
      <c r="BF561" s="272">
        <f t="shared" si="528"/>
        <v>0</v>
      </c>
      <c r="BG561" s="272">
        <f t="shared" si="528"/>
        <v>0</v>
      </c>
      <c r="BH561" s="272">
        <f t="shared" si="528"/>
        <v>0</v>
      </c>
      <c r="BI561" s="272">
        <f t="shared" si="528"/>
        <v>0</v>
      </c>
      <c r="BJ561" s="272">
        <f t="shared" si="528"/>
        <v>0</v>
      </c>
      <c r="BK561" s="272">
        <f t="shared" si="528"/>
        <v>0</v>
      </c>
      <c r="BL561" s="272">
        <f t="shared" si="528"/>
        <v>0</v>
      </c>
      <c r="BM561" s="272">
        <f t="shared" si="528"/>
        <v>0</v>
      </c>
      <c r="BN561" s="324">
        <f t="shared" si="528"/>
        <v>0</v>
      </c>
      <c r="BP561" s="536" t="s">
        <v>1221</v>
      </c>
      <c r="BQ561" s="1438" t="str">
        <f t="shared" si="527"/>
        <v>GHG_Oila = GHG_Oila-1 + (C117 * BUI_COL(51+((A117-1)*8)+((D117-1)*32)) - BUI_COL(51+((A117-1)*8)+((E117-1)*32)) + F117 / 100 * BUI_COL(51+((A117-1)*8)+((E117-1)*32)) * BUI_COL2 / (J117-I117+1) / 1000000</v>
      </c>
      <c r="BR561" s="1438"/>
      <c r="BS561" s="1438"/>
      <c r="BT561" s="1438"/>
      <c r="BU561" s="1438"/>
      <c r="BV561" s="1438"/>
      <c r="BW561" s="1438"/>
      <c r="BX561" s="1438"/>
      <c r="BY561" s="1438"/>
      <c r="BZ561" s="1438"/>
      <c r="CA561" s="1438"/>
      <c r="CB561" s="1438"/>
      <c r="CC561" s="1438"/>
      <c r="CD561" s="1438"/>
      <c r="CE561" s="1438"/>
      <c r="CF561" s="1438"/>
      <c r="CG561" s="1438"/>
      <c r="CH561" s="1438"/>
      <c r="CI561" s="1438"/>
      <c r="CJ561" s="1438"/>
      <c r="CK561" s="1438"/>
      <c r="CL561" s="918" t="s">
        <v>2495</v>
      </c>
      <c r="CM561" s="918" t="s">
        <v>2496</v>
      </c>
      <c r="CN561" s="918" t="s">
        <v>2553</v>
      </c>
      <c r="CO561" s="918" t="s">
        <v>1621</v>
      </c>
    </row>
    <row r="562" spans="32:93" ht="20.100000000000001" customHeight="1">
      <c r="AF562" s="1505"/>
      <c r="AG562" s="251" t="s">
        <v>1222</v>
      </c>
      <c r="AH562" s="251">
        <f>INDEX('DEFAULT DATA'!$VE$9:$VK$41,START!$C$3,3)</f>
        <v>354</v>
      </c>
      <c r="AI562" s="262">
        <f>INDEX('DEFAULT DATA'!$XC$9:$AFR$41,START!$C$3,(4+(($A$118-1)*8)+(($D$118-1)*32)))</f>
        <v>0</v>
      </c>
      <c r="AJ562" s="262">
        <f>INDEX('DEFAULT DATA'!$XC$9:$AFR$41,START!$C$3,(4+(($A$118-1)*8)+(($E$118-1)*32)))</f>
        <v>0</v>
      </c>
      <c r="AK562" s="345">
        <v>0</v>
      </c>
      <c r="AL562" s="272">
        <f t="shared" ref="AL562:BN562" si="529">IF(AND(AL$558&gt;($I$118+2020),AL$558&lt;($J$118+2022)),AK562+($AH$562*($AI$562-$AJ$562)*$C$118*((100-$F$118)/100)/($J$118-$I$118+1)/1000000),AK562)</f>
        <v>0</v>
      </c>
      <c r="AM562" s="272">
        <f t="shared" si="529"/>
        <v>0</v>
      </c>
      <c r="AN562" s="272">
        <f t="shared" si="529"/>
        <v>0</v>
      </c>
      <c r="AO562" s="272">
        <f t="shared" si="529"/>
        <v>0</v>
      </c>
      <c r="AP562" s="272">
        <f t="shared" si="529"/>
        <v>0</v>
      </c>
      <c r="AQ562" s="272">
        <f t="shared" si="529"/>
        <v>0</v>
      </c>
      <c r="AR562" s="272">
        <f t="shared" si="529"/>
        <v>0</v>
      </c>
      <c r="AS562" s="272">
        <f t="shared" si="529"/>
        <v>0</v>
      </c>
      <c r="AT562" s="272">
        <f t="shared" si="529"/>
        <v>0</v>
      </c>
      <c r="AU562" s="272">
        <f t="shared" si="529"/>
        <v>0</v>
      </c>
      <c r="AV562" s="272">
        <f t="shared" si="529"/>
        <v>0</v>
      </c>
      <c r="AW562" s="272">
        <f t="shared" si="529"/>
        <v>0</v>
      </c>
      <c r="AX562" s="272">
        <f t="shared" si="529"/>
        <v>0</v>
      </c>
      <c r="AY562" s="272">
        <f t="shared" si="529"/>
        <v>0</v>
      </c>
      <c r="AZ562" s="272">
        <f t="shared" si="529"/>
        <v>0</v>
      </c>
      <c r="BA562" s="272">
        <f t="shared" si="529"/>
        <v>0</v>
      </c>
      <c r="BB562" s="272">
        <f t="shared" si="529"/>
        <v>0</v>
      </c>
      <c r="BC562" s="272">
        <f t="shared" si="529"/>
        <v>0</v>
      </c>
      <c r="BD562" s="272">
        <f t="shared" si="529"/>
        <v>0</v>
      </c>
      <c r="BE562" s="272">
        <f t="shared" si="529"/>
        <v>0</v>
      </c>
      <c r="BF562" s="272">
        <f t="shared" si="529"/>
        <v>0</v>
      </c>
      <c r="BG562" s="272">
        <f t="shared" si="529"/>
        <v>0</v>
      </c>
      <c r="BH562" s="272">
        <f t="shared" si="529"/>
        <v>0</v>
      </c>
      <c r="BI562" s="272">
        <f t="shared" si="529"/>
        <v>0</v>
      </c>
      <c r="BJ562" s="272">
        <f t="shared" si="529"/>
        <v>0</v>
      </c>
      <c r="BK562" s="272">
        <f t="shared" si="529"/>
        <v>0</v>
      </c>
      <c r="BL562" s="272">
        <f t="shared" si="529"/>
        <v>0</v>
      </c>
      <c r="BM562" s="272">
        <f t="shared" si="529"/>
        <v>0</v>
      </c>
      <c r="BN562" s="324">
        <f t="shared" si="529"/>
        <v>0</v>
      </c>
      <c r="BP562" s="536" t="s">
        <v>1222</v>
      </c>
      <c r="BQ562" s="1438" t="str">
        <f t="shared" si="527"/>
        <v>GHG_Coala = GHG_Coala-1 + (C117 * BUI_COL(51+((A117-1)*8)+((D117-1)*32)) - BUI_COL(51+((A117-1)*8)+((E117-1)*32)) + F117 / 100 * BUI_COL(51+((A117-1)*8)+((E117-1)*32)) * BUI_COL3 / (J117-I117+1) / 1000000</v>
      </c>
      <c r="BR562" s="1438"/>
      <c r="BS562" s="1438"/>
      <c r="BT562" s="1438"/>
      <c r="BU562" s="1438"/>
      <c r="BV562" s="1438"/>
      <c r="BW562" s="1438"/>
      <c r="BX562" s="1438"/>
      <c r="BY562" s="1438"/>
      <c r="BZ562" s="1438"/>
      <c r="CA562" s="1438"/>
      <c r="CB562" s="1438"/>
      <c r="CC562" s="1438"/>
      <c r="CD562" s="1438"/>
      <c r="CE562" s="1438"/>
      <c r="CF562" s="1438"/>
      <c r="CG562" s="1438"/>
      <c r="CH562" s="1438"/>
      <c r="CI562" s="1438"/>
      <c r="CJ562" s="1438"/>
      <c r="CK562" s="1438"/>
      <c r="CL562" s="918" t="s">
        <v>2495</v>
      </c>
      <c r="CM562" s="918" t="s">
        <v>2496</v>
      </c>
      <c r="CN562" s="918" t="s">
        <v>2553</v>
      </c>
      <c r="CO562" s="918" t="s">
        <v>1622</v>
      </c>
    </row>
    <row r="563" spans="32:93" ht="20.100000000000001" customHeight="1">
      <c r="AF563" s="1505"/>
      <c r="AG563" s="251" t="s">
        <v>1223</v>
      </c>
      <c r="AH563" s="251">
        <f>INDEX('DEFAULT DATA'!$VE$9:$VK$41,START!$C$3,4)</f>
        <v>0</v>
      </c>
      <c r="AI563" s="262">
        <f>INDEX('DEFAULT DATA'!$XC$9:$AFR$41,START!$C$3,(5+(($A$118-1)*8)+(($D$118-1)*32)))</f>
        <v>0</v>
      </c>
      <c r="AJ563" s="262">
        <f>INDEX('DEFAULT DATA'!$XC$9:$AFR$41,START!$C$3,(5+(($A$118-1)*8)+(($E$118-1)*32)))</f>
        <v>0</v>
      </c>
      <c r="AK563" s="345">
        <v>0</v>
      </c>
      <c r="AL563" s="272">
        <f t="shared" ref="AL563:BN563" si="530">IF(AND(AL$558&gt;($I$118+2020),AL$558&lt;($J$118+2022)),AK563+($AH$563*($AI$563-$AJ$563)*$C$118*((100-$F$118)/100)/($J$118-$I$118+1)/1000000),AK563)</f>
        <v>0</v>
      </c>
      <c r="AM563" s="272">
        <f t="shared" si="530"/>
        <v>0</v>
      </c>
      <c r="AN563" s="272">
        <f t="shared" si="530"/>
        <v>0</v>
      </c>
      <c r="AO563" s="272">
        <f t="shared" si="530"/>
        <v>0</v>
      </c>
      <c r="AP563" s="272">
        <f t="shared" si="530"/>
        <v>0</v>
      </c>
      <c r="AQ563" s="272">
        <f t="shared" si="530"/>
        <v>0</v>
      </c>
      <c r="AR563" s="272">
        <f t="shared" si="530"/>
        <v>0</v>
      </c>
      <c r="AS563" s="272">
        <f t="shared" si="530"/>
        <v>0</v>
      </c>
      <c r="AT563" s="272">
        <f t="shared" si="530"/>
        <v>0</v>
      </c>
      <c r="AU563" s="272">
        <f t="shared" si="530"/>
        <v>0</v>
      </c>
      <c r="AV563" s="272">
        <f t="shared" si="530"/>
        <v>0</v>
      </c>
      <c r="AW563" s="272">
        <f t="shared" si="530"/>
        <v>0</v>
      </c>
      <c r="AX563" s="272">
        <f t="shared" si="530"/>
        <v>0</v>
      </c>
      <c r="AY563" s="272">
        <f t="shared" si="530"/>
        <v>0</v>
      </c>
      <c r="AZ563" s="272">
        <f t="shared" si="530"/>
        <v>0</v>
      </c>
      <c r="BA563" s="272">
        <f t="shared" si="530"/>
        <v>0</v>
      </c>
      <c r="BB563" s="272">
        <f t="shared" si="530"/>
        <v>0</v>
      </c>
      <c r="BC563" s="272">
        <f t="shared" si="530"/>
        <v>0</v>
      </c>
      <c r="BD563" s="272">
        <f t="shared" si="530"/>
        <v>0</v>
      </c>
      <c r="BE563" s="272">
        <f t="shared" si="530"/>
        <v>0</v>
      </c>
      <c r="BF563" s="272">
        <f t="shared" si="530"/>
        <v>0</v>
      </c>
      <c r="BG563" s="272">
        <f t="shared" si="530"/>
        <v>0</v>
      </c>
      <c r="BH563" s="272">
        <f t="shared" si="530"/>
        <v>0</v>
      </c>
      <c r="BI563" s="272">
        <f t="shared" si="530"/>
        <v>0</v>
      </c>
      <c r="BJ563" s="272">
        <f t="shared" si="530"/>
        <v>0</v>
      </c>
      <c r="BK563" s="272">
        <f t="shared" si="530"/>
        <v>0</v>
      </c>
      <c r="BL563" s="272">
        <f t="shared" si="530"/>
        <v>0</v>
      </c>
      <c r="BM563" s="272">
        <f t="shared" si="530"/>
        <v>0</v>
      </c>
      <c r="BN563" s="324">
        <f t="shared" si="530"/>
        <v>0</v>
      </c>
      <c r="BP563" s="536" t="s">
        <v>1223</v>
      </c>
      <c r="BQ563" s="1438" t="str">
        <f t="shared" si="527"/>
        <v>GHG_Peata = GHG_Peata-1 + (C117 * BUI_COL(51+((A117-1)*8)+((D117-1)*32)) - BUI_COL(51+((A117-1)*8)+((E117-1)*32)) + F117 / 100 * BUI_COL(51+((A117-1)*8)+((E117-1)*32)) * BUI_COL4 / (J117-I117+1) / 1000000</v>
      </c>
      <c r="BR563" s="1438"/>
      <c r="BS563" s="1438"/>
      <c r="BT563" s="1438"/>
      <c r="BU563" s="1438"/>
      <c r="BV563" s="1438"/>
      <c r="BW563" s="1438"/>
      <c r="BX563" s="1438"/>
      <c r="BY563" s="1438"/>
      <c r="BZ563" s="1438"/>
      <c r="CA563" s="1438"/>
      <c r="CB563" s="1438"/>
      <c r="CC563" s="1438"/>
      <c r="CD563" s="1438"/>
      <c r="CE563" s="1438"/>
      <c r="CF563" s="1438"/>
      <c r="CG563" s="1438"/>
      <c r="CH563" s="1438"/>
      <c r="CI563" s="1438"/>
      <c r="CJ563" s="1438"/>
      <c r="CK563" s="1438"/>
      <c r="CL563" s="918" t="s">
        <v>2495</v>
      </c>
      <c r="CM563" s="918" t="s">
        <v>2496</v>
      </c>
      <c r="CN563" s="918" t="s">
        <v>2553</v>
      </c>
      <c r="CO563" s="918" t="s">
        <v>1623</v>
      </c>
    </row>
    <row r="564" spans="32:93" ht="20.100000000000001" customHeight="1">
      <c r="AF564" s="1505"/>
      <c r="AG564" s="251" t="s">
        <v>1224</v>
      </c>
      <c r="AH564" s="251">
        <f>INDEX('DEFAULT DATA'!$VE$9:$VK$41,START!$C$3,5)</f>
        <v>403</v>
      </c>
      <c r="AI564" s="262">
        <f>INDEX('DEFAULT DATA'!$XC$9:$AFR$41,START!$C$3,(6+(($A$118-1)*8)+(($D$118-1)*32)))</f>
        <v>0</v>
      </c>
      <c r="AJ564" s="262">
        <f>INDEX('DEFAULT DATA'!$XC$9:$AFR$41,START!$C$3,(6+(($A$118-1)*8)+(($E$118-1)*32)))</f>
        <v>0</v>
      </c>
      <c r="AK564" s="345">
        <v>0</v>
      </c>
      <c r="AL564" s="272">
        <f t="shared" ref="AL564:BN564" si="531">IF(AND(AL$558&gt;($I$118+2020),AL$558&lt;($J$118+2022)),AK564+($AH$564*($AI$564-$AJ$564)*$C$118*((100-$F$118)/100)/($J$118-$I$118+1)/1000000),AK564)</f>
        <v>0</v>
      </c>
      <c r="AM564" s="272">
        <f t="shared" si="531"/>
        <v>0</v>
      </c>
      <c r="AN564" s="272">
        <f t="shared" si="531"/>
        <v>0</v>
      </c>
      <c r="AO564" s="272">
        <f t="shared" si="531"/>
        <v>0</v>
      </c>
      <c r="AP564" s="272">
        <f t="shared" si="531"/>
        <v>0</v>
      </c>
      <c r="AQ564" s="272">
        <f t="shared" si="531"/>
        <v>0</v>
      </c>
      <c r="AR564" s="272">
        <f t="shared" si="531"/>
        <v>0</v>
      </c>
      <c r="AS564" s="272">
        <f t="shared" si="531"/>
        <v>0</v>
      </c>
      <c r="AT564" s="272">
        <f t="shared" si="531"/>
        <v>0</v>
      </c>
      <c r="AU564" s="272">
        <f t="shared" si="531"/>
        <v>0</v>
      </c>
      <c r="AV564" s="272">
        <f t="shared" si="531"/>
        <v>0</v>
      </c>
      <c r="AW564" s="272">
        <f t="shared" si="531"/>
        <v>0</v>
      </c>
      <c r="AX564" s="272">
        <f t="shared" si="531"/>
        <v>0</v>
      </c>
      <c r="AY564" s="272">
        <f t="shared" si="531"/>
        <v>0</v>
      </c>
      <c r="AZ564" s="272">
        <f t="shared" si="531"/>
        <v>0</v>
      </c>
      <c r="BA564" s="272">
        <f t="shared" si="531"/>
        <v>0</v>
      </c>
      <c r="BB564" s="272">
        <f t="shared" si="531"/>
        <v>0</v>
      </c>
      <c r="BC564" s="272">
        <f t="shared" si="531"/>
        <v>0</v>
      </c>
      <c r="BD564" s="272">
        <f t="shared" si="531"/>
        <v>0</v>
      </c>
      <c r="BE564" s="272">
        <f t="shared" si="531"/>
        <v>0</v>
      </c>
      <c r="BF564" s="272">
        <f t="shared" si="531"/>
        <v>0</v>
      </c>
      <c r="BG564" s="272">
        <f t="shared" si="531"/>
        <v>0</v>
      </c>
      <c r="BH564" s="272">
        <f t="shared" si="531"/>
        <v>0</v>
      </c>
      <c r="BI564" s="272">
        <f t="shared" si="531"/>
        <v>0</v>
      </c>
      <c r="BJ564" s="272">
        <f t="shared" si="531"/>
        <v>0</v>
      </c>
      <c r="BK564" s="272">
        <f t="shared" si="531"/>
        <v>0</v>
      </c>
      <c r="BL564" s="272">
        <f t="shared" si="531"/>
        <v>0</v>
      </c>
      <c r="BM564" s="272">
        <f t="shared" si="531"/>
        <v>0</v>
      </c>
      <c r="BN564" s="324">
        <f t="shared" si="531"/>
        <v>0</v>
      </c>
      <c r="BP564" s="536" t="s">
        <v>1224</v>
      </c>
      <c r="BQ564" s="1438" t="str">
        <f t="shared" si="527"/>
        <v>GHG_Wooda = GHG_Wooda-1 + (C117 * BUI_COL(51+((A117-1)*8)+((D117-1)*32)) - BUI_COL(51+((A117-1)*8)+((E117-1)*32)) + F117 / 100 * BUI_COL(51+((A117-1)*8)+((E117-1)*32)) * BUI_COL5 / (J117-I117+1) / 1000000</v>
      </c>
      <c r="BR564" s="1438"/>
      <c r="BS564" s="1438"/>
      <c r="BT564" s="1438"/>
      <c r="BU564" s="1438"/>
      <c r="BV564" s="1438"/>
      <c r="BW564" s="1438"/>
      <c r="BX564" s="1438"/>
      <c r="BY564" s="1438"/>
      <c r="BZ564" s="1438"/>
      <c r="CA564" s="1438"/>
      <c r="CB564" s="1438"/>
      <c r="CC564" s="1438"/>
      <c r="CD564" s="1438"/>
      <c r="CE564" s="1438"/>
      <c r="CF564" s="1438"/>
      <c r="CG564" s="1438"/>
      <c r="CH564" s="1438"/>
      <c r="CI564" s="1438"/>
      <c r="CJ564" s="1438"/>
      <c r="CK564" s="1438"/>
      <c r="CL564" s="918" t="s">
        <v>2495</v>
      </c>
      <c r="CM564" s="918" t="s">
        <v>2496</v>
      </c>
      <c r="CN564" s="918" t="s">
        <v>2553</v>
      </c>
      <c r="CO564" s="918" t="s">
        <v>1624</v>
      </c>
    </row>
    <row r="565" spans="32:93" ht="20.100000000000001" customHeight="1">
      <c r="AF565" s="1505"/>
      <c r="AG565" s="251" t="s">
        <v>1225</v>
      </c>
      <c r="AH565" s="251">
        <f>INDEX('DEFAULT DATA'!$VE$9:$VK$41,START!$C$3,6)</f>
        <v>0</v>
      </c>
      <c r="AI565" s="262">
        <f>INDEX('DEFAULT DATA'!$XC$9:$AFR$41,START!$C$3,(7+(($A$118-1)*8)+(($D$118-1)*32)))</f>
        <v>7783.4098387725662</v>
      </c>
      <c r="AJ565" s="262">
        <f>INDEX('DEFAULT DATA'!$XC$9:$AFR$41,START!$C$3,(7+(($A$118-1)*8)+(($E$118-1)*32)))</f>
        <v>1313.6310345601225</v>
      </c>
      <c r="AK565" s="345">
        <v>0</v>
      </c>
      <c r="AL565" s="272">
        <f t="shared" ref="AL565:BN565" si="532">IF(AND(AL$558&gt;($I$118+2020),AL$558&lt;($J$118+2022)),AK565+($AH$565*($AI$565-$AJ$565)*$C$118*((100-$F$118)/100)/($J$118-$I$118+1)/1000000),AK565)</f>
        <v>0</v>
      </c>
      <c r="AM565" s="272">
        <f t="shared" si="532"/>
        <v>0</v>
      </c>
      <c r="AN565" s="272">
        <f t="shared" si="532"/>
        <v>0</v>
      </c>
      <c r="AO565" s="272">
        <f t="shared" si="532"/>
        <v>0</v>
      </c>
      <c r="AP565" s="272">
        <f t="shared" si="532"/>
        <v>0</v>
      </c>
      <c r="AQ565" s="272">
        <f t="shared" si="532"/>
        <v>0</v>
      </c>
      <c r="AR565" s="272">
        <f t="shared" si="532"/>
        <v>0</v>
      </c>
      <c r="AS565" s="272">
        <f t="shared" si="532"/>
        <v>0</v>
      </c>
      <c r="AT565" s="272">
        <f t="shared" si="532"/>
        <v>0</v>
      </c>
      <c r="AU565" s="272">
        <f t="shared" si="532"/>
        <v>0</v>
      </c>
      <c r="AV565" s="272">
        <f t="shared" si="532"/>
        <v>0</v>
      </c>
      <c r="AW565" s="272">
        <f t="shared" si="532"/>
        <v>0</v>
      </c>
      <c r="AX565" s="272">
        <f t="shared" si="532"/>
        <v>0</v>
      </c>
      <c r="AY565" s="272">
        <f t="shared" si="532"/>
        <v>0</v>
      </c>
      <c r="AZ565" s="272">
        <f t="shared" si="532"/>
        <v>0</v>
      </c>
      <c r="BA565" s="272">
        <f t="shared" si="532"/>
        <v>0</v>
      </c>
      <c r="BB565" s="272">
        <f t="shared" si="532"/>
        <v>0</v>
      </c>
      <c r="BC565" s="272">
        <f t="shared" si="532"/>
        <v>0</v>
      </c>
      <c r="BD565" s="272">
        <f t="shared" si="532"/>
        <v>0</v>
      </c>
      <c r="BE565" s="272">
        <f t="shared" si="532"/>
        <v>0</v>
      </c>
      <c r="BF565" s="272">
        <f t="shared" si="532"/>
        <v>0</v>
      </c>
      <c r="BG565" s="272">
        <f t="shared" si="532"/>
        <v>0</v>
      </c>
      <c r="BH565" s="272">
        <f t="shared" si="532"/>
        <v>0</v>
      </c>
      <c r="BI565" s="272">
        <f t="shared" si="532"/>
        <v>0</v>
      </c>
      <c r="BJ565" s="272">
        <f t="shared" si="532"/>
        <v>0</v>
      </c>
      <c r="BK565" s="272">
        <f t="shared" si="532"/>
        <v>0</v>
      </c>
      <c r="BL565" s="272">
        <f t="shared" si="532"/>
        <v>0</v>
      </c>
      <c r="BM565" s="272">
        <f t="shared" si="532"/>
        <v>0</v>
      </c>
      <c r="BN565" s="324">
        <f t="shared" si="532"/>
        <v>0</v>
      </c>
      <c r="BP565" s="536" t="s">
        <v>1225</v>
      </c>
      <c r="BQ565" s="1438" t="str">
        <f t="shared" si="527"/>
        <v>GHG_Renewablea = GHG_Renewablea-1 + (C117 * BUI_COL(51+((A117-1)*8)+((D117-1)*32)) - BUI_COL(51+((A117-1)*8)+((E117-1)*32)) + F117 / 100 * BUI_COL(51+((A117-1)*8)+((E117-1)*32)) * BUI_COL6 / (J117-I117+1) / 1000000</v>
      </c>
      <c r="BR565" s="1438"/>
      <c r="BS565" s="1438"/>
      <c r="BT565" s="1438"/>
      <c r="BU565" s="1438"/>
      <c r="BV565" s="1438"/>
      <c r="BW565" s="1438"/>
      <c r="BX565" s="1438"/>
      <c r="BY565" s="1438"/>
      <c r="BZ565" s="1438"/>
      <c r="CA565" s="1438"/>
      <c r="CB565" s="1438"/>
      <c r="CC565" s="1438"/>
      <c r="CD565" s="1438"/>
      <c r="CE565" s="1438"/>
      <c r="CF565" s="1438"/>
      <c r="CG565" s="1438"/>
      <c r="CH565" s="1438"/>
      <c r="CI565" s="1438"/>
      <c r="CJ565" s="1438"/>
      <c r="CK565" s="1438"/>
      <c r="CL565" s="918" t="s">
        <v>2495</v>
      </c>
      <c r="CM565" s="918" t="s">
        <v>2496</v>
      </c>
      <c r="CN565" s="918" t="s">
        <v>2553</v>
      </c>
      <c r="CO565" s="918" t="s">
        <v>1625</v>
      </c>
    </row>
    <row r="566" spans="32:93" ht="20.100000000000001" customHeight="1" thickBot="1">
      <c r="AF566" s="1506"/>
      <c r="AG566" s="310" t="s">
        <v>1226</v>
      </c>
      <c r="AH566" s="310" t="s">
        <v>1497</v>
      </c>
      <c r="AI566" s="335">
        <f>INDEX('DEFAULT DATA'!$XC$9:$AFR$41,START!$C$3,(8+(($A$118-1)*8)+(($D$118-1)*32)))</f>
        <v>9340.0918065270798</v>
      </c>
      <c r="AJ566" s="335">
        <f>INDEX('DEFAULT DATA'!$XC$9:$AFR$41,START!$C$3,(8+(($A$118-1)*8)+(($E$118-1)*32)))</f>
        <v>1576.3572414721468</v>
      </c>
      <c r="AK566" s="348">
        <v>0</v>
      </c>
      <c r="AL566" s="325">
        <f t="shared" ref="AL566:BN566" si="533">IF(AND(AL$558&gt;($I$118+2020),AL$558&lt;($J$118+2022)),AK566+(AL$6*($AI$566-$AJ$566)*$C$118*((100-$F$118)/100)/($J$118-$I$118+1)/1000000),AK566)</f>
        <v>0</v>
      </c>
      <c r="AM566" s="325">
        <f t="shared" si="533"/>
        <v>0</v>
      </c>
      <c r="AN566" s="325">
        <f t="shared" si="533"/>
        <v>0</v>
      </c>
      <c r="AO566" s="325">
        <f t="shared" si="533"/>
        <v>0</v>
      </c>
      <c r="AP566" s="325">
        <f t="shared" si="533"/>
        <v>0</v>
      </c>
      <c r="AQ566" s="325">
        <f t="shared" si="533"/>
        <v>0</v>
      </c>
      <c r="AR566" s="325">
        <f t="shared" si="533"/>
        <v>0</v>
      </c>
      <c r="AS566" s="325">
        <f t="shared" si="533"/>
        <v>0</v>
      </c>
      <c r="AT566" s="325">
        <f t="shared" si="533"/>
        <v>0</v>
      </c>
      <c r="AU566" s="325">
        <f t="shared" si="533"/>
        <v>0</v>
      </c>
      <c r="AV566" s="325">
        <f t="shared" si="533"/>
        <v>0</v>
      </c>
      <c r="AW566" s="325">
        <f t="shared" si="533"/>
        <v>0</v>
      </c>
      <c r="AX566" s="325">
        <f t="shared" si="533"/>
        <v>0</v>
      </c>
      <c r="AY566" s="325">
        <f t="shared" si="533"/>
        <v>0</v>
      </c>
      <c r="AZ566" s="325">
        <f t="shared" si="533"/>
        <v>0</v>
      </c>
      <c r="BA566" s="325">
        <f t="shared" si="533"/>
        <v>0</v>
      </c>
      <c r="BB566" s="325">
        <f t="shared" si="533"/>
        <v>0</v>
      </c>
      <c r="BC566" s="325">
        <f t="shared" si="533"/>
        <v>0</v>
      </c>
      <c r="BD566" s="325">
        <f t="shared" si="533"/>
        <v>0</v>
      </c>
      <c r="BE566" s="325">
        <f t="shared" si="533"/>
        <v>0</v>
      </c>
      <c r="BF566" s="325">
        <f t="shared" si="533"/>
        <v>0</v>
      </c>
      <c r="BG566" s="325">
        <f t="shared" si="533"/>
        <v>0</v>
      </c>
      <c r="BH566" s="325">
        <f t="shared" si="533"/>
        <v>0</v>
      </c>
      <c r="BI566" s="325">
        <f t="shared" si="533"/>
        <v>0</v>
      </c>
      <c r="BJ566" s="325">
        <f t="shared" si="533"/>
        <v>0</v>
      </c>
      <c r="BK566" s="325">
        <f t="shared" si="533"/>
        <v>0</v>
      </c>
      <c r="BL566" s="325">
        <f t="shared" si="533"/>
        <v>0</v>
      </c>
      <c r="BM566" s="325">
        <f t="shared" si="533"/>
        <v>0</v>
      </c>
      <c r="BN566" s="326">
        <f t="shared" si="533"/>
        <v>0</v>
      </c>
      <c r="BP566" s="536" t="s">
        <v>1226</v>
      </c>
      <c r="BQ566" s="1438" t="str">
        <f t="shared" si="527"/>
        <v>GHG_Heata = GHG_Heata-1 + (C117 * BUI_COL(51+((A117-1)*8)+((D117-1)*32)) - BUI_COL(51+((A117-1)*8)+((E117-1)*32)) + F117 / 100 * BUI_COL(51+((A117-1)*8)+((E117-1)*32)) * DISTRICT_HEATING_emission_factora (from row 5) / (J117-I117+1) / 1000000</v>
      </c>
      <c r="BR566" s="1438"/>
      <c r="BS566" s="1438"/>
      <c r="BT566" s="1438"/>
      <c r="BU566" s="1438"/>
      <c r="BV566" s="1438"/>
      <c r="BW566" s="1438"/>
      <c r="BX566" s="1438"/>
      <c r="BY566" s="1438"/>
      <c r="BZ566" s="1438"/>
      <c r="CA566" s="1438"/>
      <c r="CB566" s="1438"/>
      <c r="CC566" s="1438"/>
      <c r="CD566" s="1438"/>
      <c r="CE566" s="1438"/>
      <c r="CF566" s="1438"/>
      <c r="CG566" s="1438"/>
      <c r="CH566" s="1438"/>
      <c r="CI566" s="1438"/>
      <c r="CJ566" s="1438"/>
      <c r="CK566" s="1438"/>
      <c r="CL566" s="918" t="s">
        <v>2495</v>
      </c>
      <c r="CM566" s="918" t="s">
        <v>2496</v>
      </c>
      <c r="CN566" s="918" t="s">
        <v>2553</v>
      </c>
      <c r="CO566" s="918" t="s">
        <v>1882</v>
      </c>
    </row>
    <row r="567" spans="32:93" ht="20.100000000000001" customHeight="1">
      <c r="AF567" s="332"/>
      <c r="AG567" s="308" t="s">
        <v>310</v>
      </c>
      <c r="AH567" s="309"/>
      <c r="AI567" s="309"/>
      <c r="AJ567" s="309"/>
      <c r="AK567" s="344">
        <v>0</v>
      </c>
      <c r="AL567" s="327">
        <f>SUM(AL559:AL566)</f>
        <v>0</v>
      </c>
      <c r="AM567" s="327">
        <f t="shared" ref="AM567:BN567" si="534">SUM(AM559:AM566)</f>
        <v>0</v>
      </c>
      <c r="AN567" s="327">
        <f t="shared" si="534"/>
        <v>0</v>
      </c>
      <c r="AO567" s="327">
        <f t="shared" si="534"/>
        <v>0</v>
      </c>
      <c r="AP567" s="327">
        <f t="shared" si="534"/>
        <v>0</v>
      </c>
      <c r="AQ567" s="327">
        <f t="shared" si="534"/>
        <v>0</v>
      </c>
      <c r="AR567" s="327">
        <f t="shared" si="534"/>
        <v>0</v>
      </c>
      <c r="AS567" s="327">
        <f t="shared" si="534"/>
        <v>0</v>
      </c>
      <c r="AT567" s="327">
        <f t="shared" si="534"/>
        <v>0</v>
      </c>
      <c r="AU567" s="327">
        <f t="shared" si="534"/>
        <v>0</v>
      </c>
      <c r="AV567" s="327">
        <f t="shared" si="534"/>
        <v>0</v>
      </c>
      <c r="AW567" s="327">
        <f t="shared" si="534"/>
        <v>0</v>
      </c>
      <c r="AX567" s="327">
        <f t="shared" si="534"/>
        <v>0</v>
      </c>
      <c r="AY567" s="327">
        <f t="shared" si="534"/>
        <v>0</v>
      </c>
      <c r="AZ567" s="327">
        <f t="shared" si="534"/>
        <v>0</v>
      </c>
      <c r="BA567" s="327">
        <f t="shared" si="534"/>
        <v>0</v>
      </c>
      <c r="BB567" s="327">
        <f t="shared" si="534"/>
        <v>0</v>
      </c>
      <c r="BC567" s="327">
        <f t="shared" si="534"/>
        <v>0</v>
      </c>
      <c r="BD567" s="327">
        <f t="shared" si="534"/>
        <v>0</v>
      </c>
      <c r="BE567" s="327">
        <f t="shared" si="534"/>
        <v>0</v>
      </c>
      <c r="BF567" s="327">
        <f t="shared" si="534"/>
        <v>0</v>
      </c>
      <c r="BG567" s="327">
        <f t="shared" si="534"/>
        <v>0</v>
      </c>
      <c r="BH567" s="327">
        <f t="shared" si="534"/>
        <v>0</v>
      </c>
      <c r="BI567" s="327">
        <f t="shared" si="534"/>
        <v>0</v>
      </c>
      <c r="BJ567" s="327">
        <f t="shared" si="534"/>
        <v>0</v>
      </c>
      <c r="BK567" s="327">
        <f t="shared" si="534"/>
        <v>0</v>
      </c>
      <c r="BL567" s="327">
        <f t="shared" si="534"/>
        <v>0</v>
      </c>
      <c r="BM567" s="327">
        <f t="shared" si="534"/>
        <v>0</v>
      </c>
      <c r="BN567" s="327">
        <f t="shared" si="534"/>
        <v>0</v>
      </c>
    </row>
    <row r="569" spans="32:93" ht="20.100000000000001" customHeight="1" thickBot="1">
      <c r="AF569" s="333" t="s">
        <v>1473</v>
      </c>
      <c r="AG569" s="333"/>
      <c r="AH569" s="334" t="s">
        <v>977</v>
      </c>
      <c r="AI569" s="284" t="s">
        <v>1260</v>
      </c>
      <c r="AJ569" s="284" t="s">
        <v>1261</v>
      </c>
      <c r="AK569" s="346">
        <v>2021</v>
      </c>
      <c r="AL569" s="284">
        <v>2022</v>
      </c>
      <c r="AM569" s="284">
        <v>2023</v>
      </c>
      <c r="AN569" s="284">
        <v>2024</v>
      </c>
      <c r="AO569" s="284">
        <v>2025</v>
      </c>
      <c r="AP569" s="284">
        <v>2026</v>
      </c>
      <c r="AQ569" s="284">
        <v>2027</v>
      </c>
      <c r="AR569" s="284">
        <v>2028</v>
      </c>
      <c r="AS569" s="284">
        <v>2029</v>
      </c>
      <c r="AT569" s="284">
        <v>2030</v>
      </c>
      <c r="AU569" s="284">
        <v>2031</v>
      </c>
      <c r="AV569" s="284">
        <v>2032</v>
      </c>
      <c r="AW569" s="284">
        <v>2033</v>
      </c>
      <c r="AX569" s="284">
        <v>2034</v>
      </c>
      <c r="AY569" s="284">
        <v>2035</v>
      </c>
      <c r="AZ569" s="284">
        <v>2036</v>
      </c>
      <c r="BA569" s="284">
        <v>2037</v>
      </c>
      <c r="BB569" s="284">
        <v>2038</v>
      </c>
      <c r="BC569" s="284">
        <v>2039</v>
      </c>
      <c r="BD569" s="284">
        <v>2040</v>
      </c>
      <c r="BE569" s="284">
        <v>2041</v>
      </c>
      <c r="BF569" s="284">
        <v>2042</v>
      </c>
      <c r="BG569" s="284">
        <v>2043</v>
      </c>
      <c r="BH569" s="284">
        <v>2044</v>
      </c>
      <c r="BI569" s="284">
        <v>2045</v>
      </c>
      <c r="BJ569" s="284">
        <v>2046</v>
      </c>
      <c r="BK569" s="284">
        <v>2047</v>
      </c>
      <c r="BL569" s="284">
        <v>2048</v>
      </c>
      <c r="BM569" s="284">
        <v>2049</v>
      </c>
      <c r="BN569" s="284">
        <v>2050</v>
      </c>
      <c r="BQ569" s="279" t="s">
        <v>2564</v>
      </c>
      <c r="CL569" s="555" t="s">
        <v>2471</v>
      </c>
      <c r="CM569" s="17" t="s">
        <v>2472</v>
      </c>
      <c r="CN569" s="17" t="s">
        <v>2552</v>
      </c>
      <c r="CO569" s="412" t="s">
        <v>1598</v>
      </c>
    </row>
    <row r="570" spans="32:93" ht="20.100000000000001" customHeight="1">
      <c r="AF570" s="1504" t="str">
        <f>INDEX('MENU OPTIONS'!B27:B30,A119,1)</f>
        <v>Terraced</v>
      </c>
      <c r="AG570" s="286" t="s">
        <v>933</v>
      </c>
      <c r="AH570" s="286" t="s">
        <v>1496</v>
      </c>
      <c r="AI570" s="330">
        <f>INDEX('DEFAULT DATA'!$XC$9:$AFR$41,START!$C$3,(1+(($A$119-1)*8)+(($D$119-1)*32)))</f>
        <v>11208.110167832496</v>
      </c>
      <c r="AJ570" s="330">
        <f>INDEX('DEFAULT DATA'!$XC$9:$AFR$41,START!$C$3,(1+(($A$119-1)*8)+(($E$119-1)*32)))</f>
        <v>1891.6286897665766</v>
      </c>
      <c r="AK570" s="343">
        <v>0</v>
      </c>
      <c r="AL570" s="322">
        <f t="shared" ref="AL570:BN570" si="535">IF(AND(AL$569&gt;($I$119+2020),AL$569&lt;($J$119+2022)),AK570+(AL$5*($AI$570-$AJ$570)*$C$119*((100-$F$119)/100)/($J$119-$I$119+1)/1000000),AK570)</f>
        <v>0</v>
      </c>
      <c r="AM570" s="322">
        <f t="shared" si="535"/>
        <v>0</v>
      </c>
      <c r="AN570" s="322">
        <f t="shared" si="535"/>
        <v>0</v>
      </c>
      <c r="AO570" s="322">
        <f t="shared" si="535"/>
        <v>0</v>
      </c>
      <c r="AP570" s="322">
        <f t="shared" si="535"/>
        <v>0</v>
      </c>
      <c r="AQ570" s="322">
        <f t="shared" si="535"/>
        <v>0</v>
      </c>
      <c r="AR570" s="322">
        <f t="shared" si="535"/>
        <v>0</v>
      </c>
      <c r="AS570" s="322">
        <f t="shared" si="535"/>
        <v>0</v>
      </c>
      <c r="AT570" s="322">
        <f t="shared" si="535"/>
        <v>0</v>
      </c>
      <c r="AU570" s="322">
        <f t="shared" si="535"/>
        <v>0</v>
      </c>
      <c r="AV570" s="322">
        <f t="shared" si="535"/>
        <v>0</v>
      </c>
      <c r="AW570" s="322">
        <f t="shared" si="535"/>
        <v>0</v>
      </c>
      <c r="AX570" s="322">
        <f t="shared" si="535"/>
        <v>0</v>
      </c>
      <c r="AY570" s="322">
        <f t="shared" si="535"/>
        <v>0</v>
      </c>
      <c r="AZ570" s="322">
        <f t="shared" si="535"/>
        <v>0</v>
      </c>
      <c r="BA570" s="322">
        <f t="shared" si="535"/>
        <v>0</v>
      </c>
      <c r="BB570" s="322">
        <f t="shared" si="535"/>
        <v>0</v>
      </c>
      <c r="BC570" s="322">
        <f t="shared" si="535"/>
        <v>0</v>
      </c>
      <c r="BD570" s="322">
        <f t="shared" si="535"/>
        <v>0</v>
      </c>
      <c r="BE570" s="322">
        <f t="shared" si="535"/>
        <v>0</v>
      </c>
      <c r="BF570" s="322">
        <f t="shared" si="535"/>
        <v>0</v>
      </c>
      <c r="BG570" s="322">
        <f t="shared" si="535"/>
        <v>0</v>
      </c>
      <c r="BH570" s="322">
        <f t="shared" si="535"/>
        <v>0</v>
      </c>
      <c r="BI570" s="322">
        <f t="shared" si="535"/>
        <v>0</v>
      </c>
      <c r="BJ570" s="322">
        <f t="shared" si="535"/>
        <v>0</v>
      </c>
      <c r="BK570" s="322">
        <f t="shared" si="535"/>
        <v>0</v>
      </c>
      <c r="BL570" s="322">
        <f t="shared" si="535"/>
        <v>0</v>
      </c>
      <c r="BM570" s="322">
        <f t="shared" si="535"/>
        <v>0</v>
      </c>
      <c r="BN570" s="323">
        <f t="shared" si="535"/>
        <v>0</v>
      </c>
      <c r="BP570" s="536" t="s">
        <v>933</v>
      </c>
      <c r="BQ570" s="1438" t="str">
        <f>CONCATENATE("GHG_",BP570,"a = GHG_",BP570,"a-1 + (C118 * ",CL570," - ",CM570," + F118 / 100 * ",CM570," * ",CO570," / (",CN570,") / 1000000")</f>
        <v>GHG_Electricitya = GHG_Electricitya-1 + (C118 * BUI_COL(51+((A118-1)*8)+((D118-1)*32)) - BUI_COL(51+((A118-1)*8)+((E118-1)*32)) + F118 / 100 * BUI_COL(51+((A118-1)*8)+((E118-1)*32)) * GRID_ELECTRICITY_emission_factora (from row4) / (J118-I118+1) / 1000000</v>
      </c>
      <c r="BR570" s="1438"/>
      <c r="BS570" s="1438"/>
      <c r="BT570" s="1438"/>
      <c r="BU570" s="1438"/>
      <c r="BV570" s="1438"/>
      <c r="BW570" s="1438"/>
      <c r="BX570" s="1438"/>
      <c r="BY570" s="1438"/>
      <c r="BZ570" s="1438"/>
      <c r="CA570" s="1438"/>
      <c r="CB570" s="1438"/>
      <c r="CC570" s="1438"/>
      <c r="CD570" s="1438"/>
      <c r="CE570" s="1438"/>
      <c r="CF570" s="1438"/>
      <c r="CG570" s="1438"/>
      <c r="CH570" s="1438"/>
      <c r="CI570" s="1438"/>
      <c r="CJ570" s="1438"/>
      <c r="CK570" s="1438"/>
      <c r="CL570" s="918" t="s">
        <v>2497</v>
      </c>
      <c r="CM570" s="918" t="s">
        <v>2498</v>
      </c>
      <c r="CN570" s="918" t="s">
        <v>2554</v>
      </c>
      <c r="CO570" s="918" t="s">
        <v>1881</v>
      </c>
    </row>
    <row r="571" spans="32:93" ht="20.100000000000001" customHeight="1">
      <c r="AF571" s="1505"/>
      <c r="AG571" s="251" t="s">
        <v>1220</v>
      </c>
      <c r="AH571" s="251">
        <f>INDEX('DEFAULT DATA'!$VE$9:$VK$41,START!$C$3,1)</f>
        <v>202</v>
      </c>
      <c r="AI571" s="262">
        <f>INDEX('DEFAULT DATA'!$XC$9:$AFR$41,START!$C$3,(2+(($A$119-1)*8)+(($D$119-1)*32)))</f>
        <v>311.33639355090264</v>
      </c>
      <c r="AJ571" s="262">
        <f>INDEX('DEFAULT DATA'!$XC$9:$AFR$41,START!$C$3,(2+(($A$119-1)*8)+(($E$119-1)*32)))</f>
        <v>0</v>
      </c>
      <c r="AK571" s="345">
        <v>0</v>
      </c>
      <c r="AL571" s="272">
        <f t="shared" ref="AL571:BN571" si="536">IF(AND(AL$569&gt;($I$119+2020),AL$569&lt;($J$119+2022)),AK571+($AH$571*($AI$571-$AJ$571)*$C$119*((100-$F$119)/100)/($J$119-$I$119+1)/1000000),AK571)</f>
        <v>0</v>
      </c>
      <c r="AM571" s="272">
        <f t="shared" si="536"/>
        <v>0</v>
      </c>
      <c r="AN571" s="272">
        <f t="shared" si="536"/>
        <v>0</v>
      </c>
      <c r="AO571" s="272">
        <f t="shared" si="536"/>
        <v>0</v>
      </c>
      <c r="AP571" s="272">
        <f t="shared" si="536"/>
        <v>0</v>
      </c>
      <c r="AQ571" s="272">
        <f t="shared" si="536"/>
        <v>0</v>
      </c>
      <c r="AR571" s="272">
        <f t="shared" si="536"/>
        <v>0</v>
      </c>
      <c r="AS571" s="272">
        <f t="shared" si="536"/>
        <v>0</v>
      </c>
      <c r="AT571" s="272">
        <f t="shared" si="536"/>
        <v>0</v>
      </c>
      <c r="AU571" s="272">
        <f t="shared" si="536"/>
        <v>0</v>
      </c>
      <c r="AV571" s="272">
        <f t="shared" si="536"/>
        <v>0</v>
      </c>
      <c r="AW571" s="272">
        <f t="shared" si="536"/>
        <v>0</v>
      </c>
      <c r="AX571" s="272">
        <f t="shared" si="536"/>
        <v>0</v>
      </c>
      <c r="AY571" s="272">
        <f t="shared" si="536"/>
        <v>0</v>
      </c>
      <c r="AZ571" s="272">
        <f t="shared" si="536"/>
        <v>0</v>
      </c>
      <c r="BA571" s="272">
        <f t="shared" si="536"/>
        <v>0</v>
      </c>
      <c r="BB571" s="272">
        <f t="shared" si="536"/>
        <v>0</v>
      </c>
      <c r="BC571" s="272">
        <f t="shared" si="536"/>
        <v>0</v>
      </c>
      <c r="BD571" s="272">
        <f t="shared" si="536"/>
        <v>0</v>
      </c>
      <c r="BE571" s="272">
        <f t="shared" si="536"/>
        <v>0</v>
      </c>
      <c r="BF571" s="272">
        <f t="shared" si="536"/>
        <v>0</v>
      </c>
      <c r="BG571" s="272">
        <f t="shared" si="536"/>
        <v>0</v>
      </c>
      <c r="BH571" s="272">
        <f t="shared" si="536"/>
        <v>0</v>
      </c>
      <c r="BI571" s="272">
        <f t="shared" si="536"/>
        <v>0</v>
      </c>
      <c r="BJ571" s="272">
        <f t="shared" si="536"/>
        <v>0</v>
      </c>
      <c r="BK571" s="272">
        <f t="shared" si="536"/>
        <v>0</v>
      </c>
      <c r="BL571" s="272">
        <f t="shared" si="536"/>
        <v>0</v>
      </c>
      <c r="BM571" s="272">
        <f t="shared" si="536"/>
        <v>0</v>
      </c>
      <c r="BN571" s="324">
        <f t="shared" si="536"/>
        <v>0</v>
      </c>
      <c r="BP571" s="536" t="s">
        <v>1220</v>
      </c>
      <c r="BQ571" s="1438" t="str">
        <f t="shared" ref="BQ571:BQ577" si="537">CONCATENATE("GHG_",BP571,"a = GHG_",BP571,"a-1 + (C118 * ",CL571," - ",CM571," + F118 / 100 * ",CM571," * ",CO571," / (",CN571,") / 1000000")</f>
        <v>GHG_Gasa = GHG_Gasa-1 + (C118 * BUI_COL(51+((A118-1)*8)+((D118-1)*32)) - BUI_COL(51+((A118-1)*8)+((E118-1)*32)) + F118 / 100 * BUI_COL(51+((A118-1)*8)+((E118-1)*32)) * BUI_COL1 / (J118-I118+1) / 1000000</v>
      </c>
      <c r="BR571" s="1438"/>
      <c r="BS571" s="1438"/>
      <c r="BT571" s="1438"/>
      <c r="BU571" s="1438"/>
      <c r="BV571" s="1438"/>
      <c r="BW571" s="1438"/>
      <c r="BX571" s="1438"/>
      <c r="BY571" s="1438"/>
      <c r="BZ571" s="1438"/>
      <c r="CA571" s="1438"/>
      <c r="CB571" s="1438"/>
      <c r="CC571" s="1438"/>
      <c r="CD571" s="1438"/>
      <c r="CE571" s="1438"/>
      <c r="CF571" s="1438"/>
      <c r="CG571" s="1438"/>
      <c r="CH571" s="1438"/>
      <c r="CI571" s="1438"/>
      <c r="CJ571" s="1438"/>
      <c r="CK571" s="1438"/>
      <c r="CL571" s="918" t="s">
        <v>2497</v>
      </c>
      <c r="CM571" s="918" t="s">
        <v>2498</v>
      </c>
      <c r="CN571" s="918" t="s">
        <v>2554</v>
      </c>
      <c r="CO571" s="918" t="s">
        <v>1248</v>
      </c>
    </row>
    <row r="572" spans="32:93" ht="20.100000000000001" customHeight="1">
      <c r="AF572" s="1505"/>
      <c r="AG572" s="251" t="s">
        <v>1221</v>
      </c>
      <c r="AH572" s="251">
        <f>INDEX('DEFAULT DATA'!$VE$9:$VK$41,START!$C$3,2)</f>
        <v>279</v>
      </c>
      <c r="AI572" s="262">
        <f>INDEX('DEFAULT DATA'!$XC$9:$AFR$41,START!$C$3,(3+(($A$119-1)*8)+(($D$119-1)*32)))</f>
        <v>2490.6911484072211</v>
      </c>
      <c r="AJ572" s="262">
        <f>INDEX('DEFAULT DATA'!$XC$9:$AFR$41,START!$C$3,(3+(($A$119-1)*8)+(($E$119-1)*32)))</f>
        <v>0</v>
      </c>
      <c r="AK572" s="345">
        <v>0</v>
      </c>
      <c r="AL572" s="272">
        <f t="shared" ref="AL572:BN572" si="538">IF(AND(AL$569&gt;($I$119+2020),AL$569&lt;($J$119+2022)),AK572+($AH$572*($AI$572-$AJ$572)*$C$119*((100-$F$119)/100)/($J$119-$I$119+1)/1000000),AK572)</f>
        <v>0</v>
      </c>
      <c r="AM572" s="272">
        <f t="shared" si="538"/>
        <v>0</v>
      </c>
      <c r="AN572" s="272">
        <f t="shared" si="538"/>
        <v>0</v>
      </c>
      <c r="AO572" s="272">
        <f t="shared" si="538"/>
        <v>0</v>
      </c>
      <c r="AP572" s="272">
        <f t="shared" si="538"/>
        <v>0</v>
      </c>
      <c r="AQ572" s="272">
        <f t="shared" si="538"/>
        <v>0</v>
      </c>
      <c r="AR572" s="272">
        <f t="shared" si="538"/>
        <v>0</v>
      </c>
      <c r="AS572" s="272">
        <f t="shared" si="538"/>
        <v>0</v>
      </c>
      <c r="AT572" s="272">
        <f t="shared" si="538"/>
        <v>0</v>
      </c>
      <c r="AU572" s="272">
        <f t="shared" si="538"/>
        <v>0</v>
      </c>
      <c r="AV572" s="272">
        <f t="shared" si="538"/>
        <v>0</v>
      </c>
      <c r="AW572" s="272">
        <f t="shared" si="538"/>
        <v>0</v>
      </c>
      <c r="AX572" s="272">
        <f t="shared" si="538"/>
        <v>0</v>
      </c>
      <c r="AY572" s="272">
        <f t="shared" si="538"/>
        <v>0</v>
      </c>
      <c r="AZ572" s="272">
        <f t="shared" si="538"/>
        <v>0</v>
      </c>
      <c r="BA572" s="272">
        <f t="shared" si="538"/>
        <v>0</v>
      </c>
      <c r="BB572" s="272">
        <f t="shared" si="538"/>
        <v>0</v>
      </c>
      <c r="BC572" s="272">
        <f t="shared" si="538"/>
        <v>0</v>
      </c>
      <c r="BD572" s="272">
        <f t="shared" si="538"/>
        <v>0</v>
      </c>
      <c r="BE572" s="272">
        <f t="shared" si="538"/>
        <v>0</v>
      </c>
      <c r="BF572" s="272">
        <f t="shared" si="538"/>
        <v>0</v>
      </c>
      <c r="BG572" s="272">
        <f t="shared" si="538"/>
        <v>0</v>
      </c>
      <c r="BH572" s="272">
        <f t="shared" si="538"/>
        <v>0</v>
      </c>
      <c r="BI572" s="272">
        <f t="shared" si="538"/>
        <v>0</v>
      </c>
      <c r="BJ572" s="272">
        <f t="shared" si="538"/>
        <v>0</v>
      </c>
      <c r="BK572" s="272">
        <f t="shared" si="538"/>
        <v>0</v>
      </c>
      <c r="BL572" s="272">
        <f t="shared" si="538"/>
        <v>0</v>
      </c>
      <c r="BM572" s="272">
        <f t="shared" si="538"/>
        <v>0</v>
      </c>
      <c r="BN572" s="324">
        <f t="shared" si="538"/>
        <v>0</v>
      </c>
      <c r="BP572" s="536" t="s">
        <v>1221</v>
      </c>
      <c r="BQ572" s="1438" t="str">
        <f t="shared" si="537"/>
        <v>GHG_Oila = GHG_Oila-1 + (C118 * BUI_COL(51+((A118-1)*8)+((D118-1)*32)) - BUI_COL(51+((A118-1)*8)+((E118-1)*32)) + F118 / 100 * BUI_COL(51+((A118-1)*8)+((E118-1)*32)) * BUI_COL2 / (J118-I118+1) / 1000000</v>
      </c>
      <c r="BR572" s="1438"/>
      <c r="BS572" s="1438"/>
      <c r="BT572" s="1438"/>
      <c r="BU572" s="1438"/>
      <c r="BV572" s="1438"/>
      <c r="BW572" s="1438"/>
      <c r="BX572" s="1438"/>
      <c r="BY572" s="1438"/>
      <c r="BZ572" s="1438"/>
      <c r="CA572" s="1438"/>
      <c r="CB572" s="1438"/>
      <c r="CC572" s="1438"/>
      <c r="CD572" s="1438"/>
      <c r="CE572" s="1438"/>
      <c r="CF572" s="1438"/>
      <c r="CG572" s="1438"/>
      <c r="CH572" s="1438"/>
      <c r="CI572" s="1438"/>
      <c r="CJ572" s="1438"/>
      <c r="CK572" s="1438"/>
      <c r="CL572" s="918" t="s">
        <v>2497</v>
      </c>
      <c r="CM572" s="918" t="s">
        <v>2498</v>
      </c>
      <c r="CN572" s="918" t="s">
        <v>2554</v>
      </c>
      <c r="CO572" s="918" t="s">
        <v>1621</v>
      </c>
    </row>
    <row r="573" spans="32:93" ht="20.100000000000001" customHeight="1">
      <c r="AF573" s="1505"/>
      <c r="AG573" s="251" t="s">
        <v>1222</v>
      </c>
      <c r="AH573" s="251">
        <f>INDEX('DEFAULT DATA'!$VE$9:$VK$41,START!$C$3,3)</f>
        <v>354</v>
      </c>
      <c r="AI573" s="262">
        <f>INDEX('DEFAULT DATA'!$XC$9:$AFR$41,START!$C$3,(4+(($A$119-1)*8)+(($D$119-1)*32)))</f>
        <v>0</v>
      </c>
      <c r="AJ573" s="262">
        <f>INDEX('DEFAULT DATA'!$XC$9:$AFR$41,START!$C$3,(4+(($A$119-1)*8)+(($E$119-1)*32)))</f>
        <v>0</v>
      </c>
      <c r="AK573" s="345">
        <v>0</v>
      </c>
      <c r="AL573" s="272">
        <f t="shared" ref="AL573:BN573" si="539">IF(AND(AL$569&gt;($I$119+2020),AL$569&lt;($J$119+2022)),AK573+($AH$573*($AI$573-$AJ$573)*$C$119*((100-$F$119)/100)/($J$119-$I$119+1)/1000000),AK573)</f>
        <v>0</v>
      </c>
      <c r="AM573" s="272">
        <f t="shared" si="539"/>
        <v>0</v>
      </c>
      <c r="AN573" s="272">
        <f t="shared" si="539"/>
        <v>0</v>
      </c>
      <c r="AO573" s="272">
        <f t="shared" si="539"/>
        <v>0</v>
      </c>
      <c r="AP573" s="272">
        <f t="shared" si="539"/>
        <v>0</v>
      </c>
      <c r="AQ573" s="272">
        <f t="shared" si="539"/>
        <v>0</v>
      </c>
      <c r="AR573" s="272">
        <f t="shared" si="539"/>
        <v>0</v>
      </c>
      <c r="AS573" s="272">
        <f t="shared" si="539"/>
        <v>0</v>
      </c>
      <c r="AT573" s="272">
        <f t="shared" si="539"/>
        <v>0</v>
      </c>
      <c r="AU573" s="272">
        <f t="shared" si="539"/>
        <v>0</v>
      </c>
      <c r="AV573" s="272">
        <f t="shared" si="539"/>
        <v>0</v>
      </c>
      <c r="AW573" s="272">
        <f t="shared" si="539"/>
        <v>0</v>
      </c>
      <c r="AX573" s="272">
        <f t="shared" si="539"/>
        <v>0</v>
      </c>
      <c r="AY573" s="272">
        <f t="shared" si="539"/>
        <v>0</v>
      </c>
      <c r="AZ573" s="272">
        <f t="shared" si="539"/>
        <v>0</v>
      </c>
      <c r="BA573" s="272">
        <f t="shared" si="539"/>
        <v>0</v>
      </c>
      <c r="BB573" s="272">
        <f t="shared" si="539"/>
        <v>0</v>
      </c>
      <c r="BC573" s="272">
        <f t="shared" si="539"/>
        <v>0</v>
      </c>
      <c r="BD573" s="272">
        <f t="shared" si="539"/>
        <v>0</v>
      </c>
      <c r="BE573" s="272">
        <f t="shared" si="539"/>
        <v>0</v>
      </c>
      <c r="BF573" s="272">
        <f t="shared" si="539"/>
        <v>0</v>
      </c>
      <c r="BG573" s="272">
        <f t="shared" si="539"/>
        <v>0</v>
      </c>
      <c r="BH573" s="272">
        <f t="shared" si="539"/>
        <v>0</v>
      </c>
      <c r="BI573" s="272">
        <f t="shared" si="539"/>
        <v>0</v>
      </c>
      <c r="BJ573" s="272">
        <f t="shared" si="539"/>
        <v>0</v>
      </c>
      <c r="BK573" s="272">
        <f t="shared" si="539"/>
        <v>0</v>
      </c>
      <c r="BL573" s="272">
        <f t="shared" si="539"/>
        <v>0</v>
      </c>
      <c r="BM573" s="272">
        <f t="shared" si="539"/>
        <v>0</v>
      </c>
      <c r="BN573" s="324">
        <f t="shared" si="539"/>
        <v>0</v>
      </c>
      <c r="BP573" s="536" t="s">
        <v>1222</v>
      </c>
      <c r="BQ573" s="1438" t="str">
        <f t="shared" si="537"/>
        <v>GHG_Coala = GHG_Coala-1 + (C118 * BUI_COL(51+((A118-1)*8)+((D118-1)*32)) - BUI_COL(51+((A118-1)*8)+((E118-1)*32)) + F118 / 100 * BUI_COL(51+((A118-1)*8)+((E118-1)*32)) * BUI_COL3 / (J118-I118+1) / 1000000</v>
      </c>
      <c r="BR573" s="1438"/>
      <c r="BS573" s="1438"/>
      <c r="BT573" s="1438"/>
      <c r="BU573" s="1438"/>
      <c r="BV573" s="1438"/>
      <c r="BW573" s="1438"/>
      <c r="BX573" s="1438"/>
      <c r="BY573" s="1438"/>
      <c r="BZ573" s="1438"/>
      <c r="CA573" s="1438"/>
      <c r="CB573" s="1438"/>
      <c r="CC573" s="1438"/>
      <c r="CD573" s="1438"/>
      <c r="CE573" s="1438"/>
      <c r="CF573" s="1438"/>
      <c r="CG573" s="1438"/>
      <c r="CH573" s="1438"/>
      <c r="CI573" s="1438"/>
      <c r="CJ573" s="1438"/>
      <c r="CK573" s="1438"/>
      <c r="CL573" s="918" t="s">
        <v>2497</v>
      </c>
      <c r="CM573" s="918" t="s">
        <v>2498</v>
      </c>
      <c r="CN573" s="918" t="s">
        <v>2554</v>
      </c>
      <c r="CO573" s="918" t="s">
        <v>1622</v>
      </c>
    </row>
    <row r="574" spans="32:93" ht="20.100000000000001" customHeight="1">
      <c r="AF574" s="1505"/>
      <c r="AG574" s="251" t="s">
        <v>1223</v>
      </c>
      <c r="AH574" s="251">
        <f>INDEX('DEFAULT DATA'!$VE$9:$VK$41,START!$C$3,4)</f>
        <v>0</v>
      </c>
      <c r="AI574" s="262">
        <f>INDEX('DEFAULT DATA'!$XC$9:$AFR$41,START!$C$3,(5+(($A$119-1)*8)+(($D$119-1)*32)))</f>
        <v>0</v>
      </c>
      <c r="AJ574" s="262">
        <f>INDEX('DEFAULT DATA'!$XC$9:$AFR$41,START!$C$3,(5+(($A$119-1)*8)+(($E$119-1)*32)))</f>
        <v>0</v>
      </c>
      <c r="AK574" s="345">
        <v>0</v>
      </c>
      <c r="AL574" s="272">
        <f t="shared" ref="AL574:BN574" si="540">IF(AND(AL$569&gt;($I$119+2020),AL$569&lt;($J$119+2022)),AK574+($AH$574*($AI$574-$AJ$574)*$C$119*((100-$F$119)/100)/($J$119-$I$119+1)/1000000),AK574)</f>
        <v>0</v>
      </c>
      <c r="AM574" s="272">
        <f t="shared" si="540"/>
        <v>0</v>
      </c>
      <c r="AN574" s="272">
        <f t="shared" si="540"/>
        <v>0</v>
      </c>
      <c r="AO574" s="272">
        <f t="shared" si="540"/>
        <v>0</v>
      </c>
      <c r="AP574" s="272">
        <f t="shared" si="540"/>
        <v>0</v>
      </c>
      <c r="AQ574" s="272">
        <f t="shared" si="540"/>
        <v>0</v>
      </c>
      <c r="AR574" s="272">
        <f t="shared" si="540"/>
        <v>0</v>
      </c>
      <c r="AS574" s="272">
        <f t="shared" si="540"/>
        <v>0</v>
      </c>
      <c r="AT574" s="272">
        <f t="shared" si="540"/>
        <v>0</v>
      </c>
      <c r="AU574" s="272">
        <f t="shared" si="540"/>
        <v>0</v>
      </c>
      <c r="AV574" s="272">
        <f t="shared" si="540"/>
        <v>0</v>
      </c>
      <c r="AW574" s="272">
        <f t="shared" si="540"/>
        <v>0</v>
      </c>
      <c r="AX574" s="272">
        <f t="shared" si="540"/>
        <v>0</v>
      </c>
      <c r="AY574" s="272">
        <f t="shared" si="540"/>
        <v>0</v>
      </c>
      <c r="AZ574" s="272">
        <f t="shared" si="540"/>
        <v>0</v>
      </c>
      <c r="BA574" s="272">
        <f t="shared" si="540"/>
        <v>0</v>
      </c>
      <c r="BB574" s="272">
        <f t="shared" si="540"/>
        <v>0</v>
      </c>
      <c r="BC574" s="272">
        <f t="shared" si="540"/>
        <v>0</v>
      </c>
      <c r="BD574" s="272">
        <f t="shared" si="540"/>
        <v>0</v>
      </c>
      <c r="BE574" s="272">
        <f t="shared" si="540"/>
        <v>0</v>
      </c>
      <c r="BF574" s="272">
        <f t="shared" si="540"/>
        <v>0</v>
      </c>
      <c r="BG574" s="272">
        <f t="shared" si="540"/>
        <v>0</v>
      </c>
      <c r="BH574" s="272">
        <f t="shared" si="540"/>
        <v>0</v>
      </c>
      <c r="BI574" s="272">
        <f t="shared" si="540"/>
        <v>0</v>
      </c>
      <c r="BJ574" s="272">
        <f t="shared" si="540"/>
        <v>0</v>
      </c>
      <c r="BK574" s="272">
        <f t="shared" si="540"/>
        <v>0</v>
      </c>
      <c r="BL574" s="272">
        <f t="shared" si="540"/>
        <v>0</v>
      </c>
      <c r="BM574" s="272">
        <f t="shared" si="540"/>
        <v>0</v>
      </c>
      <c r="BN574" s="324">
        <f t="shared" si="540"/>
        <v>0</v>
      </c>
      <c r="BP574" s="536" t="s">
        <v>1223</v>
      </c>
      <c r="BQ574" s="1438" t="str">
        <f t="shared" si="537"/>
        <v>GHG_Peata = GHG_Peata-1 + (C118 * BUI_COL(51+((A118-1)*8)+((D118-1)*32)) - BUI_COL(51+((A118-1)*8)+((E118-1)*32)) + F118 / 100 * BUI_COL(51+((A118-1)*8)+((E118-1)*32)) * BUI_COL4 / (J118-I118+1) / 1000000</v>
      </c>
      <c r="BR574" s="1438"/>
      <c r="BS574" s="1438"/>
      <c r="BT574" s="1438"/>
      <c r="BU574" s="1438"/>
      <c r="BV574" s="1438"/>
      <c r="BW574" s="1438"/>
      <c r="BX574" s="1438"/>
      <c r="BY574" s="1438"/>
      <c r="BZ574" s="1438"/>
      <c r="CA574" s="1438"/>
      <c r="CB574" s="1438"/>
      <c r="CC574" s="1438"/>
      <c r="CD574" s="1438"/>
      <c r="CE574" s="1438"/>
      <c r="CF574" s="1438"/>
      <c r="CG574" s="1438"/>
      <c r="CH574" s="1438"/>
      <c r="CI574" s="1438"/>
      <c r="CJ574" s="1438"/>
      <c r="CK574" s="1438"/>
      <c r="CL574" s="918" t="s">
        <v>2497</v>
      </c>
      <c r="CM574" s="918" t="s">
        <v>2498</v>
      </c>
      <c r="CN574" s="918" t="s">
        <v>2554</v>
      </c>
      <c r="CO574" s="918" t="s">
        <v>1623</v>
      </c>
    </row>
    <row r="575" spans="32:93" ht="20.100000000000001" customHeight="1">
      <c r="AF575" s="1505"/>
      <c r="AG575" s="251" t="s">
        <v>1224</v>
      </c>
      <c r="AH575" s="251">
        <f>INDEX('DEFAULT DATA'!$VE$9:$VK$41,START!$C$3,5)</f>
        <v>403</v>
      </c>
      <c r="AI575" s="262">
        <f>INDEX('DEFAULT DATA'!$XC$9:$AFR$41,START!$C$3,(6+(($A$119-1)*8)+(($D$119-1)*32)))</f>
        <v>0</v>
      </c>
      <c r="AJ575" s="262">
        <f>INDEX('DEFAULT DATA'!$XC$9:$AFR$41,START!$C$3,(6+(($A$119-1)*8)+(($E$119-1)*32)))</f>
        <v>0</v>
      </c>
      <c r="AK575" s="345">
        <v>0</v>
      </c>
      <c r="AL575" s="272">
        <f t="shared" ref="AL575:BN575" si="541">IF(AND(AL$569&gt;($I$119+2020),AL$569&lt;($J$119+2022)),AK575+($AH$575*($AI$575-$AJ$575)*$C$119*((100-$F$119)/100)/($J$119-$I$119+1)/1000000),AK575)</f>
        <v>0</v>
      </c>
      <c r="AM575" s="272">
        <f t="shared" si="541"/>
        <v>0</v>
      </c>
      <c r="AN575" s="272">
        <f t="shared" si="541"/>
        <v>0</v>
      </c>
      <c r="AO575" s="272">
        <f t="shared" si="541"/>
        <v>0</v>
      </c>
      <c r="AP575" s="272">
        <f t="shared" si="541"/>
        <v>0</v>
      </c>
      <c r="AQ575" s="272">
        <f t="shared" si="541"/>
        <v>0</v>
      </c>
      <c r="AR575" s="272">
        <f t="shared" si="541"/>
        <v>0</v>
      </c>
      <c r="AS575" s="272">
        <f t="shared" si="541"/>
        <v>0</v>
      </c>
      <c r="AT575" s="272">
        <f t="shared" si="541"/>
        <v>0</v>
      </c>
      <c r="AU575" s="272">
        <f t="shared" si="541"/>
        <v>0</v>
      </c>
      <c r="AV575" s="272">
        <f t="shared" si="541"/>
        <v>0</v>
      </c>
      <c r="AW575" s="272">
        <f t="shared" si="541"/>
        <v>0</v>
      </c>
      <c r="AX575" s="272">
        <f t="shared" si="541"/>
        <v>0</v>
      </c>
      <c r="AY575" s="272">
        <f t="shared" si="541"/>
        <v>0</v>
      </c>
      <c r="AZ575" s="272">
        <f t="shared" si="541"/>
        <v>0</v>
      </c>
      <c r="BA575" s="272">
        <f t="shared" si="541"/>
        <v>0</v>
      </c>
      <c r="BB575" s="272">
        <f t="shared" si="541"/>
        <v>0</v>
      </c>
      <c r="BC575" s="272">
        <f t="shared" si="541"/>
        <v>0</v>
      </c>
      <c r="BD575" s="272">
        <f t="shared" si="541"/>
        <v>0</v>
      </c>
      <c r="BE575" s="272">
        <f t="shared" si="541"/>
        <v>0</v>
      </c>
      <c r="BF575" s="272">
        <f t="shared" si="541"/>
        <v>0</v>
      </c>
      <c r="BG575" s="272">
        <f t="shared" si="541"/>
        <v>0</v>
      </c>
      <c r="BH575" s="272">
        <f t="shared" si="541"/>
        <v>0</v>
      </c>
      <c r="BI575" s="272">
        <f t="shared" si="541"/>
        <v>0</v>
      </c>
      <c r="BJ575" s="272">
        <f t="shared" si="541"/>
        <v>0</v>
      </c>
      <c r="BK575" s="272">
        <f t="shared" si="541"/>
        <v>0</v>
      </c>
      <c r="BL575" s="272">
        <f t="shared" si="541"/>
        <v>0</v>
      </c>
      <c r="BM575" s="272">
        <f t="shared" si="541"/>
        <v>0</v>
      </c>
      <c r="BN575" s="324">
        <f t="shared" si="541"/>
        <v>0</v>
      </c>
      <c r="BP575" s="536" t="s">
        <v>1224</v>
      </c>
      <c r="BQ575" s="1438" t="str">
        <f t="shared" si="537"/>
        <v>GHG_Wooda = GHG_Wooda-1 + (C118 * BUI_COL(51+((A118-1)*8)+((D118-1)*32)) - BUI_COL(51+((A118-1)*8)+((E118-1)*32)) + F118 / 100 * BUI_COL(51+((A118-1)*8)+((E118-1)*32)) * BUI_COL5 / (J118-I118+1) / 1000000</v>
      </c>
      <c r="BR575" s="1438"/>
      <c r="BS575" s="1438"/>
      <c r="BT575" s="1438"/>
      <c r="BU575" s="1438"/>
      <c r="BV575" s="1438"/>
      <c r="BW575" s="1438"/>
      <c r="BX575" s="1438"/>
      <c r="BY575" s="1438"/>
      <c r="BZ575" s="1438"/>
      <c r="CA575" s="1438"/>
      <c r="CB575" s="1438"/>
      <c r="CC575" s="1438"/>
      <c r="CD575" s="1438"/>
      <c r="CE575" s="1438"/>
      <c r="CF575" s="1438"/>
      <c r="CG575" s="1438"/>
      <c r="CH575" s="1438"/>
      <c r="CI575" s="1438"/>
      <c r="CJ575" s="1438"/>
      <c r="CK575" s="1438"/>
      <c r="CL575" s="918" t="s">
        <v>2497</v>
      </c>
      <c r="CM575" s="918" t="s">
        <v>2498</v>
      </c>
      <c r="CN575" s="918" t="s">
        <v>2554</v>
      </c>
      <c r="CO575" s="918" t="s">
        <v>1624</v>
      </c>
    </row>
    <row r="576" spans="32:93" ht="20.100000000000001" customHeight="1">
      <c r="AF576" s="1505"/>
      <c r="AG576" s="251" t="s">
        <v>1225</v>
      </c>
      <c r="AH576" s="251">
        <f>INDEX('DEFAULT DATA'!$VE$9:$VK$41,START!$C$3,6)</f>
        <v>0</v>
      </c>
      <c r="AI576" s="262">
        <f>INDEX('DEFAULT DATA'!$XC$9:$AFR$41,START!$C$3,(7+(($A$119-1)*8)+(($D$119-1)*32)))</f>
        <v>7783.4098387725662</v>
      </c>
      <c r="AJ576" s="262">
        <f>INDEX('DEFAULT DATA'!$XC$9:$AFR$41,START!$C$3,(7+(($A$119-1)*8)+(($E$119-1)*32)))</f>
        <v>1313.6310345601225</v>
      </c>
      <c r="AK576" s="345">
        <v>0</v>
      </c>
      <c r="AL576" s="272">
        <f t="shared" ref="AL576:BN576" si="542">IF(AND(AL$569&gt;($I$119+2020),AL$569&lt;($J$119+2022)),AK576+($AH$576*($AI$576-$AJ$576)*$C$119*((100-$F$119)/100)/($J$119-$I$119+1)/1000000),AK576)</f>
        <v>0</v>
      </c>
      <c r="AM576" s="272">
        <f t="shared" si="542"/>
        <v>0</v>
      </c>
      <c r="AN576" s="272">
        <f t="shared" si="542"/>
        <v>0</v>
      </c>
      <c r="AO576" s="272">
        <f t="shared" si="542"/>
        <v>0</v>
      </c>
      <c r="AP576" s="272">
        <f t="shared" si="542"/>
        <v>0</v>
      </c>
      <c r="AQ576" s="272">
        <f t="shared" si="542"/>
        <v>0</v>
      </c>
      <c r="AR576" s="272">
        <f t="shared" si="542"/>
        <v>0</v>
      </c>
      <c r="AS576" s="272">
        <f t="shared" si="542"/>
        <v>0</v>
      </c>
      <c r="AT576" s="272">
        <f t="shared" si="542"/>
        <v>0</v>
      </c>
      <c r="AU576" s="272">
        <f t="shared" si="542"/>
        <v>0</v>
      </c>
      <c r="AV576" s="272">
        <f t="shared" si="542"/>
        <v>0</v>
      </c>
      <c r="AW576" s="272">
        <f t="shared" si="542"/>
        <v>0</v>
      </c>
      <c r="AX576" s="272">
        <f t="shared" si="542"/>
        <v>0</v>
      </c>
      <c r="AY576" s="272">
        <f t="shared" si="542"/>
        <v>0</v>
      </c>
      <c r="AZ576" s="272">
        <f t="shared" si="542"/>
        <v>0</v>
      </c>
      <c r="BA576" s="272">
        <f t="shared" si="542"/>
        <v>0</v>
      </c>
      <c r="BB576" s="272">
        <f t="shared" si="542"/>
        <v>0</v>
      </c>
      <c r="BC576" s="272">
        <f t="shared" si="542"/>
        <v>0</v>
      </c>
      <c r="BD576" s="272">
        <f t="shared" si="542"/>
        <v>0</v>
      </c>
      <c r="BE576" s="272">
        <f t="shared" si="542"/>
        <v>0</v>
      </c>
      <c r="BF576" s="272">
        <f t="shared" si="542"/>
        <v>0</v>
      </c>
      <c r="BG576" s="272">
        <f t="shared" si="542"/>
        <v>0</v>
      </c>
      <c r="BH576" s="272">
        <f t="shared" si="542"/>
        <v>0</v>
      </c>
      <c r="BI576" s="272">
        <f t="shared" si="542"/>
        <v>0</v>
      </c>
      <c r="BJ576" s="272">
        <f t="shared" si="542"/>
        <v>0</v>
      </c>
      <c r="BK576" s="272">
        <f t="shared" si="542"/>
        <v>0</v>
      </c>
      <c r="BL576" s="272">
        <f t="shared" si="542"/>
        <v>0</v>
      </c>
      <c r="BM576" s="272">
        <f t="shared" si="542"/>
        <v>0</v>
      </c>
      <c r="BN576" s="324">
        <f t="shared" si="542"/>
        <v>0</v>
      </c>
      <c r="BP576" s="536" t="s">
        <v>1225</v>
      </c>
      <c r="BQ576" s="1438" t="str">
        <f t="shared" si="537"/>
        <v>GHG_Renewablea = GHG_Renewablea-1 + (C118 * BUI_COL(51+((A118-1)*8)+((D118-1)*32)) - BUI_COL(51+((A118-1)*8)+((E118-1)*32)) + F118 / 100 * BUI_COL(51+((A118-1)*8)+((E118-1)*32)) * BUI_COL6 / (J118-I118+1) / 1000000</v>
      </c>
      <c r="BR576" s="1438"/>
      <c r="BS576" s="1438"/>
      <c r="BT576" s="1438"/>
      <c r="BU576" s="1438"/>
      <c r="BV576" s="1438"/>
      <c r="BW576" s="1438"/>
      <c r="BX576" s="1438"/>
      <c r="BY576" s="1438"/>
      <c r="BZ576" s="1438"/>
      <c r="CA576" s="1438"/>
      <c r="CB576" s="1438"/>
      <c r="CC576" s="1438"/>
      <c r="CD576" s="1438"/>
      <c r="CE576" s="1438"/>
      <c r="CF576" s="1438"/>
      <c r="CG576" s="1438"/>
      <c r="CH576" s="1438"/>
      <c r="CI576" s="1438"/>
      <c r="CJ576" s="1438"/>
      <c r="CK576" s="1438"/>
      <c r="CL576" s="918" t="s">
        <v>2497</v>
      </c>
      <c r="CM576" s="918" t="s">
        <v>2498</v>
      </c>
      <c r="CN576" s="918" t="s">
        <v>2554</v>
      </c>
      <c r="CO576" s="918" t="s">
        <v>1625</v>
      </c>
    </row>
    <row r="577" spans="32:93" ht="20.100000000000001" customHeight="1" thickBot="1">
      <c r="AF577" s="1506"/>
      <c r="AG577" s="310" t="s">
        <v>1226</v>
      </c>
      <c r="AH577" s="310" t="s">
        <v>1497</v>
      </c>
      <c r="AI577" s="335">
        <f>INDEX('DEFAULT DATA'!$XC$9:$AFR$41,START!$C$3,(8+(($A$119-1)*8)+(($D$119-1)*32)))</f>
        <v>9340.0918065270798</v>
      </c>
      <c r="AJ577" s="335">
        <f>INDEX('DEFAULT DATA'!$XC$9:$AFR$41,START!$C$3,(8+(($A$119-1)*8)+(($E$119-1)*32)))</f>
        <v>1576.3572414721468</v>
      </c>
      <c r="AK577" s="348">
        <v>0</v>
      </c>
      <c r="AL577" s="325">
        <f t="shared" ref="AL577:BN577" si="543">IF(AND(AL$569&gt;($I$119+2020),AL$569&lt;($J$119+2022)),AK577+(AL$6*($AI$577-$AJ$577)*$C$119*((100-$F$119)/100)/($J$119-$I$119+1)/1000000),AK577)</f>
        <v>0</v>
      </c>
      <c r="AM577" s="325">
        <f t="shared" si="543"/>
        <v>0</v>
      </c>
      <c r="AN577" s="325">
        <f t="shared" si="543"/>
        <v>0</v>
      </c>
      <c r="AO577" s="325">
        <f t="shared" si="543"/>
        <v>0</v>
      </c>
      <c r="AP577" s="325">
        <f t="shared" si="543"/>
        <v>0</v>
      </c>
      <c r="AQ577" s="325">
        <f t="shared" si="543"/>
        <v>0</v>
      </c>
      <c r="AR577" s="325">
        <f t="shared" si="543"/>
        <v>0</v>
      </c>
      <c r="AS577" s="325">
        <f t="shared" si="543"/>
        <v>0</v>
      </c>
      <c r="AT577" s="325">
        <f t="shared" si="543"/>
        <v>0</v>
      </c>
      <c r="AU577" s="325">
        <f t="shared" si="543"/>
        <v>0</v>
      </c>
      <c r="AV577" s="325">
        <f t="shared" si="543"/>
        <v>0</v>
      </c>
      <c r="AW577" s="325">
        <f t="shared" si="543"/>
        <v>0</v>
      </c>
      <c r="AX577" s="325">
        <f t="shared" si="543"/>
        <v>0</v>
      </c>
      <c r="AY577" s="325">
        <f t="shared" si="543"/>
        <v>0</v>
      </c>
      <c r="AZ577" s="325">
        <f t="shared" si="543"/>
        <v>0</v>
      </c>
      <c r="BA577" s="325">
        <f t="shared" si="543"/>
        <v>0</v>
      </c>
      <c r="BB577" s="325">
        <f t="shared" si="543"/>
        <v>0</v>
      </c>
      <c r="BC577" s="325">
        <f t="shared" si="543"/>
        <v>0</v>
      </c>
      <c r="BD577" s="325">
        <f t="shared" si="543"/>
        <v>0</v>
      </c>
      <c r="BE577" s="325">
        <f t="shared" si="543"/>
        <v>0</v>
      </c>
      <c r="BF577" s="325">
        <f t="shared" si="543"/>
        <v>0</v>
      </c>
      <c r="BG577" s="325">
        <f t="shared" si="543"/>
        <v>0</v>
      </c>
      <c r="BH577" s="325">
        <f t="shared" si="543"/>
        <v>0</v>
      </c>
      <c r="BI577" s="325">
        <f t="shared" si="543"/>
        <v>0</v>
      </c>
      <c r="BJ577" s="325">
        <f t="shared" si="543"/>
        <v>0</v>
      </c>
      <c r="BK577" s="325">
        <f t="shared" si="543"/>
        <v>0</v>
      </c>
      <c r="BL577" s="325">
        <f t="shared" si="543"/>
        <v>0</v>
      </c>
      <c r="BM577" s="325">
        <f t="shared" si="543"/>
        <v>0</v>
      </c>
      <c r="BN577" s="326">
        <f t="shared" si="543"/>
        <v>0</v>
      </c>
      <c r="BP577" s="536" t="s">
        <v>1226</v>
      </c>
      <c r="BQ577" s="1438" t="str">
        <f t="shared" si="537"/>
        <v>GHG_Heata = GHG_Heata-1 + (C118 * BUI_COL(51+((A118-1)*8)+((D118-1)*32)) - BUI_COL(51+((A118-1)*8)+((E118-1)*32)) + F118 / 100 * BUI_COL(51+((A118-1)*8)+((E118-1)*32)) * DISTRICT_HEATING_emission_factora (from row 5) / (J118-I118+1) / 1000000</v>
      </c>
      <c r="BR577" s="1438"/>
      <c r="BS577" s="1438"/>
      <c r="BT577" s="1438"/>
      <c r="BU577" s="1438"/>
      <c r="BV577" s="1438"/>
      <c r="BW577" s="1438"/>
      <c r="BX577" s="1438"/>
      <c r="BY577" s="1438"/>
      <c r="BZ577" s="1438"/>
      <c r="CA577" s="1438"/>
      <c r="CB577" s="1438"/>
      <c r="CC577" s="1438"/>
      <c r="CD577" s="1438"/>
      <c r="CE577" s="1438"/>
      <c r="CF577" s="1438"/>
      <c r="CG577" s="1438"/>
      <c r="CH577" s="1438"/>
      <c r="CI577" s="1438"/>
      <c r="CJ577" s="1438"/>
      <c r="CK577" s="1438"/>
      <c r="CL577" s="918" t="s">
        <v>2497</v>
      </c>
      <c r="CM577" s="918" t="s">
        <v>2498</v>
      </c>
      <c r="CN577" s="918" t="s">
        <v>2554</v>
      </c>
      <c r="CO577" s="918" t="s">
        <v>1882</v>
      </c>
    </row>
    <row r="578" spans="32:93" ht="20.100000000000001" customHeight="1">
      <c r="AF578" s="332"/>
      <c r="AG578" s="308" t="s">
        <v>310</v>
      </c>
      <c r="AH578" s="309"/>
      <c r="AI578" s="309"/>
      <c r="AJ578" s="309"/>
      <c r="AK578" s="344">
        <v>0</v>
      </c>
      <c r="AL578" s="327">
        <f>SUM(AL570:AL577)</f>
        <v>0</v>
      </c>
      <c r="AM578" s="327">
        <f t="shared" ref="AM578:BN578" si="544">SUM(AM570:AM577)</f>
        <v>0</v>
      </c>
      <c r="AN578" s="327">
        <f t="shared" si="544"/>
        <v>0</v>
      </c>
      <c r="AO578" s="327">
        <f t="shared" si="544"/>
        <v>0</v>
      </c>
      <c r="AP578" s="327">
        <f t="shared" si="544"/>
        <v>0</v>
      </c>
      <c r="AQ578" s="327">
        <f t="shared" si="544"/>
        <v>0</v>
      </c>
      <c r="AR578" s="327">
        <f t="shared" si="544"/>
        <v>0</v>
      </c>
      <c r="AS578" s="327">
        <f t="shared" si="544"/>
        <v>0</v>
      </c>
      <c r="AT578" s="327">
        <f t="shared" si="544"/>
        <v>0</v>
      </c>
      <c r="AU578" s="327">
        <f t="shared" si="544"/>
        <v>0</v>
      </c>
      <c r="AV578" s="327">
        <f t="shared" si="544"/>
        <v>0</v>
      </c>
      <c r="AW578" s="327">
        <f t="shared" si="544"/>
        <v>0</v>
      </c>
      <c r="AX578" s="327">
        <f t="shared" si="544"/>
        <v>0</v>
      </c>
      <c r="AY578" s="327">
        <f t="shared" si="544"/>
        <v>0</v>
      </c>
      <c r="AZ578" s="327">
        <f t="shared" si="544"/>
        <v>0</v>
      </c>
      <c r="BA578" s="327">
        <f t="shared" si="544"/>
        <v>0</v>
      </c>
      <c r="BB578" s="327">
        <f t="shared" si="544"/>
        <v>0</v>
      </c>
      <c r="BC578" s="327">
        <f t="shared" si="544"/>
        <v>0</v>
      </c>
      <c r="BD578" s="327">
        <f t="shared" si="544"/>
        <v>0</v>
      </c>
      <c r="BE578" s="327">
        <f t="shared" si="544"/>
        <v>0</v>
      </c>
      <c r="BF578" s="327">
        <f t="shared" si="544"/>
        <v>0</v>
      </c>
      <c r="BG578" s="327">
        <f t="shared" si="544"/>
        <v>0</v>
      </c>
      <c r="BH578" s="327">
        <f t="shared" si="544"/>
        <v>0</v>
      </c>
      <c r="BI578" s="327">
        <f t="shared" si="544"/>
        <v>0</v>
      </c>
      <c r="BJ578" s="327">
        <f t="shared" si="544"/>
        <v>0</v>
      </c>
      <c r="BK578" s="327">
        <f t="shared" si="544"/>
        <v>0</v>
      </c>
      <c r="BL578" s="327">
        <f t="shared" si="544"/>
        <v>0</v>
      </c>
      <c r="BM578" s="327">
        <f t="shared" si="544"/>
        <v>0</v>
      </c>
      <c r="BN578" s="327">
        <f t="shared" si="544"/>
        <v>0</v>
      </c>
    </row>
    <row r="580" spans="32:93" ht="20.100000000000001" customHeight="1">
      <c r="AU580" s="971"/>
      <c r="AV580" s="971"/>
      <c r="AW580" s="971"/>
      <c r="AX580" s="971"/>
      <c r="AY580" s="971"/>
    </row>
    <row r="581" spans="32:93" ht="20.100000000000001" customHeight="1">
      <c r="AF581" s="921" t="s">
        <v>2535</v>
      </c>
      <c r="AG581" s="922"/>
      <c r="AH581" s="922"/>
      <c r="AI581" s="922"/>
      <c r="AJ581" s="922"/>
      <c r="AK581" s="922"/>
      <c r="AL581" s="922"/>
      <c r="AM581" s="922"/>
      <c r="AN581" s="922"/>
      <c r="AO581" s="922"/>
      <c r="AP581" s="922"/>
      <c r="AQ581" s="922"/>
      <c r="AR581" s="922"/>
      <c r="AS581" s="527"/>
      <c r="AT581" s="527"/>
      <c r="AU581" s="527"/>
      <c r="AV581" s="527"/>
      <c r="AW581" s="527"/>
      <c r="AX581" s="528"/>
      <c r="AY581" s="971"/>
    </row>
    <row r="582" spans="32:93" ht="20.100000000000001" customHeight="1">
      <c r="AF582" s="924" t="s">
        <v>2499</v>
      </c>
      <c r="AG582" s="925"/>
      <c r="AH582" s="925"/>
      <c r="AI582" s="925"/>
      <c r="AJ582" s="925"/>
      <c r="AK582" s="925"/>
      <c r="AL582" s="925"/>
      <c r="AM582" s="925"/>
      <c r="AN582" s="925"/>
      <c r="AO582" s="925"/>
      <c r="AP582" s="925"/>
      <c r="AQ582" s="925"/>
      <c r="AR582" s="925"/>
      <c r="AS582" s="531"/>
      <c r="AT582" s="531"/>
      <c r="AU582" s="531"/>
      <c r="AV582" s="531"/>
      <c r="AW582" s="531"/>
      <c r="AX582" s="532"/>
      <c r="AY582" s="971"/>
    </row>
    <row r="583" spans="32:93" ht="20.100000000000001" customHeight="1">
      <c r="AF583" s="924" t="s">
        <v>2467</v>
      </c>
      <c r="AG583" s="925"/>
      <c r="AH583" s="925"/>
      <c r="AI583" s="925"/>
      <c r="AJ583" s="925"/>
      <c r="AK583" s="925"/>
      <c r="AL583" s="925"/>
      <c r="AM583" s="925"/>
      <c r="AN583" s="925"/>
      <c r="AO583" s="925"/>
      <c r="AP583" s="925"/>
      <c r="AQ583" s="925"/>
      <c r="AR583" s="925"/>
      <c r="AS583" s="531"/>
      <c r="AT583" s="531"/>
      <c r="AU583" s="531"/>
      <c r="AV583" s="531"/>
      <c r="AW583" s="531"/>
      <c r="AX583" s="532"/>
      <c r="AY583" s="971"/>
    </row>
    <row r="584" spans="32:93" ht="20.100000000000001" customHeight="1">
      <c r="AF584" s="927" t="s">
        <v>2536</v>
      </c>
      <c r="AG584" s="925"/>
      <c r="AH584" s="925"/>
      <c r="AI584" s="925"/>
      <c r="AJ584" s="925"/>
      <c r="AK584" s="925"/>
      <c r="AL584" s="925"/>
      <c r="AM584" s="925"/>
      <c r="AN584" s="925"/>
      <c r="AO584" s="925"/>
      <c r="AP584" s="925"/>
      <c r="AQ584" s="925"/>
      <c r="AR584" s="925"/>
      <c r="AS584" s="531"/>
      <c r="AT584" s="531"/>
      <c r="AU584" s="531"/>
      <c r="AV584" s="531"/>
      <c r="AW584" s="531"/>
      <c r="AX584" s="532"/>
      <c r="AY584" s="971"/>
    </row>
    <row r="585" spans="32:93" ht="19.5" customHeight="1">
      <c r="AF585" s="927" t="s">
        <v>2565</v>
      </c>
      <c r="AG585" s="925"/>
      <c r="AH585" s="925"/>
      <c r="AI585" s="925"/>
      <c r="AJ585" s="925"/>
      <c r="AK585" s="925"/>
      <c r="AL585" s="925"/>
      <c r="AM585" s="925"/>
      <c r="AN585" s="925"/>
      <c r="AO585" s="925"/>
      <c r="AP585" s="925"/>
      <c r="AQ585" s="925"/>
      <c r="AR585" s="925"/>
      <c r="AS585" s="531"/>
      <c r="AT585" s="531"/>
      <c r="AU585" s="531"/>
      <c r="AV585" s="531"/>
      <c r="AW585" s="531"/>
      <c r="AX585" s="532"/>
      <c r="AY585" s="971"/>
    </row>
    <row r="586" spans="32:93" ht="19.5" customHeight="1">
      <c r="AF586" s="927" t="s">
        <v>2538</v>
      </c>
      <c r="AG586" s="925"/>
      <c r="AH586" s="925"/>
      <c r="AI586" s="925"/>
      <c r="AJ586" s="925"/>
      <c r="AK586" s="925"/>
      <c r="AL586" s="925"/>
      <c r="AM586" s="925"/>
      <c r="AN586" s="925"/>
      <c r="AO586" s="925"/>
      <c r="AP586" s="925"/>
      <c r="AQ586" s="925"/>
      <c r="AR586" s="925"/>
      <c r="AS586" s="531"/>
      <c r="AT586" s="531"/>
      <c r="AU586" s="531"/>
      <c r="AV586" s="531"/>
      <c r="AW586" s="531"/>
      <c r="AX586" s="532"/>
      <c r="AY586" s="971"/>
    </row>
    <row r="587" spans="32:93" ht="19.5" customHeight="1">
      <c r="AF587" s="928" t="s">
        <v>2500</v>
      </c>
      <c r="AG587" s="929">
        <v>1</v>
      </c>
      <c r="AH587" s="925"/>
      <c r="AI587" s="925"/>
      <c r="AJ587" s="925"/>
      <c r="AK587" s="925"/>
      <c r="AL587" s="925"/>
      <c r="AM587" s="925"/>
      <c r="AN587" s="925"/>
      <c r="AO587" s="925"/>
      <c r="AP587" s="925"/>
      <c r="AQ587" s="925"/>
      <c r="AR587" s="925"/>
      <c r="AS587" s="531"/>
      <c r="AT587" s="531"/>
      <c r="AU587" s="531"/>
      <c r="AV587" s="531"/>
      <c r="AW587" s="531"/>
      <c r="AX587" s="532"/>
      <c r="AY587" s="971"/>
    </row>
    <row r="588" spans="32:93" ht="19.5" customHeight="1">
      <c r="AF588" s="928" t="s">
        <v>2501</v>
      </c>
      <c r="AG588" s="929">
        <v>2</v>
      </c>
      <c r="AH588" s="925"/>
      <c r="AI588" s="925"/>
      <c r="AJ588" s="925"/>
      <c r="AK588" s="925"/>
      <c r="AL588" s="925"/>
      <c r="AM588" s="925"/>
      <c r="AN588" s="925"/>
      <c r="AO588" s="925"/>
      <c r="AP588" s="925"/>
      <c r="AQ588" s="925"/>
      <c r="AR588" s="925"/>
      <c r="AS588" s="531"/>
      <c r="AT588" s="531"/>
      <c r="AU588" s="531"/>
      <c r="AV588" s="531"/>
      <c r="AW588" s="531"/>
      <c r="AX588" s="532"/>
      <c r="AY588" s="971"/>
    </row>
    <row r="589" spans="32:93" ht="19.5" customHeight="1">
      <c r="AF589" s="928" t="s">
        <v>2502</v>
      </c>
      <c r="AG589" s="929">
        <v>3</v>
      </c>
      <c r="AH589" s="925"/>
      <c r="AI589" s="925"/>
      <c r="AJ589" s="925"/>
      <c r="AK589" s="925"/>
      <c r="AL589" s="925"/>
      <c r="AM589" s="925"/>
      <c r="AN589" s="925"/>
      <c r="AO589" s="925"/>
      <c r="AP589" s="925"/>
      <c r="AQ589" s="925"/>
      <c r="AR589" s="925"/>
      <c r="AS589" s="531"/>
      <c r="AT589" s="531"/>
      <c r="AU589" s="531"/>
      <c r="AV589" s="531"/>
      <c r="AW589" s="531"/>
      <c r="AX589" s="532"/>
      <c r="AY589" s="971"/>
    </row>
    <row r="590" spans="32:93" ht="19.5" customHeight="1">
      <c r="AF590" s="928" t="s">
        <v>2503</v>
      </c>
      <c r="AG590" s="929">
        <v>4</v>
      </c>
      <c r="AH590" s="925"/>
      <c r="AI590" s="925"/>
      <c r="AJ590" s="925"/>
      <c r="AK590" s="925"/>
      <c r="AL590" s="925"/>
      <c r="AM590" s="925"/>
      <c r="AN590" s="925"/>
      <c r="AO590" s="925"/>
      <c r="AP590" s="925"/>
      <c r="AQ590" s="925"/>
      <c r="AR590" s="925"/>
      <c r="AS590" s="531"/>
      <c r="AT590" s="531"/>
      <c r="AU590" s="531"/>
      <c r="AV590" s="531"/>
      <c r="AW590" s="531"/>
      <c r="AX590" s="532"/>
      <c r="AY590" s="971"/>
    </row>
    <row r="591" spans="32:93" ht="19.5" customHeight="1">
      <c r="AF591" s="928" t="s">
        <v>2504</v>
      </c>
      <c r="AG591" s="929">
        <v>5</v>
      </c>
      <c r="AH591" s="925"/>
      <c r="AI591" s="925"/>
      <c r="AJ591" s="925"/>
      <c r="AK591" s="925"/>
      <c r="AL591" s="925"/>
      <c r="AM591" s="925"/>
      <c r="AN591" s="925"/>
      <c r="AO591" s="925"/>
      <c r="AP591" s="925"/>
      <c r="AQ591" s="925"/>
      <c r="AR591" s="925"/>
      <c r="AS591" s="531"/>
      <c r="AT591" s="531"/>
      <c r="AU591" s="531"/>
      <c r="AV591" s="531"/>
      <c r="AW591" s="531"/>
      <c r="AX591" s="532"/>
      <c r="AY591" s="971"/>
    </row>
    <row r="592" spans="32:93" ht="19.5" customHeight="1">
      <c r="AF592" s="928" t="s">
        <v>2505</v>
      </c>
      <c r="AG592" s="929">
        <v>6</v>
      </c>
      <c r="AH592" s="925"/>
      <c r="AI592" s="925"/>
      <c r="AJ592" s="925"/>
      <c r="AK592" s="925"/>
      <c r="AL592" s="925"/>
      <c r="AM592" s="925"/>
      <c r="AN592" s="925"/>
      <c r="AO592" s="925"/>
      <c r="AP592" s="925"/>
      <c r="AQ592" s="925"/>
      <c r="AR592" s="925"/>
      <c r="AS592" s="531"/>
      <c r="AT592" s="531"/>
      <c r="AU592" s="531"/>
      <c r="AV592" s="531"/>
      <c r="AW592" s="531"/>
      <c r="AX592" s="532"/>
      <c r="AY592" s="971"/>
    </row>
    <row r="593" spans="32:51" ht="19.5" customHeight="1">
      <c r="AF593" s="931" t="s">
        <v>2447</v>
      </c>
      <c r="AG593" s="932" t="s">
        <v>2506</v>
      </c>
      <c r="AH593" s="925"/>
      <c r="AI593" s="925"/>
      <c r="AJ593" s="925"/>
      <c r="AK593" s="925"/>
      <c r="AL593" s="925"/>
      <c r="AM593" s="925"/>
      <c r="AN593" s="925"/>
      <c r="AO593" s="925"/>
      <c r="AP593" s="925"/>
      <c r="AQ593" s="925"/>
      <c r="AR593" s="925"/>
      <c r="AS593" s="531"/>
      <c r="AT593" s="531"/>
      <c r="AU593" s="531"/>
      <c r="AV593" s="531"/>
      <c r="AW593" s="531"/>
      <c r="AX593" s="532"/>
      <c r="AY593" s="971"/>
    </row>
    <row r="594" spans="32:51" ht="19.5" customHeight="1">
      <c r="AF594" s="931" t="s">
        <v>2539</v>
      </c>
      <c r="AG594" s="930"/>
      <c r="AH594" s="925"/>
      <c r="AI594" s="925"/>
      <c r="AJ594" s="925"/>
      <c r="AK594" s="925"/>
      <c r="AL594" s="925"/>
      <c r="AM594" s="925"/>
      <c r="AN594" s="925"/>
      <c r="AO594" s="925"/>
      <c r="AP594" s="925"/>
      <c r="AQ594" s="925"/>
      <c r="AR594" s="925"/>
      <c r="AS594" s="531"/>
      <c r="AT594" s="531"/>
      <c r="AU594" s="531"/>
      <c r="AV594" s="531"/>
      <c r="AW594" s="531"/>
      <c r="AX594" s="532"/>
      <c r="AY594" s="971"/>
    </row>
    <row r="595" spans="32:51" ht="19.5" customHeight="1">
      <c r="AF595" s="931" t="s">
        <v>2463</v>
      </c>
      <c r="AG595" s="930"/>
      <c r="AH595" s="925"/>
      <c r="AI595" s="925"/>
      <c r="AJ595" s="925"/>
      <c r="AK595" s="925"/>
      <c r="AL595" s="925"/>
      <c r="AM595" s="925"/>
      <c r="AN595" s="925"/>
      <c r="AO595" s="925"/>
      <c r="AP595" s="925"/>
      <c r="AQ595" s="925"/>
      <c r="AR595" s="925"/>
      <c r="AS595" s="531"/>
      <c r="AT595" s="531"/>
      <c r="AU595" s="531"/>
      <c r="AV595" s="531"/>
      <c r="AW595" s="531"/>
      <c r="AX595" s="532"/>
      <c r="AY595" s="971"/>
    </row>
    <row r="596" spans="32:51" ht="19.5" customHeight="1">
      <c r="AF596" s="933" t="s">
        <v>2507</v>
      </c>
      <c r="AG596" s="930"/>
      <c r="AH596" s="925"/>
      <c r="AI596" s="925"/>
      <c r="AJ596" s="925"/>
      <c r="AK596" s="925"/>
      <c r="AL596" s="925"/>
      <c r="AM596" s="925"/>
      <c r="AN596" s="925"/>
      <c r="AO596" s="925"/>
      <c r="AP596" s="925"/>
      <c r="AQ596" s="925"/>
      <c r="AR596" s="925"/>
      <c r="AS596" s="531"/>
      <c r="AT596" s="531"/>
      <c r="AU596" s="531"/>
      <c r="AV596" s="531"/>
      <c r="AW596" s="531"/>
      <c r="AX596" s="532"/>
      <c r="AY596" s="971"/>
    </row>
    <row r="597" spans="32:51" ht="19.5" customHeight="1">
      <c r="AF597" s="934" t="s">
        <v>2508</v>
      </c>
      <c r="AG597" s="973" t="s">
        <v>2509</v>
      </c>
      <c r="AH597" s="925"/>
      <c r="AI597" s="925"/>
      <c r="AJ597" s="925"/>
      <c r="AK597" s="925"/>
      <c r="AL597" s="925"/>
      <c r="AM597" s="925"/>
      <c r="AN597" s="925"/>
      <c r="AO597" s="925"/>
      <c r="AP597" s="925"/>
      <c r="AQ597" s="925"/>
      <c r="AR597" s="925"/>
      <c r="AS597" s="531"/>
      <c r="AT597" s="531"/>
      <c r="AU597" s="531"/>
      <c r="AV597" s="531"/>
      <c r="AW597" s="531"/>
      <c r="AX597" s="532"/>
      <c r="AY597" s="971"/>
    </row>
    <row r="598" spans="32:51" ht="19.5" customHeight="1">
      <c r="AF598" s="931" t="s">
        <v>2524</v>
      </c>
      <c r="AG598" s="940"/>
      <c r="AH598" s="925"/>
      <c r="AI598" s="925"/>
      <c r="AJ598" s="925"/>
      <c r="AK598" s="925"/>
      <c r="AL598" s="925"/>
      <c r="AM598" s="925"/>
      <c r="AN598" s="925"/>
      <c r="AO598" s="925"/>
      <c r="AP598" s="925"/>
      <c r="AQ598" s="925"/>
      <c r="AR598" s="925"/>
      <c r="AS598" s="531"/>
      <c r="AT598" s="531"/>
      <c r="AU598" s="531"/>
      <c r="AV598" s="531"/>
      <c r="AW598" s="531"/>
      <c r="AX598" s="532"/>
      <c r="AY598" s="971"/>
    </row>
    <row r="599" spans="32:51" ht="19.5" customHeight="1">
      <c r="AF599" s="927" t="s">
        <v>2533</v>
      </c>
      <c r="AG599" s="925"/>
      <c r="AH599" s="925"/>
      <c r="AI599" s="925"/>
      <c r="AJ599" s="925"/>
      <c r="AK599" s="925"/>
      <c r="AL599" s="925"/>
      <c r="AM599" s="925"/>
      <c r="AN599" s="925"/>
      <c r="AO599" s="925"/>
      <c r="AP599" s="925"/>
      <c r="AQ599" s="925"/>
      <c r="AR599" s="925"/>
      <c r="AS599" s="531"/>
      <c r="AT599" s="531"/>
      <c r="AU599" s="531"/>
      <c r="AV599" s="531"/>
      <c r="AW599" s="531"/>
      <c r="AX599" s="532"/>
      <c r="AY599" s="971"/>
    </row>
    <row r="600" spans="32:51" ht="19.5" customHeight="1">
      <c r="AF600" s="927"/>
      <c r="AG600" s="925"/>
      <c r="AH600" s="925"/>
      <c r="AI600" s="925"/>
      <c r="AJ600" s="925"/>
      <c r="AK600" s="925"/>
      <c r="AL600" s="925"/>
      <c r="AM600" s="925"/>
      <c r="AN600" s="925"/>
      <c r="AO600" s="925"/>
      <c r="AP600" s="925"/>
      <c r="AQ600" s="925"/>
      <c r="AR600" s="925"/>
      <c r="AS600" s="531"/>
      <c r="AT600" s="531"/>
      <c r="AU600" s="531"/>
      <c r="AV600" s="531"/>
      <c r="AW600" s="531"/>
      <c r="AX600" s="532"/>
      <c r="AY600" s="971"/>
    </row>
    <row r="601" spans="32:51" ht="19.5" customHeight="1">
      <c r="AF601" s="927" t="s">
        <v>2469</v>
      </c>
      <c r="AG601" s="925"/>
      <c r="AH601" s="925"/>
      <c r="AI601" s="925"/>
      <c r="AJ601" s="925"/>
      <c r="AK601" s="925"/>
      <c r="AL601" s="925"/>
      <c r="AM601" s="925"/>
      <c r="AN601" s="925"/>
      <c r="AO601" s="925"/>
      <c r="AP601" s="925"/>
      <c r="AQ601" s="925"/>
      <c r="AR601" s="925"/>
      <c r="AS601" s="531"/>
      <c r="AT601" s="531"/>
      <c r="AU601" s="531"/>
      <c r="AV601" s="531"/>
      <c r="AW601" s="531"/>
      <c r="AX601" s="532"/>
      <c r="AY601" s="971"/>
    </row>
    <row r="602" spans="32:51" ht="19.5" customHeight="1">
      <c r="AF602" s="924" t="s">
        <v>2566</v>
      </c>
      <c r="AG602" s="925"/>
      <c r="AH602" s="925"/>
      <c r="AI602" s="925"/>
      <c r="AJ602" s="925"/>
      <c r="AK602" s="925"/>
      <c r="AL602" s="925"/>
      <c r="AM602" s="925"/>
      <c r="AN602" s="925"/>
      <c r="AO602" s="925"/>
      <c r="AP602" s="925"/>
      <c r="AQ602" s="925"/>
      <c r="AR602" s="925"/>
      <c r="AS602" s="531"/>
      <c r="AT602" s="531"/>
      <c r="AU602" s="531"/>
      <c r="AV602" s="531"/>
      <c r="AW602" s="531"/>
      <c r="AX602" s="532"/>
      <c r="AY602" s="971"/>
    </row>
    <row r="603" spans="32:51" ht="19.5" customHeight="1">
      <c r="AF603" s="927" t="s">
        <v>2453</v>
      </c>
      <c r="AG603" s="925"/>
      <c r="AH603" s="925"/>
      <c r="AI603" s="925"/>
      <c r="AJ603" s="925"/>
      <c r="AK603" s="925"/>
      <c r="AL603" s="925"/>
      <c r="AM603" s="925"/>
      <c r="AN603" s="925"/>
      <c r="AO603" s="925"/>
      <c r="AP603" s="925"/>
      <c r="AQ603" s="925"/>
      <c r="AR603" s="925"/>
      <c r="AS603" s="531"/>
      <c r="AT603" s="531"/>
      <c r="AU603" s="531"/>
      <c r="AV603" s="531"/>
      <c r="AW603" s="531"/>
      <c r="AX603" s="532"/>
      <c r="AY603" s="971"/>
    </row>
    <row r="604" spans="32:51" ht="19.5" customHeight="1">
      <c r="AF604" s="936" t="s">
        <v>2510</v>
      </c>
      <c r="AG604" s="925"/>
      <c r="AH604" s="925"/>
      <c r="AI604" s="925"/>
      <c r="AJ604" s="925"/>
      <c r="AK604" s="925"/>
      <c r="AL604" s="925"/>
      <c r="AM604" s="925"/>
      <c r="AN604" s="925"/>
      <c r="AO604" s="925"/>
      <c r="AP604" s="925"/>
      <c r="AQ604" s="925"/>
      <c r="AR604" s="925"/>
      <c r="AS604" s="531"/>
      <c r="AT604" s="531"/>
      <c r="AU604" s="531"/>
      <c r="AV604" s="531"/>
      <c r="AW604" s="531"/>
      <c r="AX604" s="532"/>
      <c r="AY604" s="971"/>
    </row>
    <row r="605" spans="32:51" ht="19.5" customHeight="1">
      <c r="AF605" s="936" t="s">
        <v>2511</v>
      </c>
      <c r="AG605" s="925"/>
      <c r="AH605" s="925"/>
      <c r="AI605" s="925"/>
      <c r="AJ605" s="925"/>
      <c r="AK605" s="925"/>
      <c r="AL605" s="925"/>
      <c r="AM605" s="925"/>
      <c r="AN605" s="925"/>
      <c r="AO605" s="925"/>
      <c r="AP605" s="925"/>
      <c r="AQ605" s="925"/>
      <c r="AR605" s="925"/>
      <c r="AS605" s="531"/>
      <c r="AT605" s="531"/>
      <c r="AU605" s="531"/>
      <c r="AV605" s="531"/>
      <c r="AW605" s="531"/>
      <c r="AX605" s="532"/>
      <c r="AY605" s="971"/>
    </row>
    <row r="606" spans="32:51" ht="19.5" customHeight="1">
      <c r="AF606" s="936" t="s">
        <v>2512</v>
      </c>
      <c r="AG606" s="925"/>
      <c r="AH606" s="925"/>
      <c r="AI606" s="925"/>
      <c r="AJ606" s="925"/>
      <c r="AK606" s="925"/>
      <c r="AL606" s="925"/>
      <c r="AM606" s="925"/>
      <c r="AN606" s="925"/>
      <c r="AO606" s="925"/>
      <c r="AP606" s="925"/>
      <c r="AQ606" s="925"/>
      <c r="AR606" s="925"/>
      <c r="AS606" s="531"/>
      <c r="AT606" s="531"/>
      <c r="AU606" s="531"/>
      <c r="AV606" s="531"/>
      <c r="AW606" s="531"/>
      <c r="AX606" s="532"/>
      <c r="AY606" s="971"/>
    </row>
    <row r="607" spans="32:51" ht="19.5" customHeight="1">
      <c r="AF607" s="936" t="s">
        <v>2567</v>
      </c>
      <c r="AG607" s="925"/>
      <c r="AH607" s="925"/>
      <c r="AI607" s="925"/>
      <c r="AJ607" s="925"/>
      <c r="AK607" s="925"/>
      <c r="AL607" s="925"/>
      <c r="AM607" s="925"/>
      <c r="AN607" s="925"/>
      <c r="AO607" s="925"/>
      <c r="AP607" s="925"/>
      <c r="AQ607" s="925"/>
      <c r="AR607" s="925"/>
      <c r="AS607" s="531"/>
      <c r="AT607" s="531"/>
      <c r="AU607" s="531"/>
      <c r="AV607" s="531"/>
      <c r="AW607" s="531"/>
      <c r="AX607" s="532"/>
      <c r="AY607" s="971"/>
    </row>
    <row r="608" spans="32:51" ht="19.5" customHeight="1">
      <c r="AF608" s="936" t="s">
        <v>2455</v>
      </c>
      <c r="AG608" s="925"/>
      <c r="AH608" s="925"/>
      <c r="AI608" s="925"/>
      <c r="AJ608" s="925"/>
      <c r="AK608" s="925"/>
      <c r="AL608" s="925"/>
      <c r="AM608" s="925"/>
      <c r="AN608" s="925"/>
      <c r="AO608" s="925"/>
      <c r="AP608" s="925"/>
      <c r="AQ608" s="925"/>
      <c r="AR608" s="925"/>
      <c r="AS608" s="531"/>
      <c r="AT608" s="531"/>
      <c r="AU608" s="531"/>
      <c r="AV608" s="531"/>
      <c r="AW608" s="531"/>
      <c r="AX608" s="532"/>
      <c r="AY608" s="971"/>
    </row>
    <row r="609" spans="12:94" ht="19.5" customHeight="1">
      <c r="AF609" s="936" t="s">
        <v>2513</v>
      </c>
      <c r="AG609" s="925"/>
      <c r="AH609" s="925"/>
      <c r="AI609" s="925"/>
      <c r="AJ609" s="925"/>
      <c r="AK609" s="925"/>
      <c r="AL609" s="925"/>
      <c r="AM609" s="925"/>
      <c r="AN609" s="925"/>
      <c r="AO609" s="925"/>
      <c r="AP609" s="925"/>
      <c r="AQ609" s="925"/>
      <c r="AR609" s="925"/>
      <c r="AS609" s="531"/>
      <c r="AT609" s="531"/>
      <c r="AU609" s="531"/>
      <c r="AV609" s="531"/>
      <c r="AW609" s="531"/>
      <c r="AX609" s="532"/>
      <c r="AY609" s="971"/>
    </row>
    <row r="610" spans="12:94" ht="19.5" customHeight="1">
      <c r="AF610" s="936" t="s">
        <v>2514</v>
      </c>
      <c r="AG610" s="925"/>
      <c r="AH610" s="925"/>
      <c r="AI610" s="925"/>
      <c r="AJ610" s="925"/>
      <c r="AK610" s="925"/>
      <c r="AL610" s="925"/>
      <c r="AM610" s="925"/>
      <c r="AN610" s="925"/>
      <c r="AO610" s="925"/>
      <c r="AP610" s="925"/>
      <c r="AQ610" s="925"/>
      <c r="AR610" s="925"/>
      <c r="AS610" s="531"/>
      <c r="AT610" s="531"/>
      <c r="AU610" s="531"/>
      <c r="AV610" s="531"/>
      <c r="AW610" s="531"/>
      <c r="AX610" s="532"/>
      <c r="AY610" s="971"/>
    </row>
    <row r="611" spans="12:94" ht="20.100000000000001" customHeight="1">
      <c r="AF611" s="937" t="s">
        <v>2458</v>
      </c>
      <c r="AG611" s="938"/>
      <c r="AH611" s="938"/>
      <c r="AI611" s="938"/>
      <c r="AJ611" s="938"/>
      <c r="AK611" s="938"/>
      <c r="AL611" s="938"/>
      <c r="AM611" s="938"/>
      <c r="AN611" s="938"/>
      <c r="AO611" s="938"/>
      <c r="AP611" s="938"/>
      <c r="AQ611" s="938"/>
      <c r="AR611" s="938"/>
      <c r="AS611" s="534"/>
      <c r="AT611" s="534"/>
      <c r="AU611" s="534"/>
      <c r="AV611" s="534"/>
      <c r="AW611" s="534"/>
      <c r="AX611" s="535"/>
      <c r="AY611" s="971"/>
    </row>
    <row r="612" spans="12:94" ht="20.100000000000001" customHeight="1">
      <c r="AF612" s="920"/>
    </row>
    <row r="613" spans="12:94" ht="20.100000000000001" customHeight="1">
      <c r="AF613" s="290" t="s">
        <v>1506</v>
      </c>
      <c r="BQ613" s="402" t="s">
        <v>2570</v>
      </c>
    </row>
    <row r="614" spans="12:94" ht="20.100000000000001" customHeight="1" thickBot="1">
      <c r="AF614" s="333" t="s">
        <v>1473</v>
      </c>
      <c r="AG614" s="333"/>
      <c r="AH614" s="334" t="s">
        <v>977</v>
      </c>
      <c r="AI614" s="284" t="s">
        <v>1260</v>
      </c>
      <c r="AJ614" s="284"/>
      <c r="AK614" s="346">
        <v>2021</v>
      </c>
      <c r="AL614" s="284">
        <v>2022</v>
      </c>
      <c r="AM614" s="284">
        <f>AL614+1</f>
        <v>2023</v>
      </c>
      <c r="AN614" s="284">
        <f t="shared" ref="AN614" si="545">AM614+1</f>
        <v>2024</v>
      </c>
      <c r="AO614" s="284">
        <f t="shared" ref="AO614" si="546">AN614+1</f>
        <v>2025</v>
      </c>
      <c r="AP614" s="284">
        <f t="shared" ref="AP614" si="547">AO614+1</f>
        <v>2026</v>
      </c>
      <c r="AQ614" s="284">
        <f t="shared" ref="AQ614" si="548">AP614+1</f>
        <v>2027</v>
      </c>
      <c r="AR614" s="284">
        <f t="shared" ref="AR614" si="549">AQ614+1</f>
        <v>2028</v>
      </c>
      <c r="AS614" s="284">
        <f t="shared" ref="AS614" si="550">AR614+1</f>
        <v>2029</v>
      </c>
      <c r="AT614" s="284">
        <f t="shared" ref="AT614" si="551">AS614+1</f>
        <v>2030</v>
      </c>
      <c r="AU614" s="284">
        <f t="shared" ref="AU614" si="552">AT614+1</f>
        <v>2031</v>
      </c>
      <c r="AV614" s="284">
        <f t="shared" ref="AV614" si="553">AU614+1</f>
        <v>2032</v>
      </c>
      <c r="AW614" s="284">
        <f t="shared" ref="AW614" si="554">AV614+1</f>
        <v>2033</v>
      </c>
      <c r="AX614" s="284">
        <f t="shared" ref="AX614" si="555">AW614+1</f>
        <v>2034</v>
      </c>
      <c r="AY614" s="284">
        <f t="shared" ref="AY614" si="556">AX614+1</f>
        <v>2035</v>
      </c>
      <c r="AZ614" s="284">
        <f t="shared" ref="AZ614" si="557">AY614+1</f>
        <v>2036</v>
      </c>
      <c r="BA614" s="284">
        <f t="shared" ref="BA614" si="558">AZ614+1</f>
        <v>2037</v>
      </c>
      <c r="BB614" s="284">
        <f t="shared" ref="BB614" si="559">BA614+1</f>
        <v>2038</v>
      </c>
      <c r="BC614" s="284">
        <f t="shared" ref="BC614" si="560">BB614+1</f>
        <v>2039</v>
      </c>
      <c r="BD614" s="284">
        <f t="shared" ref="BD614" si="561">BC614+1</f>
        <v>2040</v>
      </c>
      <c r="BE614" s="284">
        <f t="shared" ref="BE614" si="562">BD614+1</f>
        <v>2041</v>
      </c>
      <c r="BF614" s="284">
        <f t="shared" ref="BF614" si="563">BE614+1</f>
        <v>2042</v>
      </c>
      <c r="BG614" s="284">
        <f t="shared" ref="BG614" si="564">BF614+1</f>
        <v>2043</v>
      </c>
      <c r="BH614" s="284">
        <f t="shared" ref="BH614" si="565">BG614+1</f>
        <v>2044</v>
      </c>
      <c r="BI614" s="284">
        <f t="shared" ref="BI614" si="566">BH614+1</f>
        <v>2045</v>
      </c>
      <c r="BJ614" s="284">
        <f t="shared" ref="BJ614" si="567">BI614+1</f>
        <v>2046</v>
      </c>
      <c r="BK614" s="284">
        <f t="shared" ref="BK614" si="568">BJ614+1</f>
        <v>2047</v>
      </c>
      <c r="BL614" s="284">
        <f t="shared" ref="BL614" si="569">BK614+1</f>
        <v>2048</v>
      </c>
      <c r="BM614" s="284">
        <f t="shared" ref="BM614" si="570">BL614+1</f>
        <v>2049</v>
      </c>
      <c r="BN614" s="284">
        <f t="shared" ref="BN614" si="571">BM614+1</f>
        <v>2050</v>
      </c>
      <c r="BQ614" s="222" t="s">
        <v>2586</v>
      </c>
      <c r="CL614" s="555" t="s">
        <v>2471</v>
      </c>
      <c r="CM614" s="17" t="s">
        <v>2472</v>
      </c>
      <c r="CN614" s="17"/>
      <c r="CO614" s="412" t="s">
        <v>1598</v>
      </c>
      <c r="CP614" s="17" t="s">
        <v>2552</v>
      </c>
    </row>
    <row r="615" spans="12:94" ht="20.100000000000001" customHeight="1">
      <c r="AF615" s="1504" t="str">
        <f>INDEX('MENU OPTIONS'!B31:B36,A124,1)</f>
        <v>Health</v>
      </c>
      <c r="AG615" s="286" t="s">
        <v>933</v>
      </c>
      <c r="AH615" s="286" t="s">
        <v>1496</v>
      </c>
      <c r="AI615" s="361">
        <f>INDEX('DEFAULT DATA'!$AGY$9:$AIT$41,START!$C$3,(1+(($A$124-1)*8)))</f>
        <v>0</v>
      </c>
      <c r="AJ615" s="330"/>
      <c r="AK615" s="343">
        <v>0</v>
      </c>
      <c r="AL615" s="322">
        <f t="shared" ref="AL615:BN615" si="572">IF(AND(AL$614&gt;($I$124+2020),AL$614&lt;($J$124+2022)),AK615+(AL$5*$C$124*$AI$615*((100-$E$124)/100)*((100-$F$124)/100)/($J$124-$I$124+1)/1000000),AK615)</f>
        <v>0</v>
      </c>
      <c r="AM615" s="322">
        <f t="shared" si="572"/>
        <v>0</v>
      </c>
      <c r="AN615" s="322">
        <f t="shared" si="572"/>
        <v>0</v>
      </c>
      <c r="AO615" s="322">
        <f t="shared" si="572"/>
        <v>0</v>
      </c>
      <c r="AP615" s="322">
        <f t="shared" si="572"/>
        <v>0</v>
      </c>
      <c r="AQ615" s="322">
        <f t="shared" si="572"/>
        <v>0</v>
      </c>
      <c r="AR615" s="322">
        <f t="shared" si="572"/>
        <v>0</v>
      </c>
      <c r="AS615" s="322">
        <f t="shared" si="572"/>
        <v>0</v>
      </c>
      <c r="AT615" s="322">
        <f t="shared" si="572"/>
        <v>0</v>
      </c>
      <c r="AU615" s="322">
        <f t="shared" si="572"/>
        <v>0</v>
      </c>
      <c r="AV615" s="322">
        <f t="shared" si="572"/>
        <v>0</v>
      </c>
      <c r="AW615" s="322">
        <f t="shared" si="572"/>
        <v>0</v>
      </c>
      <c r="AX615" s="322">
        <f t="shared" si="572"/>
        <v>0</v>
      </c>
      <c r="AY615" s="322">
        <f t="shared" si="572"/>
        <v>0</v>
      </c>
      <c r="AZ615" s="322">
        <f t="shared" si="572"/>
        <v>0</v>
      </c>
      <c r="BA615" s="322">
        <f t="shared" si="572"/>
        <v>0</v>
      </c>
      <c r="BB615" s="322">
        <f t="shared" si="572"/>
        <v>0</v>
      </c>
      <c r="BC615" s="322">
        <f t="shared" si="572"/>
        <v>0</v>
      </c>
      <c r="BD615" s="322">
        <f t="shared" si="572"/>
        <v>0</v>
      </c>
      <c r="BE615" s="322">
        <f t="shared" si="572"/>
        <v>0</v>
      </c>
      <c r="BF615" s="322">
        <f t="shared" si="572"/>
        <v>0</v>
      </c>
      <c r="BG615" s="322">
        <f t="shared" si="572"/>
        <v>0</v>
      </c>
      <c r="BH615" s="322">
        <f t="shared" si="572"/>
        <v>0</v>
      </c>
      <c r="BI615" s="322">
        <f t="shared" si="572"/>
        <v>0</v>
      </c>
      <c r="BJ615" s="322">
        <f t="shared" si="572"/>
        <v>0</v>
      </c>
      <c r="BK615" s="322">
        <f t="shared" si="572"/>
        <v>0</v>
      </c>
      <c r="BL615" s="322">
        <f t="shared" si="572"/>
        <v>0</v>
      </c>
      <c r="BM615" s="322">
        <f t="shared" si="572"/>
        <v>0</v>
      </c>
      <c r="BN615" s="323">
        <f t="shared" si="572"/>
        <v>0</v>
      </c>
      <c r="BP615" s="536" t="s">
        <v>933</v>
      </c>
      <c r="BQ615" s="1438" t="str">
        <f>CONCATENATE("GHG_",BP615,"a = GHG_",BP615,"a-1 + (C123 * ",CL615," * E123 / 100) + (F123 / 100 * ",CM615,")) * ",CO615," / (",CP615,") / 1000000")</f>
        <v>GHG_Electricitya = GHG_Electricitya-1 + (C123 * BUI_COL (307 + ((A123 - 1) * 8) * E123 / 100) + (F123 / 100 * BUI_COL (307 + ((A123 - 1) * 8) * (100 - E123) / 100)) * GRID_ELECTRICITY_emission_factora (from row4) / (J123-I123+1) / 1000000</v>
      </c>
      <c r="BR615" s="1438"/>
      <c r="BS615" s="1438"/>
      <c r="BT615" s="1438"/>
      <c r="BU615" s="1438"/>
      <c r="BV615" s="1438"/>
      <c r="BW615" s="1438"/>
      <c r="BX615" s="1438"/>
      <c r="BY615" s="1438"/>
      <c r="BZ615" s="1438"/>
      <c r="CA615" s="1438"/>
      <c r="CB615" s="1438"/>
      <c r="CC615" s="1438"/>
      <c r="CD615" s="1438"/>
      <c r="CE615" s="1438"/>
      <c r="CF615" s="1438"/>
      <c r="CG615" s="1438"/>
      <c r="CH615" s="1438"/>
      <c r="CI615" s="1438"/>
      <c r="CJ615" s="1438"/>
      <c r="CK615" s="1438"/>
      <c r="CL615" s="915" t="s">
        <v>2506</v>
      </c>
      <c r="CM615" s="1475" t="s">
        <v>2568</v>
      </c>
      <c r="CN615" s="1476"/>
      <c r="CO615" s="918" t="s">
        <v>1881</v>
      </c>
      <c r="CP615" s="918" t="s">
        <v>2569</v>
      </c>
    </row>
    <row r="616" spans="12:94" ht="20.100000000000001" customHeight="1">
      <c r="AF616" s="1505"/>
      <c r="AG616" s="251" t="s">
        <v>1220</v>
      </c>
      <c r="AH616" s="251">
        <f>INDEX('DEFAULT DATA'!$VE$9:$VK$41,START!$C$3,1)</f>
        <v>202</v>
      </c>
      <c r="AI616" s="360">
        <f>INDEX('DEFAULT DATA'!$AGY$9:$AIT$41,START!$C$3,(2+(($A$124-1)*8)))</f>
        <v>0</v>
      </c>
      <c r="AJ616" s="262"/>
      <c r="AK616" s="345">
        <v>0</v>
      </c>
      <c r="AL616" s="272">
        <f t="shared" ref="AL616:BN616" si="573">IF(AND(AL$614&gt;($I$124+2020),AL$614&lt;($J$124+2022)),AK616+($AH$616*$C$124*$AI$616*((100-$E$124)*((100-$F$124)/100)/100)/($J$124-$I$124+1)/1000000),AK616)</f>
        <v>0</v>
      </c>
      <c r="AM616" s="272">
        <f t="shared" si="573"/>
        <v>0</v>
      </c>
      <c r="AN616" s="272">
        <f t="shared" si="573"/>
        <v>0</v>
      </c>
      <c r="AO616" s="272">
        <f t="shared" si="573"/>
        <v>0</v>
      </c>
      <c r="AP616" s="272">
        <f t="shared" si="573"/>
        <v>0</v>
      </c>
      <c r="AQ616" s="272">
        <f t="shared" si="573"/>
        <v>0</v>
      </c>
      <c r="AR616" s="272">
        <f t="shared" si="573"/>
        <v>0</v>
      </c>
      <c r="AS616" s="272">
        <f t="shared" si="573"/>
        <v>0</v>
      </c>
      <c r="AT616" s="272">
        <f t="shared" si="573"/>
        <v>0</v>
      </c>
      <c r="AU616" s="272">
        <f t="shared" si="573"/>
        <v>0</v>
      </c>
      <c r="AV616" s="272">
        <f t="shared" si="573"/>
        <v>0</v>
      </c>
      <c r="AW616" s="272">
        <f t="shared" si="573"/>
        <v>0</v>
      </c>
      <c r="AX616" s="272">
        <f t="shared" si="573"/>
        <v>0</v>
      </c>
      <c r="AY616" s="272">
        <f t="shared" si="573"/>
        <v>0</v>
      </c>
      <c r="AZ616" s="272">
        <f t="shared" si="573"/>
        <v>0</v>
      </c>
      <c r="BA616" s="272">
        <f t="shared" si="573"/>
        <v>0</v>
      </c>
      <c r="BB616" s="272">
        <f t="shared" si="573"/>
        <v>0</v>
      </c>
      <c r="BC616" s="272">
        <f t="shared" si="573"/>
        <v>0</v>
      </c>
      <c r="BD616" s="272">
        <f t="shared" si="573"/>
        <v>0</v>
      </c>
      <c r="BE616" s="272">
        <f t="shared" si="573"/>
        <v>0</v>
      </c>
      <c r="BF616" s="272">
        <f t="shared" si="573"/>
        <v>0</v>
      </c>
      <c r="BG616" s="272">
        <f t="shared" si="573"/>
        <v>0</v>
      </c>
      <c r="BH616" s="272">
        <f t="shared" si="573"/>
        <v>0</v>
      </c>
      <c r="BI616" s="272">
        <f t="shared" si="573"/>
        <v>0</v>
      </c>
      <c r="BJ616" s="272">
        <f t="shared" si="573"/>
        <v>0</v>
      </c>
      <c r="BK616" s="272">
        <f t="shared" si="573"/>
        <v>0</v>
      </c>
      <c r="BL616" s="272">
        <f t="shared" si="573"/>
        <v>0</v>
      </c>
      <c r="BM616" s="272">
        <f t="shared" si="573"/>
        <v>0</v>
      </c>
      <c r="BN616" s="324">
        <f t="shared" si="573"/>
        <v>0</v>
      </c>
      <c r="BP616" s="536" t="s">
        <v>1220</v>
      </c>
      <c r="BQ616" s="1438" t="str">
        <f t="shared" ref="BQ616:BQ622" si="574">CONCATENATE("GHG_",BP616,"a = GHG_",BP616,"a-1 + (C123 * ",CL616," * E123 / 100) + (F123 / 100 * ",CM616,")) * ",CO616," / (",CP616,") / 1000000")</f>
        <v>GHG_Gasa = GHG_Gasa-1 + (C123 * BUI_COL (307 + ((A123 - 1) * 8) * E123 / 100) + (F123 / 100 * BUI_COL (307 + ((A123 - 1) * 8) * (100 - E123) / 100)) * BUI_COL1 / (J123-I123+1) / 1000000</v>
      </c>
      <c r="BR616" s="1438"/>
      <c r="BS616" s="1438"/>
      <c r="BT616" s="1438"/>
      <c r="BU616" s="1438"/>
      <c r="BV616" s="1438"/>
      <c r="BW616" s="1438"/>
      <c r="BX616" s="1438"/>
      <c r="BY616" s="1438"/>
      <c r="BZ616" s="1438"/>
      <c r="CA616" s="1438"/>
      <c r="CB616" s="1438"/>
      <c r="CC616" s="1438"/>
      <c r="CD616" s="1438"/>
      <c r="CE616" s="1438"/>
      <c r="CF616" s="1438"/>
      <c r="CG616" s="1438"/>
      <c r="CH616" s="1438"/>
      <c r="CI616" s="1438"/>
      <c r="CJ616" s="1438"/>
      <c r="CK616" s="1438"/>
      <c r="CL616" s="915" t="s">
        <v>2506</v>
      </c>
      <c r="CM616" s="1475" t="s">
        <v>2568</v>
      </c>
      <c r="CN616" s="1476"/>
      <c r="CO616" s="918" t="s">
        <v>1248</v>
      </c>
      <c r="CP616" s="918" t="s">
        <v>2569</v>
      </c>
    </row>
    <row r="617" spans="12:94" ht="20.100000000000001" customHeight="1">
      <c r="AF617" s="1505"/>
      <c r="AG617" s="251" t="s">
        <v>1221</v>
      </c>
      <c r="AH617" s="251">
        <f>INDEX('DEFAULT DATA'!$VE$9:$VK$41,START!$C$3,2)</f>
        <v>279</v>
      </c>
      <c r="AI617" s="360">
        <f>INDEX('DEFAULT DATA'!$AGY$9:$AIT$41,START!$C$3,(3+(($A$124-1)*8)))</f>
        <v>0</v>
      </c>
      <c r="AJ617" s="262"/>
      <c r="AK617" s="345">
        <v>0</v>
      </c>
      <c r="AL617" s="272">
        <f t="shared" ref="AL617:BN617" si="575">IF(AND(AL$614&gt;($I$124+2020),AL$614&lt;($J$124+2022)),AK617+($AH$617*$C$124*$AI$617*((100-$E$124)*((100-$F$124)/100)/100)/($J$124-$I$124+1)/1000000),AK617)</f>
        <v>0</v>
      </c>
      <c r="AM617" s="272">
        <f t="shared" si="575"/>
        <v>0</v>
      </c>
      <c r="AN617" s="272">
        <f t="shared" si="575"/>
        <v>0</v>
      </c>
      <c r="AO617" s="272">
        <f t="shared" si="575"/>
        <v>0</v>
      </c>
      <c r="AP617" s="272">
        <f t="shared" si="575"/>
        <v>0</v>
      </c>
      <c r="AQ617" s="272">
        <f t="shared" si="575"/>
        <v>0</v>
      </c>
      <c r="AR617" s="272">
        <f t="shared" si="575"/>
        <v>0</v>
      </c>
      <c r="AS617" s="272">
        <f t="shared" si="575"/>
        <v>0</v>
      </c>
      <c r="AT617" s="272">
        <f t="shared" si="575"/>
        <v>0</v>
      </c>
      <c r="AU617" s="272">
        <f t="shared" si="575"/>
        <v>0</v>
      </c>
      <c r="AV617" s="272">
        <f t="shared" si="575"/>
        <v>0</v>
      </c>
      <c r="AW617" s="272">
        <f t="shared" si="575"/>
        <v>0</v>
      </c>
      <c r="AX617" s="272">
        <f t="shared" si="575"/>
        <v>0</v>
      </c>
      <c r="AY617" s="272">
        <f t="shared" si="575"/>
        <v>0</v>
      </c>
      <c r="AZ617" s="272">
        <f t="shared" si="575"/>
        <v>0</v>
      </c>
      <c r="BA617" s="272">
        <f t="shared" si="575"/>
        <v>0</v>
      </c>
      <c r="BB617" s="272">
        <f t="shared" si="575"/>
        <v>0</v>
      </c>
      <c r="BC617" s="272">
        <f t="shared" si="575"/>
        <v>0</v>
      </c>
      <c r="BD617" s="272">
        <f t="shared" si="575"/>
        <v>0</v>
      </c>
      <c r="BE617" s="272">
        <f t="shared" si="575"/>
        <v>0</v>
      </c>
      <c r="BF617" s="272">
        <f t="shared" si="575"/>
        <v>0</v>
      </c>
      <c r="BG617" s="272">
        <f t="shared" si="575"/>
        <v>0</v>
      </c>
      <c r="BH617" s="272">
        <f t="shared" si="575"/>
        <v>0</v>
      </c>
      <c r="BI617" s="272">
        <f t="shared" si="575"/>
        <v>0</v>
      </c>
      <c r="BJ617" s="272">
        <f t="shared" si="575"/>
        <v>0</v>
      </c>
      <c r="BK617" s="272">
        <f t="shared" si="575"/>
        <v>0</v>
      </c>
      <c r="BL617" s="272">
        <f t="shared" si="575"/>
        <v>0</v>
      </c>
      <c r="BM617" s="272">
        <f t="shared" si="575"/>
        <v>0</v>
      </c>
      <c r="BN617" s="324">
        <f t="shared" si="575"/>
        <v>0</v>
      </c>
      <c r="BP617" s="536" t="s">
        <v>1221</v>
      </c>
      <c r="BQ617" s="1438" t="str">
        <f t="shared" si="574"/>
        <v>GHG_Oila = GHG_Oila-1 + (C123 * BUI_COL (307 + ((A123 - 1) * 8) * E123 / 100) + (F123 / 100 * BUI_COL (307 + ((A123 - 1) * 8) * (100 - E123) / 100)) * BUI_COL2 / (J123-I123+1) / 1000000</v>
      </c>
      <c r="BR617" s="1438"/>
      <c r="BS617" s="1438"/>
      <c r="BT617" s="1438"/>
      <c r="BU617" s="1438"/>
      <c r="BV617" s="1438"/>
      <c r="BW617" s="1438"/>
      <c r="BX617" s="1438"/>
      <c r="BY617" s="1438"/>
      <c r="BZ617" s="1438"/>
      <c r="CA617" s="1438"/>
      <c r="CB617" s="1438"/>
      <c r="CC617" s="1438"/>
      <c r="CD617" s="1438"/>
      <c r="CE617" s="1438"/>
      <c r="CF617" s="1438"/>
      <c r="CG617" s="1438"/>
      <c r="CH617" s="1438"/>
      <c r="CI617" s="1438"/>
      <c r="CJ617" s="1438"/>
      <c r="CK617" s="1438"/>
      <c r="CL617" s="915" t="s">
        <v>2506</v>
      </c>
      <c r="CM617" s="1475" t="s">
        <v>2568</v>
      </c>
      <c r="CN617" s="1476"/>
      <c r="CO617" s="918" t="s">
        <v>1621</v>
      </c>
      <c r="CP617" s="918" t="s">
        <v>2569</v>
      </c>
    </row>
    <row r="618" spans="12:94" ht="20.100000000000001" customHeight="1">
      <c r="L618" s="347"/>
      <c r="M618" s="347"/>
      <c r="N618" s="347"/>
      <c r="O618" s="347"/>
      <c r="P618" s="347"/>
      <c r="Q618" s="347"/>
      <c r="R618" s="347"/>
      <c r="S618" s="347"/>
      <c r="T618" s="347"/>
      <c r="U618" s="347"/>
      <c r="V618" s="347"/>
      <c r="W618" s="347"/>
      <c r="X618" s="347"/>
      <c r="Y618" s="347"/>
      <c r="Z618" s="347"/>
      <c r="AA618" s="347"/>
      <c r="AB618" s="347"/>
      <c r="AC618" s="347"/>
      <c r="AD618" s="347"/>
      <c r="AE618" s="347"/>
      <c r="AF618" s="1505"/>
      <c r="AG618" s="251" t="s">
        <v>1222</v>
      </c>
      <c r="AH618" s="251">
        <f>INDEX('DEFAULT DATA'!$VE$9:$VK$41,START!$C$3,3)</f>
        <v>354</v>
      </c>
      <c r="AI618" s="360">
        <f>INDEX('DEFAULT DATA'!$AGY$9:$AIT$41,START!$C$3,(4+(($A$124-1)*8)))</f>
        <v>0</v>
      </c>
      <c r="AJ618" s="262"/>
      <c r="AK618" s="345">
        <v>0</v>
      </c>
      <c r="AL618" s="272">
        <f t="shared" ref="AL618:BN618" si="576">IF(AND(AL$614&gt;($I$124+2020),AL$614&lt;($J$124+2022)),AK618+($AH$618*$C$124*$AI$618*((100-$E$124)*((100-$F$124)/100)/100)/($J$124-$I$124+1)/1000000),AK618)</f>
        <v>0</v>
      </c>
      <c r="AM618" s="272">
        <f t="shared" si="576"/>
        <v>0</v>
      </c>
      <c r="AN618" s="272">
        <f t="shared" si="576"/>
        <v>0</v>
      </c>
      <c r="AO618" s="272">
        <f t="shared" si="576"/>
        <v>0</v>
      </c>
      <c r="AP618" s="272">
        <f t="shared" si="576"/>
        <v>0</v>
      </c>
      <c r="AQ618" s="272">
        <f t="shared" si="576"/>
        <v>0</v>
      </c>
      <c r="AR618" s="272">
        <f t="shared" si="576"/>
        <v>0</v>
      </c>
      <c r="AS618" s="272">
        <f t="shared" si="576"/>
        <v>0</v>
      </c>
      <c r="AT618" s="272">
        <f t="shared" si="576"/>
        <v>0</v>
      </c>
      <c r="AU618" s="272">
        <f t="shared" si="576"/>
        <v>0</v>
      </c>
      <c r="AV618" s="272">
        <f t="shared" si="576"/>
        <v>0</v>
      </c>
      <c r="AW618" s="272">
        <f t="shared" si="576"/>
        <v>0</v>
      </c>
      <c r="AX618" s="272">
        <f t="shared" si="576"/>
        <v>0</v>
      </c>
      <c r="AY618" s="272">
        <f t="shared" si="576"/>
        <v>0</v>
      </c>
      <c r="AZ618" s="272">
        <f t="shared" si="576"/>
        <v>0</v>
      </c>
      <c r="BA618" s="272">
        <f t="shared" si="576"/>
        <v>0</v>
      </c>
      <c r="BB618" s="272">
        <f t="shared" si="576"/>
        <v>0</v>
      </c>
      <c r="BC618" s="272">
        <f t="shared" si="576"/>
        <v>0</v>
      </c>
      <c r="BD618" s="272">
        <f t="shared" si="576"/>
        <v>0</v>
      </c>
      <c r="BE618" s="272">
        <f t="shared" si="576"/>
        <v>0</v>
      </c>
      <c r="BF618" s="272">
        <f t="shared" si="576"/>
        <v>0</v>
      </c>
      <c r="BG618" s="272">
        <f t="shared" si="576"/>
        <v>0</v>
      </c>
      <c r="BH618" s="272">
        <f t="shared" si="576"/>
        <v>0</v>
      </c>
      <c r="BI618" s="272">
        <f t="shared" si="576"/>
        <v>0</v>
      </c>
      <c r="BJ618" s="272">
        <f t="shared" si="576"/>
        <v>0</v>
      </c>
      <c r="BK618" s="272">
        <f t="shared" si="576"/>
        <v>0</v>
      </c>
      <c r="BL618" s="272">
        <f t="shared" si="576"/>
        <v>0</v>
      </c>
      <c r="BM618" s="272">
        <f t="shared" si="576"/>
        <v>0</v>
      </c>
      <c r="BN618" s="324">
        <f t="shared" si="576"/>
        <v>0</v>
      </c>
      <c r="BP618" s="536" t="s">
        <v>1222</v>
      </c>
      <c r="BQ618" s="1438" t="str">
        <f t="shared" si="574"/>
        <v>GHG_Coala = GHG_Coala-1 + (C123 * BUI_COL (307 + ((A123 - 1) * 8) * E123 / 100) + (F123 / 100 * BUI_COL (307 + ((A123 - 1) * 8) * (100 - E123) / 100)) * BUI_COL3 / (J123-I123+1) / 1000000</v>
      </c>
      <c r="BR618" s="1438"/>
      <c r="BS618" s="1438"/>
      <c r="BT618" s="1438"/>
      <c r="BU618" s="1438"/>
      <c r="BV618" s="1438"/>
      <c r="BW618" s="1438"/>
      <c r="BX618" s="1438"/>
      <c r="BY618" s="1438"/>
      <c r="BZ618" s="1438"/>
      <c r="CA618" s="1438"/>
      <c r="CB618" s="1438"/>
      <c r="CC618" s="1438"/>
      <c r="CD618" s="1438"/>
      <c r="CE618" s="1438"/>
      <c r="CF618" s="1438"/>
      <c r="CG618" s="1438"/>
      <c r="CH618" s="1438"/>
      <c r="CI618" s="1438"/>
      <c r="CJ618" s="1438"/>
      <c r="CK618" s="1438"/>
      <c r="CL618" s="915" t="s">
        <v>2506</v>
      </c>
      <c r="CM618" s="1475" t="s">
        <v>2568</v>
      </c>
      <c r="CN618" s="1476"/>
      <c r="CO618" s="918" t="s">
        <v>1622</v>
      </c>
      <c r="CP618" s="918" t="s">
        <v>2569</v>
      </c>
    </row>
    <row r="619" spans="12:94" ht="20.100000000000001" customHeight="1">
      <c r="AF619" s="1505"/>
      <c r="AG619" s="251" t="s">
        <v>1223</v>
      </c>
      <c r="AH619" s="251">
        <f>INDEX('DEFAULT DATA'!$VE$9:$VK$41,START!$C$3,4)</f>
        <v>0</v>
      </c>
      <c r="AI619" s="360">
        <f>INDEX('DEFAULT DATA'!$AGY$9:$AIT$41,START!$C$3,(5+(($A$124-1)*8)))</f>
        <v>0</v>
      </c>
      <c r="AJ619" s="262"/>
      <c r="AK619" s="345">
        <v>0</v>
      </c>
      <c r="AL619" s="272">
        <f t="shared" ref="AL619:BN619" si="577">IF(AND(AL$614&gt;($I$124+2020),AL$614&lt;($J$124+2022)),AK619+($AH$619*$C$124*$AI$619*((100-$E$124)*((100-$F$124)/100)/100)/($J$124-$I$124+1)/1000000),AK619)</f>
        <v>0</v>
      </c>
      <c r="AM619" s="272">
        <f t="shared" si="577"/>
        <v>0</v>
      </c>
      <c r="AN619" s="272">
        <f t="shared" si="577"/>
        <v>0</v>
      </c>
      <c r="AO619" s="272">
        <f t="shared" si="577"/>
        <v>0</v>
      </c>
      <c r="AP619" s="272">
        <f t="shared" si="577"/>
        <v>0</v>
      </c>
      <c r="AQ619" s="272">
        <f t="shared" si="577"/>
        <v>0</v>
      </c>
      <c r="AR619" s="272">
        <f t="shared" si="577"/>
        <v>0</v>
      </c>
      <c r="AS619" s="272">
        <f t="shared" si="577"/>
        <v>0</v>
      </c>
      <c r="AT619" s="272">
        <f t="shared" si="577"/>
        <v>0</v>
      </c>
      <c r="AU619" s="272">
        <f t="shared" si="577"/>
        <v>0</v>
      </c>
      <c r="AV619" s="272">
        <f t="shared" si="577"/>
        <v>0</v>
      </c>
      <c r="AW619" s="272">
        <f t="shared" si="577"/>
        <v>0</v>
      </c>
      <c r="AX619" s="272">
        <f t="shared" si="577"/>
        <v>0</v>
      </c>
      <c r="AY619" s="272">
        <f t="shared" si="577"/>
        <v>0</v>
      </c>
      <c r="AZ619" s="272">
        <f t="shared" si="577"/>
        <v>0</v>
      </c>
      <c r="BA619" s="272">
        <f t="shared" si="577"/>
        <v>0</v>
      </c>
      <c r="BB619" s="272">
        <f t="shared" si="577"/>
        <v>0</v>
      </c>
      <c r="BC619" s="272">
        <f t="shared" si="577"/>
        <v>0</v>
      </c>
      <c r="BD619" s="272">
        <f t="shared" si="577"/>
        <v>0</v>
      </c>
      <c r="BE619" s="272">
        <f t="shared" si="577"/>
        <v>0</v>
      </c>
      <c r="BF619" s="272">
        <f t="shared" si="577"/>
        <v>0</v>
      </c>
      <c r="BG619" s="272">
        <f t="shared" si="577"/>
        <v>0</v>
      </c>
      <c r="BH619" s="272">
        <f t="shared" si="577"/>
        <v>0</v>
      </c>
      <c r="BI619" s="272">
        <f t="shared" si="577"/>
        <v>0</v>
      </c>
      <c r="BJ619" s="272">
        <f t="shared" si="577"/>
        <v>0</v>
      </c>
      <c r="BK619" s="272">
        <f t="shared" si="577"/>
        <v>0</v>
      </c>
      <c r="BL619" s="272">
        <f t="shared" si="577"/>
        <v>0</v>
      </c>
      <c r="BM619" s="272">
        <f t="shared" si="577"/>
        <v>0</v>
      </c>
      <c r="BN619" s="324">
        <f t="shared" si="577"/>
        <v>0</v>
      </c>
      <c r="BP619" s="536" t="s">
        <v>1223</v>
      </c>
      <c r="BQ619" s="1438" t="str">
        <f t="shared" si="574"/>
        <v>GHG_Peata = GHG_Peata-1 + (C123 * BUI_COL (307 + ((A123 - 1) * 8) * E123 / 100) + (F123 / 100 * BUI_COL (307 + ((A123 - 1) * 8) * (100 - E123) / 100)) * BUI_COL4 / (J123-I123+1) / 1000000</v>
      </c>
      <c r="BR619" s="1438"/>
      <c r="BS619" s="1438"/>
      <c r="BT619" s="1438"/>
      <c r="BU619" s="1438"/>
      <c r="BV619" s="1438"/>
      <c r="BW619" s="1438"/>
      <c r="BX619" s="1438"/>
      <c r="BY619" s="1438"/>
      <c r="BZ619" s="1438"/>
      <c r="CA619" s="1438"/>
      <c r="CB619" s="1438"/>
      <c r="CC619" s="1438"/>
      <c r="CD619" s="1438"/>
      <c r="CE619" s="1438"/>
      <c r="CF619" s="1438"/>
      <c r="CG619" s="1438"/>
      <c r="CH619" s="1438"/>
      <c r="CI619" s="1438"/>
      <c r="CJ619" s="1438"/>
      <c r="CK619" s="1438"/>
      <c r="CL619" s="915" t="s">
        <v>2506</v>
      </c>
      <c r="CM619" s="1475" t="s">
        <v>2568</v>
      </c>
      <c r="CN619" s="1476"/>
      <c r="CO619" s="918" t="s">
        <v>1623</v>
      </c>
      <c r="CP619" s="918" t="s">
        <v>2569</v>
      </c>
    </row>
    <row r="620" spans="12:94" ht="20.100000000000001" customHeight="1">
      <c r="AF620" s="1505"/>
      <c r="AG620" s="251" t="s">
        <v>1224</v>
      </c>
      <c r="AH620" s="251">
        <f>INDEX('DEFAULT DATA'!$VE$9:$VK$41,START!$C$3,5)</f>
        <v>403</v>
      </c>
      <c r="AI620" s="360">
        <f>INDEX('DEFAULT DATA'!$AGY$9:$AIT$41,START!$C$3,(6+(($A$124-1)*8)))</f>
        <v>0</v>
      </c>
      <c r="AJ620" s="262"/>
      <c r="AK620" s="345">
        <v>0</v>
      </c>
      <c r="AL620" s="272">
        <f t="shared" ref="AL620:BN620" si="578">IF(AND(AL$614&gt;($I$124+2020),AL$614&lt;($J$124+2022)),AK620+($AH$620*$C$124*$AI$620*((100-$E$124)*((100-$F$124)/100)/100)/($J$124-$I$124+1)/1000000),AK620)</f>
        <v>0</v>
      </c>
      <c r="AM620" s="272">
        <f t="shared" si="578"/>
        <v>0</v>
      </c>
      <c r="AN620" s="272">
        <f t="shared" si="578"/>
        <v>0</v>
      </c>
      <c r="AO620" s="272">
        <f t="shared" si="578"/>
        <v>0</v>
      </c>
      <c r="AP620" s="272">
        <f t="shared" si="578"/>
        <v>0</v>
      </c>
      <c r="AQ620" s="272">
        <f t="shared" si="578"/>
        <v>0</v>
      </c>
      <c r="AR620" s="272">
        <f t="shared" si="578"/>
        <v>0</v>
      </c>
      <c r="AS620" s="272">
        <f t="shared" si="578"/>
        <v>0</v>
      </c>
      <c r="AT620" s="272">
        <f t="shared" si="578"/>
        <v>0</v>
      </c>
      <c r="AU620" s="272">
        <f t="shared" si="578"/>
        <v>0</v>
      </c>
      <c r="AV620" s="272">
        <f t="shared" si="578"/>
        <v>0</v>
      </c>
      <c r="AW620" s="272">
        <f t="shared" si="578"/>
        <v>0</v>
      </c>
      <c r="AX620" s="272">
        <f t="shared" si="578"/>
        <v>0</v>
      </c>
      <c r="AY620" s="272">
        <f t="shared" si="578"/>
        <v>0</v>
      </c>
      <c r="AZ620" s="272">
        <f t="shared" si="578"/>
        <v>0</v>
      </c>
      <c r="BA620" s="272">
        <f t="shared" si="578"/>
        <v>0</v>
      </c>
      <c r="BB620" s="272">
        <f t="shared" si="578"/>
        <v>0</v>
      </c>
      <c r="BC620" s="272">
        <f t="shared" si="578"/>
        <v>0</v>
      </c>
      <c r="BD620" s="272">
        <f t="shared" si="578"/>
        <v>0</v>
      </c>
      <c r="BE620" s="272">
        <f t="shared" si="578"/>
        <v>0</v>
      </c>
      <c r="BF620" s="272">
        <f t="shared" si="578"/>
        <v>0</v>
      </c>
      <c r="BG620" s="272">
        <f t="shared" si="578"/>
        <v>0</v>
      </c>
      <c r="BH620" s="272">
        <f t="shared" si="578"/>
        <v>0</v>
      </c>
      <c r="BI620" s="272">
        <f t="shared" si="578"/>
        <v>0</v>
      </c>
      <c r="BJ620" s="272">
        <f t="shared" si="578"/>
        <v>0</v>
      </c>
      <c r="BK620" s="272">
        <f t="shared" si="578"/>
        <v>0</v>
      </c>
      <c r="BL620" s="272">
        <f t="shared" si="578"/>
        <v>0</v>
      </c>
      <c r="BM620" s="272">
        <f t="shared" si="578"/>
        <v>0</v>
      </c>
      <c r="BN620" s="324">
        <f t="shared" si="578"/>
        <v>0</v>
      </c>
      <c r="BP620" s="536" t="s">
        <v>1224</v>
      </c>
      <c r="BQ620" s="1438" t="str">
        <f t="shared" si="574"/>
        <v>GHG_Wooda = GHG_Wooda-1 + (C123 * BUI_COL (307 + ((A123 - 1) * 8) * E123 / 100) + (F123 / 100 * BUI_COL (307 + ((A123 - 1) * 8) * (100 - E123) / 100)) * BUI_COL5 / (J123-I123+1) / 1000000</v>
      </c>
      <c r="BR620" s="1438"/>
      <c r="BS620" s="1438"/>
      <c r="BT620" s="1438"/>
      <c r="BU620" s="1438"/>
      <c r="BV620" s="1438"/>
      <c r="BW620" s="1438"/>
      <c r="BX620" s="1438"/>
      <c r="BY620" s="1438"/>
      <c r="BZ620" s="1438"/>
      <c r="CA620" s="1438"/>
      <c r="CB620" s="1438"/>
      <c r="CC620" s="1438"/>
      <c r="CD620" s="1438"/>
      <c r="CE620" s="1438"/>
      <c r="CF620" s="1438"/>
      <c r="CG620" s="1438"/>
      <c r="CH620" s="1438"/>
      <c r="CI620" s="1438"/>
      <c r="CJ620" s="1438"/>
      <c r="CK620" s="1438"/>
      <c r="CL620" s="915" t="s">
        <v>2506</v>
      </c>
      <c r="CM620" s="1475" t="s">
        <v>2568</v>
      </c>
      <c r="CN620" s="1476"/>
      <c r="CO620" s="918" t="s">
        <v>1624</v>
      </c>
      <c r="CP620" s="918" t="s">
        <v>2569</v>
      </c>
    </row>
    <row r="621" spans="12:94" ht="20.100000000000001" customHeight="1">
      <c r="AF621" s="1505"/>
      <c r="AG621" s="251" t="s">
        <v>1225</v>
      </c>
      <c r="AH621" s="251">
        <f>INDEX('DEFAULT DATA'!$VE$9:$VK$41,START!$C$3,6)</f>
        <v>0</v>
      </c>
      <c r="AI621" s="360">
        <f>INDEX('DEFAULT DATA'!$AGY$9:$AIT$41,START!$C$3,(7+(($A$124-1)*8)))</f>
        <v>0</v>
      </c>
      <c r="AJ621" s="262"/>
      <c r="AK621" s="345">
        <v>0</v>
      </c>
      <c r="AL621" s="272">
        <f t="shared" ref="AL621:BN621" si="579">IF(AND(AL$614&gt;($I$124+2020),AL$614&lt;($J$124+2022)),AK621+($AH$621*$C$124*$AI$621*((100-$E$124)*((100-$F$124)/100)/100)/($J$124-$I$124+1)/1000000),AK621)</f>
        <v>0</v>
      </c>
      <c r="AM621" s="272">
        <f t="shared" si="579"/>
        <v>0</v>
      </c>
      <c r="AN621" s="272">
        <f t="shared" si="579"/>
        <v>0</v>
      </c>
      <c r="AO621" s="272">
        <f t="shared" si="579"/>
        <v>0</v>
      </c>
      <c r="AP621" s="272">
        <f t="shared" si="579"/>
        <v>0</v>
      </c>
      <c r="AQ621" s="272">
        <f t="shared" si="579"/>
        <v>0</v>
      </c>
      <c r="AR621" s="272">
        <f t="shared" si="579"/>
        <v>0</v>
      </c>
      <c r="AS621" s="272">
        <f t="shared" si="579"/>
        <v>0</v>
      </c>
      <c r="AT621" s="272">
        <f t="shared" si="579"/>
        <v>0</v>
      </c>
      <c r="AU621" s="272">
        <f t="shared" si="579"/>
        <v>0</v>
      </c>
      <c r="AV621" s="272">
        <f t="shared" si="579"/>
        <v>0</v>
      </c>
      <c r="AW621" s="272">
        <f t="shared" si="579"/>
        <v>0</v>
      </c>
      <c r="AX621" s="272">
        <f t="shared" si="579"/>
        <v>0</v>
      </c>
      <c r="AY621" s="272">
        <f t="shared" si="579"/>
        <v>0</v>
      </c>
      <c r="AZ621" s="272">
        <f t="shared" si="579"/>
        <v>0</v>
      </c>
      <c r="BA621" s="272">
        <f t="shared" si="579"/>
        <v>0</v>
      </c>
      <c r="BB621" s="272">
        <f t="shared" si="579"/>
        <v>0</v>
      </c>
      <c r="BC621" s="272">
        <f t="shared" si="579"/>
        <v>0</v>
      </c>
      <c r="BD621" s="272">
        <f t="shared" si="579"/>
        <v>0</v>
      </c>
      <c r="BE621" s="272">
        <f t="shared" si="579"/>
        <v>0</v>
      </c>
      <c r="BF621" s="272">
        <f t="shared" si="579"/>
        <v>0</v>
      </c>
      <c r="BG621" s="272">
        <f t="shared" si="579"/>
        <v>0</v>
      </c>
      <c r="BH621" s="272">
        <f t="shared" si="579"/>
        <v>0</v>
      </c>
      <c r="BI621" s="272">
        <f t="shared" si="579"/>
        <v>0</v>
      </c>
      <c r="BJ621" s="272">
        <f t="shared" si="579"/>
        <v>0</v>
      </c>
      <c r="BK621" s="272">
        <f t="shared" si="579"/>
        <v>0</v>
      </c>
      <c r="BL621" s="272">
        <f t="shared" si="579"/>
        <v>0</v>
      </c>
      <c r="BM621" s="272">
        <f t="shared" si="579"/>
        <v>0</v>
      </c>
      <c r="BN621" s="324">
        <f t="shared" si="579"/>
        <v>0</v>
      </c>
      <c r="BP621" s="536" t="s">
        <v>1225</v>
      </c>
      <c r="BQ621" s="1438" t="str">
        <f t="shared" si="574"/>
        <v>GHG_Renewablea = GHG_Renewablea-1 + (C123 * BUI_COL (307 + ((A123 - 1) * 8) * E123 / 100) + (F123 / 100 * BUI_COL (307 + ((A123 - 1) * 8) * (100 - E123) / 100)) * BUI_COL6 / (J123-I123+1) / 1000000</v>
      </c>
      <c r="BR621" s="1438"/>
      <c r="BS621" s="1438"/>
      <c r="BT621" s="1438"/>
      <c r="BU621" s="1438"/>
      <c r="BV621" s="1438"/>
      <c r="BW621" s="1438"/>
      <c r="BX621" s="1438"/>
      <c r="BY621" s="1438"/>
      <c r="BZ621" s="1438"/>
      <c r="CA621" s="1438"/>
      <c r="CB621" s="1438"/>
      <c r="CC621" s="1438"/>
      <c r="CD621" s="1438"/>
      <c r="CE621" s="1438"/>
      <c r="CF621" s="1438"/>
      <c r="CG621" s="1438"/>
      <c r="CH621" s="1438"/>
      <c r="CI621" s="1438"/>
      <c r="CJ621" s="1438"/>
      <c r="CK621" s="1438"/>
      <c r="CL621" s="915" t="s">
        <v>2506</v>
      </c>
      <c r="CM621" s="1475" t="s">
        <v>2568</v>
      </c>
      <c r="CN621" s="1476"/>
      <c r="CO621" s="918" t="s">
        <v>1625</v>
      </c>
      <c r="CP621" s="918" t="s">
        <v>2569</v>
      </c>
    </row>
    <row r="622" spans="12:94" ht="20.100000000000001" customHeight="1" thickBot="1">
      <c r="AF622" s="1506"/>
      <c r="AG622" s="310" t="s">
        <v>1226</v>
      </c>
      <c r="AH622" s="310" t="s">
        <v>1497</v>
      </c>
      <c r="AI622" s="362">
        <f>INDEX('DEFAULT DATA'!$AGY$9:$AIT$41,START!$C$3,(8+(($A$124-1)*8)))</f>
        <v>0</v>
      </c>
      <c r="AJ622" s="335"/>
      <c r="AK622" s="348">
        <v>0</v>
      </c>
      <c r="AL622" s="325">
        <f t="shared" ref="AL622:BN622" si="580">IF(AND(AL$614&gt;($I$124+2020),AL$614&lt;($J$124+2022)),AK622+(AL$6*$C$124*$AI$622*((100-$E$124)/100)*((100-$F$124)/100)/($J$124-$I$124+1)/1000000),AK622)</f>
        <v>0</v>
      </c>
      <c r="AM622" s="325">
        <f t="shared" si="580"/>
        <v>0</v>
      </c>
      <c r="AN622" s="325">
        <f t="shared" si="580"/>
        <v>0</v>
      </c>
      <c r="AO622" s="325">
        <f t="shared" si="580"/>
        <v>0</v>
      </c>
      <c r="AP622" s="325">
        <f t="shared" si="580"/>
        <v>0</v>
      </c>
      <c r="AQ622" s="325">
        <f t="shared" si="580"/>
        <v>0</v>
      </c>
      <c r="AR622" s="325">
        <f t="shared" si="580"/>
        <v>0</v>
      </c>
      <c r="AS622" s="325">
        <f t="shared" si="580"/>
        <v>0</v>
      </c>
      <c r="AT622" s="325">
        <f t="shared" si="580"/>
        <v>0</v>
      </c>
      <c r="AU622" s="325">
        <f t="shared" si="580"/>
        <v>0</v>
      </c>
      <c r="AV622" s="325">
        <f t="shared" si="580"/>
        <v>0</v>
      </c>
      <c r="AW622" s="325">
        <f t="shared" si="580"/>
        <v>0</v>
      </c>
      <c r="AX622" s="325">
        <f t="shared" si="580"/>
        <v>0</v>
      </c>
      <c r="AY622" s="325">
        <f t="shared" si="580"/>
        <v>0</v>
      </c>
      <c r="AZ622" s="325">
        <f t="shared" si="580"/>
        <v>0</v>
      </c>
      <c r="BA622" s="325">
        <f t="shared" si="580"/>
        <v>0</v>
      </c>
      <c r="BB622" s="325">
        <f t="shared" si="580"/>
        <v>0</v>
      </c>
      <c r="BC622" s="325">
        <f t="shared" si="580"/>
        <v>0</v>
      </c>
      <c r="BD622" s="325">
        <f t="shared" si="580"/>
        <v>0</v>
      </c>
      <c r="BE622" s="325">
        <f t="shared" si="580"/>
        <v>0</v>
      </c>
      <c r="BF622" s="325">
        <f t="shared" si="580"/>
        <v>0</v>
      </c>
      <c r="BG622" s="325">
        <f t="shared" si="580"/>
        <v>0</v>
      </c>
      <c r="BH622" s="325">
        <f t="shared" si="580"/>
        <v>0</v>
      </c>
      <c r="BI622" s="325">
        <f t="shared" si="580"/>
        <v>0</v>
      </c>
      <c r="BJ622" s="325">
        <f t="shared" si="580"/>
        <v>0</v>
      </c>
      <c r="BK622" s="325">
        <f t="shared" si="580"/>
        <v>0</v>
      </c>
      <c r="BL622" s="325">
        <f t="shared" si="580"/>
        <v>0</v>
      </c>
      <c r="BM622" s="325">
        <f t="shared" si="580"/>
        <v>0</v>
      </c>
      <c r="BN622" s="326">
        <f t="shared" si="580"/>
        <v>0</v>
      </c>
      <c r="BP622" s="536" t="s">
        <v>1226</v>
      </c>
      <c r="BQ622" s="1438" t="str">
        <f t="shared" si="574"/>
        <v>GHG_Heata = GHG_Heata-1 + (C123 * BUI_COL (307 + ((A123 - 1) * 8) * E123 / 100) + (F123 / 100 * BUI_COL (307 + ((A123 - 1) * 8) * (100 - E123) / 100)) * DISTRICT_HEATING_emission_factora (from row 5) / (J123-I123+1) / 1000000</v>
      </c>
      <c r="BR622" s="1438"/>
      <c r="BS622" s="1438"/>
      <c r="BT622" s="1438"/>
      <c r="BU622" s="1438"/>
      <c r="BV622" s="1438"/>
      <c r="BW622" s="1438"/>
      <c r="BX622" s="1438"/>
      <c r="BY622" s="1438"/>
      <c r="BZ622" s="1438"/>
      <c r="CA622" s="1438"/>
      <c r="CB622" s="1438"/>
      <c r="CC622" s="1438"/>
      <c r="CD622" s="1438"/>
      <c r="CE622" s="1438"/>
      <c r="CF622" s="1438"/>
      <c r="CG622" s="1438"/>
      <c r="CH622" s="1438"/>
      <c r="CI622" s="1438"/>
      <c r="CJ622" s="1438"/>
      <c r="CK622" s="1438"/>
      <c r="CL622" s="915" t="s">
        <v>2506</v>
      </c>
      <c r="CM622" s="1475" t="s">
        <v>2568</v>
      </c>
      <c r="CN622" s="1476"/>
      <c r="CO622" s="918" t="s">
        <v>1882</v>
      </c>
      <c r="CP622" s="918" t="s">
        <v>2569</v>
      </c>
    </row>
    <row r="623" spans="12:94" ht="20.100000000000001" customHeight="1">
      <c r="AF623" s="332"/>
      <c r="AG623" s="308" t="s">
        <v>310</v>
      </c>
      <c r="AH623" s="309"/>
      <c r="AI623" s="363"/>
      <c r="AJ623" s="309"/>
      <c r="AK623" s="344">
        <v>0</v>
      </c>
      <c r="AL623" s="327">
        <f>SUM(AL615:AL622)</f>
        <v>0</v>
      </c>
      <c r="AM623" s="327">
        <f t="shared" ref="AM623" si="581">SUM(AM615:AM622)</f>
        <v>0</v>
      </c>
      <c r="AN623" s="327">
        <f t="shared" ref="AN623" si="582">SUM(AN615:AN622)</f>
        <v>0</v>
      </c>
      <c r="AO623" s="327">
        <f t="shared" ref="AO623" si="583">SUM(AO615:AO622)</f>
        <v>0</v>
      </c>
      <c r="AP623" s="327">
        <f t="shared" ref="AP623" si="584">SUM(AP615:AP622)</f>
        <v>0</v>
      </c>
      <c r="AQ623" s="327">
        <f t="shared" ref="AQ623" si="585">SUM(AQ615:AQ622)</f>
        <v>0</v>
      </c>
      <c r="AR623" s="327">
        <f t="shared" ref="AR623" si="586">SUM(AR615:AR622)</f>
        <v>0</v>
      </c>
      <c r="AS623" s="327">
        <f t="shared" ref="AS623" si="587">SUM(AS615:AS622)</f>
        <v>0</v>
      </c>
      <c r="AT623" s="327">
        <f t="shared" ref="AT623" si="588">SUM(AT615:AT622)</f>
        <v>0</v>
      </c>
      <c r="AU623" s="327">
        <f t="shared" ref="AU623" si="589">SUM(AU615:AU622)</f>
        <v>0</v>
      </c>
      <c r="AV623" s="327">
        <f t="shared" ref="AV623" si="590">SUM(AV615:AV622)</f>
        <v>0</v>
      </c>
      <c r="AW623" s="327">
        <f t="shared" ref="AW623" si="591">SUM(AW615:AW622)</f>
        <v>0</v>
      </c>
      <c r="AX623" s="327">
        <f t="shared" ref="AX623" si="592">SUM(AX615:AX622)</f>
        <v>0</v>
      </c>
      <c r="AY623" s="327">
        <f t="shared" ref="AY623" si="593">SUM(AY615:AY622)</f>
        <v>0</v>
      </c>
      <c r="AZ623" s="327">
        <f t="shared" ref="AZ623" si="594">SUM(AZ615:AZ622)</f>
        <v>0</v>
      </c>
      <c r="BA623" s="327">
        <f t="shared" ref="BA623" si="595">SUM(BA615:BA622)</f>
        <v>0</v>
      </c>
      <c r="BB623" s="327">
        <f t="shared" ref="BB623" si="596">SUM(BB615:BB622)</f>
        <v>0</v>
      </c>
      <c r="BC623" s="327">
        <f t="shared" ref="BC623" si="597">SUM(BC615:BC622)</f>
        <v>0</v>
      </c>
      <c r="BD623" s="327">
        <f t="shared" ref="BD623" si="598">SUM(BD615:BD622)</f>
        <v>0</v>
      </c>
      <c r="BE623" s="327">
        <f t="shared" ref="BE623" si="599">SUM(BE615:BE622)</f>
        <v>0</v>
      </c>
      <c r="BF623" s="327">
        <f t="shared" ref="BF623" si="600">SUM(BF615:BF622)</f>
        <v>0</v>
      </c>
      <c r="BG623" s="327">
        <f t="shared" ref="BG623" si="601">SUM(BG615:BG622)</f>
        <v>0</v>
      </c>
      <c r="BH623" s="327">
        <f t="shared" ref="BH623" si="602">SUM(BH615:BH622)</f>
        <v>0</v>
      </c>
      <c r="BI623" s="327">
        <f t="shared" ref="BI623" si="603">SUM(BI615:BI622)</f>
        <v>0</v>
      </c>
      <c r="BJ623" s="327">
        <f t="shared" ref="BJ623" si="604">SUM(BJ615:BJ622)</f>
        <v>0</v>
      </c>
      <c r="BK623" s="327">
        <f t="shared" ref="BK623" si="605">SUM(BK615:BK622)</f>
        <v>0</v>
      </c>
      <c r="BL623" s="327">
        <f t="shared" ref="BL623" si="606">SUM(BL615:BL622)</f>
        <v>0</v>
      </c>
      <c r="BM623" s="327">
        <f t="shared" ref="BM623" si="607">SUM(BM615:BM622)</f>
        <v>0</v>
      </c>
      <c r="BN623" s="327">
        <f t="shared" ref="BN623" si="608">SUM(BN615:BN622)</f>
        <v>0</v>
      </c>
    </row>
    <row r="624" spans="12:94" ht="20.100000000000001" customHeight="1">
      <c r="AI624" s="364"/>
    </row>
    <row r="625" spans="32:94" ht="20.100000000000001" customHeight="1" thickBot="1">
      <c r="AF625" s="333" t="s">
        <v>1473</v>
      </c>
      <c r="AG625" s="333"/>
      <c r="AH625" s="334" t="s">
        <v>977</v>
      </c>
      <c r="AI625" s="365" t="s">
        <v>1260</v>
      </c>
      <c r="AJ625" s="284"/>
      <c r="AK625" s="346">
        <v>2021</v>
      </c>
      <c r="AL625" s="284">
        <v>2022</v>
      </c>
      <c r="AM625" s="284">
        <v>2023</v>
      </c>
      <c r="AN625" s="284">
        <v>2024</v>
      </c>
      <c r="AO625" s="284">
        <v>2025</v>
      </c>
      <c r="AP625" s="284">
        <v>2026</v>
      </c>
      <c r="AQ625" s="284">
        <v>2027</v>
      </c>
      <c r="AR625" s="284">
        <v>2028</v>
      </c>
      <c r="AS625" s="284">
        <v>2029</v>
      </c>
      <c r="AT625" s="284">
        <v>2030</v>
      </c>
      <c r="AU625" s="284">
        <v>2031</v>
      </c>
      <c r="AV625" s="284">
        <v>2032</v>
      </c>
      <c r="AW625" s="284">
        <v>2033</v>
      </c>
      <c r="AX625" s="284">
        <v>2034</v>
      </c>
      <c r="AY625" s="284">
        <v>2035</v>
      </c>
      <c r="AZ625" s="284">
        <v>2036</v>
      </c>
      <c r="BA625" s="284">
        <v>2037</v>
      </c>
      <c r="BB625" s="284">
        <v>2038</v>
      </c>
      <c r="BC625" s="284">
        <v>2039</v>
      </c>
      <c r="BD625" s="284">
        <v>2040</v>
      </c>
      <c r="BE625" s="284">
        <v>2041</v>
      </c>
      <c r="BF625" s="284">
        <v>2042</v>
      </c>
      <c r="BG625" s="284">
        <v>2043</v>
      </c>
      <c r="BH625" s="284">
        <v>2044</v>
      </c>
      <c r="BI625" s="284">
        <v>2045</v>
      </c>
      <c r="BJ625" s="284">
        <v>2046</v>
      </c>
      <c r="BK625" s="284">
        <v>2047</v>
      </c>
      <c r="BL625" s="284">
        <v>2048</v>
      </c>
      <c r="BM625" s="284">
        <v>2049</v>
      </c>
      <c r="BN625" s="284">
        <v>2050</v>
      </c>
      <c r="BQ625" s="222" t="s">
        <v>2587</v>
      </c>
      <c r="BR625" s="417"/>
      <c r="BS625" s="417"/>
      <c r="BT625" s="417"/>
      <c r="BU625" s="417"/>
      <c r="BV625" s="417"/>
      <c r="BW625" s="417"/>
      <c r="BX625" s="417"/>
      <c r="BY625" s="417"/>
      <c r="BZ625" s="417"/>
      <c r="CA625" s="417"/>
      <c r="CB625" s="417"/>
      <c r="CC625" s="417"/>
      <c r="CD625" s="417"/>
      <c r="CE625" s="417"/>
      <c r="CF625" s="417"/>
      <c r="CG625" s="417"/>
      <c r="CH625" s="417"/>
      <c r="CI625" s="417"/>
      <c r="CJ625" s="417"/>
      <c r="CK625" s="417"/>
      <c r="CL625" s="944" t="s">
        <v>2581</v>
      </c>
      <c r="CM625" s="279" t="s">
        <v>2582</v>
      </c>
      <c r="CN625" s="279"/>
      <c r="CO625" s="945" t="s">
        <v>1598</v>
      </c>
      <c r="CP625" s="279" t="s">
        <v>2552</v>
      </c>
    </row>
    <row r="626" spans="32:94" ht="20.100000000000001" customHeight="1">
      <c r="AF626" s="1504" t="str">
        <f>INDEX('MENU OPTIONS'!B31:B36,A125,1)</f>
        <v>Health</v>
      </c>
      <c r="AG626" s="286" t="s">
        <v>933</v>
      </c>
      <c r="AH626" s="286" t="s">
        <v>1496</v>
      </c>
      <c r="AI626" s="361">
        <f>INDEX('DEFAULT DATA'!$AGY$9:$AIT$41,START!$C$3,(1+(($A$125-1)*8)))</f>
        <v>0</v>
      </c>
      <c r="AJ626" s="330"/>
      <c r="AK626" s="343">
        <v>0</v>
      </c>
      <c r="AL626" s="322">
        <f t="shared" ref="AL626:BN626" si="609">IF(AND(AL$625&gt;($I$125+2020),AL$625&lt;($J$125+2022)),AK626+(AL$5*$C$125*$AI$626*((100-$E$125)/100)*((100-$F$125)/100)/($J$125-$I$125+1)/1000000),AK626)</f>
        <v>0</v>
      </c>
      <c r="AM626" s="322">
        <f t="shared" si="609"/>
        <v>0</v>
      </c>
      <c r="AN626" s="322">
        <f t="shared" si="609"/>
        <v>0</v>
      </c>
      <c r="AO626" s="322">
        <f t="shared" si="609"/>
        <v>0</v>
      </c>
      <c r="AP626" s="322">
        <f t="shared" si="609"/>
        <v>0</v>
      </c>
      <c r="AQ626" s="322">
        <f t="shared" si="609"/>
        <v>0</v>
      </c>
      <c r="AR626" s="322">
        <f t="shared" si="609"/>
        <v>0</v>
      </c>
      <c r="AS626" s="322">
        <f t="shared" si="609"/>
        <v>0</v>
      </c>
      <c r="AT626" s="322">
        <f t="shared" si="609"/>
        <v>0</v>
      </c>
      <c r="AU626" s="322">
        <f t="shared" si="609"/>
        <v>0</v>
      </c>
      <c r="AV626" s="322">
        <f t="shared" si="609"/>
        <v>0</v>
      </c>
      <c r="AW626" s="322">
        <f t="shared" si="609"/>
        <v>0</v>
      </c>
      <c r="AX626" s="322">
        <f t="shared" si="609"/>
        <v>0</v>
      </c>
      <c r="AY626" s="322">
        <f t="shared" si="609"/>
        <v>0</v>
      </c>
      <c r="AZ626" s="322">
        <f t="shared" si="609"/>
        <v>0</v>
      </c>
      <c r="BA626" s="322">
        <f t="shared" si="609"/>
        <v>0</v>
      </c>
      <c r="BB626" s="322">
        <f t="shared" si="609"/>
        <v>0</v>
      </c>
      <c r="BC626" s="322">
        <f t="shared" si="609"/>
        <v>0</v>
      </c>
      <c r="BD626" s="322">
        <f t="shared" si="609"/>
        <v>0</v>
      </c>
      <c r="BE626" s="322">
        <f t="shared" si="609"/>
        <v>0</v>
      </c>
      <c r="BF626" s="322">
        <f t="shared" si="609"/>
        <v>0</v>
      </c>
      <c r="BG626" s="322">
        <f t="shared" si="609"/>
        <v>0</v>
      </c>
      <c r="BH626" s="322">
        <f t="shared" si="609"/>
        <v>0</v>
      </c>
      <c r="BI626" s="322">
        <f t="shared" si="609"/>
        <v>0</v>
      </c>
      <c r="BJ626" s="322">
        <f t="shared" si="609"/>
        <v>0</v>
      </c>
      <c r="BK626" s="322">
        <f t="shared" si="609"/>
        <v>0</v>
      </c>
      <c r="BL626" s="322">
        <f t="shared" si="609"/>
        <v>0</v>
      </c>
      <c r="BM626" s="322">
        <f t="shared" si="609"/>
        <v>0</v>
      </c>
      <c r="BN626" s="323">
        <f t="shared" si="609"/>
        <v>0</v>
      </c>
      <c r="BP626" s="536" t="s">
        <v>933</v>
      </c>
      <c r="BQ626" s="1438" t="str">
        <f>CONCATENATE("GHG_",BP626,"a = GHG_",BP626,"a-1 + (C124 * ",CL626," * E124 / 100) + (F124 / 100 * ",CM626,")) * ",CO626," / (",CP626,") / 1000000")</f>
        <v>GHG_Electricitya = GHG_Electricitya-1 + (C124 * BUI_COL (307 + ((A124 - 1) * 8) * E124 / 100) + (F124 / 100 * BUI_COL (307 + ((A124 - 1) * 8) * (100 - E124) / 100)) * GRID_ELECTRICITY_emission_factora (from row4) / (J124-I124+1) / 1000000</v>
      </c>
      <c r="BR626" s="1438"/>
      <c r="BS626" s="1438"/>
      <c r="BT626" s="1438"/>
      <c r="BU626" s="1438"/>
      <c r="BV626" s="1438"/>
      <c r="BW626" s="1438"/>
      <c r="BX626" s="1438"/>
      <c r="BY626" s="1438"/>
      <c r="BZ626" s="1438"/>
      <c r="CA626" s="1438"/>
      <c r="CB626" s="1438"/>
      <c r="CC626" s="1438"/>
      <c r="CD626" s="1438"/>
      <c r="CE626" s="1438"/>
      <c r="CF626" s="1438"/>
      <c r="CG626" s="1438"/>
      <c r="CH626" s="1438"/>
      <c r="CI626" s="1438"/>
      <c r="CJ626" s="1438"/>
      <c r="CK626" s="1438"/>
      <c r="CL626" s="915" t="s">
        <v>2571</v>
      </c>
      <c r="CM626" s="1475" t="s">
        <v>2572</v>
      </c>
      <c r="CN626" s="1476"/>
      <c r="CO626" s="918" t="s">
        <v>1881</v>
      </c>
      <c r="CP626" s="918" t="s">
        <v>2573</v>
      </c>
    </row>
    <row r="627" spans="32:94" ht="20.100000000000001" customHeight="1">
      <c r="AF627" s="1505"/>
      <c r="AG627" s="251" t="s">
        <v>1220</v>
      </c>
      <c r="AH627" s="251">
        <f>INDEX('DEFAULT DATA'!$VE$9:$VK$41,START!$C$3,1)</f>
        <v>202</v>
      </c>
      <c r="AI627" s="360">
        <f>INDEX('DEFAULT DATA'!$AGY$9:$AIT$41,START!$C$3,(2+(($A$125-1)*8)))</f>
        <v>0</v>
      </c>
      <c r="AJ627" s="262"/>
      <c r="AK627" s="345">
        <v>0</v>
      </c>
      <c r="AL627" s="272">
        <f t="shared" ref="AL627:BN627" si="610">IF(AND(AL$625&gt;($I$125+2020),AL$625&lt;($J$125+2022)),AK627+($AH$627*$C$125*$AI$627*((100-$E$125)/100)*((100-$F$125)/100)/($J$125-$I$125+1)/1000000),AK627)</f>
        <v>0</v>
      </c>
      <c r="AM627" s="272">
        <f t="shared" si="610"/>
        <v>0</v>
      </c>
      <c r="AN627" s="272">
        <f t="shared" si="610"/>
        <v>0</v>
      </c>
      <c r="AO627" s="272">
        <f t="shared" si="610"/>
        <v>0</v>
      </c>
      <c r="AP627" s="272">
        <f t="shared" si="610"/>
        <v>0</v>
      </c>
      <c r="AQ627" s="272">
        <f t="shared" si="610"/>
        <v>0</v>
      </c>
      <c r="AR627" s="272">
        <f t="shared" si="610"/>
        <v>0</v>
      </c>
      <c r="AS627" s="272">
        <f t="shared" si="610"/>
        <v>0</v>
      </c>
      <c r="AT627" s="272">
        <f t="shared" si="610"/>
        <v>0</v>
      </c>
      <c r="AU627" s="272">
        <f t="shared" si="610"/>
        <v>0</v>
      </c>
      <c r="AV627" s="272">
        <f t="shared" si="610"/>
        <v>0</v>
      </c>
      <c r="AW627" s="272">
        <f t="shared" si="610"/>
        <v>0</v>
      </c>
      <c r="AX627" s="272">
        <f t="shared" si="610"/>
        <v>0</v>
      </c>
      <c r="AY627" s="272">
        <f t="shared" si="610"/>
        <v>0</v>
      </c>
      <c r="AZ627" s="272">
        <f t="shared" si="610"/>
        <v>0</v>
      </c>
      <c r="BA627" s="272">
        <f t="shared" si="610"/>
        <v>0</v>
      </c>
      <c r="BB627" s="272">
        <f t="shared" si="610"/>
        <v>0</v>
      </c>
      <c r="BC627" s="272">
        <f t="shared" si="610"/>
        <v>0</v>
      </c>
      <c r="BD627" s="272">
        <f t="shared" si="610"/>
        <v>0</v>
      </c>
      <c r="BE627" s="272">
        <f t="shared" si="610"/>
        <v>0</v>
      </c>
      <c r="BF627" s="272">
        <f t="shared" si="610"/>
        <v>0</v>
      </c>
      <c r="BG627" s="272">
        <f t="shared" si="610"/>
        <v>0</v>
      </c>
      <c r="BH627" s="272">
        <f t="shared" si="610"/>
        <v>0</v>
      </c>
      <c r="BI627" s="272">
        <f t="shared" si="610"/>
        <v>0</v>
      </c>
      <c r="BJ627" s="272">
        <f t="shared" si="610"/>
        <v>0</v>
      </c>
      <c r="BK627" s="272">
        <f t="shared" si="610"/>
        <v>0</v>
      </c>
      <c r="BL627" s="272">
        <f t="shared" si="610"/>
        <v>0</v>
      </c>
      <c r="BM627" s="272">
        <f t="shared" si="610"/>
        <v>0</v>
      </c>
      <c r="BN627" s="324">
        <f t="shared" si="610"/>
        <v>0</v>
      </c>
      <c r="BP627" s="536" t="s">
        <v>1220</v>
      </c>
      <c r="BQ627" s="1438" t="str">
        <f t="shared" ref="BQ627:BQ633" si="611">CONCATENATE("GHG_",BP627,"a = GHG_",BP627,"a-1 + (C124 * ",CL627," * E124 / 100) + (F124 / 100 * ",CM627,")) * ",CO627," / (",CP627,") / 1000000")</f>
        <v>GHG_Gasa = GHG_Gasa-1 + (C124 * BUI_COL (307 + ((A124 - 1) * 8) * E124 / 100) + (F124 / 100 * BUI_COL (307 + ((A124 - 1) * 8) * (100 - E124) / 101)) * BUI_COL1 / (J124-I124+1) / 1000000</v>
      </c>
      <c r="BR627" s="1438"/>
      <c r="BS627" s="1438"/>
      <c r="BT627" s="1438"/>
      <c r="BU627" s="1438"/>
      <c r="BV627" s="1438"/>
      <c r="BW627" s="1438"/>
      <c r="BX627" s="1438"/>
      <c r="BY627" s="1438"/>
      <c r="BZ627" s="1438"/>
      <c r="CA627" s="1438"/>
      <c r="CB627" s="1438"/>
      <c r="CC627" s="1438"/>
      <c r="CD627" s="1438"/>
      <c r="CE627" s="1438"/>
      <c r="CF627" s="1438"/>
      <c r="CG627" s="1438"/>
      <c r="CH627" s="1438"/>
      <c r="CI627" s="1438"/>
      <c r="CJ627" s="1438"/>
      <c r="CK627" s="1438"/>
      <c r="CL627" s="915" t="s">
        <v>2571</v>
      </c>
      <c r="CM627" s="1475" t="s">
        <v>2574</v>
      </c>
      <c r="CN627" s="1476"/>
      <c r="CO627" s="918" t="s">
        <v>1248</v>
      </c>
      <c r="CP627" s="918" t="s">
        <v>2573</v>
      </c>
    </row>
    <row r="628" spans="32:94" ht="20.100000000000001" customHeight="1">
      <c r="AF628" s="1505"/>
      <c r="AG628" s="251" t="s">
        <v>1221</v>
      </c>
      <c r="AH628" s="251">
        <f>INDEX('DEFAULT DATA'!$VE$9:$VK$41,START!$C$3,2)</f>
        <v>279</v>
      </c>
      <c r="AI628" s="360">
        <f>INDEX('DEFAULT DATA'!$AGY$9:$AIT$41,START!$C$3,(3+(($A$125-1)*8)))</f>
        <v>0</v>
      </c>
      <c r="AJ628" s="262"/>
      <c r="AK628" s="345">
        <v>0</v>
      </c>
      <c r="AL628" s="272">
        <f t="shared" ref="AL628:BN628" si="612">IF(AND(AL$625&gt;($I$125+2020),AL$625&lt;($J$125+2022)),AK628+($AH$628*$C$125*$AI$628*((100-$E$125)/100)*((100-$F$125)/100)/($J$125-$I$125+1)/1000000),AK628)</f>
        <v>0</v>
      </c>
      <c r="AM628" s="272">
        <f t="shared" si="612"/>
        <v>0</v>
      </c>
      <c r="AN628" s="272">
        <f t="shared" si="612"/>
        <v>0</v>
      </c>
      <c r="AO628" s="272">
        <f t="shared" si="612"/>
        <v>0</v>
      </c>
      <c r="AP628" s="272">
        <f t="shared" si="612"/>
        <v>0</v>
      </c>
      <c r="AQ628" s="272">
        <f t="shared" si="612"/>
        <v>0</v>
      </c>
      <c r="AR628" s="272">
        <f t="shared" si="612"/>
        <v>0</v>
      </c>
      <c r="AS628" s="272">
        <f t="shared" si="612"/>
        <v>0</v>
      </c>
      <c r="AT628" s="272">
        <f t="shared" si="612"/>
        <v>0</v>
      </c>
      <c r="AU628" s="272">
        <f t="shared" si="612"/>
        <v>0</v>
      </c>
      <c r="AV628" s="272">
        <f t="shared" si="612"/>
        <v>0</v>
      </c>
      <c r="AW628" s="272">
        <f t="shared" si="612"/>
        <v>0</v>
      </c>
      <c r="AX628" s="272">
        <f t="shared" si="612"/>
        <v>0</v>
      </c>
      <c r="AY628" s="272">
        <f t="shared" si="612"/>
        <v>0</v>
      </c>
      <c r="AZ628" s="272">
        <f t="shared" si="612"/>
        <v>0</v>
      </c>
      <c r="BA628" s="272">
        <f t="shared" si="612"/>
        <v>0</v>
      </c>
      <c r="BB628" s="272">
        <f t="shared" si="612"/>
        <v>0</v>
      </c>
      <c r="BC628" s="272">
        <f t="shared" si="612"/>
        <v>0</v>
      </c>
      <c r="BD628" s="272">
        <f t="shared" si="612"/>
        <v>0</v>
      </c>
      <c r="BE628" s="272">
        <f t="shared" si="612"/>
        <v>0</v>
      </c>
      <c r="BF628" s="272">
        <f t="shared" si="612"/>
        <v>0</v>
      </c>
      <c r="BG628" s="272">
        <f t="shared" si="612"/>
        <v>0</v>
      </c>
      <c r="BH628" s="272">
        <f t="shared" si="612"/>
        <v>0</v>
      </c>
      <c r="BI628" s="272">
        <f t="shared" si="612"/>
        <v>0</v>
      </c>
      <c r="BJ628" s="272">
        <f t="shared" si="612"/>
        <v>0</v>
      </c>
      <c r="BK628" s="272">
        <f t="shared" si="612"/>
        <v>0</v>
      </c>
      <c r="BL628" s="272">
        <f t="shared" si="612"/>
        <v>0</v>
      </c>
      <c r="BM628" s="272">
        <f t="shared" si="612"/>
        <v>0</v>
      </c>
      <c r="BN628" s="324">
        <f t="shared" si="612"/>
        <v>0</v>
      </c>
      <c r="BP628" s="536" t="s">
        <v>1221</v>
      </c>
      <c r="BQ628" s="1438" t="str">
        <f t="shared" si="611"/>
        <v>GHG_Oila = GHG_Oila-1 + (C124 * BUI_COL (307 + ((A124 - 1) * 8) * E124 / 100) + (F124 / 100 * BUI_COL (307 + ((A124 - 1) * 8) * (100 - E124) / 102)) * BUI_COL2 / (J124-I124+1) / 1000000</v>
      </c>
      <c r="BR628" s="1438"/>
      <c r="BS628" s="1438"/>
      <c r="BT628" s="1438"/>
      <c r="BU628" s="1438"/>
      <c r="BV628" s="1438"/>
      <c r="BW628" s="1438"/>
      <c r="BX628" s="1438"/>
      <c r="BY628" s="1438"/>
      <c r="BZ628" s="1438"/>
      <c r="CA628" s="1438"/>
      <c r="CB628" s="1438"/>
      <c r="CC628" s="1438"/>
      <c r="CD628" s="1438"/>
      <c r="CE628" s="1438"/>
      <c r="CF628" s="1438"/>
      <c r="CG628" s="1438"/>
      <c r="CH628" s="1438"/>
      <c r="CI628" s="1438"/>
      <c r="CJ628" s="1438"/>
      <c r="CK628" s="1438"/>
      <c r="CL628" s="915" t="s">
        <v>2571</v>
      </c>
      <c r="CM628" s="1475" t="s">
        <v>2575</v>
      </c>
      <c r="CN628" s="1476"/>
      <c r="CO628" s="918" t="s">
        <v>1621</v>
      </c>
      <c r="CP628" s="918" t="s">
        <v>2573</v>
      </c>
    </row>
    <row r="629" spans="32:94" ht="20.100000000000001" customHeight="1">
      <c r="AF629" s="1505"/>
      <c r="AG629" s="251" t="s">
        <v>1222</v>
      </c>
      <c r="AH629" s="251">
        <f>INDEX('DEFAULT DATA'!$VE$9:$VK$41,START!$C$3,3)</f>
        <v>354</v>
      </c>
      <c r="AI629" s="360">
        <f>INDEX('DEFAULT DATA'!$AGY$9:$AIT$41,START!$C$3,(4+(($A$125-1)*8)))</f>
        <v>0</v>
      </c>
      <c r="AJ629" s="262"/>
      <c r="AK629" s="345">
        <v>0</v>
      </c>
      <c r="AL629" s="272">
        <f t="shared" ref="AL629:BN629" si="613">IF(AND(AL$625&gt;($I$125+2020),AL$625&lt;($J$125+2022)),AK629+($AH$629*$C$125*$AI$629*((100-$E$125)/100)*((100-$F$125)/100)/($J$125-$I$125+1)/1000000),AK629)</f>
        <v>0</v>
      </c>
      <c r="AM629" s="272">
        <f t="shared" si="613"/>
        <v>0</v>
      </c>
      <c r="AN629" s="272">
        <f t="shared" si="613"/>
        <v>0</v>
      </c>
      <c r="AO629" s="272">
        <f t="shared" si="613"/>
        <v>0</v>
      </c>
      <c r="AP629" s="272">
        <f t="shared" si="613"/>
        <v>0</v>
      </c>
      <c r="AQ629" s="272">
        <f t="shared" si="613"/>
        <v>0</v>
      </c>
      <c r="AR629" s="272">
        <f t="shared" si="613"/>
        <v>0</v>
      </c>
      <c r="AS629" s="272">
        <f t="shared" si="613"/>
        <v>0</v>
      </c>
      <c r="AT629" s="272">
        <f t="shared" si="613"/>
        <v>0</v>
      </c>
      <c r="AU629" s="272">
        <f t="shared" si="613"/>
        <v>0</v>
      </c>
      <c r="AV629" s="272">
        <f t="shared" si="613"/>
        <v>0</v>
      </c>
      <c r="AW629" s="272">
        <f t="shared" si="613"/>
        <v>0</v>
      </c>
      <c r="AX629" s="272">
        <f t="shared" si="613"/>
        <v>0</v>
      </c>
      <c r="AY629" s="272">
        <f t="shared" si="613"/>
        <v>0</v>
      </c>
      <c r="AZ629" s="272">
        <f t="shared" si="613"/>
        <v>0</v>
      </c>
      <c r="BA629" s="272">
        <f t="shared" si="613"/>
        <v>0</v>
      </c>
      <c r="BB629" s="272">
        <f t="shared" si="613"/>
        <v>0</v>
      </c>
      <c r="BC629" s="272">
        <f t="shared" si="613"/>
        <v>0</v>
      </c>
      <c r="BD629" s="272">
        <f t="shared" si="613"/>
        <v>0</v>
      </c>
      <c r="BE629" s="272">
        <f t="shared" si="613"/>
        <v>0</v>
      </c>
      <c r="BF629" s="272">
        <f t="shared" si="613"/>
        <v>0</v>
      </c>
      <c r="BG629" s="272">
        <f t="shared" si="613"/>
        <v>0</v>
      </c>
      <c r="BH629" s="272">
        <f t="shared" si="613"/>
        <v>0</v>
      </c>
      <c r="BI629" s="272">
        <f t="shared" si="613"/>
        <v>0</v>
      </c>
      <c r="BJ629" s="272">
        <f t="shared" si="613"/>
        <v>0</v>
      </c>
      <c r="BK629" s="272">
        <f t="shared" si="613"/>
        <v>0</v>
      </c>
      <c r="BL629" s="272">
        <f t="shared" si="613"/>
        <v>0</v>
      </c>
      <c r="BM629" s="272">
        <f t="shared" si="613"/>
        <v>0</v>
      </c>
      <c r="BN629" s="324">
        <f t="shared" si="613"/>
        <v>0</v>
      </c>
      <c r="BP629" s="536" t="s">
        <v>1222</v>
      </c>
      <c r="BQ629" s="1438" t="str">
        <f t="shared" si="611"/>
        <v>GHG_Coala = GHG_Coala-1 + (C124 * BUI_COL (307 + ((A124 - 1) * 8) * E124 / 100) + (F124 / 100 * BUI_COL (307 + ((A124 - 1) * 8) * (100 - E124) / 103)) * BUI_COL3 / (J124-I124+1) / 1000000</v>
      </c>
      <c r="BR629" s="1438"/>
      <c r="BS629" s="1438"/>
      <c r="BT629" s="1438"/>
      <c r="BU629" s="1438"/>
      <c r="BV629" s="1438"/>
      <c r="BW629" s="1438"/>
      <c r="BX629" s="1438"/>
      <c r="BY629" s="1438"/>
      <c r="BZ629" s="1438"/>
      <c r="CA629" s="1438"/>
      <c r="CB629" s="1438"/>
      <c r="CC629" s="1438"/>
      <c r="CD629" s="1438"/>
      <c r="CE629" s="1438"/>
      <c r="CF629" s="1438"/>
      <c r="CG629" s="1438"/>
      <c r="CH629" s="1438"/>
      <c r="CI629" s="1438"/>
      <c r="CJ629" s="1438"/>
      <c r="CK629" s="1438"/>
      <c r="CL629" s="915" t="s">
        <v>2571</v>
      </c>
      <c r="CM629" s="1475" t="s">
        <v>2576</v>
      </c>
      <c r="CN629" s="1476"/>
      <c r="CO629" s="918" t="s">
        <v>1622</v>
      </c>
      <c r="CP629" s="918" t="s">
        <v>2573</v>
      </c>
    </row>
    <row r="630" spans="32:94" ht="20.100000000000001" customHeight="1">
      <c r="AF630" s="1505"/>
      <c r="AG630" s="251" t="s">
        <v>1223</v>
      </c>
      <c r="AH630" s="251">
        <f>INDEX('DEFAULT DATA'!$VE$9:$VK$41,START!$C$3,4)</f>
        <v>0</v>
      </c>
      <c r="AI630" s="360">
        <f>INDEX('DEFAULT DATA'!$AGY$9:$AIT$41,START!$C$3,(5+(($A$125-1)*8)))</f>
        <v>0</v>
      </c>
      <c r="AJ630" s="262"/>
      <c r="AK630" s="345">
        <v>0</v>
      </c>
      <c r="AL630" s="272">
        <f t="shared" ref="AL630:BN630" si="614">IF(AND(AL$625&gt;($I$125+2020),AL$625&lt;($J$125+2022)),AK630+($AH$630*$C$125*$AI$630*((100-$E$125)/100)*((100-$F$125)/100)/($J$125-$I$125+1)/1000000),AK630)</f>
        <v>0</v>
      </c>
      <c r="AM630" s="272">
        <f t="shared" si="614"/>
        <v>0</v>
      </c>
      <c r="AN630" s="272">
        <f t="shared" si="614"/>
        <v>0</v>
      </c>
      <c r="AO630" s="272">
        <f t="shared" si="614"/>
        <v>0</v>
      </c>
      <c r="AP630" s="272">
        <f t="shared" si="614"/>
        <v>0</v>
      </c>
      <c r="AQ630" s="272">
        <f t="shared" si="614"/>
        <v>0</v>
      </c>
      <c r="AR630" s="272">
        <f t="shared" si="614"/>
        <v>0</v>
      </c>
      <c r="AS630" s="272">
        <f t="shared" si="614"/>
        <v>0</v>
      </c>
      <c r="AT630" s="272">
        <f t="shared" si="614"/>
        <v>0</v>
      </c>
      <c r="AU630" s="272">
        <f t="shared" si="614"/>
        <v>0</v>
      </c>
      <c r="AV630" s="272">
        <f t="shared" si="614"/>
        <v>0</v>
      </c>
      <c r="AW630" s="272">
        <f t="shared" si="614"/>
        <v>0</v>
      </c>
      <c r="AX630" s="272">
        <f t="shared" si="614"/>
        <v>0</v>
      </c>
      <c r="AY630" s="272">
        <f t="shared" si="614"/>
        <v>0</v>
      </c>
      <c r="AZ630" s="272">
        <f t="shared" si="614"/>
        <v>0</v>
      </c>
      <c r="BA630" s="272">
        <f t="shared" si="614"/>
        <v>0</v>
      </c>
      <c r="BB630" s="272">
        <f t="shared" si="614"/>
        <v>0</v>
      </c>
      <c r="BC630" s="272">
        <f t="shared" si="614"/>
        <v>0</v>
      </c>
      <c r="BD630" s="272">
        <f t="shared" si="614"/>
        <v>0</v>
      </c>
      <c r="BE630" s="272">
        <f t="shared" si="614"/>
        <v>0</v>
      </c>
      <c r="BF630" s="272">
        <f t="shared" si="614"/>
        <v>0</v>
      </c>
      <c r="BG630" s="272">
        <f t="shared" si="614"/>
        <v>0</v>
      </c>
      <c r="BH630" s="272">
        <f t="shared" si="614"/>
        <v>0</v>
      </c>
      <c r="BI630" s="272">
        <f t="shared" si="614"/>
        <v>0</v>
      </c>
      <c r="BJ630" s="272">
        <f t="shared" si="614"/>
        <v>0</v>
      </c>
      <c r="BK630" s="272">
        <f t="shared" si="614"/>
        <v>0</v>
      </c>
      <c r="BL630" s="272">
        <f t="shared" si="614"/>
        <v>0</v>
      </c>
      <c r="BM630" s="272">
        <f t="shared" si="614"/>
        <v>0</v>
      </c>
      <c r="BN630" s="324">
        <f t="shared" si="614"/>
        <v>0</v>
      </c>
      <c r="BP630" s="536" t="s">
        <v>1223</v>
      </c>
      <c r="BQ630" s="1438" t="str">
        <f t="shared" si="611"/>
        <v>GHG_Peata = GHG_Peata-1 + (C124 * BUI_COL (307 + ((A124 - 1) * 8) * E124 / 100) + (F124 / 100 * BUI_COL (307 + ((A124 - 1) * 8) * (100 - E124) / 104)) * BUI_COL4 / (J124-I124+1) / 1000000</v>
      </c>
      <c r="BR630" s="1438"/>
      <c r="BS630" s="1438"/>
      <c r="BT630" s="1438"/>
      <c r="BU630" s="1438"/>
      <c r="BV630" s="1438"/>
      <c r="BW630" s="1438"/>
      <c r="BX630" s="1438"/>
      <c r="BY630" s="1438"/>
      <c r="BZ630" s="1438"/>
      <c r="CA630" s="1438"/>
      <c r="CB630" s="1438"/>
      <c r="CC630" s="1438"/>
      <c r="CD630" s="1438"/>
      <c r="CE630" s="1438"/>
      <c r="CF630" s="1438"/>
      <c r="CG630" s="1438"/>
      <c r="CH630" s="1438"/>
      <c r="CI630" s="1438"/>
      <c r="CJ630" s="1438"/>
      <c r="CK630" s="1438"/>
      <c r="CL630" s="915" t="s">
        <v>2571</v>
      </c>
      <c r="CM630" s="1475" t="s">
        <v>2577</v>
      </c>
      <c r="CN630" s="1476"/>
      <c r="CO630" s="918" t="s">
        <v>1623</v>
      </c>
      <c r="CP630" s="918" t="s">
        <v>2573</v>
      </c>
    </row>
    <row r="631" spans="32:94" ht="20.100000000000001" customHeight="1">
      <c r="AF631" s="1505"/>
      <c r="AG631" s="251" t="s">
        <v>1224</v>
      </c>
      <c r="AH631" s="251">
        <f>INDEX('DEFAULT DATA'!$VE$9:$VK$41,START!$C$3,5)</f>
        <v>403</v>
      </c>
      <c r="AI631" s="360">
        <f>INDEX('DEFAULT DATA'!$AGY$9:$AIT$41,START!$C$3,(6+(($A$125-1)*8)))</f>
        <v>0</v>
      </c>
      <c r="AJ631" s="262"/>
      <c r="AK631" s="345">
        <v>0</v>
      </c>
      <c r="AL631" s="272">
        <f t="shared" ref="AL631:BN631" si="615">IF(AND(AL$625&gt;($I$125+2020),AL$625&lt;($J$125+2022)),AK631+($AH$631*$C$125*$AI$631*((100-$E$125)/100)*((100-$F$125)/100)/($J$125-$I$125+1)/1000000),AK631)</f>
        <v>0</v>
      </c>
      <c r="AM631" s="272">
        <f t="shared" si="615"/>
        <v>0</v>
      </c>
      <c r="AN631" s="272">
        <f t="shared" si="615"/>
        <v>0</v>
      </c>
      <c r="AO631" s="272">
        <f t="shared" si="615"/>
        <v>0</v>
      </c>
      <c r="AP631" s="272">
        <f t="shared" si="615"/>
        <v>0</v>
      </c>
      <c r="AQ631" s="272">
        <f t="shared" si="615"/>
        <v>0</v>
      </c>
      <c r="AR631" s="272">
        <f t="shared" si="615"/>
        <v>0</v>
      </c>
      <c r="AS631" s="272">
        <f t="shared" si="615"/>
        <v>0</v>
      </c>
      <c r="AT631" s="272">
        <f t="shared" si="615"/>
        <v>0</v>
      </c>
      <c r="AU631" s="272">
        <f t="shared" si="615"/>
        <v>0</v>
      </c>
      <c r="AV631" s="272">
        <f t="shared" si="615"/>
        <v>0</v>
      </c>
      <c r="AW631" s="272">
        <f t="shared" si="615"/>
        <v>0</v>
      </c>
      <c r="AX631" s="272">
        <f t="shared" si="615"/>
        <v>0</v>
      </c>
      <c r="AY631" s="272">
        <f t="shared" si="615"/>
        <v>0</v>
      </c>
      <c r="AZ631" s="272">
        <f t="shared" si="615"/>
        <v>0</v>
      </c>
      <c r="BA631" s="272">
        <f t="shared" si="615"/>
        <v>0</v>
      </c>
      <c r="BB631" s="272">
        <f t="shared" si="615"/>
        <v>0</v>
      </c>
      <c r="BC631" s="272">
        <f t="shared" si="615"/>
        <v>0</v>
      </c>
      <c r="BD631" s="272">
        <f t="shared" si="615"/>
        <v>0</v>
      </c>
      <c r="BE631" s="272">
        <f t="shared" si="615"/>
        <v>0</v>
      </c>
      <c r="BF631" s="272">
        <f t="shared" si="615"/>
        <v>0</v>
      </c>
      <c r="BG631" s="272">
        <f t="shared" si="615"/>
        <v>0</v>
      </c>
      <c r="BH631" s="272">
        <f t="shared" si="615"/>
        <v>0</v>
      </c>
      <c r="BI631" s="272">
        <f t="shared" si="615"/>
        <v>0</v>
      </c>
      <c r="BJ631" s="272">
        <f t="shared" si="615"/>
        <v>0</v>
      </c>
      <c r="BK631" s="272">
        <f t="shared" si="615"/>
        <v>0</v>
      </c>
      <c r="BL631" s="272">
        <f t="shared" si="615"/>
        <v>0</v>
      </c>
      <c r="BM631" s="272">
        <f t="shared" si="615"/>
        <v>0</v>
      </c>
      <c r="BN631" s="324">
        <f t="shared" si="615"/>
        <v>0</v>
      </c>
      <c r="BP631" s="536" t="s">
        <v>1224</v>
      </c>
      <c r="BQ631" s="1438" t="str">
        <f t="shared" si="611"/>
        <v>GHG_Wooda = GHG_Wooda-1 + (C124 * BUI_COL (307 + ((A124 - 1) * 8) * E124 / 100) + (F124 / 100 * BUI_COL (307 + ((A124 - 1) * 8) * (100 - E124) / 105)) * BUI_COL5 / (J124-I124+1) / 1000000</v>
      </c>
      <c r="BR631" s="1438"/>
      <c r="BS631" s="1438"/>
      <c r="BT631" s="1438"/>
      <c r="BU631" s="1438"/>
      <c r="BV631" s="1438"/>
      <c r="BW631" s="1438"/>
      <c r="BX631" s="1438"/>
      <c r="BY631" s="1438"/>
      <c r="BZ631" s="1438"/>
      <c r="CA631" s="1438"/>
      <c r="CB631" s="1438"/>
      <c r="CC631" s="1438"/>
      <c r="CD631" s="1438"/>
      <c r="CE631" s="1438"/>
      <c r="CF631" s="1438"/>
      <c r="CG631" s="1438"/>
      <c r="CH631" s="1438"/>
      <c r="CI631" s="1438"/>
      <c r="CJ631" s="1438"/>
      <c r="CK631" s="1438"/>
      <c r="CL631" s="915" t="s">
        <v>2571</v>
      </c>
      <c r="CM631" s="1475" t="s">
        <v>2578</v>
      </c>
      <c r="CN631" s="1476"/>
      <c r="CO631" s="918" t="s">
        <v>1624</v>
      </c>
      <c r="CP631" s="918" t="s">
        <v>2573</v>
      </c>
    </row>
    <row r="632" spans="32:94" ht="20.100000000000001" customHeight="1">
      <c r="AF632" s="1505"/>
      <c r="AG632" s="251" t="s">
        <v>1225</v>
      </c>
      <c r="AH632" s="251">
        <f>INDEX('DEFAULT DATA'!$VE$9:$VK$41,START!$C$3,6)</f>
        <v>0</v>
      </c>
      <c r="AI632" s="360">
        <f>INDEX('DEFAULT DATA'!$AGY$9:$AIT$41,START!$C$3,(7+(($A$125-1)*8)))</f>
        <v>0</v>
      </c>
      <c r="AJ632" s="262"/>
      <c r="AK632" s="345">
        <v>0</v>
      </c>
      <c r="AL632" s="272">
        <f t="shared" ref="AL632:BN632" si="616">IF(AND(AL$625&gt;($I$125+2020),AL$625&lt;($J$125+2022)),AK632+($AH$632*$C$125*$AI$632*((100-$E$125)/100)*((100-$F$125)/100)/($J$125-$I$125+1)/1000000),AK632)</f>
        <v>0</v>
      </c>
      <c r="AM632" s="272">
        <f t="shared" si="616"/>
        <v>0</v>
      </c>
      <c r="AN632" s="272">
        <f t="shared" si="616"/>
        <v>0</v>
      </c>
      <c r="AO632" s="272">
        <f t="shared" si="616"/>
        <v>0</v>
      </c>
      <c r="AP632" s="272">
        <f t="shared" si="616"/>
        <v>0</v>
      </c>
      <c r="AQ632" s="272">
        <f t="shared" si="616"/>
        <v>0</v>
      </c>
      <c r="AR632" s="272">
        <f t="shared" si="616"/>
        <v>0</v>
      </c>
      <c r="AS632" s="272">
        <f t="shared" si="616"/>
        <v>0</v>
      </c>
      <c r="AT632" s="272">
        <f t="shared" si="616"/>
        <v>0</v>
      </c>
      <c r="AU632" s="272">
        <f t="shared" si="616"/>
        <v>0</v>
      </c>
      <c r="AV632" s="272">
        <f t="shared" si="616"/>
        <v>0</v>
      </c>
      <c r="AW632" s="272">
        <f t="shared" si="616"/>
        <v>0</v>
      </c>
      <c r="AX632" s="272">
        <f t="shared" si="616"/>
        <v>0</v>
      </c>
      <c r="AY632" s="272">
        <f t="shared" si="616"/>
        <v>0</v>
      </c>
      <c r="AZ632" s="272">
        <f t="shared" si="616"/>
        <v>0</v>
      </c>
      <c r="BA632" s="272">
        <f t="shared" si="616"/>
        <v>0</v>
      </c>
      <c r="BB632" s="272">
        <f t="shared" si="616"/>
        <v>0</v>
      </c>
      <c r="BC632" s="272">
        <f t="shared" si="616"/>
        <v>0</v>
      </c>
      <c r="BD632" s="272">
        <f t="shared" si="616"/>
        <v>0</v>
      </c>
      <c r="BE632" s="272">
        <f t="shared" si="616"/>
        <v>0</v>
      </c>
      <c r="BF632" s="272">
        <f t="shared" si="616"/>
        <v>0</v>
      </c>
      <c r="BG632" s="272">
        <f t="shared" si="616"/>
        <v>0</v>
      </c>
      <c r="BH632" s="272">
        <f t="shared" si="616"/>
        <v>0</v>
      </c>
      <c r="BI632" s="272">
        <f t="shared" si="616"/>
        <v>0</v>
      </c>
      <c r="BJ632" s="272">
        <f t="shared" si="616"/>
        <v>0</v>
      </c>
      <c r="BK632" s="272">
        <f t="shared" si="616"/>
        <v>0</v>
      </c>
      <c r="BL632" s="272">
        <f t="shared" si="616"/>
        <v>0</v>
      </c>
      <c r="BM632" s="272">
        <f t="shared" si="616"/>
        <v>0</v>
      </c>
      <c r="BN632" s="324">
        <f t="shared" si="616"/>
        <v>0</v>
      </c>
      <c r="BP632" s="536" t="s">
        <v>1225</v>
      </c>
      <c r="BQ632" s="1438" t="str">
        <f t="shared" si="611"/>
        <v>GHG_Renewablea = GHG_Renewablea-1 + (C124 * BUI_COL (307 + ((A124 - 1) * 8) * E124 / 100) + (F124 / 100 * BUI_COL (307 + ((A124 - 1) * 8) * (100 - E124) / 106)) * BUI_COL6 / (J124-I124+1) / 1000000</v>
      </c>
      <c r="BR632" s="1438"/>
      <c r="BS632" s="1438"/>
      <c r="BT632" s="1438"/>
      <c r="BU632" s="1438"/>
      <c r="BV632" s="1438"/>
      <c r="BW632" s="1438"/>
      <c r="BX632" s="1438"/>
      <c r="BY632" s="1438"/>
      <c r="BZ632" s="1438"/>
      <c r="CA632" s="1438"/>
      <c r="CB632" s="1438"/>
      <c r="CC632" s="1438"/>
      <c r="CD632" s="1438"/>
      <c r="CE632" s="1438"/>
      <c r="CF632" s="1438"/>
      <c r="CG632" s="1438"/>
      <c r="CH632" s="1438"/>
      <c r="CI632" s="1438"/>
      <c r="CJ632" s="1438"/>
      <c r="CK632" s="1438"/>
      <c r="CL632" s="915" t="s">
        <v>2571</v>
      </c>
      <c r="CM632" s="1475" t="s">
        <v>2579</v>
      </c>
      <c r="CN632" s="1476"/>
      <c r="CO632" s="918" t="s">
        <v>1625</v>
      </c>
      <c r="CP632" s="918" t="s">
        <v>2573</v>
      </c>
    </row>
    <row r="633" spans="32:94" ht="20.100000000000001" customHeight="1" thickBot="1">
      <c r="AF633" s="1506"/>
      <c r="AG633" s="310" t="s">
        <v>1226</v>
      </c>
      <c r="AH633" s="310" t="s">
        <v>1497</v>
      </c>
      <c r="AI633" s="362">
        <f>INDEX('DEFAULT DATA'!$AGY$9:$AIT$41,START!$C$3,(8+(($A$125-1)*8)))</f>
        <v>0</v>
      </c>
      <c r="AJ633" s="335"/>
      <c r="AK633" s="348">
        <v>0</v>
      </c>
      <c r="AL633" s="325">
        <f t="shared" ref="AL633:BN633" si="617">IF(AND(AL$625&gt;($I$125+2020),AL$625&lt;($J$125+2022)),AK633+(AL6*$C$125*$AI$633*((100-$E$125)/100)*((100-$F$125)/100)/($J$125-$I$125+1)/1000000),AK633)</f>
        <v>0</v>
      </c>
      <c r="AM633" s="325">
        <f t="shared" si="617"/>
        <v>0</v>
      </c>
      <c r="AN633" s="325">
        <f t="shared" si="617"/>
        <v>0</v>
      </c>
      <c r="AO633" s="325">
        <f t="shared" si="617"/>
        <v>0</v>
      </c>
      <c r="AP633" s="325">
        <f t="shared" si="617"/>
        <v>0</v>
      </c>
      <c r="AQ633" s="325">
        <f t="shared" si="617"/>
        <v>0</v>
      </c>
      <c r="AR633" s="325">
        <f t="shared" si="617"/>
        <v>0</v>
      </c>
      <c r="AS633" s="325">
        <f t="shared" si="617"/>
        <v>0</v>
      </c>
      <c r="AT633" s="325">
        <f t="shared" si="617"/>
        <v>0</v>
      </c>
      <c r="AU633" s="325">
        <f t="shared" si="617"/>
        <v>0</v>
      </c>
      <c r="AV633" s="325">
        <f t="shared" si="617"/>
        <v>0</v>
      </c>
      <c r="AW633" s="325">
        <f t="shared" si="617"/>
        <v>0</v>
      </c>
      <c r="AX633" s="325">
        <f t="shared" si="617"/>
        <v>0</v>
      </c>
      <c r="AY633" s="325">
        <f t="shared" si="617"/>
        <v>0</v>
      </c>
      <c r="AZ633" s="325">
        <f t="shared" si="617"/>
        <v>0</v>
      </c>
      <c r="BA633" s="325">
        <f t="shared" si="617"/>
        <v>0</v>
      </c>
      <c r="BB633" s="325">
        <f t="shared" si="617"/>
        <v>0</v>
      </c>
      <c r="BC633" s="325">
        <f t="shared" si="617"/>
        <v>0</v>
      </c>
      <c r="BD633" s="325">
        <f t="shared" si="617"/>
        <v>0</v>
      </c>
      <c r="BE633" s="325">
        <f t="shared" si="617"/>
        <v>0</v>
      </c>
      <c r="BF633" s="325">
        <f t="shared" si="617"/>
        <v>0</v>
      </c>
      <c r="BG633" s="325">
        <f t="shared" si="617"/>
        <v>0</v>
      </c>
      <c r="BH633" s="325">
        <f t="shared" si="617"/>
        <v>0</v>
      </c>
      <c r="BI633" s="325">
        <f t="shared" si="617"/>
        <v>0</v>
      </c>
      <c r="BJ633" s="325">
        <f t="shared" si="617"/>
        <v>0</v>
      </c>
      <c r="BK633" s="325">
        <f t="shared" si="617"/>
        <v>0</v>
      </c>
      <c r="BL633" s="325">
        <f t="shared" si="617"/>
        <v>0</v>
      </c>
      <c r="BM633" s="325">
        <f t="shared" si="617"/>
        <v>0</v>
      </c>
      <c r="BN633" s="326">
        <f t="shared" si="617"/>
        <v>0</v>
      </c>
      <c r="BP633" s="536" t="s">
        <v>1226</v>
      </c>
      <c r="BQ633" s="1438" t="str">
        <f t="shared" si="611"/>
        <v>GHG_Heata = GHG_Heata-1 + (C124 * BUI_COL (307 + ((A124 - 1) * 8) * E124 / 100) + (F124 / 100 * BUI_COL (307 + ((A124 - 1) * 8) * (100 - E124) / 107)) * DISTRICT_HEATING_emission_factora (from row 5) / (J124-I124+1) / 1000000</v>
      </c>
      <c r="BR633" s="1438"/>
      <c r="BS633" s="1438"/>
      <c r="BT633" s="1438"/>
      <c r="BU633" s="1438"/>
      <c r="BV633" s="1438"/>
      <c r="BW633" s="1438"/>
      <c r="BX633" s="1438"/>
      <c r="BY633" s="1438"/>
      <c r="BZ633" s="1438"/>
      <c r="CA633" s="1438"/>
      <c r="CB633" s="1438"/>
      <c r="CC633" s="1438"/>
      <c r="CD633" s="1438"/>
      <c r="CE633" s="1438"/>
      <c r="CF633" s="1438"/>
      <c r="CG633" s="1438"/>
      <c r="CH633" s="1438"/>
      <c r="CI633" s="1438"/>
      <c r="CJ633" s="1438"/>
      <c r="CK633" s="1438"/>
      <c r="CL633" s="915" t="s">
        <v>2571</v>
      </c>
      <c r="CM633" s="1475" t="s">
        <v>2580</v>
      </c>
      <c r="CN633" s="1476"/>
      <c r="CO633" s="918" t="s">
        <v>1882</v>
      </c>
      <c r="CP633" s="918" t="s">
        <v>2573</v>
      </c>
    </row>
    <row r="634" spans="32:94" ht="20.100000000000001" customHeight="1">
      <c r="AF634" s="332"/>
      <c r="AG634" s="308" t="s">
        <v>310</v>
      </c>
      <c r="AH634" s="309"/>
      <c r="AI634" s="363"/>
      <c r="AJ634" s="309"/>
      <c r="AK634" s="344">
        <v>0</v>
      </c>
      <c r="AL634" s="327">
        <f>SUM(AL626:AL633)</f>
        <v>0</v>
      </c>
      <c r="AM634" s="327">
        <f t="shared" ref="AM634" si="618">SUM(AM626:AM633)</f>
        <v>0</v>
      </c>
      <c r="AN634" s="327">
        <f t="shared" ref="AN634" si="619">SUM(AN626:AN633)</f>
        <v>0</v>
      </c>
      <c r="AO634" s="327">
        <f t="shared" ref="AO634" si="620">SUM(AO626:AO633)</f>
        <v>0</v>
      </c>
      <c r="AP634" s="327">
        <f t="shared" ref="AP634" si="621">SUM(AP626:AP633)</f>
        <v>0</v>
      </c>
      <c r="AQ634" s="327">
        <f t="shared" ref="AQ634" si="622">SUM(AQ626:AQ633)</f>
        <v>0</v>
      </c>
      <c r="AR634" s="327">
        <f t="shared" ref="AR634" si="623">SUM(AR626:AR633)</f>
        <v>0</v>
      </c>
      <c r="AS634" s="327">
        <f t="shared" ref="AS634" si="624">SUM(AS626:AS633)</f>
        <v>0</v>
      </c>
      <c r="AT634" s="327">
        <f t="shared" ref="AT634" si="625">SUM(AT626:AT633)</f>
        <v>0</v>
      </c>
      <c r="AU634" s="327">
        <f t="shared" ref="AU634" si="626">SUM(AU626:AU633)</f>
        <v>0</v>
      </c>
      <c r="AV634" s="327">
        <f t="shared" ref="AV634" si="627">SUM(AV626:AV633)</f>
        <v>0</v>
      </c>
      <c r="AW634" s="327">
        <f t="shared" ref="AW634" si="628">SUM(AW626:AW633)</f>
        <v>0</v>
      </c>
      <c r="AX634" s="327">
        <f t="shared" ref="AX634" si="629">SUM(AX626:AX633)</f>
        <v>0</v>
      </c>
      <c r="AY634" s="327">
        <f t="shared" ref="AY634" si="630">SUM(AY626:AY633)</f>
        <v>0</v>
      </c>
      <c r="AZ634" s="327">
        <f t="shared" ref="AZ634" si="631">SUM(AZ626:AZ633)</f>
        <v>0</v>
      </c>
      <c r="BA634" s="327">
        <f t="shared" ref="BA634" si="632">SUM(BA626:BA633)</f>
        <v>0</v>
      </c>
      <c r="BB634" s="327">
        <f t="shared" ref="BB634" si="633">SUM(BB626:BB633)</f>
        <v>0</v>
      </c>
      <c r="BC634" s="327">
        <f t="shared" ref="BC634" si="634">SUM(BC626:BC633)</f>
        <v>0</v>
      </c>
      <c r="BD634" s="327">
        <f t="shared" ref="BD634" si="635">SUM(BD626:BD633)</f>
        <v>0</v>
      </c>
      <c r="BE634" s="327">
        <f t="shared" ref="BE634" si="636">SUM(BE626:BE633)</f>
        <v>0</v>
      </c>
      <c r="BF634" s="327">
        <f t="shared" ref="BF634" si="637">SUM(BF626:BF633)</f>
        <v>0</v>
      </c>
      <c r="BG634" s="327">
        <f t="shared" ref="BG634" si="638">SUM(BG626:BG633)</f>
        <v>0</v>
      </c>
      <c r="BH634" s="327">
        <f t="shared" ref="BH634" si="639">SUM(BH626:BH633)</f>
        <v>0</v>
      </c>
      <c r="BI634" s="327">
        <f t="shared" ref="BI634" si="640">SUM(BI626:BI633)</f>
        <v>0</v>
      </c>
      <c r="BJ634" s="327">
        <f t="shared" ref="BJ634" si="641">SUM(BJ626:BJ633)</f>
        <v>0</v>
      </c>
      <c r="BK634" s="327">
        <f t="shared" ref="BK634" si="642">SUM(BK626:BK633)</f>
        <v>0</v>
      </c>
      <c r="BL634" s="327">
        <f t="shared" ref="BL634" si="643">SUM(BL626:BL633)</f>
        <v>0</v>
      </c>
      <c r="BM634" s="327">
        <f t="shared" ref="BM634" si="644">SUM(BM626:BM633)</f>
        <v>0</v>
      </c>
      <c r="BN634" s="327">
        <f t="shared" ref="BN634" si="645">SUM(BN626:BN633)</f>
        <v>0</v>
      </c>
    </row>
    <row r="635" spans="32:94" ht="20.100000000000001" customHeight="1">
      <c r="AI635" s="364"/>
    </row>
    <row r="636" spans="32:94" ht="20.100000000000001" customHeight="1" thickBot="1">
      <c r="AF636" s="333" t="s">
        <v>1473</v>
      </c>
      <c r="AG636" s="333"/>
      <c r="AH636" s="334" t="s">
        <v>977</v>
      </c>
      <c r="AI636" s="365" t="s">
        <v>1260</v>
      </c>
      <c r="AJ636" s="284"/>
      <c r="AK636" s="346">
        <v>2021</v>
      </c>
      <c r="AL636" s="284">
        <v>2022</v>
      </c>
      <c r="AM636" s="284">
        <v>2023</v>
      </c>
      <c r="AN636" s="284">
        <v>2024</v>
      </c>
      <c r="AO636" s="284">
        <v>2025</v>
      </c>
      <c r="AP636" s="284">
        <v>2026</v>
      </c>
      <c r="AQ636" s="284">
        <v>2027</v>
      </c>
      <c r="AR636" s="284">
        <v>2028</v>
      </c>
      <c r="AS636" s="284">
        <v>2029</v>
      </c>
      <c r="AT636" s="284">
        <v>2030</v>
      </c>
      <c r="AU636" s="284">
        <v>2031</v>
      </c>
      <c r="AV636" s="284">
        <v>2032</v>
      </c>
      <c r="AW636" s="284">
        <v>2033</v>
      </c>
      <c r="AX636" s="284">
        <v>2034</v>
      </c>
      <c r="AY636" s="284">
        <v>2035</v>
      </c>
      <c r="AZ636" s="284">
        <v>2036</v>
      </c>
      <c r="BA636" s="284">
        <v>2037</v>
      </c>
      <c r="BB636" s="284">
        <v>2038</v>
      </c>
      <c r="BC636" s="284">
        <v>2039</v>
      </c>
      <c r="BD636" s="284">
        <v>2040</v>
      </c>
      <c r="BE636" s="284">
        <v>2041</v>
      </c>
      <c r="BF636" s="284">
        <v>2042</v>
      </c>
      <c r="BG636" s="284">
        <v>2043</v>
      </c>
      <c r="BH636" s="284">
        <v>2044</v>
      </c>
      <c r="BI636" s="284">
        <v>2045</v>
      </c>
      <c r="BJ636" s="284">
        <v>2046</v>
      </c>
      <c r="BK636" s="284">
        <v>2047</v>
      </c>
      <c r="BL636" s="284">
        <v>2048</v>
      </c>
      <c r="BM636" s="284">
        <v>2049</v>
      </c>
      <c r="BN636" s="284">
        <v>2050</v>
      </c>
      <c r="BQ636" s="222" t="s">
        <v>2588</v>
      </c>
      <c r="BR636" s="417"/>
      <c r="BS636" s="417"/>
      <c r="BT636" s="417"/>
      <c r="BU636" s="417"/>
      <c r="BV636" s="417"/>
      <c r="BW636" s="417"/>
      <c r="BX636" s="417"/>
      <c r="BY636" s="417"/>
      <c r="BZ636" s="417"/>
      <c r="CA636" s="417"/>
      <c r="CB636" s="417"/>
      <c r="CC636" s="417"/>
      <c r="CD636" s="417"/>
      <c r="CE636" s="417"/>
      <c r="CF636" s="417"/>
      <c r="CG636" s="417"/>
      <c r="CH636" s="417"/>
      <c r="CI636" s="417"/>
      <c r="CJ636" s="417"/>
      <c r="CK636" s="417"/>
      <c r="CL636" s="944" t="s">
        <v>2581</v>
      </c>
      <c r="CM636" s="279" t="s">
        <v>2582</v>
      </c>
      <c r="CN636" s="279"/>
      <c r="CO636" s="945" t="s">
        <v>1598</v>
      </c>
      <c r="CP636" s="279" t="s">
        <v>2552</v>
      </c>
    </row>
    <row r="637" spans="32:94" ht="20.100000000000001" customHeight="1">
      <c r="AF637" s="1504" t="str">
        <f>INDEX('MENU OPTIONS'!B31:B36,A126,1)</f>
        <v>Health</v>
      </c>
      <c r="AG637" s="286" t="s">
        <v>933</v>
      </c>
      <c r="AH637" s="286" t="s">
        <v>1496</v>
      </c>
      <c r="AI637" s="361">
        <f>INDEX('DEFAULT DATA'!$AGY$9:$AIT$41,START!$C$3,(1+(($A$126-1)*8)))</f>
        <v>0</v>
      </c>
      <c r="AJ637" s="330"/>
      <c r="AK637" s="343">
        <v>0</v>
      </c>
      <c r="AL637" s="370">
        <f t="shared" ref="AL637:BN637" si="646">IF(AND(AL$636&gt;($I$126+2020),AL$636&lt;($J$126+2022)),AK637+(AL$5*$C$126*$AI$637*((100-$E$126)/100)*((100-$F$126)/100)/($J$126-$I$126+1)/1000000),AK637)</f>
        <v>0</v>
      </c>
      <c r="AM637" s="370">
        <f t="shared" si="646"/>
        <v>0</v>
      </c>
      <c r="AN637" s="370">
        <f t="shared" si="646"/>
        <v>0</v>
      </c>
      <c r="AO637" s="370">
        <f t="shared" si="646"/>
        <v>0</v>
      </c>
      <c r="AP637" s="370">
        <f t="shared" si="646"/>
        <v>0</v>
      </c>
      <c r="AQ637" s="370">
        <f t="shared" si="646"/>
        <v>0</v>
      </c>
      <c r="AR637" s="370">
        <f t="shared" si="646"/>
        <v>0</v>
      </c>
      <c r="AS637" s="370">
        <f t="shared" si="646"/>
        <v>0</v>
      </c>
      <c r="AT637" s="370">
        <f t="shared" si="646"/>
        <v>0</v>
      </c>
      <c r="AU637" s="370">
        <f t="shared" si="646"/>
        <v>0</v>
      </c>
      <c r="AV637" s="370">
        <f t="shared" si="646"/>
        <v>0</v>
      </c>
      <c r="AW637" s="370">
        <f t="shared" si="646"/>
        <v>0</v>
      </c>
      <c r="AX637" s="370">
        <f t="shared" si="646"/>
        <v>0</v>
      </c>
      <c r="AY637" s="370">
        <f t="shared" si="646"/>
        <v>0</v>
      </c>
      <c r="AZ637" s="370">
        <f t="shared" si="646"/>
        <v>0</v>
      </c>
      <c r="BA637" s="370">
        <f t="shared" si="646"/>
        <v>0</v>
      </c>
      <c r="BB637" s="370">
        <f t="shared" si="646"/>
        <v>0</v>
      </c>
      <c r="BC637" s="370">
        <f t="shared" si="646"/>
        <v>0</v>
      </c>
      <c r="BD637" s="370">
        <f t="shared" si="646"/>
        <v>0</v>
      </c>
      <c r="BE637" s="370">
        <f t="shared" si="646"/>
        <v>0</v>
      </c>
      <c r="BF637" s="370">
        <f t="shared" si="646"/>
        <v>0</v>
      </c>
      <c r="BG637" s="370">
        <f t="shared" si="646"/>
        <v>0</v>
      </c>
      <c r="BH637" s="370">
        <f t="shared" si="646"/>
        <v>0</v>
      </c>
      <c r="BI637" s="370">
        <f t="shared" si="646"/>
        <v>0</v>
      </c>
      <c r="BJ637" s="370">
        <f t="shared" si="646"/>
        <v>0</v>
      </c>
      <c r="BK637" s="370">
        <f t="shared" si="646"/>
        <v>0</v>
      </c>
      <c r="BL637" s="370">
        <f t="shared" si="646"/>
        <v>0</v>
      </c>
      <c r="BM637" s="370">
        <f t="shared" si="646"/>
        <v>0</v>
      </c>
      <c r="BN637" s="371">
        <f t="shared" si="646"/>
        <v>0</v>
      </c>
      <c r="BP637" s="536" t="s">
        <v>933</v>
      </c>
      <c r="BQ637" s="1438" t="str">
        <f>CONCATENATE("GHG_",BP637,"a = GHG_",BP637,"a-1 + (C125 * ",CL637," * E125 / 100) + (F125 / 100 * ",CM637,")) * ",CO637," / (",CP637,") / 1000000")</f>
        <v>GHG_Electricitya = GHG_Electricitya-1 + (C125 * BUI_COL (307 + ((A125 - 1) * 8) * E125 / 100) + (F125 / 100 * BUI_COL (307 + ((A125 - 1) * 8) * (100 - E125) / 100)) * GRID_ELECTRICITY_emission_factora (from row4) / (J125-I125+1) / 1000000</v>
      </c>
      <c r="BR637" s="1438"/>
      <c r="BS637" s="1438"/>
      <c r="BT637" s="1438"/>
      <c r="BU637" s="1438"/>
      <c r="BV637" s="1438"/>
      <c r="BW637" s="1438"/>
      <c r="BX637" s="1438"/>
      <c r="BY637" s="1438"/>
      <c r="BZ637" s="1438"/>
      <c r="CA637" s="1438"/>
      <c r="CB637" s="1438"/>
      <c r="CC637" s="1438"/>
      <c r="CD637" s="1438"/>
      <c r="CE637" s="1438"/>
      <c r="CF637" s="1438"/>
      <c r="CG637" s="1438"/>
      <c r="CH637" s="1438"/>
      <c r="CI637" s="1438"/>
      <c r="CJ637" s="1438"/>
      <c r="CK637" s="1438"/>
      <c r="CL637" s="915" t="s">
        <v>2583</v>
      </c>
      <c r="CM637" s="1475" t="s">
        <v>2584</v>
      </c>
      <c r="CN637" s="1476"/>
      <c r="CO637" s="918" t="s">
        <v>1881</v>
      </c>
      <c r="CP637" s="918" t="s">
        <v>2585</v>
      </c>
    </row>
    <row r="638" spans="32:94" ht="20.100000000000001" customHeight="1">
      <c r="AF638" s="1505"/>
      <c r="AG638" s="251" t="s">
        <v>1220</v>
      </c>
      <c r="AH638" s="251">
        <f>INDEX('DEFAULT DATA'!$VE$9:$VK$41,START!$C$3,1)</f>
        <v>202</v>
      </c>
      <c r="AI638" s="360">
        <f>INDEX('DEFAULT DATA'!$AGY$9:$AIT$41,START!$C$3,(2+(($A$126-1)*8)))</f>
        <v>0</v>
      </c>
      <c r="AJ638" s="262"/>
      <c r="AK638" s="345">
        <v>0</v>
      </c>
      <c r="AL638" s="272">
        <f t="shared" ref="AL638:BN638" si="647">IF(AND(AL$636&gt;($I$126+2020),AL$636&lt;($J$126+2022)),AK638+($AH$638*$C$126*$AI$638*((100-$E$126)*((100-$F$126)/100)/100)/($J$126-$I$126+1)/1000000),AK638)</f>
        <v>0</v>
      </c>
      <c r="AM638" s="272">
        <f t="shared" si="647"/>
        <v>0</v>
      </c>
      <c r="AN638" s="272">
        <f t="shared" si="647"/>
        <v>0</v>
      </c>
      <c r="AO638" s="272">
        <f t="shared" si="647"/>
        <v>0</v>
      </c>
      <c r="AP638" s="272">
        <f t="shared" si="647"/>
        <v>0</v>
      </c>
      <c r="AQ638" s="272">
        <f t="shared" si="647"/>
        <v>0</v>
      </c>
      <c r="AR638" s="272">
        <f t="shared" si="647"/>
        <v>0</v>
      </c>
      <c r="AS638" s="272">
        <f t="shared" si="647"/>
        <v>0</v>
      </c>
      <c r="AT638" s="272">
        <f t="shared" si="647"/>
        <v>0</v>
      </c>
      <c r="AU638" s="272">
        <f t="shared" si="647"/>
        <v>0</v>
      </c>
      <c r="AV638" s="272">
        <f t="shared" si="647"/>
        <v>0</v>
      </c>
      <c r="AW638" s="272">
        <f t="shared" si="647"/>
        <v>0</v>
      </c>
      <c r="AX638" s="272">
        <f t="shared" si="647"/>
        <v>0</v>
      </c>
      <c r="AY638" s="272">
        <f t="shared" si="647"/>
        <v>0</v>
      </c>
      <c r="AZ638" s="272">
        <f t="shared" si="647"/>
        <v>0</v>
      </c>
      <c r="BA638" s="272">
        <f t="shared" si="647"/>
        <v>0</v>
      </c>
      <c r="BB638" s="272">
        <f t="shared" si="647"/>
        <v>0</v>
      </c>
      <c r="BC638" s="272">
        <f t="shared" si="647"/>
        <v>0</v>
      </c>
      <c r="BD638" s="272">
        <f t="shared" si="647"/>
        <v>0</v>
      </c>
      <c r="BE638" s="272">
        <f t="shared" si="647"/>
        <v>0</v>
      </c>
      <c r="BF638" s="272">
        <f t="shared" si="647"/>
        <v>0</v>
      </c>
      <c r="BG638" s="272">
        <f t="shared" si="647"/>
        <v>0</v>
      </c>
      <c r="BH638" s="272">
        <f t="shared" si="647"/>
        <v>0</v>
      </c>
      <c r="BI638" s="272">
        <f t="shared" si="647"/>
        <v>0</v>
      </c>
      <c r="BJ638" s="272">
        <f t="shared" si="647"/>
        <v>0</v>
      </c>
      <c r="BK638" s="272">
        <f t="shared" si="647"/>
        <v>0</v>
      </c>
      <c r="BL638" s="272">
        <f t="shared" si="647"/>
        <v>0</v>
      </c>
      <c r="BM638" s="272">
        <f t="shared" si="647"/>
        <v>0</v>
      </c>
      <c r="BN638" s="324">
        <f t="shared" si="647"/>
        <v>0</v>
      </c>
      <c r="BP638" s="536" t="s">
        <v>1220</v>
      </c>
      <c r="BQ638" s="1438" t="str">
        <f t="shared" ref="BQ638:BQ644" si="648">CONCATENATE("GHG_",BP638,"a = GHG_",BP638,"a-1 + (C125 * ",CL638," * E125 / 100) + (F125 / 100 * ",CM638,")) * ",CO638," / (",CP638,") / 1000000")</f>
        <v>GHG_Gasa = GHG_Gasa-1 + (C125 * BUI_COL (307 + ((A125 - 1) * 8) * E125 / 100) + (F125 / 100 * BUI_COL (307 + ((A125 - 1) * 8) * (100 - E125) / 100)) * BUI_COL1 / (J125-I125+1) / 1000000</v>
      </c>
      <c r="BR638" s="1438"/>
      <c r="BS638" s="1438"/>
      <c r="BT638" s="1438"/>
      <c r="BU638" s="1438"/>
      <c r="BV638" s="1438"/>
      <c r="BW638" s="1438"/>
      <c r="BX638" s="1438"/>
      <c r="BY638" s="1438"/>
      <c r="BZ638" s="1438"/>
      <c r="CA638" s="1438"/>
      <c r="CB638" s="1438"/>
      <c r="CC638" s="1438"/>
      <c r="CD638" s="1438"/>
      <c r="CE638" s="1438"/>
      <c r="CF638" s="1438"/>
      <c r="CG638" s="1438"/>
      <c r="CH638" s="1438"/>
      <c r="CI638" s="1438"/>
      <c r="CJ638" s="1438"/>
      <c r="CK638" s="1438"/>
      <c r="CL638" s="915" t="s">
        <v>2583</v>
      </c>
      <c r="CM638" s="1475" t="s">
        <v>2584</v>
      </c>
      <c r="CN638" s="1476"/>
      <c r="CO638" s="918" t="s">
        <v>1248</v>
      </c>
      <c r="CP638" s="918" t="s">
        <v>2585</v>
      </c>
    </row>
    <row r="639" spans="32:94" ht="20.100000000000001" customHeight="1">
      <c r="AF639" s="1505"/>
      <c r="AG639" s="251" t="s">
        <v>1221</v>
      </c>
      <c r="AH639" s="251">
        <f>INDEX('DEFAULT DATA'!$VE$9:$VK$41,START!$C$3,2)</f>
        <v>279</v>
      </c>
      <c r="AI639" s="360">
        <f>INDEX('DEFAULT DATA'!$AGY$9:$AIT$41,START!$C$3,(3+(($A$126-1)*8)))</f>
        <v>0</v>
      </c>
      <c r="AJ639" s="262"/>
      <c r="AK639" s="345">
        <v>0</v>
      </c>
      <c r="AL639" s="272">
        <f t="shared" ref="AL639:BN639" si="649">IF(AND(AL$636&gt;($I$126+2020),AL$636&lt;($J$126+2022)),AK639+($AH$639*$C$126*$AI$639*((100-$E$126)*((100-$F$126)/100)/100)/($J$126-$I$126+1)/1000000),AK639)</f>
        <v>0</v>
      </c>
      <c r="AM639" s="272">
        <f t="shared" si="649"/>
        <v>0</v>
      </c>
      <c r="AN639" s="272">
        <f t="shared" si="649"/>
        <v>0</v>
      </c>
      <c r="AO639" s="272">
        <f t="shared" si="649"/>
        <v>0</v>
      </c>
      <c r="AP639" s="272">
        <f t="shared" si="649"/>
        <v>0</v>
      </c>
      <c r="AQ639" s="272">
        <f t="shared" si="649"/>
        <v>0</v>
      </c>
      <c r="AR639" s="272">
        <f t="shared" si="649"/>
        <v>0</v>
      </c>
      <c r="AS639" s="272">
        <f t="shared" si="649"/>
        <v>0</v>
      </c>
      <c r="AT639" s="272">
        <f t="shared" si="649"/>
        <v>0</v>
      </c>
      <c r="AU639" s="272">
        <f t="shared" si="649"/>
        <v>0</v>
      </c>
      <c r="AV639" s="272">
        <f t="shared" si="649"/>
        <v>0</v>
      </c>
      <c r="AW639" s="272">
        <f t="shared" si="649"/>
        <v>0</v>
      </c>
      <c r="AX639" s="272">
        <f t="shared" si="649"/>
        <v>0</v>
      </c>
      <c r="AY639" s="272">
        <f t="shared" si="649"/>
        <v>0</v>
      </c>
      <c r="AZ639" s="272">
        <f t="shared" si="649"/>
        <v>0</v>
      </c>
      <c r="BA639" s="272">
        <f t="shared" si="649"/>
        <v>0</v>
      </c>
      <c r="BB639" s="272">
        <f t="shared" si="649"/>
        <v>0</v>
      </c>
      <c r="BC639" s="272">
        <f t="shared" si="649"/>
        <v>0</v>
      </c>
      <c r="BD639" s="272">
        <f t="shared" si="649"/>
        <v>0</v>
      </c>
      <c r="BE639" s="272">
        <f t="shared" si="649"/>
        <v>0</v>
      </c>
      <c r="BF639" s="272">
        <f t="shared" si="649"/>
        <v>0</v>
      </c>
      <c r="BG639" s="272">
        <f t="shared" si="649"/>
        <v>0</v>
      </c>
      <c r="BH639" s="272">
        <f t="shared" si="649"/>
        <v>0</v>
      </c>
      <c r="BI639" s="272">
        <f t="shared" si="649"/>
        <v>0</v>
      </c>
      <c r="BJ639" s="272">
        <f t="shared" si="649"/>
        <v>0</v>
      </c>
      <c r="BK639" s="272">
        <f t="shared" si="649"/>
        <v>0</v>
      </c>
      <c r="BL639" s="272">
        <f t="shared" si="649"/>
        <v>0</v>
      </c>
      <c r="BM639" s="272">
        <f t="shared" si="649"/>
        <v>0</v>
      </c>
      <c r="BN639" s="324">
        <f t="shared" si="649"/>
        <v>0</v>
      </c>
      <c r="BP639" s="536" t="s">
        <v>1221</v>
      </c>
      <c r="BQ639" s="1438" t="str">
        <f t="shared" si="648"/>
        <v>GHG_Oila = GHG_Oila-1 + (C125 * BUI_COL (307 + ((A125 - 1) * 8) * E125 / 100) + (F125 / 100 * BUI_COL (307 + ((A125 - 1) * 8) * (100 - E125) / 100)) * BUI_COL2 / (J125-I125+1) / 1000000</v>
      </c>
      <c r="BR639" s="1438"/>
      <c r="BS639" s="1438"/>
      <c r="BT639" s="1438"/>
      <c r="BU639" s="1438"/>
      <c r="BV639" s="1438"/>
      <c r="BW639" s="1438"/>
      <c r="BX639" s="1438"/>
      <c r="BY639" s="1438"/>
      <c r="BZ639" s="1438"/>
      <c r="CA639" s="1438"/>
      <c r="CB639" s="1438"/>
      <c r="CC639" s="1438"/>
      <c r="CD639" s="1438"/>
      <c r="CE639" s="1438"/>
      <c r="CF639" s="1438"/>
      <c r="CG639" s="1438"/>
      <c r="CH639" s="1438"/>
      <c r="CI639" s="1438"/>
      <c r="CJ639" s="1438"/>
      <c r="CK639" s="1438"/>
      <c r="CL639" s="915" t="s">
        <v>2583</v>
      </c>
      <c r="CM639" s="1475" t="s">
        <v>2584</v>
      </c>
      <c r="CN639" s="1476"/>
      <c r="CO639" s="918" t="s">
        <v>1621</v>
      </c>
      <c r="CP639" s="918" t="s">
        <v>2585</v>
      </c>
    </row>
    <row r="640" spans="32:94" ht="20.100000000000001" customHeight="1">
      <c r="AF640" s="1505"/>
      <c r="AG640" s="251" t="s">
        <v>1222</v>
      </c>
      <c r="AH640" s="251">
        <f>INDEX('DEFAULT DATA'!$VE$9:$VK$41,START!$C$3,3)</f>
        <v>354</v>
      </c>
      <c r="AI640" s="360">
        <f>INDEX('DEFAULT DATA'!$AGY$9:$AIT$41,START!$C$3,(4+(($A$126-1)*8)))</f>
        <v>0</v>
      </c>
      <c r="AJ640" s="262"/>
      <c r="AK640" s="345">
        <v>0</v>
      </c>
      <c r="AL640" s="272">
        <f t="shared" ref="AL640:BN640" si="650">IF(AND(AL$636&gt;($I$126+2020),AL$636&lt;($J$126+2022)),AK640+($AH$640*$C$126*$AI$640*((100-$E$126)*((100-$F$126)/100)/100)/($J$126-$I$126+1)/1000000),AK640)</f>
        <v>0</v>
      </c>
      <c r="AM640" s="272">
        <f t="shared" si="650"/>
        <v>0</v>
      </c>
      <c r="AN640" s="272">
        <f t="shared" si="650"/>
        <v>0</v>
      </c>
      <c r="AO640" s="272">
        <f t="shared" si="650"/>
        <v>0</v>
      </c>
      <c r="AP640" s="272">
        <f t="shared" si="650"/>
        <v>0</v>
      </c>
      <c r="AQ640" s="272">
        <f t="shared" si="650"/>
        <v>0</v>
      </c>
      <c r="AR640" s="272">
        <f t="shared" si="650"/>
        <v>0</v>
      </c>
      <c r="AS640" s="272">
        <f t="shared" si="650"/>
        <v>0</v>
      </c>
      <c r="AT640" s="272">
        <f t="shared" si="650"/>
        <v>0</v>
      </c>
      <c r="AU640" s="272">
        <f t="shared" si="650"/>
        <v>0</v>
      </c>
      <c r="AV640" s="272">
        <f t="shared" si="650"/>
        <v>0</v>
      </c>
      <c r="AW640" s="272">
        <f t="shared" si="650"/>
        <v>0</v>
      </c>
      <c r="AX640" s="272">
        <f t="shared" si="650"/>
        <v>0</v>
      </c>
      <c r="AY640" s="272">
        <f t="shared" si="650"/>
        <v>0</v>
      </c>
      <c r="AZ640" s="272">
        <f t="shared" si="650"/>
        <v>0</v>
      </c>
      <c r="BA640" s="272">
        <f t="shared" si="650"/>
        <v>0</v>
      </c>
      <c r="BB640" s="272">
        <f t="shared" si="650"/>
        <v>0</v>
      </c>
      <c r="BC640" s="272">
        <f t="shared" si="650"/>
        <v>0</v>
      </c>
      <c r="BD640" s="272">
        <f t="shared" si="650"/>
        <v>0</v>
      </c>
      <c r="BE640" s="272">
        <f t="shared" si="650"/>
        <v>0</v>
      </c>
      <c r="BF640" s="272">
        <f t="shared" si="650"/>
        <v>0</v>
      </c>
      <c r="BG640" s="272">
        <f t="shared" si="650"/>
        <v>0</v>
      </c>
      <c r="BH640" s="272">
        <f t="shared" si="650"/>
        <v>0</v>
      </c>
      <c r="BI640" s="272">
        <f t="shared" si="650"/>
        <v>0</v>
      </c>
      <c r="BJ640" s="272">
        <f t="shared" si="650"/>
        <v>0</v>
      </c>
      <c r="BK640" s="272">
        <f t="shared" si="650"/>
        <v>0</v>
      </c>
      <c r="BL640" s="272">
        <f t="shared" si="650"/>
        <v>0</v>
      </c>
      <c r="BM640" s="272">
        <f t="shared" si="650"/>
        <v>0</v>
      </c>
      <c r="BN640" s="324">
        <f t="shared" si="650"/>
        <v>0</v>
      </c>
      <c r="BP640" s="536" t="s">
        <v>1222</v>
      </c>
      <c r="BQ640" s="1438" t="str">
        <f t="shared" si="648"/>
        <v>GHG_Coala = GHG_Coala-1 + (C125 * BUI_COL (307 + ((A125 - 1) * 8) * E125 / 100) + (F125 / 100 * BUI_COL (307 + ((A125 - 1) * 8) * (100 - E125) / 100)) * BUI_COL3 / (J125-I125+1) / 1000000</v>
      </c>
      <c r="BR640" s="1438"/>
      <c r="BS640" s="1438"/>
      <c r="BT640" s="1438"/>
      <c r="BU640" s="1438"/>
      <c r="BV640" s="1438"/>
      <c r="BW640" s="1438"/>
      <c r="BX640" s="1438"/>
      <c r="BY640" s="1438"/>
      <c r="BZ640" s="1438"/>
      <c r="CA640" s="1438"/>
      <c r="CB640" s="1438"/>
      <c r="CC640" s="1438"/>
      <c r="CD640" s="1438"/>
      <c r="CE640" s="1438"/>
      <c r="CF640" s="1438"/>
      <c r="CG640" s="1438"/>
      <c r="CH640" s="1438"/>
      <c r="CI640" s="1438"/>
      <c r="CJ640" s="1438"/>
      <c r="CK640" s="1438"/>
      <c r="CL640" s="915" t="s">
        <v>2583</v>
      </c>
      <c r="CM640" s="1475" t="s">
        <v>2584</v>
      </c>
      <c r="CN640" s="1476"/>
      <c r="CO640" s="918" t="s">
        <v>1622</v>
      </c>
      <c r="CP640" s="918" t="s">
        <v>2585</v>
      </c>
    </row>
    <row r="641" spans="32:94" ht="20.100000000000001" customHeight="1">
      <c r="AF641" s="1505"/>
      <c r="AG641" s="251" t="s">
        <v>1223</v>
      </c>
      <c r="AH641" s="251">
        <f>INDEX('DEFAULT DATA'!$VE$9:$VK$41,START!$C$3,4)</f>
        <v>0</v>
      </c>
      <c r="AI641" s="360">
        <f>INDEX('DEFAULT DATA'!$AGY$9:$AIT$41,START!$C$3,(5+(($A$126-1)*8)))</f>
        <v>0</v>
      </c>
      <c r="AJ641" s="262"/>
      <c r="AK641" s="345">
        <v>0</v>
      </c>
      <c r="AL641" s="272">
        <f t="shared" ref="AL641:BN641" si="651">IF(AND(AL$636&gt;($I$126+2020),AL$636&lt;($J$126+2022)),AK641+($AH$641*$C$126*$AI$641*((100-$E$126)*((100-$F$126)/100)/100)/($J$126-$I$126+1)/1000000),AK641)</f>
        <v>0</v>
      </c>
      <c r="AM641" s="272">
        <f t="shared" si="651"/>
        <v>0</v>
      </c>
      <c r="AN641" s="272">
        <f t="shared" si="651"/>
        <v>0</v>
      </c>
      <c r="AO641" s="272">
        <f t="shared" si="651"/>
        <v>0</v>
      </c>
      <c r="AP641" s="272">
        <f t="shared" si="651"/>
        <v>0</v>
      </c>
      <c r="AQ641" s="272">
        <f t="shared" si="651"/>
        <v>0</v>
      </c>
      <c r="AR641" s="272">
        <f t="shared" si="651"/>
        <v>0</v>
      </c>
      <c r="AS641" s="272">
        <f t="shared" si="651"/>
        <v>0</v>
      </c>
      <c r="AT641" s="272">
        <f t="shared" si="651"/>
        <v>0</v>
      </c>
      <c r="AU641" s="272">
        <f t="shared" si="651"/>
        <v>0</v>
      </c>
      <c r="AV641" s="272">
        <f t="shared" si="651"/>
        <v>0</v>
      </c>
      <c r="AW641" s="272">
        <f t="shared" si="651"/>
        <v>0</v>
      </c>
      <c r="AX641" s="272">
        <f t="shared" si="651"/>
        <v>0</v>
      </c>
      <c r="AY641" s="272">
        <f t="shared" si="651"/>
        <v>0</v>
      </c>
      <c r="AZ641" s="272">
        <f t="shared" si="651"/>
        <v>0</v>
      </c>
      <c r="BA641" s="272">
        <f t="shared" si="651"/>
        <v>0</v>
      </c>
      <c r="BB641" s="272">
        <f t="shared" si="651"/>
        <v>0</v>
      </c>
      <c r="BC641" s="272">
        <f t="shared" si="651"/>
        <v>0</v>
      </c>
      <c r="BD641" s="272">
        <f t="shared" si="651"/>
        <v>0</v>
      </c>
      <c r="BE641" s="272">
        <f t="shared" si="651"/>
        <v>0</v>
      </c>
      <c r="BF641" s="272">
        <f t="shared" si="651"/>
        <v>0</v>
      </c>
      <c r="BG641" s="272">
        <f t="shared" si="651"/>
        <v>0</v>
      </c>
      <c r="BH641" s="272">
        <f t="shared" si="651"/>
        <v>0</v>
      </c>
      <c r="BI641" s="272">
        <f t="shared" si="651"/>
        <v>0</v>
      </c>
      <c r="BJ641" s="272">
        <f t="shared" si="651"/>
        <v>0</v>
      </c>
      <c r="BK641" s="272">
        <f t="shared" si="651"/>
        <v>0</v>
      </c>
      <c r="BL641" s="272">
        <f t="shared" si="651"/>
        <v>0</v>
      </c>
      <c r="BM641" s="272">
        <f t="shared" si="651"/>
        <v>0</v>
      </c>
      <c r="BN641" s="324">
        <f t="shared" si="651"/>
        <v>0</v>
      </c>
      <c r="BP641" s="536" t="s">
        <v>1223</v>
      </c>
      <c r="BQ641" s="1438" t="str">
        <f t="shared" si="648"/>
        <v>GHG_Peata = GHG_Peata-1 + (C125 * BUI_COL (307 + ((A125 - 1) * 8) * E125 / 100) + (F125 / 100 * BUI_COL (307 + ((A125 - 1) * 8) * (100 - E125) / 100)) * BUI_COL4 / (J125-I125+1) / 1000000</v>
      </c>
      <c r="BR641" s="1438"/>
      <c r="BS641" s="1438"/>
      <c r="BT641" s="1438"/>
      <c r="BU641" s="1438"/>
      <c r="BV641" s="1438"/>
      <c r="BW641" s="1438"/>
      <c r="BX641" s="1438"/>
      <c r="BY641" s="1438"/>
      <c r="BZ641" s="1438"/>
      <c r="CA641" s="1438"/>
      <c r="CB641" s="1438"/>
      <c r="CC641" s="1438"/>
      <c r="CD641" s="1438"/>
      <c r="CE641" s="1438"/>
      <c r="CF641" s="1438"/>
      <c r="CG641" s="1438"/>
      <c r="CH641" s="1438"/>
      <c r="CI641" s="1438"/>
      <c r="CJ641" s="1438"/>
      <c r="CK641" s="1438"/>
      <c r="CL641" s="915" t="s">
        <v>2583</v>
      </c>
      <c r="CM641" s="1475" t="s">
        <v>2584</v>
      </c>
      <c r="CN641" s="1476"/>
      <c r="CO641" s="918" t="s">
        <v>1623</v>
      </c>
      <c r="CP641" s="918" t="s">
        <v>2585</v>
      </c>
    </row>
    <row r="642" spans="32:94" ht="20.100000000000001" customHeight="1">
      <c r="AF642" s="1505"/>
      <c r="AG642" s="251" t="s">
        <v>1224</v>
      </c>
      <c r="AH642" s="251">
        <f>INDEX('DEFAULT DATA'!$VE$9:$VK$41,START!$C$3,5)</f>
        <v>403</v>
      </c>
      <c r="AI642" s="360">
        <f>INDEX('DEFAULT DATA'!$AGY$9:$AIT$41,START!$C$3,(6+(($A$126-1)*8)))</f>
        <v>0</v>
      </c>
      <c r="AJ642" s="262"/>
      <c r="AK642" s="345">
        <v>0</v>
      </c>
      <c r="AL642" s="272">
        <f t="shared" ref="AL642:BN642" si="652">IF(AND(AL$636&gt;($I$126+2020),AL$636&lt;($J$126+2022)),AK642+($AH$642*$C$126*$AI$642*((100-$E$126)/100)*((100-$F$126)/100)/($J$126-$I$126+1)/1000000),AK642)</f>
        <v>0</v>
      </c>
      <c r="AM642" s="272">
        <f t="shared" si="652"/>
        <v>0</v>
      </c>
      <c r="AN642" s="272">
        <f t="shared" si="652"/>
        <v>0</v>
      </c>
      <c r="AO642" s="272">
        <f t="shared" si="652"/>
        <v>0</v>
      </c>
      <c r="AP642" s="272">
        <f t="shared" si="652"/>
        <v>0</v>
      </c>
      <c r="AQ642" s="272">
        <f t="shared" si="652"/>
        <v>0</v>
      </c>
      <c r="AR642" s="272">
        <f t="shared" si="652"/>
        <v>0</v>
      </c>
      <c r="AS642" s="272">
        <f t="shared" si="652"/>
        <v>0</v>
      </c>
      <c r="AT642" s="272">
        <f t="shared" si="652"/>
        <v>0</v>
      </c>
      <c r="AU642" s="272">
        <f t="shared" si="652"/>
        <v>0</v>
      </c>
      <c r="AV642" s="272">
        <f t="shared" si="652"/>
        <v>0</v>
      </c>
      <c r="AW642" s="272">
        <f t="shared" si="652"/>
        <v>0</v>
      </c>
      <c r="AX642" s="272">
        <f t="shared" si="652"/>
        <v>0</v>
      </c>
      <c r="AY642" s="272">
        <f t="shared" si="652"/>
        <v>0</v>
      </c>
      <c r="AZ642" s="272">
        <f t="shared" si="652"/>
        <v>0</v>
      </c>
      <c r="BA642" s="272">
        <f t="shared" si="652"/>
        <v>0</v>
      </c>
      <c r="BB642" s="272">
        <f t="shared" si="652"/>
        <v>0</v>
      </c>
      <c r="BC642" s="272">
        <f t="shared" si="652"/>
        <v>0</v>
      </c>
      <c r="BD642" s="272">
        <f t="shared" si="652"/>
        <v>0</v>
      </c>
      <c r="BE642" s="272">
        <f t="shared" si="652"/>
        <v>0</v>
      </c>
      <c r="BF642" s="272">
        <f t="shared" si="652"/>
        <v>0</v>
      </c>
      <c r="BG642" s="272">
        <f t="shared" si="652"/>
        <v>0</v>
      </c>
      <c r="BH642" s="272">
        <f t="shared" si="652"/>
        <v>0</v>
      </c>
      <c r="BI642" s="272">
        <f t="shared" si="652"/>
        <v>0</v>
      </c>
      <c r="BJ642" s="272">
        <f t="shared" si="652"/>
        <v>0</v>
      </c>
      <c r="BK642" s="272">
        <f t="shared" si="652"/>
        <v>0</v>
      </c>
      <c r="BL642" s="272">
        <f t="shared" si="652"/>
        <v>0</v>
      </c>
      <c r="BM642" s="272">
        <f t="shared" si="652"/>
        <v>0</v>
      </c>
      <c r="BN642" s="324">
        <f t="shared" si="652"/>
        <v>0</v>
      </c>
      <c r="BP642" s="536" t="s">
        <v>1224</v>
      </c>
      <c r="BQ642" s="1438" t="str">
        <f t="shared" si="648"/>
        <v>GHG_Wooda = GHG_Wooda-1 + (C125 * BUI_COL (307 + ((A125 - 1) * 8) * E125 / 100) + (F125 / 100 * BUI_COL (307 + ((A125 - 1) * 8) * (100 - E125) / 100)) * BUI_COL5 / (J125-I125+1) / 1000000</v>
      </c>
      <c r="BR642" s="1438"/>
      <c r="BS642" s="1438"/>
      <c r="BT642" s="1438"/>
      <c r="BU642" s="1438"/>
      <c r="BV642" s="1438"/>
      <c r="BW642" s="1438"/>
      <c r="BX642" s="1438"/>
      <c r="BY642" s="1438"/>
      <c r="BZ642" s="1438"/>
      <c r="CA642" s="1438"/>
      <c r="CB642" s="1438"/>
      <c r="CC642" s="1438"/>
      <c r="CD642" s="1438"/>
      <c r="CE642" s="1438"/>
      <c r="CF642" s="1438"/>
      <c r="CG642" s="1438"/>
      <c r="CH642" s="1438"/>
      <c r="CI642" s="1438"/>
      <c r="CJ642" s="1438"/>
      <c r="CK642" s="1438"/>
      <c r="CL642" s="915" t="s">
        <v>2583</v>
      </c>
      <c r="CM642" s="1475" t="s">
        <v>2584</v>
      </c>
      <c r="CN642" s="1476"/>
      <c r="CO642" s="918" t="s">
        <v>1624</v>
      </c>
      <c r="CP642" s="918" t="s">
        <v>2585</v>
      </c>
    </row>
    <row r="643" spans="32:94" ht="20.100000000000001" customHeight="1">
      <c r="AF643" s="1505"/>
      <c r="AG643" s="251" t="s">
        <v>1225</v>
      </c>
      <c r="AH643" s="251">
        <f>INDEX('DEFAULT DATA'!$VE$9:$VK$41,START!$C$3,6)</f>
        <v>0</v>
      </c>
      <c r="AI643" s="360">
        <f>INDEX('DEFAULT DATA'!$AGY$9:$AIT$41,START!$C$3,(7+(($A$126-1)*8)))</f>
        <v>0</v>
      </c>
      <c r="AJ643" s="262"/>
      <c r="AK643" s="345">
        <v>0</v>
      </c>
      <c r="AL643" s="272">
        <f t="shared" ref="AL643:BN643" si="653">IF(AND(AL$636&gt;($I$126+2020),AL$636&lt;($J$126+2022)),AK643+($AH$643*$C$126*$AI$643*((100-$E$126)/100)*((100-$F$126)/100)/($J$126-$I$126+1)/1000000),AK643)</f>
        <v>0</v>
      </c>
      <c r="AM643" s="272">
        <f t="shared" si="653"/>
        <v>0</v>
      </c>
      <c r="AN643" s="272">
        <f t="shared" si="653"/>
        <v>0</v>
      </c>
      <c r="AO643" s="272">
        <f t="shared" si="653"/>
        <v>0</v>
      </c>
      <c r="AP643" s="272">
        <f t="shared" si="653"/>
        <v>0</v>
      </c>
      <c r="AQ643" s="272">
        <f t="shared" si="653"/>
        <v>0</v>
      </c>
      <c r="AR643" s="272">
        <f t="shared" si="653"/>
        <v>0</v>
      </c>
      <c r="AS643" s="272">
        <f t="shared" si="653"/>
        <v>0</v>
      </c>
      <c r="AT643" s="272">
        <f t="shared" si="653"/>
        <v>0</v>
      </c>
      <c r="AU643" s="272">
        <f t="shared" si="653"/>
        <v>0</v>
      </c>
      <c r="AV643" s="272">
        <f t="shared" si="653"/>
        <v>0</v>
      </c>
      <c r="AW643" s="272">
        <f t="shared" si="653"/>
        <v>0</v>
      </c>
      <c r="AX643" s="272">
        <f t="shared" si="653"/>
        <v>0</v>
      </c>
      <c r="AY643" s="272">
        <f t="shared" si="653"/>
        <v>0</v>
      </c>
      <c r="AZ643" s="272">
        <f t="shared" si="653"/>
        <v>0</v>
      </c>
      <c r="BA643" s="272">
        <f t="shared" si="653"/>
        <v>0</v>
      </c>
      <c r="BB643" s="272">
        <f t="shared" si="653"/>
        <v>0</v>
      </c>
      <c r="BC643" s="272">
        <f t="shared" si="653"/>
        <v>0</v>
      </c>
      <c r="BD643" s="272">
        <f t="shared" si="653"/>
        <v>0</v>
      </c>
      <c r="BE643" s="272">
        <f t="shared" si="653"/>
        <v>0</v>
      </c>
      <c r="BF643" s="272">
        <f t="shared" si="653"/>
        <v>0</v>
      </c>
      <c r="BG643" s="272">
        <f t="shared" si="653"/>
        <v>0</v>
      </c>
      <c r="BH643" s="272">
        <f t="shared" si="653"/>
        <v>0</v>
      </c>
      <c r="BI643" s="272">
        <f t="shared" si="653"/>
        <v>0</v>
      </c>
      <c r="BJ643" s="272">
        <f t="shared" si="653"/>
        <v>0</v>
      </c>
      <c r="BK643" s="272">
        <f t="shared" si="653"/>
        <v>0</v>
      </c>
      <c r="BL643" s="272">
        <f t="shared" si="653"/>
        <v>0</v>
      </c>
      <c r="BM643" s="272">
        <f t="shared" si="653"/>
        <v>0</v>
      </c>
      <c r="BN643" s="324">
        <f t="shared" si="653"/>
        <v>0</v>
      </c>
      <c r="BP643" s="536" t="s">
        <v>1225</v>
      </c>
      <c r="BQ643" s="1438" t="str">
        <f t="shared" si="648"/>
        <v>GHG_Renewablea = GHG_Renewablea-1 + (C125 * BUI_COL (307 + ((A125 - 1) * 8) * E125 / 100) + (F125 / 100 * BUI_COL (307 + ((A125 - 1) * 8) * (100 - E125) / 100)) * BUI_COL6 / (J125-I125+1) / 1000000</v>
      </c>
      <c r="BR643" s="1438"/>
      <c r="BS643" s="1438"/>
      <c r="BT643" s="1438"/>
      <c r="BU643" s="1438"/>
      <c r="BV643" s="1438"/>
      <c r="BW643" s="1438"/>
      <c r="BX643" s="1438"/>
      <c r="BY643" s="1438"/>
      <c r="BZ643" s="1438"/>
      <c r="CA643" s="1438"/>
      <c r="CB643" s="1438"/>
      <c r="CC643" s="1438"/>
      <c r="CD643" s="1438"/>
      <c r="CE643" s="1438"/>
      <c r="CF643" s="1438"/>
      <c r="CG643" s="1438"/>
      <c r="CH643" s="1438"/>
      <c r="CI643" s="1438"/>
      <c r="CJ643" s="1438"/>
      <c r="CK643" s="1438"/>
      <c r="CL643" s="915" t="s">
        <v>2583</v>
      </c>
      <c r="CM643" s="1475" t="s">
        <v>2584</v>
      </c>
      <c r="CN643" s="1476"/>
      <c r="CO643" s="918" t="s">
        <v>1625</v>
      </c>
      <c r="CP643" s="918" t="s">
        <v>2585</v>
      </c>
    </row>
    <row r="644" spans="32:94" ht="20.100000000000001" customHeight="1" thickBot="1">
      <c r="AF644" s="1506"/>
      <c r="AG644" s="310" t="s">
        <v>1226</v>
      </c>
      <c r="AH644" s="310" t="s">
        <v>1497</v>
      </c>
      <c r="AI644" s="362">
        <f>INDEX('DEFAULT DATA'!$AGY$9:$AIT$41,START!$C$3,(8+(($A$126-1)*8)))</f>
        <v>0</v>
      </c>
      <c r="AJ644" s="335"/>
      <c r="AK644" s="348">
        <v>0</v>
      </c>
      <c r="AL644" s="325">
        <f t="shared" ref="AL644:BN644" si="654">IF(AND(AL$636&gt;($I$126+2020),AL$636&lt;($J$126+2022)),AK644+(AL$6*$C$126*$AI$644*((100-$E$126)/100)*((100-$F$126)/100)/($J$126-$I$126+1)/1000000),AK644)</f>
        <v>0</v>
      </c>
      <c r="AM644" s="325">
        <f t="shared" si="654"/>
        <v>0</v>
      </c>
      <c r="AN644" s="325">
        <f t="shared" si="654"/>
        <v>0</v>
      </c>
      <c r="AO644" s="325">
        <f t="shared" si="654"/>
        <v>0</v>
      </c>
      <c r="AP644" s="325">
        <f t="shared" si="654"/>
        <v>0</v>
      </c>
      <c r="AQ644" s="325">
        <f t="shared" si="654"/>
        <v>0</v>
      </c>
      <c r="AR644" s="325">
        <f t="shared" si="654"/>
        <v>0</v>
      </c>
      <c r="AS644" s="325">
        <f t="shared" si="654"/>
        <v>0</v>
      </c>
      <c r="AT644" s="325">
        <f t="shared" si="654"/>
        <v>0</v>
      </c>
      <c r="AU644" s="325">
        <f t="shared" si="654"/>
        <v>0</v>
      </c>
      <c r="AV644" s="325">
        <f t="shared" si="654"/>
        <v>0</v>
      </c>
      <c r="AW644" s="325">
        <f t="shared" si="654"/>
        <v>0</v>
      </c>
      <c r="AX644" s="325">
        <f t="shared" si="654"/>
        <v>0</v>
      </c>
      <c r="AY644" s="325">
        <f t="shared" si="654"/>
        <v>0</v>
      </c>
      <c r="AZ644" s="325">
        <f t="shared" si="654"/>
        <v>0</v>
      </c>
      <c r="BA644" s="325">
        <f t="shared" si="654"/>
        <v>0</v>
      </c>
      <c r="BB644" s="325">
        <f t="shared" si="654"/>
        <v>0</v>
      </c>
      <c r="BC644" s="325">
        <f t="shared" si="654"/>
        <v>0</v>
      </c>
      <c r="BD644" s="325">
        <f t="shared" si="654"/>
        <v>0</v>
      </c>
      <c r="BE644" s="325">
        <f t="shared" si="654"/>
        <v>0</v>
      </c>
      <c r="BF644" s="325">
        <f t="shared" si="654"/>
        <v>0</v>
      </c>
      <c r="BG644" s="325">
        <f t="shared" si="654"/>
        <v>0</v>
      </c>
      <c r="BH644" s="325">
        <f t="shared" si="654"/>
        <v>0</v>
      </c>
      <c r="BI644" s="325">
        <f t="shared" si="654"/>
        <v>0</v>
      </c>
      <c r="BJ644" s="325">
        <f t="shared" si="654"/>
        <v>0</v>
      </c>
      <c r="BK644" s="325">
        <f t="shared" si="654"/>
        <v>0</v>
      </c>
      <c r="BL644" s="325">
        <f t="shared" si="654"/>
        <v>0</v>
      </c>
      <c r="BM644" s="325">
        <f t="shared" si="654"/>
        <v>0</v>
      </c>
      <c r="BN644" s="326">
        <f t="shared" si="654"/>
        <v>0</v>
      </c>
      <c r="BP644" s="536" t="s">
        <v>1226</v>
      </c>
      <c r="BQ644" s="1438" t="str">
        <f t="shared" si="648"/>
        <v>GHG_Heata = GHG_Heata-1 + (C125 * BUI_COL (307 + ((A125 - 1) * 8) * E125 / 100) + (F125 / 100 * BUI_COL (307 + ((A125 - 1) * 8) * (100 - E125) / 100)) * DISTRICT_HEATING_emission_factora (from row 5) / (J125-I125+1) / 1000000</v>
      </c>
      <c r="BR644" s="1438"/>
      <c r="BS644" s="1438"/>
      <c r="BT644" s="1438"/>
      <c r="BU644" s="1438"/>
      <c r="BV644" s="1438"/>
      <c r="BW644" s="1438"/>
      <c r="BX644" s="1438"/>
      <c r="BY644" s="1438"/>
      <c r="BZ644" s="1438"/>
      <c r="CA644" s="1438"/>
      <c r="CB644" s="1438"/>
      <c r="CC644" s="1438"/>
      <c r="CD644" s="1438"/>
      <c r="CE644" s="1438"/>
      <c r="CF644" s="1438"/>
      <c r="CG644" s="1438"/>
      <c r="CH644" s="1438"/>
      <c r="CI644" s="1438"/>
      <c r="CJ644" s="1438"/>
      <c r="CK644" s="1438"/>
      <c r="CL644" s="915" t="s">
        <v>2583</v>
      </c>
      <c r="CM644" s="1475" t="s">
        <v>2584</v>
      </c>
      <c r="CN644" s="1476"/>
      <c r="CO644" s="918" t="s">
        <v>1882</v>
      </c>
      <c r="CP644" s="918" t="s">
        <v>2585</v>
      </c>
    </row>
    <row r="645" spans="32:94" ht="20.100000000000001" customHeight="1">
      <c r="AF645" s="332"/>
      <c r="AG645" s="308" t="s">
        <v>310</v>
      </c>
      <c r="AH645" s="309"/>
      <c r="AI645" s="363"/>
      <c r="AJ645" s="309"/>
      <c r="AK645" s="344">
        <v>0</v>
      </c>
      <c r="AL645" s="327">
        <f>SUM(AL637:AL644)</f>
        <v>0</v>
      </c>
      <c r="AM645" s="327">
        <f t="shared" ref="AM645" si="655">SUM(AM637:AM644)</f>
        <v>0</v>
      </c>
      <c r="AN645" s="327">
        <f t="shared" ref="AN645" si="656">SUM(AN637:AN644)</f>
        <v>0</v>
      </c>
      <c r="AO645" s="327">
        <f t="shared" ref="AO645" si="657">SUM(AO637:AO644)</f>
        <v>0</v>
      </c>
      <c r="AP645" s="327">
        <f t="shared" ref="AP645" si="658">SUM(AP637:AP644)</f>
        <v>0</v>
      </c>
      <c r="AQ645" s="327">
        <f t="shared" ref="AQ645" si="659">SUM(AQ637:AQ644)</f>
        <v>0</v>
      </c>
      <c r="AR645" s="327">
        <f t="shared" ref="AR645" si="660">SUM(AR637:AR644)</f>
        <v>0</v>
      </c>
      <c r="AS645" s="327">
        <f t="shared" ref="AS645" si="661">SUM(AS637:AS644)</f>
        <v>0</v>
      </c>
      <c r="AT645" s="327">
        <f t="shared" ref="AT645" si="662">SUM(AT637:AT644)</f>
        <v>0</v>
      </c>
      <c r="AU645" s="327">
        <f t="shared" ref="AU645" si="663">SUM(AU637:AU644)</f>
        <v>0</v>
      </c>
      <c r="AV645" s="327">
        <f t="shared" ref="AV645" si="664">SUM(AV637:AV644)</f>
        <v>0</v>
      </c>
      <c r="AW645" s="327">
        <f t="shared" ref="AW645" si="665">SUM(AW637:AW644)</f>
        <v>0</v>
      </c>
      <c r="AX645" s="327">
        <f t="shared" ref="AX645" si="666">SUM(AX637:AX644)</f>
        <v>0</v>
      </c>
      <c r="AY645" s="327">
        <f t="shared" ref="AY645" si="667">SUM(AY637:AY644)</f>
        <v>0</v>
      </c>
      <c r="AZ645" s="327">
        <f t="shared" ref="AZ645" si="668">SUM(AZ637:AZ644)</f>
        <v>0</v>
      </c>
      <c r="BA645" s="327">
        <f t="shared" ref="BA645" si="669">SUM(BA637:BA644)</f>
        <v>0</v>
      </c>
      <c r="BB645" s="327">
        <f t="shared" ref="BB645" si="670">SUM(BB637:BB644)</f>
        <v>0</v>
      </c>
      <c r="BC645" s="327">
        <f t="shared" ref="BC645" si="671">SUM(BC637:BC644)</f>
        <v>0</v>
      </c>
      <c r="BD645" s="327">
        <f t="shared" ref="BD645" si="672">SUM(BD637:BD644)</f>
        <v>0</v>
      </c>
      <c r="BE645" s="327">
        <f t="shared" ref="BE645" si="673">SUM(BE637:BE644)</f>
        <v>0</v>
      </c>
      <c r="BF645" s="327">
        <f t="shared" ref="BF645" si="674">SUM(BF637:BF644)</f>
        <v>0</v>
      </c>
      <c r="BG645" s="327">
        <f t="shared" ref="BG645" si="675">SUM(BG637:BG644)</f>
        <v>0</v>
      </c>
      <c r="BH645" s="327">
        <f t="shared" ref="BH645" si="676">SUM(BH637:BH644)</f>
        <v>0</v>
      </c>
      <c r="BI645" s="327">
        <f t="shared" ref="BI645" si="677">SUM(BI637:BI644)</f>
        <v>0</v>
      </c>
      <c r="BJ645" s="327">
        <f t="shared" ref="BJ645" si="678">SUM(BJ637:BJ644)</f>
        <v>0</v>
      </c>
      <c r="BK645" s="327">
        <f t="shared" ref="BK645" si="679">SUM(BK637:BK644)</f>
        <v>0</v>
      </c>
      <c r="BL645" s="327">
        <f t="shared" ref="BL645" si="680">SUM(BL637:BL644)</f>
        <v>0</v>
      </c>
      <c r="BM645" s="327">
        <f t="shared" ref="BM645" si="681">SUM(BM637:BM644)</f>
        <v>0</v>
      </c>
      <c r="BN645" s="327">
        <f t="shared" ref="BN645" si="682">SUM(BN637:BN644)</f>
        <v>0</v>
      </c>
    </row>
    <row r="646" spans="32:94" ht="20.100000000000001" customHeight="1">
      <c r="AI646" s="364"/>
    </row>
    <row r="647" spans="32:94" ht="20.100000000000001" customHeight="1" thickBot="1">
      <c r="AF647" s="333" t="s">
        <v>1473</v>
      </c>
      <c r="AG647" s="333"/>
      <c r="AH647" s="334" t="s">
        <v>977</v>
      </c>
      <c r="AI647" s="365" t="s">
        <v>1260</v>
      </c>
      <c r="AJ647" s="284"/>
      <c r="AK647" s="346">
        <v>2021</v>
      </c>
      <c r="AL647" s="284">
        <v>2022</v>
      </c>
      <c r="AM647" s="284">
        <v>2023</v>
      </c>
      <c r="AN647" s="284">
        <v>2024</v>
      </c>
      <c r="AO647" s="284">
        <v>2025</v>
      </c>
      <c r="AP647" s="284">
        <v>2026</v>
      </c>
      <c r="AQ647" s="284">
        <v>2027</v>
      </c>
      <c r="AR647" s="284">
        <v>2028</v>
      </c>
      <c r="AS647" s="284">
        <v>2029</v>
      </c>
      <c r="AT647" s="284">
        <v>2030</v>
      </c>
      <c r="AU647" s="284">
        <v>2031</v>
      </c>
      <c r="AV647" s="284">
        <v>2032</v>
      </c>
      <c r="AW647" s="284">
        <v>2033</v>
      </c>
      <c r="AX647" s="284">
        <v>2034</v>
      </c>
      <c r="AY647" s="284">
        <v>2035</v>
      </c>
      <c r="AZ647" s="284">
        <v>2036</v>
      </c>
      <c r="BA647" s="284">
        <v>2037</v>
      </c>
      <c r="BB647" s="284">
        <v>2038</v>
      </c>
      <c r="BC647" s="284">
        <v>2039</v>
      </c>
      <c r="BD647" s="284">
        <v>2040</v>
      </c>
      <c r="BE647" s="284">
        <v>2041</v>
      </c>
      <c r="BF647" s="284">
        <v>2042</v>
      </c>
      <c r="BG647" s="284">
        <v>2043</v>
      </c>
      <c r="BH647" s="284">
        <v>2044</v>
      </c>
      <c r="BI647" s="284">
        <v>2045</v>
      </c>
      <c r="BJ647" s="284">
        <v>2046</v>
      </c>
      <c r="BK647" s="284">
        <v>2047</v>
      </c>
      <c r="BL647" s="284">
        <v>2048</v>
      </c>
      <c r="BM647" s="284">
        <v>2049</v>
      </c>
      <c r="BN647" s="284">
        <v>2050</v>
      </c>
      <c r="BQ647" s="222" t="s">
        <v>2589</v>
      </c>
      <c r="BR647" s="417"/>
      <c r="BS647" s="417"/>
      <c r="BT647" s="417"/>
      <c r="BU647" s="417"/>
      <c r="BV647" s="417"/>
      <c r="BW647" s="417"/>
      <c r="BX647" s="417"/>
      <c r="BY647" s="417"/>
      <c r="BZ647" s="417"/>
      <c r="CA647" s="417"/>
      <c r="CB647" s="417"/>
      <c r="CC647" s="417"/>
      <c r="CD647" s="417"/>
      <c r="CE647" s="417"/>
      <c r="CF647" s="417"/>
      <c r="CG647" s="417"/>
      <c r="CH647" s="417"/>
      <c r="CI647" s="417"/>
      <c r="CJ647" s="417"/>
      <c r="CK647" s="417"/>
      <c r="CL647" s="944" t="s">
        <v>2581</v>
      </c>
      <c r="CM647" s="279" t="s">
        <v>2582</v>
      </c>
      <c r="CN647" s="279"/>
      <c r="CO647" s="945" t="s">
        <v>1598</v>
      </c>
      <c r="CP647" s="279" t="s">
        <v>2552</v>
      </c>
    </row>
    <row r="648" spans="32:94" ht="20.100000000000001" customHeight="1">
      <c r="AF648" s="1504" t="str">
        <f>INDEX('MENU OPTIONS'!B31:B36,A127,1)</f>
        <v>Health</v>
      </c>
      <c r="AG648" s="286" t="s">
        <v>933</v>
      </c>
      <c r="AH648" s="286" t="s">
        <v>1496</v>
      </c>
      <c r="AI648" s="361">
        <f>INDEX('DEFAULT DATA'!$AGY$9:$AIT$41,START!$C$3,(1+(($A$127-1)*8)))</f>
        <v>0</v>
      </c>
      <c r="AJ648" s="330"/>
      <c r="AK648" s="343">
        <v>0</v>
      </c>
      <c r="AL648" s="322">
        <f t="shared" ref="AL648:BN648" si="683">IF(AND(AL$647&gt;($I$127+2020),AL$647&lt;($J$127+2022)),AK648+(AL$5*$C$127*$AI$648*((100-$E$127)/100)*((100-$F$127)/100)/($J$127-$I$127+1)/1000000),AK648)</f>
        <v>0</v>
      </c>
      <c r="AM648" s="322">
        <f t="shared" si="683"/>
        <v>0</v>
      </c>
      <c r="AN648" s="322">
        <f t="shared" si="683"/>
        <v>0</v>
      </c>
      <c r="AO648" s="322">
        <f t="shared" si="683"/>
        <v>0</v>
      </c>
      <c r="AP648" s="322">
        <f t="shared" si="683"/>
        <v>0</v>
      </c>
      <c r="AQ648" s="322">
        <f t="shared" si="683"/>
        <v>0</v>
      </c>
      <c r="AR648" s="322">
        <f t="shared" si="683"/>
        <v>0</v>
      </c>
      <c r="AS648" s="322">
        <f t="shared" si="683"/>
        <v>0</v>
      </c>
      <c r="AT648" s="322">
        <f t="shared" si="683"/>
        <v>0</v>
      </c>
      <c r="AU648" s="322">
        <f t="shared" si="683"/>
        <v>0</v>
      </c>
      <c r="AV648" s="322">
        <f t="shared" si="683"/>
        <v>0</v>
      </c>
      <c r="AW648" s="322">
        <f t="shared" si="683"/>
        <v>0</v>
      </c>
      <c r="AX648" s="322">
        <f t="shared" si="683"/>
        <v>0</v>
      </c>
      <c r="AY648" s="322">
        <f t="shared" si="683"/>
        <v>0</v>
      </c>
      <c r="AZ648" s="322">
        <f t="shared" si="683"/>
        <v>0</v>
      </c>
      <c r="BA648" s="322">
        <f t="shared" si="683"/>
        <v>0</v>
      </c>
      <c r="BB648" s="322">
        <f t="shared" si="683"/>
        <v>0</v>
      </c>
      <c r="BC648" s="322">
        <f t="shared" si="683"/>
        <v>0</v>
      </c>
      <c r="BD648" s="322">
        <f t="shared" si="683"/>
        <v>0</v>
      </c>
      <c r="BE648" s="322">
        <f t="shared" si="683"/>
        <v>0</v>
      </c>
      <c r="BF648" s="322">
        <f t="shared" si="683"/>
        <v>0</v>
      </c>
      <c r="BG648" s="322">
        <f t="shared" si="683"/>
        <v>0</v>
      </c>
      <c r="BH648" s="322">
        <f t="shared" si="683"/>
        <v>0</v>
      </c>
      <c r="BI648" s="322">
        <f t="shared" si="683"/>
        <v>0</v>
      </c>
      <c r="BJ648" s="322">
        <f t="shared" si="683"/>
        <v>0</v>
      </c>
      <c r="BK648" s="322">
        <f t="shared" si="683"/>
        <v>0</v>
      </c>
      <c r="BL648" s="322">
        <f t="shared" si="683"/>
        <v>0</v>
      </c>
      <c r="BM648" s="322">
        <f t="shared" si="683"/>
        <v>0</v>
      </c>
      <c r="BN648" s="323">
        <f t="shared" si="683"/>
        <v>0</v>
      </c>
      <c r="BP648" s="536" t="s">
        <v>933</v>
      </c>
      <c r="BQ648" s="1438" t="str">
        <f>CONCATENATE("GHG_",BP648,"a = GHG_",BP648,"a-1 + (C126 * ",CL648," * E126 / 100) + (F126 / 100 * ",CM648,")) * ",CO648," / (",CP648,") / 1000000")</f>
        <v>GHG_Electricitya = GHG_Electricitya-1 + (C126 * BUI_COL (307 + ((A126 - 1) * 8) * E126 / 100) + (F126 / 100 * BUI_COL (307 + ((A126 - 1) * 8) * (100 - E126) / 100)) * GRID_ELECTRICITY_emission_factora (from row4) / (J126-I126+1) / 1000000</v>
      </c>
      <c r="BR648" s="1438"/>
      <c r="BS648" s="1438"/>
      <c r="BT648" s="1438"/>
      <c r="BU648" s="1438"/>
      <c r="BV648" s="1438"/>
      <c r="BW648" s="1438"/>
      <c r="BX648" s="1438"/>
      <c r="BY648" s="1438"/>
      <c r="BZ648" s="1438"/>
      <c r="CA648" s="1438"/>
      <c r="CB648" s="1438"/>
      <c r="CC648" s="1438"/>
      <c r="CD648" s="1438"/>
      <c r="CE648" s="1438"/>
      <c r="CF648" s="1438"/>
      <c r="CG648" s="1438"/>
      <c r="CH648" s="1438"/>
      <c r="CI648" s="1438"/>
      <c r="CJ648" s="1438"/>
      <c r="CK648" s="1438"/>
      <c r="CL648" s="915" t="s">
        <v>2590</v>
      </c>
      <c r="CM648" s="1475" t="s">
        <v>2591</v>
      </c>
      <c r="CN648" s="1476"/>
      <c r="CO648" s="918" t="s">
        <v>1881</v>
      </c>
      <c r="CP648" s="918" t="s">
        <v>2592</v>
      </c>
    </row>
    <row r="649" spans="32:94" ht="20.100000000000001" customHeight="1">
      <c r="AF649" s="1505"/>
      <c r="AG649" s="251" t="s">
        <v>1220</v>
      </c>
      <c r="AH649" s="251">
        <f>INDEX('DEFAULT DATA'!$VE$9:$VK$41,START!$C$3,1)</f>
        <v>202</v>
      </c>
      <c r="AI649" s="360">
        <f>INDEX('DEFAULT DATA'!$AGY$9:$AIT$41,START!$C$3,(2+(($A$127-1)*8)))</f>
        <v>0</v>
      </c>
      <c r="AJ649" s="262"/>
      <c r="AK649" s="345">
        <v>0</v>
      </c>
      <c r="AL649" s="272">
        <f t="shared" ref="AL649:BN649" si="684">IF(AND(AL$647&gt;($I$127+2020),AL$647&lt;($J$127+2022)),AK649+($AH$649*$C$127*$AI$649*((100-$E$125)/100)*((100-$F$127)/100)/($J$127-$I$127+1)/1000000),AK649)</f>
        <v>0</v>
      </c>
      <c r="AM649" s="272">
        <f t="shared" si="684"/>
        <v>0</v>
      </c>
      <c r="AN649" s="272">
        <f t="shared" si="684"/>
        <v>0</v>
      </c>
      <c r="AO649" s="272">
        <f t="shared" si="684"/>
        <v>0</v>
      </c>
      <c r="AP649" s="272">
        <f t="shared" si="684"/>
        <v>0</v>
      </c>
      <c r="AQ649" s="272">
        <f t="shared" si="684"/>
        <v>0</v>
      </c>
      <c r="AR649" s="272">
        <f t="shared" si="684"/>
        <v>0</v>
      </c>
      <c r="AS649" s="272">
        <f t="shared" si="684"/>
        <v>0</v>
      </c>
      <c r="AT649" s="272">
        <f t="shared" si="684"/>
        <v>0</v>
      </c>
      <c r="AU649" s="272">
        <f t="shared" si="684"/>
        <v>0</v>
      </c>
      <c r="AV649" s="272">
        <f t="shared" si="684"/>
        <v>0</v>
      </c>
      <c r="AW649" s="272">
        <f t="shared" si="684"/>
        <v>0</v>
      </c>
      <c r="AX649" s="272">
        <f t="shared" si="684"/>
        <v>0</v>
      </c>
      <c r="AY649" s="272">
        <f t="shared" si="684"/>
        <v>0</v>
      </c>
      <c r="AZ649" s="272">
        <f t="shared" si="684"/>
        <v>0</v>
      </c>
      <c r="BA649" s="272">
        <f t="shared" si="684"/>
        <v>0</v>
      </c>
      <c r="BB649" s="272">
        <f t="shared" si="684"/>
        <v>0</v>
      </c>
      <c r="BC649" s="272">
        <f t="shared" si="684"/>
        <v>0</v>
      </c>
      <c r="BD649" s="272">
        <f t="shared" si="684"/>
        <v>0</v>
      </c>
      <c r="BE649" s="272">
        <f t="shared" si="684"/>
        <v>0</v>
      </c>
      <c r="BF649" s="272">
        <f t="shared" si="684"/>
        <v>0</v>
      </c>
      <c r="BG649" s="272">
        <f t="shared" si="684"/>
        <v>0</v>
      </c>
      <c r="BH649" s="272">
        <f t="shared" si="684"/>
        <v>0</v>
      </c>
      <c r="BI649" s="272">
        <f t="shared" si="684"/>
        <v>0</v>
      </c>
      <c r="BJ649" s="272">
        <f t="shared" si="684"/>
        <v>0</v>
      </c>
      <c r="BK649" s="272">
        <f t="shared" si="684"/>
        <v>0</v>
      </c>
      <c r="BL649" s="272">
        <f t="shared" si="684"/>
        <v>0</v>
      </c>
      <c r="BM649" s="272">
        <f t="shared" si="684"/>
        <v>0</v>
      </c>
      <c r="BN649" s="324">
        <f t="shared" si="684"/>
        <v>0</v>
      </c>
      <c r="BP649" s="536" t="s">
        <v>1220</v>
      </c>
      <c r="BQ649" s="1438" t="str">
        <f t="shared" ref="BQ649:BQ655" si="685">CONCATENATE("GHG_",BP649,"a = GHG_",BP649,"a-1 + (C126 * ",CL649," * E126 / 100) + (F126 / 100 * ",CM649,")) * ",CO649," / (",CP649,") / 1000000")</f>
        <v>GHG_Gasa = GHG_Gasa-1 + (C126 * BUI_COL (307 + ((A126 - 1) * 8) * E126 / 100) + (F126 / 100 * BUI_COL (307 + ((A126 - 1) * 8) * (100 - E126) / 100)) * BUI_COL1 / (J126-I126+1) / 1000000</v>
      </c>
      <c r="BR649" s="1438"/>
      <c r="BS649" s="1438"/>
      <c r="BT649" s="1438"/>
      <c r="BU649" s="1438"/>
      <c r="BV649" s="1438"/>
      <c r="BW649" s="1438"/>
      <c r="BX649" s="1438"/>
      <c r="BY649" s="1438"/>
      <c r="BZ649" s="1438"/>
      <c r="CA649" s="1438"/>
      <c r="CB649" s="1438"/>
      <c r="CC649" s="1438"/>
      <c r="CD649" s="1438"/>
      <c r="CE649" s="1438"/>
      <c r="CF649" s="1438"/>
      <c r="CG649" s="1438"/>
      <c r="CH649" s="1438"/>
      <c r="CI649" s="1438"/>
      <c r="CJ649" s="1438"/>
      <c r="CK649" s="1438"/>
      <c r="CL649" s="915" t="s">
        <v>2590</v>
      </c>
      <c r="CM649" s="1475" t="s">
        <v>2591</v>
      </c>
      <c r="CN649" s="1476"/>
      <c r="CO649" s="918" t="s">
        <v>1248</v>
      </c>
      <c r="CP649" s="918" t="s">
        <v>2592</v>
      </c>
    </row>
    <row r="650" spans="32:94" ht="20.100000000000001" customHeight="1">
      <c r="AF650" s="1505"/>
      <c r="AG650" s="251" t="s">
        <v>1221</v>
      </c>
      <c r="AH650" s="251">
        <f>INDEX('DEFAULT DATA'!$VE$9:$VK$41,START!$C$3,2)</f>
        <v>279</v>
      </c>
      <c r="AI650" s="360">
        <f>INDEX('DEFAULT DATA'!$AGY$9:$AIT$41,START!$C$3,(3+(($A$127-1)*8)))</f>
        <v>0</v>
      </c>
      <c r="AJ650" s="262"/>
      <c r="AK650" s="345">
        <v>0</v>
      </c>
      <c r="AL650" s="272">
        <f t="shared" ref="AL650:BN650" si="686">IF(AND(AL$647&gt;($I$127+2020),AL$647&lt;($J$127+2022)),AK650+($AH$650*$C$127*$AI$650*((100-$E$125)/100)*((100-$F$127)/100)/($J$127-$I$127+1)/1000000),AK650)</f>
        <v>0</v>
      </c>
      <c r="AM650" s="272">
        <f t="shared" si="686"/>
        <v>0</v>
      </c>
      <c r="AN650" s="272">
        <f t="shared" si="686"/>
        <v>0</v>
      </c>
      <c r="AO650" s="272">
        <f t="shared" si="686"/>
        <v>0</v>
      </c>
      <c r="AP650" s="272">
        <f t="shared" si="686"/>
        <v>0</v>
      </c>
      <c r="AQ650" s="272">
        <f t="shared" si="686"/>
        <v>0</v>
      </c>
      <c r="AR650" s="272">
        <f t="shared" si="686"/>
        <v>0</v>
      </c>
      <c r="AS650" s="272">
        <f t="shared" si="686"/>
        <v>0</v>
      </c>
      <c r="AT650" s="272">
        <f t="shared" si="686"/>
        <v>0</v>
      </c>
      <c r="AU650" s="272">
        <f t="shared" si="686"/>
        <v>0</v>
      </c>
      <c r="AV650" s="272">
        <f t="shared" si="686"/>
        <v>0</v>
      </c>
      <c r="AW650" s="272">
        <f t="shared" si="686"/>
        <v>0</v>
      </c>
      <c r="AX650" s="272">
        <f t="shared" si="686"/>
        <v>0</v>
      </c>
      <c r="AY650" s="272">
        <f t="shared" si="686"/>
        <v>0</v>
      </c>
      <c r="AZ650" s="272">
        <f t="shared" si="686"/>
        <v>0</v>
      </c>
      <c r="BA650" s="272">
        <f t="shared" si="686"/>
        <v>0</v>
      </c>
      <c r="BB650" s="272">
        <f t="shared" si="686"/>
        <v>0</v>
      </c>
      <c r="BC650" s="272">
        <f t="shared" si="686"/>
        <v>0</v>
      </c>
      <c r="BD650" s="272">
        <f t="shared" si="686"/>
        <v>0</v>
      </c>
      <c r="BE650" s="272">
        <f t="shared" si="686"/>
        <v>0</v>
      </c>
      <c r="BF650" s="272">
        <f t="shared" si="686"/>
        <v>0</v>
      </c>
      <c r="BG650" s="272">
        <f t="shared" si="686"/>
        <v>0</v>
      </c>
      <c r="BH650" s="272">
        <f t="shared" si="686"/>
        <v>0</v>
      </c>
      <c r="BI650" s="272">
        <f t="shared" si="686"/>
        <v>0</v>
      </c>
      <c r="BJ650" s="272">
        <f t="shared" si="686"/>
        <v>0</v>
      </c>
      <c r="BK650" s="272">
        <f t="shared" si="686"/>
        <v>0</v>
      </c>
      <c r="BL650" s="272">
        <f t="shared" si="686"/>
        <v>0</v>
      </c>
      <c r="BM650" s="272">
        <f t="shared" si="686"/>
        <v>0</v>
      </c>
      <c r="BN650" s="324">
        <f t="shared" si="686"/>
        <v>0</v>
      </c>
      <c r="BP650" s="536" t="s">
        <v>1221</v>
      </c>
      <c r="BQ650" s="1438" t="str">
        <f t="shared" si="685"/>
        <v>GHG_Oila = GHG_Oila-1 + (C126 * BUI_COL (307 + ((A126 - 1) * 8) * E126 / 100) + (F126 / 100 * BUI_COL (307 + ((A126 - 1) * 8) * (100 - E126) / 100)) * BUI_COL2 / (J126-I126+1) / 1000000</v>
      </c>
      <c r="BR650" s="1438"/>
      <c r="BS650" s="1438"/>
      <c r="BT650" s="1438"/>
      <c r="BU650" s="1438"/>
      <c r="BV650" s="1438"/>
      <c r="BW650" s="1438"/>
      <c r="BX650" s="1438"/>
      <c r="BY650" s="1438"/>
      <c r="BZ650" s="1438"/>
      <c r="CA650" s="1438"/>
      <c r="CB650" s="1438"/>
      <c r="CC650" s="1438"/>
      <c r="CD650" s="1438"/>
      <c r="CE650" s="1438"/>
      <c r="CF650" s="1438"/>
      <c r="CG650" s="1438"/>
      <c r="CH650" s="1438"/>
      <c r="CI650" s="1438"/>
      <c r="CJ650" s="1438"/>
      <c r="CK650" s="1438"/>
      <c r="CL650" s="915" t="s">
        <v>2590</v>
      </c>
      <c r="CM650" s="1475" t="s">
        <v>2591</v>
      </c>
      <c r="CN650" s="1476"/>
      <c r="CO650" s="918" t="s">
        <v>1621</v>
      </c>
      <c r="CP650" s="918" t="s">
        <v>2592</v>
      </c>
    </row>
    <row r="651" spans="32:94" ht="20.100000000000001" customHeight="1">
      <c r="AF651" s="1505"/>
      <c r="AG651" s="251" t="s">
        <v>1222</v>
      </c>
      <c r="AH651" s="251">
        <f>INDEX('DEFAULT DATA'!$VE$9:$VK$41,START!$C$3,3)</f>
        <v>354</v>
      </c>
      <c r="AI651" s="360">
        <f>INDEX('DEFAULT DATA'!$AGY$9:$AIT$41,START!$C$3,(4+(($A$127-1)*8)))</f>
        <v>0</v>
      </c>
      <c r="AJ651" s="262"/>
      <c r="AK651" s="345">
        <v>0</v>
      </c>
      <c r="AL651" s="272">
        <f t="shared" ref="AL651:BN651" si="687">IF(AND(AL$647&gt;($I$127+2020),AL$647&lt;($J$127+2022)),AK651+($AH$651*$C$127*$AI$651*((100-$E$125)/100)*((100-$F$127)/100)/($J$127-$I$127+1)/1000000),AK651)</f>
        <v>0</v>
      </c>
      <c r="AM651" s="272">
        <f t="shared" si="687"/>
        <v>0</v>
      </c>
      <c r="AN651" s="272">
        <f t="shared" si="687"/>
        <v>0</v>
      </c>
      <c r="AO651" s="272">
        <f t="shared" si="687"/>
        <v>0</v>
      </c>
      <c r="AP651" s="272">
        <f t="shared" si="687"/>
        <v>0</v>
      </c>
      <c r="AQ651" s="272">
        <f t="shared" si="687"/>
        <v>0</v>
      </c>
      <c r="AR651" s="272">
        <f t="shared" si="687"/>
        <v>0</v>
      </c>
      <c r="AS651" s="272">
        <f t="shared" si="687"/>
        <v>0</v>
      </c>
      <c r="AT651" s="272">
        <f t="shared" si="687"/>
        <v>0</v>
      </c>
      <c r="AU651" s="272">
        <f t="shared" si="687"/>
        <v>0</v>
      </c>
      <c r="AV651" s="272">
        <f t="shared" si="687"/>
        <v>0</v>
      </c>
      <c r="AW651" s="272">
        <f t="shared" si="687"/>
        <v>0</v>
      </c>
      <c r="AX651" s="272">
        <f t="shared" si="687"/>
        <v>0</v>
      </c>
      <c r="AY651" s="272">
        <f t="shared" si="687"/>
        <v>0</v>
      </c>
      <c r="AZ651" s="272">
        <f t="shared" si="687"/>
        <v>0</v>
      </c>
      <c r="BA651" s="272">
        <f t="shared" si="687"/>
        <v>0</v>
      </c>
      <c r="BB651" s="272">
        <f t="shared" si="687"/>
        <v>0</v>
      </c>
      <c r="BC651" s="272">
        <f t="shared" si="687"/>
        <v>0</v>
      </c>
      <c r="BD651" s="272">
        <f t="shared" si="687"/>
        <v>0</v>
      </c>
      <c r="BE651" s="272">
        <f t="shared" si="687"/>
        <v>0</v>
      </c>
      <c r="BF651" s="272">
        <f t="shared" si="687"/>
        <v>0</v>
      </c>
      <c r="BG651" s="272">
        <f t="shared" si="687"/>
        <v>0</v>
      </c>
      <c r="BH651" s="272">
        <f t="shared" si="687"/>
        <v>0</v>
      </c>
      <c r="BI651" s="272">
        <f t="shared" si="687"/>
        <v>0</v>
      </c>
      <c r="BJ651" s="272">
        <f t="shared" si="687"/>
        <v>0</v>
      </c>
      <c r="BK651" s="272">
        <f t="shared" si="687"/>
        <v>0</v>
      </c>
      <c r="BL651" s="272">
        <f t="shared" si="687"/>
        <v>0</v>
      </c>
      <c r="BM651" s="272">
        <f t="shared" si="687"/>
        <v>0</v>
      </c>
      <c r="BN651" s="324">
        <f t="shared" si="687"/>
        <v>0</v>
      </c>
      <c r="BP651" s="536" t="s">
        <v>1222</v>
      </c>
      <c r="BQ651" s="1438" t="str">
        <f t="shared" si="685"/>
        <v>GHG_Coala = GHG_Coala-1 + (C126 * BUI_COL (307 + ((A126 - 1) * 8) * E126 / 100) + (F126 / 100 * BUI_COL (307 + ((A126 - 1) * 8) * (100 - E126) / 100)) * BUI_COL3 / (J126-I126+1) / 1000000</v>
      </c>
      <c r="BR651" s="1438"/>
      <c r="BS651" s="1438"/>
      <c r="BT651" s="1438"/>
      <c r="BU651" s="1438"/>
      <c r="BV651" s="1438"/>
      <c r="BW651" s="1438"/>
      <c r="BX651" s="1438"/>
      <c r="BY651" s="1438"/>
      <c r="BZ651" s="1438"/>
      <c r="CA651" s="1438"/>
      <c r="CB651" s="1438"/>
      <c r="CC651" s="1438"/>
      <c r="CD651" s="1438"/>
      <c r="CE651" s="1438"/>
      <c r="CF651" s="1438"/>
      <c r="CG651" s="1438"/>
      <c r="CH651" s="1438"/>
      <c r="CI651" s="1438"/>
      <c r="CJ651" s="1438"/>
      <c r="CK651" s="1438"/>
      <c r="CL651" s="915" t="s">
        <v>2590</v>
      </c>
      <c r="CM651" s="1475" t="s">
        <v>2591</v>
      </c>
      <c r="CN651" s="1476"/>
      <c r="CO651" s="918" t="s">
        <v>1622</v>
      </c>
      <c r="CP651" s="918" t="s">
        <v>2592</v>
      </c>
    </row>
    <row r="652" spans="32:94" ht="20.100000000000001" customHeight="1">
      <c r="AF652" s="1505"/>
      <c r="AG652" s="251" t="s">
        <v>1223</v>
      </c>
      <c r="AH652" s="251">
        <f>INDEX('DEFAULT DATA'!$VE$9:$VK$41,START!$C$3,4)</f>
        <v>0</v>
      </c>
      <c r="AI652" s="360">
        <f>INDEX('DEFAULT DATA'!$AGY$9:$AIT$41,START!$C$3,(5+(($A$127-1)*8)))</f>
        <v>0</v>
      </c>
      <c r="AJ652" s="262"/>
      <c r="AK652" s="345">
        <v>0</v>
      </c>
      <c r="AL652" s="272">
        <f t="shared" ref="AL652:BN652" si="688">IF(AND(AL$647&gt;($I$127+2020),AL$647&lt;($J$127+2022)),AK652+($AH$652*$C$127*$AI$652*((100-$E$125)/100)*((100-$F$127)/100)/($J$127-$I$127+1)/1000000),AK652)</f>
        <v>0</v>
      </c>
      <c r="AM652" s="272">
        <f t="shared" si="688"/>
        <v>0</v>
      </c>
      <c r="AN652" s="272">
        <f t="shared" si="688"/>
        <v>0</v>
      </c>
      <c r="AO652" s="272">
        <f t="shared" si="688"/>
        <v>0</v>
      </c>
      <c r="AP652" s="272">
        <f t="shared" si="688"/>
        <v>0</v>
      </c>
      <c r="AQ652" s="272">
        <f t="shared" si="688"/>
        <v>0</v>
      </c>
      <c r="AR652" s="272">
        <f t="shared" si="688"/>
        <v>0</v>
      </c>
      <c r="AS652" s="272">
        <f t="shared" si="688"/>
        <v>0</v>
      </c>
      <c r="AT652" s="272">
        <f t="shared" si="688"/>
        <v>0</v>
      </c>
      <c r="AU652" s="272">
        <f t="shared" si="688"/>
        <v>0</v>
      </c>
      <c r="AV652" s="272">
        <f t="shared" si="688"/>
        <v>0</v>
      </c>
      <c r="AW652" s="272">
        <f t="shared" si="688"/>
        <v>0</v>
      </c>
      <c r="AX652" s="272">
        <f t="shared" si="688"/>
        <v>0</v>
      </c>
      <c r="AY652" s="272">
        <f t="shared" si="688"/>
        <v>0</v>
      </c>
      <c r="AZ652" s="272">
        <f t="shared" si="688"/>
        <v>0</v>
      </c>
      <c r="BA652" s="272">
        <f t="shared" si="688"/>
        <v>0</v>
      </c>
      <c r="BB652" s="272">
        <f t="shared" si="688"/>
        <v>0</v>
      </c>
      <c r="BC652" s="272">
        <f t="shared" si="688"/>
        <v>0</v>
      </c>
      <c r="BD652" s="272">
        <f t="shared" si="688"/>
        <v>0</v>
      </c>
      <c r="BE652" s="272">
        <f t="shared" si="688"/>
        <v>0</v>
      </c>
      <c r="BF652" s="272">
        <f t="shared" si="688"/>
        <v>0</v>
      </c>
      <c r="BG652" s="272">
        <f t="shared" si="688"/>
        <v>0</v>
      </c>
      <c r="BH652" s="272">
        <f t="shared" si="688"/>
        <v>0</v>
      </c>
      <c r="BI652" s="272">
        <f t="shared" si="688"/>
        <v>0</v>
      </c>
      <c r="BJ652" s="272">
        <f t="shared" si="688"/>
        <v>0</v>
      </c>
      <c r="BK652" s="272">
        <f t="shared" si="688"/>
        <v>0</v>
      </c>
      <c r="BL652" s="272">
        <f t="shared" si="688"/>
        <v>0</v>
      </c>
      <c r="BM652" s="272">
        <f t="shared" si="688"/>
        <v>0</v>
      </c>
      <c r="BN652" s="324">
        <f t="shared" si="688"/>
        <v>0</v>
      </c>
      <c r="BP652" s="536" t="s">
        <v>1223</v>
      </c>
      <c r="BQ652" s="1438" t="str">
        <f t="shared" si="685"/>
        <v>GHG_Peata = GHG_Peata-1 + (C126 * BUI_COL (307 + ((A126 - 1) * 8) * E126 / 100) + (F126 / 100 * BUI_COL (307 + ((A126 - 1) * 8) * (100 - E126) / 100)) * BUI_COL4 / (J126-I126+1) / 1000000</v>
      </c>
      <c r="BR652" s="1438"/>
      <c r="BS652" s="1438"/>
      <c r="BT652" s="1438"/>
      <c r="BU652" s="1438"/>
      <c r="BV652" s="1438"/>
      <c r="BW652" s="1438"/>
      <c r="BX652" s="1438"/>
      <c r="BY652" s="1438"/>
      <c r="BZ652" s="1438"/>
      <c r="CA652" s="1438"/>
      <c r="CB652" s="1438"/>
      <c r="CC652" s="1438"/>
      <c r="CD652" s="1438"/>
      <c r="CE652" s="1438"/>
      <c r="CF652" s="1438"/>
      <c r="CG652" s="1438"/>
      <c r="CH652" s="1438"/>
      <c r="CI652" s="1438"/>
      <c r="CJ652" s="1438"/>
      <c r="CK652" s="1438"/>
      <c r="CL652" s="915" t="s">
        <v>2590</v>
      </c>
      <c r="CM652" s="1475" t="s">
        <v>2591</v>
      </c>
      <c r="CN652" s="1476"/>
      <c r="CO652" s="918" t="s">
        <v>1623</v>
      </c>
      <c r="CP652" s="918" t="s">
        <v>2592</v>
      </c>
    </row>
    <row r="653" spans="32:94" ht="20.100000000000001" customHeight="1">
      <c r="AF653" s="1505"/>
      <c r="AG653" s="251" t="s">
        <v>1224</v>
      </c>
      <c r="AH653" s="251">
        <f>INDEX('DEFAULT DATA'!$VE$9:$VK$41,START!$C$3,5)</f>
        <v>403</v>
      </c>
      <c r="AI653" s="360">
        <f>INDEX('DEFAULT DATA'!$AGY$9:$AIT$41,START!$C$3,(6+(($A$127-1)*8)))</f>
        <v>0</v>
      </c>
      <c r="AJ653" s="262"/>
      <c r="AK653" s="345">
        <v>0</v>
      </c>
      <c r="AL653" s="272">
        <f t="shared" ref="AL653:BN653" si="689">IF(AND(AL$647&gt;($I$127+2020),AL$647&lt;($J$127+2022)),AK653+($AH$653*$C$127*$AI$653*((100-$E$125)/100)*((100-$F$127)/100)/($J$127-$I$127+1)/1000000),AK653)</f>
        <v>0</v>
      </c>
      <c r="AM653" s="272">
        <f t="shared" si="689"/>
        <v>0</v>
      </c>
      <c r="AN653" s="272">
        <f t="shared" si="689"/>
        <v>0</v>
      </c>
      <c r="AO653" s="272">
        <f t="shared" si="689"/>
        <v>0</v>
      </c>
      <c r="AP653" s="272">
        <f t="shared" si="689"/>
        <v>0</v>
      </c>
      <c r="AQ653" s="272">
        <f t="shared" si="689"/>
        <v>0</v>
      </c>
      <c r="AR653" s="272">
        <f t="shared" si="689"/>
        <v>0</v>
      </c>
      <c r="AS653" s="272">
        <f t="shared" si="689"/>
        <v>0</v>
      </c>
      <c r="AT653" s="272">
        <f t="shared" si="689"/>
        <v>0</v>
      </c>
      <c r="AU653" s="272">
        <f t="shared" si="689"/>
        <v>0</v>
      </c>
      <c r="AV653" s="272">
        <f t="shared" si="689"/>
        <v>0</v>
      </c>
      <c r="AW653" s="272">
        <f t="shared" si="689"/>
        <v>0</v>
      </c>
      <c r="AX653" s="272">
        <f t="shared" si="689"/>
        <v>0</v>
      </c>
      <c r="AY653" s="272">
        <f t="shared" si="689"/>
        <v>0</v>
      </c>
      <c r="AZ653" s="272">
        <f t="shared" si="689"/>
        <v>0</v>
      </c>
      <c r="BA653" s="272">
        <f t="shared" si="689"/>
        <v>0</v>
      </c>
      <c r="BB653" s="272">
        <f t="shared" si="689"/>
        <v>0</v>
      </c>
      <c r="BC653" s="272">
        <f t="shared" si="689"/>
        <v>0</v>
      </c>
      <c r="BD653" s="272">
        <f t="shared" si="689"/>
        <v>0</v>
      </c>
      <c r="BE653" s="272">
        <f t="shared" si="689"/>
        <v>0</v>
      </c>
      <c r="BF653" s="272">
        <f t="shared" si="689"/>
        <v>0</v>
      </c>
      <c r="BG653" s="272">
        <f t="shared" si="689"/>
        <v>0</v>
      </c>
      <c r="BH653" s="272">
        <f t="shared" si="689"/>
        <v>0</v>
      </c>
      <c r="BI653" s="272">
        <f t="shared" si="689"/>
        <v>0</v>
      </c>
      <c r="BJ653" s="272">
        <f t="shared" si="689"/>
        <v>0</v>
      </c>
      <c r="BK653" s="272">
        <f t="shared" si="689"/>
        <v>0</v>
      </c>
      <c r="BL653" s="272">
        <f t="shared" si="689"/>
        <v>0</v>
      </c>
      <c r="BM653" s="272">
        <f t="shared" si="689"/>
        <v>0</v>
      </c>
      <c r="BN653" s="324">
        <f t="shared" si="689"/>
        <v>0</v>
      </c>
      <c r="BP653" s="536" t="s">
        <v>1224</v>
      </c>
      <c r="BQ653" s="1438" t="str">
        <f t="shared" si="685"/>
        <v>GHG_Wooda = GHG_Wooda-1 + (C126 * BUI_COL (307 + ((A126 - 1) * 8) * E126 / 100) + (F126 / 100 * BUI_COL (307 + ((A126 - 1) * 8) * (100 - E126) / 100)) * BUI_COL5 / (J126-I126+1) / 1000000</v>
      </c>
      <c r="BR653" s="1438"/>
      <c r="BS653" s="1438"/>
      <c r="BT653" s="1438"/>
      <c r="BU653" s="1438"/>
      <c r="BV653" s="1438"/>
      <c r="BW653" s="1438"/>
      <c r="BX653" s="1438"/>
      <c r="BY653" s="1438"/>
      <c r="BZ653" s="1438"/>
      <c r="CA653" s="1438"/>
      <c r="CB653" s="1438"/>
      <c r="CC653" s="1438"/>
      <c r="CD653" s="1438"/>
      <c r="CE653" s="1438"/>
      <c r="CF653" s="1438"/>
      <c r="CG653" s="1438"/>
      <c r="CH653" s="1438"/>
      <c r="CI653" s="1438"/>
      <c r="CJ653" s="1438"/>
      <c r="CK653" s="1438"/>
      <c r="CL653" s="915" t="s">
        <v>2590</v>
      </c>
      <c r="CM653" s="1475" t="s">
        <v>2591</v>
      </c>
      <c r="CN653" s="1476"/>
      <c r="CO653" s="918" t="s">
        <v>1624</v>
      </c>
      <c r="CP653" s="918" t="s">
        <v>2592</v>
      </c>
    </row>
    <row r="654" spans="32:94" ht="20.100000000000001" customHeight="1">
      <c r="AF654" s="1505"/>
      <c r="AG654" s="251" t="s">
        <v>1225</v>
      </c>
      <c r="AH654" s="251">
        <f>INDEX('DEFAULT DATA'!$VE$9:$VK$41,START!$C$3,6)</f>
        <v>0</v>
      </c>
      <c r="AI654" s="360">
        <f>INDEX('DEFAULT DATA'!$AGY$9:$AIT$41,START!$C$3,(7+(($A$127-1)*8)))</f>
        <v>0</v>
      </c>
      <c r="AJ654" s="262"/>
      <c r="AK654" s="345">
        <v>0</v>
      </c>
      <c r="AL654" s="272">
        <f t="shared" ref="AL654:BN654" si="690">IF(AND(AL$647&gt;($I$127+2020),AL$647&lt;($J$127+2022)),AK654+($AH$654*$C$127*$AI$654*((100-$E$125)/100)*((100-$F$127)/100)/($J$127-$I$127+1)/1000000),AK654)</f>
        <v>0</v>
      </c>
      <c r="AM654" s="272">
        <f t="shared" si="690"/>
        <v>0</v>
      </c>
      <c r="AN654" s="272">
        <f t="shared" si="690"/>
        <v>0</v>
      </c>
      <c r="AO654" s="272">
        <f t="shared" si="690"/>
        <v>0</v>
      </c>
      <c r="AP654" s="272">
        <f t="shared" si="690"/>
        <v>0</v>
      </c>
      <c r="AQ654" s="272">
        <f t="shared" si="690"/>
        <v>0</v>
      </c>
      <c r="AR654" s="272">
        <f t="shared" si="690"/>
        <v>0</v>
      </c>
      <c r="AS654" s="272">
        <f t="shared" si="690"/>
        <v>0</v>
      </c>
      <c r="AT654" s="272">
        <f t="shared" si="690"/>
        <v>0</v>
      </c>
      <c r="AU654" s="272">
        <f t="shared" si="690"/>
        <v>0</v>
      </c>
      <c r="AV654" s="272">
        <f t="shared" si="690"/>
        <v>0</v>
      </c>
      <c r="AW654" s="272">
        <f t="shared" si="690"/>
        <v>0</v>
      </c>
      <c r="AX654" s="272">
        <f t="shared" si="690"/>
        <v>0</v>
      </c>
      <c r="AY654" s="272">
        <f t="shared" si="690"/>
        <v>0</v>
      </c>
      <c r="AZ654" s="272">
        <f t="shared" si="690"/>
        <v>0</v>
      </c>
      <c r="BA654" s="272">
        <f t="shared" si="690"/>
        <v>0</v>
      </c>
      <c r="BB654" s="272">
        <f t="shared" si="690"/>
        <v>0</v>
      </c>
      <c r="BC654" s="272">
        <f t="shared" si="690"/>
        <v>0</v>
      </c>
      <c r="BD654" s="272">
        <f t="shared" si="690"/>
        <v>0</v>
      </c>
      <c r="BE654" s="272">
        <f t="shared" si="690"/>
        <v>0</v>
      </c>
      <c r="BF654" s="272">
        <f t="shared" si="690"/>
        <v>0</v>
      </c>
      <c r="BG654" s="272">
        <f t="shared" si="690"/>
        <v>0</v>
      </c>
      <c r="BH654" s="272">
        <f t="shared" si="690"/>
        <v>0</v>
      </c>
      <c r="BI654" s="272">
        <f t="shared" si="690"/>
        <v>0</v>
      </c>
      <c r="BJ654" s="272">
        <f t="shared" si="690"/>
        <v>0</v>
      </c>
      <c r="BK654" s="272">
        <f t="shared" si="690"/>
        <v>0</v>
      </c>
      <c r="BL654" s="272">
        <f t="shared" si="690"/>
        <v>0</v>
      </c>
      <c r="BM654" s="272">
        <f t="shared" si="690"/>
        <v>0</v>
      </c>
      <c r="BN654" s="324">
        <f t="shared" si="690"/>
        <v>0</v>
      </c>
      <c r="BP654" s="536" t="s">
        <v>1225</v>
      </c>
      <c r="BQ654" s="1438" t="str">
        <f t="shared" si="685"/>
        <v>GHG_Renewablea = GHG_Renewablea-1 + (C126 * BUI_COL (307 + ((A126 - 1) * 8) * E126 / 100) + (F126 / 100 * BUI_COL (307 + ((A126 - 1) * 8) * (100 - E126) / 100)) * BUI_COL6 / (J126-I126+1) / 1000000</v>
      </c>
      <c r="BR654" s="1438"/>
      <c r="BS654" s="1438"/>
      <c r="BT654" s="1438"/>
      <c r="BU654" s="1438"/>
      <c r="BV654" s="1438"/>
      <c r="BW654" s="1438"/>
      <c r="BX654" s="1438"/>
      <c r="BY654" s="1438"/>
      <c r="BZ654" s="1438"/>
      <c r="CA654" s="1438"/>
      <c r="CB654" s="1438"/>
      <c r="CC654" s="1438"/>
      <c r="CD654" s="1438"/>
      <c r="CE654" s="1438"/>
      <c r="CF654" s="1438"/>
      <c r="CG654" s="1438"/>
      <c r="CH654" s="1438"/>
      <c r="CI654" s="1438"/>
      <c r="CJ654" s="1438"/>
      <c r="CK654" s="1438"/>
      <c r="CL654" s="915" t="s">
        <v>2590</v>
      </c>
      <c r="CM654" s="1475" t="s">
        <v>2591</v>
      </c>
      <c r="CN654" s="1476"/>
      <c r="CO654" s="918" t="s">
        <v>1625</v>
      </c>
      <c r="CP654" s="918" t="s">
        <v>2592</v>
      </c>
    </row>
    <row r="655" spans="32:94" ht="20.100000000000001" customHeight="1" thickBot="1">
      <c r="AF655" s="1506"/>
      <c r="AG655" s="310" t="s">
        <v>1226</v>
      </c>
      <c r="AH655" s="310" t="s">
        <v>1497</v>
      </c>
      <c r="AI655" s="362">
        <f>INDEX('DEFAULT DATA'!$AGY$9:$AIT$41,START!$C$3,(8+(($A$127-1)*8)))</f>
        <v>0</v>
      </c>
      <c r="AJ655" s="335"/>
      <c r="AK655" s="348">
        <v>0</v>
      </c>
      <c r="AL655" s="325">
        <f t="shared" ref="AL655:BN655" si="691">IF(AND(AL$647&gt;($I$127+2020),AL$647&lt;($J$127+2022)),AK655+(AL$6*$C$127*$AI$655*((100-$E$125)/100)*((100-$F$127)/100)/($J$127-$I$127+1)/1000000),AK655)</f>
        <v>0</v>
      </c>
      <c r="AM655" s="325">
        <f t="shared" si="691"/>
        <v>0</v>
      </c>
      <c r="AN655" s="325">
        <f t="shared" si="691"/>
        <v>0</v>
      </c>
      <c r="AO655" s="325">
        <f t="shared" si="691"/>
        <v>0</v>
      </c>
      <c r="AP655" s="325">
        <f t="shared" si="691"/>
        <v>0</v>
      </c>
      <c r="AQ655" s="325">
        <f t="shared" si="691"/>
        <v>0</v>
      </c>
      <c r="AR655" s="325">
        <f t="shared" si="691"/>
        <v>0</v>
      </c>
      <c r="AS655" s="325">
        <f t="shared" si="691"/>
        <v>0</v>
      </c>
      <c r="AT655" s="325">
        <f t="shared" si="691"/>
        <v>0</v>
      </c>
      <c r="AU655" s="325">
        <f t="shared" si="691"/>
        <v>0</v>
      </c>
      <c r="AV655" s="325">
        <f t="shared" si="691"/>
        <v>0</v>
      </c>
      <c r="AW655" s="325">
        <f t="shared" si="691"/>
        <v>0</v>
      </c>
      <c r="AX655" s="325">
        <f t="shared" si="691"/>
        <v>0</v>
      </c>
      <c r="AY655" s="325">
        <f t="shared" si="691"/>
        <v>0</v>
      </c>
      <c r="AZ655" s="325">
        <f t="shared" si="691"/>
        <v>0</v>
      </c>
      <c r="BA655" s="325">
        <f t="shared" si="691"/>
        <v>0</v>
      </c>
      <c r="BB655" s="325">
        <f t="shared" si="691"/>
        <v>0</v>
      </c>
      <c r="BC655" s="325">
        <f t="shared" si="691"/>
        <v>0</v>
      </c>
      <c r="BD655" s="325">
        <f t="shared" si="691"/>
        <v>0</v>
      </c>
      <c r="BE655" s="325">
        <f t="shared" si="691"/>
        <v>0</v>
      </c>
      <c r="BF655" s="325">
        <f t="shared" si="691"/>
        <v>0</v>
      </c>
      <c r="BG655" s="325">
        <f t="shared" si="691"/>
        <v>0</v>
      </c>
      <c r="BH655" s="325">
        <f t="shared" si="691"/>
        <v>0</v>
      </c>
      <c r="BI655" s="325">
        <f t="shared" si="691"/>
        <v>0</v>
      </c>
      <c r="BJ655" s="325">
        <f t="shared" si="691"/>
        <v>0</v>
      </c>
      <c r="BK655" s="325">
        <f t="shared" si="691"/>
        <v>0</v>
      </c>
      <c r="BL655" s="325">
        <f t="shared" si="691"/>
        <v>0</v>
      </c>
      <c r="BM655" s="325">
        <f t="shared" si="691"/>
        <v>0</v>
      </c>
      <c r="BN655" s="326">
        <f t="shared" si="691"/>
        <v>0</v>
      </c>
      <c r="BP655" s="536" t="s">
        <v>1226</v>
      </c>
      <c r="BQ655" s="1438" t="str">
        <f t="shared" si="685"/>
        <v>GHG_Heata = GHG_Heata-1 + (C126 * BUI_COL (307 + ((A126 - 1) * 8) * E126 / 100) + (F126 / 100 * BUI_COL (307 + ((A126 - 1) * 8) * (100 - E126) / 100)) * DISTRICT_HEATING_emission_factora (from row 5) / (J126-I126+1) / 1000000</v>
      </c>
      <c r="BR655" s="1438"/>
      <c r="BS655" s="1438"/>
      <c r="BT655" s="1438"/>
      <c r="BU655" s="1438"/>
      <c r="BV655" s="1438"/>
      <c r="BW655" s="1438"/>
      <c r="BX655" s="1438"/>
      <c r="BY655" s="1438"/>
      <c r="BZ655" s="1438"/>
      <c r="CA655" s="1438"/>
      <c r="CB655" s="1438"/>
      <c r="CC655" s="1438"/>
      <c r="CD655" s="1438"/>
      <c r="CE655" s="1438"/>
      <c r="CF655" s="1438"/>
      <c r="CG655" s="1438"/>
      <c r="CH655" s="1438"/>
      <c r="CI655" s="1438"/>
      <c r="CJ655" s="1438"/>
      <c r="CK655" s="1438"/>
      <c r="CL655" s="915" t="s">
        <v>2590</v>
      </c>
      <c r="CM655" s="1475" t="s">
        <v>2591</v>
      </c>
      <c r="CN655" s="1476"/>
      <c r="CO655" s="918" t="s">
        <v>1882</v>
      </c>
      <c r="CP655" s="918" t="s">
        <v>2592</v>
      </c>
    </row>
    <row r="656" spans="32:94" ht="20.100000000000001" customHeight="1">
      <c r="AF656" s="332"/>
      <c r="AG656" s="308" t="s">
        <v>310</v>
      </c>
      <c r="AH656" s="309"/>
      <c r="AI656" s="363"/>
      <c r="AJ656" s="309"/>
      <c r="AK656" s="344">
        <v>0</v>
      </c>
      <c r="AL656" s="327">
        <f>SUM(AL648:AL655)</f>
        <v>0</v>
      </c>
      <c r="AM656" s="327">
        <f t="shared" ref="AM656" si="692">SUM(AM648:AM655)</f>
        <v>0</v>
      </c>
      <c r="AN656" s="327">
        <f t="shared" ref="AN656" si="693">SUM(AN648:AN655)</f>
        <v>0</v>
      </c>
      <c r="AO656" s="327">
        <f t="shared" ref="AO656" si="694">SUM(AO648:AO655)</f>
        <v>0</v>
      </c>
      <c r="AP656" s="327">
        <f t="shared" ref="AP656" si="695">SUM(AP648:AP655)</f>
        <v>0</v>
      </c>
      <c r="AQ656" s="327">
        <f t="shared" ref="AQ656" si="696">SUM(AQ648:AQ655)</f>
        <v>0</v>
      </c>
      <c r="AR656" s="327">
        <f t="shared" ref="AR656" si="697">SUM(AR648:AR655)</f>
        <v>0</v>
      </c>
      <c r="AS656" s="327">
        <f t="shared" ref="AS656" si="698">SUM(AS648:AS655)</f>
        <v>0</v>
      </c>
      <c r="AT656" s="327">
        <f t="shared" ref="AT656" si="699">SUM(AT648:AT655)</f>
        <v>0</v>
      </c>
      <c r="AU656" s="327">
        <f t="shared" ref="AU656" si="700">SUM(AU648:AU655)</f>
        <v>0</v>
      </c>
      <c r="AV656" s="327">
        <f t="shared" ref="AV656" si="701">SUM(AV648:AV655)</f>
        <v>0</v>
      </c>
      <c r="AW656" s="327">
        <f t="shared" ref="AW656" si="702">SUM(AW648:AW655)</f>
        <v>0</v>
      </c>
      <c r="AX656" s="327">
        <f t="shared" ref="AX656" si="703">SUM(AX648:AX655)</f>
        <v>0</v>
      </c>
      <c r="AY656" s="327">
        <f t="shared" ref="AY656" si="704">SUM(AY648:AY655)</f>
        <v>0</v>
      </c>
      <c r="AZ656" s="327">
        <f t="shared" ref="AZ656" si="705">SUM(AZ648:AZ655)</f>
        <v>0</v>
      </c>
      <c r="BA656" s="327">
        <f t="shared" ref="BA656" si="706">SUM(BA648:BA655)</f>
        <v>0</v>
      </c>
      <c r="BB656" s="327">
        <f t="shared" ref="BB656" si="707">SUM(BB648:BB655)</f>
        <v>0</v>
      </c>
      <c r="BC656" s="327">
        <f t="shared" ref="BC656" si="708">SUM(BC648:BC655)</f>
        <v>0</v>
      </c>
      <c r="BD656" s="327">
        <f t="shared" ref="BD656" si="709">SUM(BD648:BD655)</f>
        <v>0</v>
      </c>
      <c r="BE656" s="327">
        <f t="shared" ref="BE656" si="710">SUM(BE648:BE655)</f>
        <v>0</v>
      </c>
      <c r="BF656" s="327">
        <f t="shared" ref="BF656" si="711">SUM(BF648:BF655)</f>
        <v>0</v>
      </c>
      <c r="BG656" s="327">
        <f t="shared" ref="BG656" si="712">SUM(BG648:BG655)</f>
        <v>0</v>
      </c>
      <c r="BH656" s="327">
        <f t="shared" ref="BH656" si="713">SUM(BH648:BH655)</f>
        <v>0</v>
      </c>
      <c r="BI656" s="327">
        <f t="shared" ref="BI656" si="714">SUM(BI648:BI655)</f>
        <v>0</v>
      </c>
      <c r="BJ656" s="327">
        <f t="shared" ref="BJ656" si="715">SUM(BJ648:BJ655)</f>
        <v>0</v>
      </c>
      <c r="BK656" s="327">
        <f t="shared" ref="BK656" si="716">SUM(BK648:BK655)</f>
        <v>0</v>
      </c>
      <c r="BL656" s="327">
        <f t="shared" ref="BL656" si="717">SUM(BL648:BL655)</f>
        <v>0</v>
      </c>
      <c r="BM656" s="327">
        <f t="shared" ref="BM656" si="718">SUM(BM648:BM655)</f>
        <v>0</v>
      </c>
      <c r="BN656" s="327">
        <f t="shared" ref="BN656" si="719">SUM(BN648:BN655)</f>
        <v>0</v>
      </c>
    </row>
    <row r="657" spans="32:94" ht="20.100000000000001" customHeight="1">
      <c r="AI657" s="364"/>
    </row>
    <row r="658" spans="32:94" ht="20.100000000000001" customHeight="1" thickBot="1">
      <c r="AF658" s="333" t="s">
        <v>1473</v>
      </c>
      <c r="AG658" s="333"/>
      <c r="AH658" s="334" t="s">
        <v>977</v>
      </c>
      <c r="AI658" s="365" t="s">
        <v>1260</v>
      </c>
      <c r="AJ658" s="284"/>
      <c r="AK658" s="346">
        <v>2021</v>
      </c>
      <c r="AL658" s="284">
        <v>2022</v>
      </c>
      <c r="AM658" s="284">
        <v>2023</v>
      </c>
      <c r="AN658" s="284">
        <v>2024</v>
      </c>
      <c r="AO658" s="284">
        <v>2025</v>
      </c>
      <c r="AP658" s="284">
        <v>2026</v>
      </c>
      <c r="AQ658" s="284">
        <v>2027</v>
      </c>
      <c r="AR658" s="284">
        <v>2028</v>
      </c>
      <c r="AS658" s="284">
        <v>2029</v>
      </c>
      <c r="AT658" s="284">
        <v>2030</v>
      </c>
      <c r="AU658" s="284">
        <v>2031</v>
      </c>
      <c r="AV658" s="284">
        <v>2032</v>
      </c>
      <c r="AW658" s="284">
        <v>2033</v>
      </c>
      <c r="AX658" s="284">
        <v>2034</v>
      </c>
      <c r="AY658" s="284">
        <v>2035</v>
      </c>
      <c r="AZ658" s="284">
        <v>2036</v>
      </c>
      <c r="BA658" s="284">
        <v>2037</v>
      </c>
      <c r="BB658" s="284">
        <v>2038</v>
      </c>
      <c r="BC658" s="284">
        <v>2039</v>
      </c>
      <c r="BD658" s="284">
        <v>2040</v>
      </c>
      <c r="BE658" s="284">
        <v>2041</v>
      </c>
      <c r="BF658" s="284">
        <v>2042</v>
      </c>
      <c r="BG658" s="284">
        <v>2043</v>
      </c>
      <c r="BH658" s="284">
        <v>2044</v>
      </c>
      <c r="BI658" s="284">
        <v>2045</v>
      </c>
      <c r="BJ658" s="284">
        <v>2046</v>
      </c>
      <c r="BK658" s="284">
        <v>2047</v>
      </c>
      <c r="BL658" s="284">
        <v>2048</v>
      </c>
      <c r="BM658" s="284">
        <v>2049</v>
      </c>
      <c r="BN658" s="284">
        <v>2050</v>
      </c>
      <c r="BQ658" s="222" t="s">
        <v>2593</v>
      </c>
      <c r="BR658" s="417"/>
      <c r="BS658" s="417"/>
      <c r="BT658" s="417"/>
      <c r="BU658" s="417"/>
      <c r="BV658" s="417"/>
      <c r="BW658" s="417"/>
      <c r="BX658" s="417"/>
      <c r="BY658" s="417"/>
      <c r="BZ658" s="417"/>
      <c r="CA658" s="417"/>
      <c r="CB658" s="417"/>
      <c r="CC658" s="417"/>
      <c r="CD658" s="417"/>
      <c r="CE658" s="417"/>
      <c r="CF658" s="417"/>
      <c r="CG658" s="417"/>
      <c r="CH658" s="417"/>
      <c r="CI658" s="417"/>
      <c r="CJ658" s="417"/>
      <c r="CK658" s="417"/>
      <c r="CL658" s="944" t="s">
        <v>2581</v>
      </c>
      <c r="CM658" s="279" t="s">
        <v>2582</v>
      </c>
      <c r="CN658" s="279"/>
      <c r="CO658" s="945" t="s">
        <v>1598</v>
      </c>
      <c r="CP658" s="279" t="s">
        <v>2552</v>
      </c>
    </row>
    <row r="659" spans="32:94" ht="20.100000000000001" customHeight="1">
      <c r="AF659" s="1504" t="str">
        <f>INDEX('MENU OPTIONS'!B31:B36,A128,1)</f>
        <v>Health</v>
      </c>
      <c r="AG659" s="286" t="s">
        <v>933</v>
      </c>
      <c r="AH659" s="286" t="s">
        <v>1496</v>
      </c>
      <c r="AI659" s="361">
        <f>INDEX('DEFAULT DATA'!$AGY$9:$AIT$41,START!$C$3,(1+(($A$128-1)*8)))</f>
        <v>0</v>
      </c>
      <c r="AJ659" s="330"/>
      <c r="AK659" s="343">
        <v>0</v>
      </c>
      <c r="AL659" s="322">
        <f t="shared" ref="AL659:BN659" si="720">IF(AND(AL$658&gt;($I$128+2020),AL$658&lt;($J$128+2022)),AK659+(AL$5*$C$128*$AI$659*((100-$E$128)/100)*((100-$F$128)/100)/($J$128-$I$128+1)/1000000),AK659)</f>
        <v>0</v>
      </c>
      <c r="AM659" s="322">
        <f t="shared" si="720"/>
        <v>0</v>
      </c>
      <c r="AN659" s="322">
        <f t="shared" si="720"/>
        <v>0</v>
      </c>
      <c r="AO659" s="322">
        <f t="shared" si="720"/>
        <v>0</v>
      </c>
      <c r="AP659" s="322">
        <f t="shared" si="720"/>
        <v>0</v>
      </c>
      <c r="AQ659" s="322">
        <f t="shared" si="720"/>
        <v>0</v>
      </c>
      <c r="AR659" s="322">
        <f t="shared" si="720"/>
        <v>0</v>
      </c>
      <c r="AS659" s="322">
        <f t="shared" si="720"/>
        <v>0</v>
      </c>
      <c r="AT659" s="322">
        <f t="shared" si="720"/>
        <v>0</v>
      </c>
      <c r="AU659" s="322">
        <f t="shared" si="720"/>
        <v>0</v>
      </c>
      <c r="AV659" s="322">
        <f t="shared" si="720"/>
        <v>0</v>
      </c>
      <c r="AW659" s="322">
        <f t="shared" si="720"/>
        <v>0</v>
      </c>
      <c r="AX659" s="322">
        <f t="shared" si="720"/>
        <v>0</v>
      </c>
      <c r="AY659" s="322">
        <f t="shared" si="720"/>
        <v>0</v>
      </c>
      <c r="AZ659" s="322">
        <f t="shared" si="720"/>
        <v>0</v>
      </c>
      <c r="BA659" s="322">
        <f t="shared" si="720"/>
        <v>0</v>
      </c>
      <c r="BB659" s="322">
        <f t="shared" si="720"/>
        <v>0</v>
      </c>
      <c r="BC659" s="322">
        <f t="shared" si="720"/>
        <v>0</v>
      </c>
      <c r="BD659" s="322">
        <f t="shared" si="720"/>
        <v>0</v>
      </c>
      <c r="BE659" s="322">
        <f t="shared" si="720"/>
        <v>0</v>
      </c>
      <c r="BF659" s="322">
        <f t="shared" si="720"/>
        <v>0</v>
      </c>
      <c r="BG659" s="322">
        <f t="shared" si="720"/>
        <v>0</v>
      </c>
      <c r="BH659" s="322">
        <f t="shared" si="720"/>
        <v>0</v>
      </c>
      <c r="BI659" s="322">
        <f t="shared" si="720"/>
        <v>0</v>
      </c>
      <c r="BJ659" s="322">
        <f t="shared" si="720"/>
        <v>0</v>
      </c>
      <c r="BK659" s="322">
        <f t="shared" si="720"/>
        <v>0</v>
      </c>
      <c r="BL659" s="322">
        <f t="shared" si="720"/>
        <v>0</v>
      </c>
      <c r="BM659" s="322">
        <f t="shared" si="720"/>
        <v>0</v>
      </c>
      <c r="BN659" s="323">
        <f t="shared" si="720"/>
        <v>0</v>
      </c>
      <c r="BP659" s="536" t="s">
        <v>933</v>
      </c>
      <c r="BQ659" s="1438" t="str">
        <f>CONCATENATE("GHG_",BP659,"a = GHG_",BP659,"a-1 + (C127 * ",CL659," * E127 / 100) + (F127 / 100 * ",CM659,")) * ",CO659," / (",CP659,") / 1000000")</f>
        <v>GHG_Electricitya = GHG_Electricitya-1 + (C127 * BUI_COL (307 + ((A127 - 1) * 8) * E127 / 100) + (F127 / 100 * BUI_COL (307 + ((A127 - 1) * 8) * (100 - E127) / 100)) * GRID_ELECTRICITY_emission_factora (from row4) / (J127-I127+1) / 1000000</v>
      </c>
      <c r="BR659" s="1438"/>
      <c r="BS659" s="1438"/>
      <c r="BT659" s="1438"/>
      <c r="BU659" s="1438"/>
      <c r="BV659" s="1438"/>
      <c r="BW659" s="1438"/>
      <c r="BX659" s="1438"/>
      <c r="BY659" s="1438"/>
      <c r="BZ659" s="1438"/>
      <c r="CA659" s="1438"/>
      <c r="CB659" s="1438"/>
      <c r="CC659" s="1438"/>
      <c r="CD659" s="1438"/>
      <c r="CE659" s="1438"/>
      <c r="CF659" s="1438"/>
      <c r="CG659" s="1438"/>
      <c r="CH659" s="1438"/>
      <c r="CI659" s="1438"/>
      <c r="CJ659" s="1438"/>
      <c r="CK659" s="1438"/>
      <c r="CL659" s="915" t="s">
        <v>2594</v>
      </c>
      <c r="CM659" s="1475" t="s">
        <v>2595</v>
      </c>
      <c r="CN659" s="1476"/>
      <c r="CO659" s="918" t="s">
        <v>1881</v>
      </c>
      <c r="CP659" s="918" t="s">
        <v>2596</v>
      </c>
    </row>
    <row r="660" spans="32:94" ht="20.100000000000001" customHeight="1">
      <c r="AF660" s="1505"/>
      <c r="AG660" s="251" t="s">
        <v>1220</v>
      </c>
      <c r="AH660" s="251">
        <f>INDEX('DEFAULT DATA'!$VE$9:$VK$41,START!$C$3,1)</f>
        <v>202</v>
      </c>
      <c r="AI660" s="360">
        <f>INDEX('DEFAULT DATA'!$AGY$9:$AIT$41,START!$C$3,(2+(($A$128-1)*8)))</f>
        <v>0</v>
      </c>
      <c r="AJ660" s="262"/>
      <c r="AK660" s="345">
        <v>0</v>
      </c>
      <c r="AL660" s="272">
        <f t="shared" ref="AL660:BN660" si="721">IF(AND(AL$658&gt;($I$128+2020),AL$658&lt;($J$128+2022)),AK660+($AH$660*$C$128*$AI$660*((100-$E$128)/100)*((100-$F$128)/100)/($J$128-$I$128+1)/1000000),AK660)</f>
        <v>0</v>
      </c>
      <c r="AM660" s="272">
        <f t="shared" si="721"/>
        <v>0</v>
      </c>
      <c r="AN660" s="272">
        <f t="shared" si="721"/>
        <v>0</v>
      </c>
      <c r="AO660" s="272">
        <f t="shared" si="721"/>
        <v>0</v>
      </c>
      <c r="AP660" s="272">
        <f t="shared" si="721"/>
        <v>0</v>
      </c>
      <c r="AQ660" s="272">
        <f t="shared" si="721"/>
        <v>0</v>
      </c>
      <c r="AR660" s="272">
        <f t="shared" si="721"/>
        <v>0</v>
      </c>
      <c r="AS660" s="272">
        <f t="shared" si="721"/>
        <v>0</v>
      </c>
      <c r="AT660" s="272">
        <f t="shared" si="721"/>
        <v>0</v>
      </c>
      <c r="AU660" s="272">
        <f t="shared" si="721"/>
        <v>0</v>
      </c>
      <c r="AV660" s="272">
        <f t="shared" si="721"/>
        <v>0</v>
      </c>
      <c r="AW660" s="272">
        <f t="shared" si="721"/>
        <v>0</v>
      </c>
      <c r="AX660" s="272">
        <f t="shared" si="721"/>
        <v>0</v>
      </c>
      <c r="AY660" s="272">
        <f t="shared" si="721"/>
        <v>0</v>
      </c>
      <c r="AZ660" s="272">
        <f t="shared" si="721"/>
        <v>0</v>
      </c>
      <c r="BA660" s="272">
        <f t="shared" si="721"/>
        <v>0</v>
      </c>
      <c r="BB660" s="272">
        <f t="shared" si="721"/>
        <v>0</v>
      </c>
      <c r="BC660" s="272">
        <f t="shared" si="721"/>
        <v>0</v>
      </c>
      <c r="BD660" s="272">
        <f t="shared" si="721"/>
        <v>0</v>
      </c>
      <c r="BE660" s="272">
        <f t="shared" si="721"/>
        <v>0</v>
      </c>
      <c r="BF660" s="272">
        <f t="shared" si="721"/>
        <v>0</v>
      </c>
      <c r="BG660" s="272">
        <f t="shared" si="721"/>
        <v>0</v>
      </c>
      <c r="BH660" s="272">
        <f t="shared" si="721"/>
        <v>0</v>
      </c>
      <c r="BI660" s="272">
        <f t="shared" si="721"/>
        <v>0</v>
      </c>
      <c r="BJ660" s="272">
        <f t="shared" si="721"/>
        <v>0</v>
      </c>
      <c r="BK660" s="272">
        <f t="shared" si="721"/>
        <v>0</v>
      </c>
      <c r="BL660" s="272">
        <f t="shared" si="721"/>
        <v>0</v>
      </c>
      <c r="BM660" s="272">
        <f t="shared" si="721"/>
        <v>0</v>
      </c>
      <c r="BN660" s="324">
        <f t="shared" si="721"/>
        <v>0</v>
      </c>
      <c r="BP660" s="536" t="s">
        <v>1220</v>
      </c>
      <c r="BQ660" s="1438" t="str">
        <f t="shared" ref="BQ660:BQ666" si="722">CONCATENATE("GHG_",BP660,"a = GHG_",BP660,"a-1 + (C127 * ",CL660," * E127 / 100) + (F127 / 100 * ",CM660,")) * ",CO660," / (",CP660,") / 1000000")</f>
        <v>GHG_Gasa = GHG_Gasa-1 + (C127 * BUI_COL (307 + ((A127 - 1) * 8) * E127 / 100) + (F127 / 100 * BUI_COL (307 + ((A127 - 1) * 8) * (100 - E127) / 100)) * BUI_COL1 / (J127-I127+1) / 1000000</v>
      </c>
      <c r="BR660" s="1438"/>
      <c r="BS660" s="1438"/>
      <c r="BT660" s="1438"/>
      <c r="BU660" s="1438"/>
      <c r="BV660" s="1438"/>
      <c r="BW660" s="1438"/>
      <c r="BX660" s="1438"/>
      <c r="BY660" s="1438"/>
      <c r="BZ660" s="1438"/>
      <c r="CA660" s="1438"/>
      <c r="CB660" s="1438"/>
      <c r="CC660" s="1438"/>
      <c r="CD660" s="1438"/>
      <c r="CE660" s="1438"/>
      <c r="CF660" s="1438"/>
      <c r="CG660" s="1438"/>
      <c r="CH660" s="1438"/>
      <c r="CI660" s="1438"/>
      <c r="CJ660" s="1438"/>
      <c r="CK660" s="1438"/>
      <c r="CL660" s="915" t="s">
        <v>2594</v>
      </c>
      <c r="CM660" s="1475" t="s">
        <v>2595</v>
      </c>
      <c r="CN660" s="1476"/>
      <c r="CO660" s="918" t="s">
        <v>1248</v>
      </c>
      <c r="CP660" s="918" t="s">
        <v>2596</v>
      </c>
    </row>
    <row r="661" spans="32:94" ht="20.100000000000001" customHeight="1">
      <c r="AF661" s="1505"/>
      <c r="AG661" s="251" t="s">
        <v>1221</v>
      </c>
      <c r="AH661" s="251">
        <f>INDEX('DEFAULT DATA'!$VE$9:$VK$41,START!$C$3,2)</f>
        <v>279</v>
      </c>
      <c r="AI661" s="360">
        <f>INDEX('DEFAULT DATA'!$AGY$9:$AIT$41,START!$C$3,(3+(($A$128-1)*8)))</f>
        <v>0</v>
      </c>
      <c r="AJ661" s="262"/>
      <c r="AK661" s="345">
        <v>0</v>
      </c>
      <c r="AL661" s="272">
        <f t="shared" ref="AL661:BN661" si="723">IF(AND(AL$658&gt;($I$128+2020),AL$658&lt;($J$128+2022)),AK661+($AH$661*$C$128*$AI$661*((100-$E$128)/100)*((100-$F$128)/100)/($J$128-$I$128+1)/1000000),AK661)</f>
        <v>0</v>
      </c>
      <c r="AM661" s="272">
        <f t="shared" si="723"/>
        <v>0</v>
      </c>
      <c r="AN661" s="272">
        <f t="shared" si="723"/>
        <v>0</v>
      </c>
      <c r="AO661" s="272">
        <f t="shared" si="723"/>
        <v>0</v>
      </c>
      <c r="AP661" s="272">
        <f t="shared" si="723"/>
        <v>0</v>
      </c>
      <c r="AQ661" s="272">
        <f t="shared" si="723"/>
        <v>0</v>
      </c>
      <c r="AR661" s="272">
        <f t="shared" si="723"/>
        <v>0</v>
      </c>
      <c r="AS661" s="272">
        <f t="shared" si="723"/>
        <v>0</v>
      </c>
      <c r="AT661" s="272">
        <f t="shared" si="723"/>
        <v>0</v>
      </c>
      <c r="AU661" s="272">
        <f t="shared" si="723"/>
        <v>0</v>
      </c>
      <c r="AV661" s="272">
        <f t="shared" si="723"/>
        <v>0</v>
      </c>
      <c r="AW661" s="272">
        <f t="shared" si="723"/>
        <v>0</v>
      </c>
      <c r="AX661" s="272">
        <f t="shared" si="723"/>
        <v>0</v>
      </c>
      <c r="AY661" s="272">
        <f t="shared" si="723"/>
        <v>0</v>
      </c>
      <c r="AZ661" s="272">
        <f t="shared" si="723"/>
        <v>0</v>
      </c>
      <c r="BA661" s="272">
        <f t="shared" si="723"/>
        <v>0</v>
      </c>
      <c r="BB661" s="272">
        <f t="shared" si="723"/>
        <v>0</v>
      </c>
      <c r="BC661" s="272">
        <f t="shared" si="723"/>
        <v>0</v>
      </c>
      <c r="BD661" s="272">
        <f t="shared" si="723"/>
        <v>0</v>
      </c>
      <c r="BE661" s="272">
        <f t="shared" si="723"/>
        <v>0</v>
      </c>
      <c r="BF661" s="272">
        <f t="shared" si="723"/>
        <v>0</v>
      </c>
      <c r="BG661" s="272">
        <f t="shared" si="723"/>
        <v>0</v>
      </c>
      <c r="BH661" s="272">
        <f t="shared" si="723"/>
        <v>0</v>
      </c>
      <c r="BI661" s="272">
        <f t="shared" si="723"/>
        <v>0</v>
      </c>
      <c r="BJ661" s="272">
        <f t="shared" si="723"/>
        <v>0</v>
      </c>
      <c r="BK661" s="272">
        <f t="shared" si="723"/>
        <v>0</v>
      </c>
      <c r="BL661" s="272">
        <f t="shared" si="723"/>
        <v>0</v>
      </c>
      <c r="BM661" s="272">
        <f t="shared" si="723"/>
        <v>0</v>
      </c>
      <c r="BN661" s="324">
        <f t="shared" si="723"/>
        <v>0</v>
      </c>
      <c r="BP661" s="536" t="s">
        <v>1221</v>
      </c>
      <c r="BQ661" s="1438" t="str">
        <f t="shared" si="722"/>
        <v>GHG_Oila = GHG_Oila-1 + (C127 * BUI_COL (307 + ((A127 - 1) * 8) * E127 / 100) + (F127 / 100 * BUI_COL (307 + ((A127 - 1) * 8) * (100 - E127) / 100)) * BUI_COL2 / (J127-I127+1) / 1000000</v>
      </c>
      <c r="BR661" s="1438"/>
      <c r="BS661" s="1438"/>
      <c r="BT661" s="1438"/>
      <c r="BU661" s="1438"/>
      <c r="BV661" s="1438"/>
      <c r="BW661" s="1438"/>
      <c r="BX661" s="1438"/>
      <c r="BY661" s="1438"/>
      <c r="BZ661" s="1438"/>
      <c r="CA661" s="1438"/>
      <c r="CB661" s="1438"/>
      <c r="CC661" s="1438"/>
      <c r="CD661" s="1438"/>
      <c r="CE661" s="1438"/>
      <c r="CF661" s="1438"/>
      <c r="CG661" s="1438"/>
      <c r="CH661" s="1438"/>
      <c r="CI661" s="1438"/>
      <c r="CJ661" s="1438"/>
      <c r="CK661" s="1438"/>
      <c r="CL661" s="915" t="s">
        <v>2594</v>
      </c>
      <c r="CM661" s="1475" t="s">
        <v>2595</v>
      </c>
      <c r="CN661" s="1476"/>
      <c r="CO661" s="918" t="s">
        <v>1621</v>
      </c>
      <c r="CP661" s="918" t="s">
        <v>2596</v>
      </c>
    </row>
    <row r="662" spans="32:94" ht="20.100000000000001" customHeight="1">
      <c r="AF662" s="1505"/>
      <c r="AG662" s="251" t="s">
        <v>1222</v>
      </c>
      <c r="AH662" s="251">
        <f>INDEX('DEFAULT DATA'!$VE$9:$VK$41,START!$C$3,3)</f>
        <v>354</v>
      </c>
      <c r="AI662" s="360">
        <f>INDEX('DEFAULT DATA'!$AGY$9:$AIT$41,START!$C$3,(4+(($A$128-1)*8)))</f>
        <v>0</v>
      </c>
      <c r="AJ662" s="262"/>
      <c r="AK662" s="345">
        <v>0</v>
      </c>
      <c r="AL662" s="272">
        <f t="shared" ref="AL662:BN662" si="724">IF(AND(AL$658&gt;($I$128+2020),AL$658&lt;($J$128+2022)),AK662+($AH$662*$C$128*$AI$662*((100-$E$128)/100)*((100-$F$128)/100)/($J$128-$I$128+1)/1000000),AK662)</f>
        <v>0</v>
      </c>
      <c r="AM662" s="272">
        <f t="shared" si="724"/>
        <v>0</v>
      </c>
      <c r="AN662" s="272">
        <f t="shared" si="724"/>
        <v>0</v>
      </c>
      <c r="AO662" s="272">
        <f t="shared" si="724"/>
        <v>0</v>
      </c>
      <c r="AP662" s="272">
        <f t="shared" si="724"/>
        <v>0</v>
      </c>
      <c r="AQ662" s="272">
        <f t="shared" si="724"/>
        <v>0</v>
      </c>
      <c r="AR662" s="272">
        <f t="shared" si="724"/>
        <v>0</v>
      </c>
      <c r="AS662" s="272">
        <f t="shared" si="724"/>
        <v>0</v>
      </c>
      <c r="AT662" s="272">
        <f t="shared" si="724"/>
        <v>0</v>
      </c>
      <c r="AU662" s="272">
        <f t="shared" si="724"/>
        <v>0</v>
      </c>
      <c r="AV662" s="272">
        <f t="shared" si="724"/>
        <v>0</v>
      </c>
      <c r="AW662" s="272">
        <f t="shared" si="724"/>
        <v>0</v>
      </c>
      <c r="AX662" s="272">
        <f t="shared" si="724"/>
        <v>0</v>
      </c>
      <c r="AY662" s="272">
        <f t="shared" si="724"/>
        <v>0</v>
      </c>
      <c r="AZ662" s="272">
        <f t="shared" si="724"/>
        <v>0</v>
      </c>
      <c r="BA662" s="272">
        <f t="shared" si="724"/>
        <v>0</v>
      </c>
      <c r="BB662" s="272">
        <f t="shared" si="724"/>
        <v>0</v>
      </c>
      <c r="BC662" s="272">
        <f t="shared" si="724"/>
        <v>0</v>
      </c>
      <c r="BD662" s="272">
        <f t="shared" si="724"/>
        <v>0</v>
      </c>
      <c r="BE662" s="272">
        <f t="shared" si="724"/>
        <v>0</v>
      </c>
      <c r="BF662" s="272">
        <f t="shared" si="724"/>
        <v>0</v>
      </c>
      <c r="BG662" s="272">
        <f t="shared" si="724"/>
        <v>0</v>
      </c>
      <c r="BH662" s="272">
        <f t="shared" si="724"/>
        <v>0</v>
      </c>
      <c r="BI662" s="272">
        <f t="shared" si="724"/>
        <v>0</v>
      </c>
      <c r="BJ662" s="272">
        <f t="shared" si="724"/>
        <v>0</v>
      </c>
      <c r="BK662" s="272">
        <f t="shared" si="724"/>
        <v>0</v>
      </c>
      <c r="BL662" s="272">
        <f t="shared" si="724"/>
        <v>0</v>
      </c>
      <c r="BM662" s="272">
        <f t="shared" si="724"/>
        <v>0</v>
      </c>
      <c r="BN662" s="324">
        <f t="shared" si="724"/>
        <v>0</v>
      </c>
      <c r="BP662" s="536" t="s">
        <v>1222</v>
      </c>
      <c r="BQ662" s="1438" t="str">
        <f t="shared" si="722"/>
        <v>GHG_Coala = GHG_Coala-1 + (C127 * BUI_COL (307 + ((A127 - 1) * 8) * E127 / 100) + (F127 / 100 * BUI_COL (307 + ((A127 - 1) * 8) * (100 - E127) / 100)) * BUI_COL3 / (J127-I127+1) / 1000000</v>
      </c>
      <c r="BR662" s="1438"/>
      <c r="BS662" s="1438"/>
      <c r="BT662" s="1438"/>
      <c r="BU662" s="1438"/>
      <c r="BV662" s="1438"/>
      <c r="BW662" s="1438"/>
      <c r="BX662" s="1438"/>
      <c r="BY662" s="1438"/>
      <c r="BZ662" s="1438"/>
      <c r="CA662" s="1438"/>
      <c r="CB662" s="1438"/>
      <c r="CC662" s="1438"/>
      <c r="CD662" s="1438"/>
      <c r="CE662" s="1438"/>
      <c r="CF662" s="1438"/>
      <c r="CG662" s="1438"/>
      <c r="CH662" s="1438"/>
      <c r="CI662" s="1438"/>
      <c r="CJ662" s="1438"/>
      <c r="CK662" s="1438"/>
      <c r="CL662" s="915" t="s">
        <v>2594</v>
      </c>
      <c r="CM662" s="1475" t="s">
        <v>2595</v>
      </c>
      <c r="CN662" s="1476"/>
      <c r="CO662" s="918" t="s">
        <v>1622</v>
      </c>
      <c r="CP662" s="918" t="s">
        <v>2596</v>
      </c>
    </row>
    <row r="663" spans="32:94" ht="20.100000000000001" customHeight="1">
      <c r="AF663" s="1505"/>
      <c r="AG663" s="251" t="s">
        <v>1223</v>
      </c>
      <c r="AH663" s="251">
        <f>INDEX('DEFAULT DATA'!$VE$9:$VK$41,START!$C$3,4)</f>
        <v>0</v>
      </c>
      <c r="AI663" s="360">
        <f>INDEX('DEFAULT DATA'!$AGY$9:$AIT$41,START!$C$3,(5+(($A$128-1)*8)))</f>
        <v>0</v>
      </c>
      <c r="AJ663" s="262"/>
      <c r="AK663" s="345">
        <v>0</v>
      </c>
      <c r="AL663" s="272">
        <f t="shared" ref="AL663:BN663" si="725">IF(AND(AL$658&gt;($I$128+2020),AL$658&lt;($J$128+2022)),AK663+($AH$663*$C$128*$AI$663*((100-$E$128)/100)*((100-$F$128)/100)/($J$128-$I$128+1)/1000000),AK663)</f>
        <v>0</v>
      </c>
      <c r="AM663" s="272">
        <f t="shared" si="725"/>
        <v>0</v>
      </c>
      <c r="AN663" s="272">
        <f t="shared" si="725"/>
        <v>0</v>
      </c>
      <c r="AO663" s="272">
        <f t="shared" si="725"/>
        <v>0</v>
      </c>
      <c r="AP663" s="272">
        <f t="shared" si="725"/>
        <v>0</v>
      </c>
      <c r="AQ663" s="272">
        <f t="shared" si="725"/>
        <v>0</v>
      </c>
      <c r="AR663" s="272">
        <f t="shared" si="725"/>
        <v>0</v>
      </c>
      <c r="AS663" s="272">
        <f t="shared" si="725"/>
        <v>0</v>
      </c>
      <c r="AT663" s="272">
        <f t="shared" si="725"/>
        <v>0</v>
      </c>
      <c r="AU663" s="272">
        <f t="shared" si="725"/>
        <v>0</v>
      </c>
      <c r="AV663" s="272">
        <f t="shared" si="725"/>
        <v>0</v>
      </c>
      <c r="AW663" s="272">
        <f t="shared" si="725"/>
        <v>0</v>
      </c>
      <c r="AX663" s="272">
        <f t="shared" si="725"/>
        <v>0</v>
      </c>
      <c r="AY663" s="272">
        <f t="shared" si="725"/>
        <v>0</v>
      </c>
      <c r="AZ663" s="272">
        <f t="shared" si="725"/>
        <v>0</v>
      </c>
      <c r="BA663" s="272">
        <f t="shared" si="725"/>
        <v>0</v>
      </c>
      <c r="BB663" s="272">
        <f t="shared" si="725"/>
        <v>0</v>
      </c>
      <c r="BC663" s="272">
        <f t="shared" si="725"/>
        <v>0</v>
      </c>
      <c r="BD663" s="272">
        <f t="shared" si="725"/>
        <v>0</v>
      </c>
      <c r="BE663" s="272">
        <f t="shared" si="725"/>
        <v>0</v>
      </c>
      <c r="BF663" s="272">
        <f t="shared" si="725"/>
        <v>0</v>
      </c>
      <c r="BG663" s="272">
        <f t="shared" si="725"/>
        <v>0</v>
      </c>
      <c r="BH663" s="272">
        <f t="shared" si="725"/>
        <v>0</v>
      </c>
      <c r="BI663" s="272">
        <f t="shared" si="725"/>
        <v>0</v>
      </c>
      <c r="BJ663" s="272">
        <f t="shared" si="725"/>
        <v>0</v>
      </c>
      <c r="BK663" s="272">
        <f t="shared" si="725"/>
        <v>0</v>
      </c>
      <c r="BL663" s="272">
        <f t="shared" si="725"/>
        <v>0</v>
      </c>
      <c r="BM663" s="272">
        <f t="shared" si="725"/>
        <v>0</v>
      </c>
      <c r="BN663" s="324">
        <f t="shared" si="725"/>
        <v>0</v>
      </c>
      <c r="BP663" s="536" t="s">
        <v>1223</v>
      </c>
      <c r="BQ663" s="1438" t="str">
        <f t="shared" si="722"/>
        <v>GHG_Peata = GHG_Peata-1 + (C127 * BUI_COL (307 + ((A127 - 1) * 8) * E127 / 100) + (F127 / 100 * BUI_COL (307 + ((A127 - 1) * 8) * (100 - E127) / 100)) * BUI_COL4 / (J127-I127+1) / 1000000</v>
      </c>
      <c r="BR663" s="1438"/>
      <c r="BS663" s="1438"/>
      <c r="BT663" s="1438"/>
      <c r="BU663" s="1438"/>
      <c r="BV663" s="1438"/>
      <c r="BW663" s="1438"/>
      <c r="BX663" s="1438"/>
      <c r="BY663" s="1438"/>
      <c r="BZ663" s="1438"/>
      <c r="CA663" s="1438"/>
      <c r="CB663" s="1438"/>
      <c r="CC663" s="1438"/>
      <c r="CD663" s="1438"/>
      <c r="CE663" s="1438"/>
      <c r="CF663" s="1438"/>
      <c r="CG663" s="1438"/>
      <c r="CH663" s="1438"/>
      <c r="CI663" s="1438"/>
      <c r="CJ663" s="1438"/>
      <c r="CK663" s="1438"/>
      <c r="CL663" s="915" t="s">
        <v>2594</v>
      </c>
      <c r="CM663" s="1475" t="s">
        <v>2595</v>
      </c>
      <c r="CN663" s="1476"/>
      <c r="CO663" s="918" t="s">
        <v>1623</v>
      </c>
      <c r="CP663" s="918" t="s">
        <v>2596</v>
      </c>
    </row>
    <row r="664" spans="32:94" ht="20.100000000000001" customHeight="1">
      <c r="AF664" s="1505"/>
      <c r="AG664" s="251" t="s">
        <v>1224</v>
      </c>
      <c r="AH664" s="251">
        <f>INDEX('DEFAULT DATA'!$VE$9:$VK$41,START!$C$3,5)</f>
        <v>403</v>
      </c>
      <c r="AI664" s="360">
        <f>INDEX('DEFAULT DATA'!$AGY$9:$AIT$41,START!$C$3,(6+(($A$128-1)*8)))</f>
        <v>0</v>
      </c>
      <c r="AJ664" s="262"/>
      <c r="AK664" s="345">
        <v>0</v>
      </c>
      <c r="AL664" s="272">
        <f t="shared" ref="AL664:BN664" si="726">IF(AND(AL$658&gt;($I$128+2020),AL$658&lt;($J$128+2022)),AK664+($AH$664*$C$128*$AI$664*((100-$E$128)/100)*((100-$F$128)/100)/($J$128-$I$128+1)/1000000),AK664)</f>
        <v>0</v>
      </c>
      <c r="AM664" s="272">
        <f t="shared" si="726"/>
        <v>0</v>
      </c>
      <c r="AN664" s="272">
        <f t="shared" si="726"/>
        <v>0</v>
      </c>
      <c r="AO664" s="272">
        <f t="shared" si="726"/>
        <v>0</v>
      </c>
      <c r="AP664" s="272">
        <f t="shared" si="726"/>
        <v>0</v>
      </c>
      <c r="AQ664" s="272">
        <f t="shared" si="726"/>
        <v>0</v>
      </c>
      <c r="AR664" s="272">
        <f t="shared" si="726"/>
        <v>0</v>
      </c>
      <c r="AS664" s="272">
        <f t="shared" si="726"/>
        <v>0</v>
      </c>
      <c r="AT664" s="272">
        <f t="shared" si="726"/>
        <v>0</v>
      </c>
      <c r="AU664" s="272">
        <f t="shared" si="726"/>
        <v>0</v>
      </c>
      <c r="AV664" s="272">
        <f t="shared" si="726"/>
        <v>0</v>
      </c>
      <c r="AW664" s="272">
        <f t="shared" si="726"/>
        <v>0</v>
      </c>
      <c r="AX664" s="272">
        <f t="shared" si="726"/>
        <v>0</v>
      </c>
      <c r="AY664" s="272">
        <f t="shared" si="726"/>
        <v>0</v>
      </c>
      <c r="AZ664" s="272">
        <f t="shared" si="726"/>
        <v>0</v>
      </c>
      <c r="BA664" s="272">
        <f t="shared" si="726"/>
        <v>0</v>
      </c>
      <c r="BB664" s="272">
        <f t="shared" si="726"/>
        <v>0</v>
      </c>
      <c r="BC664" s="272">
        <f t="shared" si="726"/>
        <v>0</v>
      </c>
      <c r="BD664" s="272">
        <f t="shared" si="726"/>
        <v>0</v>
      </c>
      <c r="BE664" s="272">
        <f t="shared" si="726"/>
        <v>0</v>
      </c>
      <c r="BF664" s="272">
        <f t="shared" si="726"/>
        <v>0</v>
      </c>
      <c r="BG664" s="272">
        <f t="shared" si="726"/>
        <v>0</v>
      </c>
      <c r="BH664" s="272">
        <f t="shared" si="726"/>
        <v>0</v>
      </c>
      <c r="BI664" s="272">
        <f t="shared" si="726"/>
        <v>0</v>
      </c>
      <c r="BJ664" s="272">
        <f t="shared" si="726"/>
        <v>0</v>
      </c>
      <c r="BK664" s="272">
        <f t="shared" si="726"/>
        <v>0</v>
      </c>
      <c r="BL664" s="272">
        <f t="shared" si="726"/>
        <v>0</v>
      </c>
      <c r="BM664" s="272">
        <f t="shared" si="726"/>
        <v>0</v>
      </c>
      <c r="BN664" s="324">
        <f t="shared" si="726"/>
        <v>0</v>
      </c>
      <c r="BP664" s="536" t="s">
        <v>1224</v>
      </c>
      <c r="BQ664" s="1438" t="str">
        <f t="shared" si="722"/>
        <v>GHG_Wooda = GHG_Wooda-1 + (C127 * BUI_COL (307 + ((A127 - 1) * 8) * E127 / 100) + (F127 / 100 * BUI_COL (307 + ((A127 - 1) * 8) * (100 - E127) / 100)) * BUI_COL5 / (J127-I127+1) / 1000000</v>
      </c>
      <c r="BR664" s="1438"/>
      <c r="BS664" s="1438"/>
      <c r="BT664" s="1438"/>
      <c r="BU664" s="1438"/>
      <c r="BV664" s="1438"/>
      <c r="BW664" s="1438"/>
      <c r="BX664" s="1438"/>
      <c r="BY664" s="1438"/>
      <c r="BZ664" s="1438"/>
      <c r="CA664" s="1438"/>
      <c r="CB664" s="1438"/>
      <c r="CC664" s="1438"/>
      <c r="CD664" s="1438"/>
      <c r="CE664" s="1438"/>
      <c r="CF664" s="1438"/>
      <c r="CG664" s="1438"/>
      <c r="CH664" s="1438"/>
      <c r="CI664" s="1438"/>
      <c r="CJ664" s="1438"/>
      <c r="CK664" s="1438"/>
      <c r="CL664" s="915" t="s">
        <v>2594</v>
      </c>
      <c r="CM664" s="1475" t="s">
        <v>2595</v>
      </c>
      <c r="CN664" s="1476"/>
      <c r="CO664" s="918" t="s">
        <v>1624</v>
      </c>
      <c r="CP664" s="918" t="s">
        <v>2596</v>
      </c>
    </row>
    <row r="665" spans="32:94" ht="20.100000000000001" customHeight="1">
      <c r="AF665" s="1505"/>
      <c r="AG665" s="251" t="s">
        <v>1225</v>
      </c>
      <c r="AH665" s="251">
        <f>INDEX('DEFAULT DATA'!$VE$9:$VK$41,START!$C$3,6)</f>
        <v>0</v>
      </c>
      <c r="AI665" s="360">
        <f>INDEX('DEFAULT DATA'!$AGY$9:$AIT$41,START!$C$3,(7+(($A$128-1)*8)))</f>
        <v>0</v>
      </c>
      <c r="AJ665" s="262"/>
      <c r="AK665" s="345">
        <v>0</v>
      </c>
      <c r="AL665" s="272">
        <f t="shared" ref="AL665:BN665" si="727">IF(AND(AL$658&gt;($I$128+2020),AL$658&lt;($J$128+2022)),AK665+($AH$665*$C$128*$AI$665*((100-$E$128)/100)*((100-$F$128)/100)/($J$128-$I$128+1)/1000000),AK665)</f>
        <v>0</v>
      </c>
      <c r="AM665" s="272">
        <f t="shared" si="727"/>
        <v>0</v>
      </c>
      <c r="AN665" s="272">
        <f t="shared" si="727"/>
        <v>0</v>
      </c>
      <c r="AO665" s="272">
        <f t="shared" si="727"/>
        <v>0</v>
      </c>
      <c r="AP665" s="272">
        <f t="shared" si="727"/>
        <v>0</v>
      </c>
      <c r="AQ665" s="272">
        <f t="shared" si="727"/>
        <v>0</v>
      </c>
      <c r="AR665" s="272">
        <f t="shared" si="727"/>
        <v>0</v>
      </c>
      <c r="AS665" s="272">
        <f t="shared" si="727"/>
        <v>0</v>
      </c>
      <c r="AT665" s="272">
        <f t="shared" si="727"/>
        <v>0</v>
      </c>
      <c r="AU665" s="272">
        <f t="shared" si="727"/>
        <v>0</v>
      </c>
      <c r="AV665" s="272">
        <f t="shared" si="727"/>
        <v>0</v>
      </c>
      <c r="AW665" s="272">
        <f t="shared" si="727"/>
        <v>0</v>
      </c>
      <c r="AX665" s="272">
        <f t="shared" si="727"/>
        <v>0</v>
      </c>
      <c r="AY665" s="272">
        <f t="shared" si="727"/>
        <v>0</v>
      </c>
      <c r="AZ665" s="272">
        <f t="shared" si="727"/>
        <v>0</v>
      </c>
      <c r="BA665" s="272">
        <f t="shared" si="727"/>
        <v>0</v>
      </c>
      <c r="BB665" s="272">
        <f t="shared" si="727"/>
        <v>0</v>
      </c>
      <c r="BC665" s="272">
        <f t="shared" si="727"/>
        <v>0</v>
      </c>
      <c r="BD665" s="272">
        <f t="shared" si="727"/>
        <v>0</v>
      </c>
      <c r="BE665" s="272">
        <f t="shared" si="727"/>
        <v>0</v>
      </c>
      <c r="BF665" s="272">
        <f t="shared" si="727"/>
        <v>0</v>
      </c>
      <c r="BG665" s="272">
        <f t="shared" si="727"/>
        <v>0</v>
      </c>
      <c r="BH665" s="272">
        <f t="shared" si="727"/>
        <v>0</v>
      </c>
      <c r="BI665" s="272">
        <f t="shared" si="727"/>
        <v>0</v>
      </c>
      <c r="BJ665" s="272">
        <f t="shared" si="727"/>
        <v>0</v>
      </c>
      <c r="BK665" s="272">
        <f t="shared" si="727"/>
        <v>0</v>
      </c>
      <c r="BL665" s="272">
        <f t="shared" si="727"/>
        <v>0</v>
      </c>
      <c r="BM665" s="272">
        <f t="shared" si="727"/>
        <v>0</v>
      </c>
      <c r="BN665" s="324">
        <f t="shared" si="727"/>
        <v>0</v>
      </c>
      <c r="BP665" s="536" t="s">
        <v>1225</v>
      </c>
      <c r="BQ665" s="1438" t="str">
        <f t="shared" si="722"/>
        <v>GHG_Renewablea = GHG_Renewablea-1 + (C127 * BUI_COL (307 + ((A127 - 1) * 8) * E127 / 100) + (F127 / 100 * BUI_COL (307 + ((A127 - 1) * 8) * (100 - E127) / 100)) * BUI_COL6 / (J127-I127+1) / 1000000</v>
      </c>
      <c r="BR665" s="1438"/>
      <c r="BS665" s="1438"/>
      <c r="BT665" s="1438"/>
      <c r="BU665" s="1438"/>
      <c r="BV665" s="1438"/>
      <c r="BW665" s="1438"/>
      <c r="BX665" s="1438"/>
      <c r="BY665" s="1438"/>
      <c r="BZ665" s="1438"/>
      <c r="CA665" s="1438"/>
      <c r="CB665" s="1438"/>
      <c r="CC665" s="1438"/>
      <c r="CD665" s="1438"/>
      <c r="CE665" s="1438"/>
      <c r="CF665" s="1438"/>
      <c r="CG665" s="1438"/>
      <c r="CH665" s="1438"/>
      <c r="CI665" s="1438"/>
      <c r="CJ665" s="1438"/>
      <c r="CK665" s="1438"/>
      <c r="CL665" s="915" t="s">
        <v>2594</v>
      </c>
      <c r="CM665" s="1475" t="s">
        <v>2595</v>
      </c>
      <c r="CN665" s="1476"/>
      <c r="CO665" s="918" t="s">
        <v>1625</v>
      </c>
      <c r="CP665" s="918" t="s">
        <v>2596</v>
      </c>
    </row>
    <row r="666" spans="32:94" ht="20.100000000000001" customHeight="1" thickBot="1">
      <c r="AF666" s="1506"/>
      <c r="AG666" s="310" t="s">
        <v>1226</v>
      </c>
      <c r="AH666" s="310" t="s">
        <v>1497</v>
      </c>
      <c r="AI666" s="362">
        <f>INDEX('DEFAULT DATA'!$AGY$9:$AIT$41,START!$C$3,(8+(($A$128-1)*8)))</f>
        <v>0</v>
      </c>
      <c r="AJ666" s="335"/>
      <c r="AK666" s="348">
        <v>0</v>
      </c>
      <c r="AL666" s="325">
        <f t="shared" ref="AL666:BN666" si="728">IF(AND(AL$658&gt;($I$128+2020),AL$658&lt;($J$128+2022)),AK666+(AL$6*$C$128*$AI$666*((100-$E$128)/100)*((100-$F$128)/100)/($J$128-$I$128+1)/1000000),AK666)</f>
        <v>0</v>
      </c>
      <c r="AM666" s="325">
        <f t="shared" si="728"/>
        <v>0</v>
      </c>
      <c r="AN666" s="325">
        <f t="shared" si="728"/>
        <v>0</v>
      </c>
      <c r="AO666" s="325">
        <f t="shared" si="728"/>
        <v>0</v>
      </c>
      <c r="AP666" s="325">
        <f t="shared" si="728"/>
        <v>0</v>
      </c>
      <c r="AQ666" s="325">
        <f t="shared" si="728"/>
        <v>0</v>
      </c>
      <c r="AR666" s="325">
        <f t="shared" si="728"/>
        <v>0</v>
      </c>
      <c r="AS666" s="325">
        <f t="shared" si="728"/>
        <v>0</v>
      </c>
      <c r="AT666" s="325">
        <f t="shared" si="728"/>
        <v>0</v>
      </c>
      <c r="AU666" s="325">
        <f t="shared" si="728"/>
        <v>0</v>
      </c>
      <c r="AV666" s="325">
        <f t="shared" si="728"/>
        <v>0</v>
      </c>
      <c r="AW666" s="325">
        <f t="shared" si="728"/>
        <v>0</v>
      </c>
      <c r="AX666" s="325">
        <f t="shared" si="728"/>
        <v>0</v>
      </c>
      <c r="AY666" s="325">
        <f t="shared" si="728"/>
        <v>0</v>
      </c>
      <c r="AZ666" s="325">
        <f t="shared" si="728"/>
        <v>0</v>
      </c>
      <c r="BA666" s="325">
        <f t="shared" si="728"/>
        <v>0</v>
      </c>
      <c r="BB666" s="325">
        <f t="shared" si="728"/>
        <v>0</v>
      </c>
      <c r="BC666" s="325">
        <f t="shared" si="728"/>
        <v>0</v>
      </c>
      <c r="BD666" s="325">
        <f t="shared" si="728"/>
        <v>0</v>
      </c>
      <c r="BE666" s="325">
        <f t="shared" si="728"/>
        <v>0</v>
      </c>
      <c r="BF666" s="325">
        <f t="shared" si="728"/>
        <v>0</v>
      </c>
      <c r="BG666" s="325">
        <f t="shared" si="728"/>
        <v>0</v>
      </c>
      <c r="BH666" s="325">
        <f t="shared" si="728"/>
        <v>0</v>
      </c>
      <c r="BI666" s="325">
        <f t="shared" si="728"/>
        <v>0</v>
      </c>
      <c r="BJ666" s="325">
        <f t="shared" si="728"/>
        <v>0</v>
      </c>
      <c r="BK666" s="325">
        <f t="shared" si="728"/>
        <v>0</v>
      </c>
      <c r="BL666" s="325">
        <f t="shared" si="728"/>
        <v>0</v>
      </c>
      <c r="BM666" s="325">
        <f t="shared" si="728"/>
        <v>0</v>
      </c>
      <c r="BN666" s="326">
        <f t="shared" si="728"/>
        <v>0</v>
      </c>
      <c r="BP666" s="536" t="s">
        <v>1226</v>
      </c>
      <c r="BQ666" s="1438" t="str">
        <f t="shared" si="722"/>
        <v>GHG_Heata = GHG_Heata-1 + (C127 * BUI_COL (307 + ((A127 - 1) * 8) * E127 / 100) + (F127 / 100 * BUI_COL (307 + ((A127 - 1) * 8) * (100 - E127) / 100)) * DISTRICT_HEATING_emission_factora (from row 5) / (J127-I127+1) / 1000000</v>
      </c>
      <c r="BR666" s="1438"/>
      <c r="BS666" s="1438"/>
      <c r="BT666" s="1438"/>
      <c r="BU666" s="1438"/>
      <c r="BV666" s="1438"/>
      <c r="BW666" s="1438"/>
      <c r="BX666" s="1438"/>
      <c r="BY666" s="1438"/>
      <c r="BZ666" s="1438"/>
      <c r="CA666" s="1438"/>
      <c r="CB666" s="1438"/>
      <c r="CC666" s="1438"/>
      <c r="CD666" s="1438"/>
      <c r="CE666" s="1438"/>
      <c r="CF666" s="1438"/>
      <c r="CG666" s="1438"/>
      <c r="CH666" s="1438"/>
      <c r="CI666" s="1438"/>
      <c r="CJ666" s="1438"/>
      <c r="CK666" s="1438"/>
      <c r="CL666" s="915" t="s">
        <v>2594</v>
      </c>
      <c r="CM666" s="1475" t="s">
        <v>2595</v>
      </c>
      <c r="CN666" s="1476"/>
      <c r="CO666" s="918" t="s">
        <v>1882</v>
      </c>
      <c r="CP666" s="918" t="s">
        <v>2596</v>
      </c>
    </row>
    <row r="667" spans="32:94" ht="20.100000000000001" customHeight="1">
      <c r="AF667" s="332"/>
      <c r="AG667" s="308" t="s">
        <v>310</v>
      </c>
      <c r="AH667" s="309"/>
      <c r="AI667" s="363"/>
      <c r="AJ667" s="309"/>
      <c r="AK667" s="344">
        <v>0</v>
      </c>
      <c r="AL667" s="327">
        <f>SUM(AL659:AL666)</f>
        <v>0</v>
      </c>
      <c r="AM667" s="327">
        <f t="shared" ref="AM667" si="729">SUM(AM659:AM666)</f>
        <v>0</v>
      </c>
      <c r="AN667" s="327">
        <f t="shared" ref="AN667" si="730">SUM(AN659:AN666)</f>
        <v>0</v>
      </c>
      <c r="AO667" s="327">
        <f t="shared" ref="AO667" si="731">SUM(AO659:AO666)</f>
        <v>0</v>
      </c>
      <c r="AP667" s="327">
        <f t="shared" ref="AP667" si="732">SUM(AP659:AP666)</f>
        <v>0</v>
      </c>
      <c r="AQ667" s="327">
        <f t="shared" ref="AQ667" si="733">SUM(AQ659:AQ666)</f>
        <v>0</v>
      </c>
      <c r="AR667" s="327">
        <f t="shared" ref="AR667" si="734">SUM(AR659:AR666)</f>
        <v>0</v>
      </c>
      <c r="AS667" s="327">
        <f t="shared" ref="AS667" si="735">SUM(AS659:AS666)</f>
        <v>0</v>
      </c>
      <c r="AT667" s="327">
        <f t="shared" ref="AT667" si="736">SUM(AT659:AT666)</f>
        <v>0</v>
      </c>
      <c r="AU667" s="327">
        <f t="shared" ref="AU667" si="737">SUM(AU659:AU666)</f>
        <v>0</v>
      </c>
      <c r="AV667" s="327">
        <f t="shared" ref="AV667" si="738">SUM(AV659:AV666)</f>
        <v>0</v>
      </c>
      <c r="AW667" s="327">
        <f t="shared" ref="AW667" si="739">SUM(AW659:AW666)</f>
        <v>0</v>
      </c>
      <c r="AX667" s="327">
        <f t="shared" ref="AX667" si="740">SUM(AX659:AX666)</f>
        <v>0</v>
      </c>
      <c r="AY667" s="327">
        <f t="shared" ref="AY667" si="741">SUM(AY659:AY666)</f>
        <v>0</v>
      </c>
      <c r="AZ667" s="327">
        <f t="shared" ref="AZ667" si="742">SUM(AZ659:AZ666)</f>
        <v>0</v>
      </c>
      <c r="BA667" s="327">
        <f t="shared" ref="BA667" si="743">SUM(BA659:BA666)</f>
        <v>0</v>
      </c>
      <c r="BB667" s="327">
        <f t="shared" ref="BB667" si="744">SUM(BB659:BB666)</f>
        <v>0</v>
      </c>
      <c r="BC667" s="327">
        <f t="shared" ref="BC667" si="745">SUM(BC659:BC666)</f>
        <v>0</v>
      </c>
      <c r="BD667" s="327">
        <f t="shared" ref="BD667" si="746">SUM(BD659:BD666)</f>
        <v>0</v>
      </c>
      <c r="BE667" s="327">
        <f t="shared" ref="BE667" si="747">SUM(BE659:BE666)</f>
        <v>0</v>
      </c>
      <c r="BF667" s="327">
        <f t="shared" ref="BF667" si="748">SUM(BF659:BF666)</f>
        <v>0</v>
      </c>
      <c r="BG667" s="327">
        <f t="shared" ref="BG667" si="749">SUM(BG659:BG666)</f>
        <v>0</v>
      </c>
      <c r="BH667" s="327">
        <f t="shared" ref="BH667" si="750">SUM(BH659:BH666)</f>
        <v>0</v>
      </c>
      <c r="BI667" s="327">
        <f t="shared" ref="BI667" si="751">SUM(BI659:BI666)</f>
        <v>0</v>
      </c>
      <c r="BJ667" s="327">
        <f t="shared" ref="BJ667" si="752">SUM(BJ659:BJ666)</f>
        <v>0</v>
      </c>
      <c r="BK667" s="327">
        <f t="shared" ref="BK667" si="753">SUM(BK659:BK666)</f>
        <v>0</v>
      </c>
      <c r="BL667" s="327">
        <f t="shared" ref="BL667" si="754">SUM(BL659:BL666)</f>
        <v>0</v>
      </c>
      <c r="BM667" s="327">
        <f t="shared" ref="BM667" si="755">SUM(BM659:BM666)</f>
        <v>0</v>
      </c>
      <c r="BN667" s="327">
        <f t="shared" ref="BN667" si="756">SUM(BN659:BN666)</f>
        <v>0</v>
      </c>
    </row>
    <row r="668" spans="32:94" ht="20.100000000000001" customHeight="1">
      <c r="AI668" s="364"/>
    </row>
    <row r="669" spans="32:94" ht="20.100000000000001" customHeight="1" thickBot="1">
      <c r="AF669" s="333" t="s">
        <v>1473</v>
      </c>
      <c r="AG669" s="333"/>
      <c r="AH669" s="334" t="s">
        <v>977</v>
      </c>
      <c r="AI669" s="365" t="s">
        <v>1260</v>
      </c>
      <c r="AJ669" s="284"/>
      <c r="AK669" s="346">
        <v>2021</v>
      </c>
      <c r="AL669" s="284">
        <v>2022</v>
      </c>
      <c r="AM669" s="284">
        <v>2023</v>
      </c>
      <c r="AN669" s="284">
        <v>2024</v>
      </c>
      <c r="AO669" s="284">
        <v>2025</v>
      </c>
      <c r="AP669" s="284">
        <v>2026</v>
      </c>
      <c r="AQ669" s="284">
        <v>2027</v>
      </c>
      <c r="AR669" s="284">
        <v>2028</v>
      </c>
      <c r="AS669" s="284">
        <v>2029</v>
      </c>
      <c r="AT669" s="284">
        <v>2030</v>
      </c>
      <c r="AU669" s="284">
        <v>2031</v>
      </c>
      <c r="AV669" s="284">
        <v>2032</v>
      </c>
      <c r="AW669" s="284">
        <v>2033</v>
      </c>
      <c r="AX669" s="284">
        <v>2034</v>
      </c>
      <c r="AY669" s="284">
        <v>2035</v>
      </c>
      <c r="AZ669" s="284">
        <v>2036</v>
      </c>
      <c r="BA669" s="284">
        <v>2037</v>
      </c>
      <c r="BB669" s="284">
        <v>2038</v>
      </c>
      <c r="BC669" s="284">
        <v>2039</v>
      </c>
      <c r="BD669" s="284">
        <v>2040</v>
      </c>
      <c r="BE669" s="284">
        <v>2041</v>
      </c>
      <c r="BF669" s="284">
        <v>2042</v>
      </c>
      <c r="BG669" s="284">
        <v>2043</v>
      </c>
      <c r="BH669" s="284">
        <v>2044</v>
      </c>
      <c r="BI669" s="284">
        <v>2045</v>
      </c>
      <c r="BJ669" s="284">
        <v>2046</v>
      </c>
      <c r="BK669" s="284">
        <v>2047</v>
      </c>
      <c r="BL669" s="284">
        <v>2048</v>
      </c>
      <c r="BM669" s="284">
        <v>2049</v>
      </c>
      <c r="BN669" s="284">
        <v>2050</v>
      </c>
      <c r="BQ669" s="222" t="s">
        <v>2597</v>
      </c>
      <c r="BR669" s="417"/>
      <c r="BS669" s="417"/>
      <c r="BT669" s="417"/>
      <c r="BU669" s="417"/>
      <c r="BV669" s="417"/>
      <c r="BW669" s="417"/>
      <c r="BX669" s="417"/>
      <c r="BY669" s="417"/>
      <c r="BZ669" s="417"/>
      <c r="CA669" s="417"/>
      <c r="CB669" s="417"/>
      <c r="CC669" s="417"/>
      <c r="CD669" s="417"/>
      <c r="CE669" s="417"/>
      <c r="CF669" s="417"/>
      <c r="CG669" s="417"/>
      <c r="CH669" s="417"/>
      <c r="CI669" s="417"/>
      <c r="CJ669" s="417"/>
      <c r="CK669" s="417"/>
      <c r="CL669" s="944" t="s">
        <v>2581</v>
      </c>
      <c r="CM669" s="279" t="s">
        <v>2582</v>
      </c>
      <c r="CN669" s="279"/>
      <c r="CO669" s="945" t="s">
        <v>1598</v>
      </c>
      <c r="CP669" s="279" t="s">
        <v>2552</v>
      </c>
    </row>
    <row r="670" spans="32:94" ht="20.100000000000001" customHeight="1">
      <c r="AF670" s="1504" t="str">
        <f>INDEX('MENU OPTIONS'!B31:B36,A129,1)</f>
        <v>Health</v>
      </c>
      <c r="AG670" s="286" t="s">
        <v>933</v>
      </c>
      <c r="AH670" s="286" t="s">
        <v>1496</v>
      </c>
      <c r="AI670" s="361">
        <f>INDEX('DEFAULT DATA'!$AGY$9:$AIT$41,START!$C$3,(1+(($A$129-1)*8)))</f>
        <v>0</v>
      </c>
      <c r="AJ670" s="330"/>
      <c r="AK670" s="343">
        <v>0</v>
      </c>
      <c r="AL670" s="322">
        <f t="shared" ref="AL670:BN670" si="757">IF(AND(AL$669&gt;($I$129+2020),AL$669&lt;($J$129+2022)),AK670+(AL$5*$C$129*$AI$670*((100-$E$129)/100)*((100-$F$129)/100)/($J$129-$I$129+1)/1000000),AK670)</f>
        <v>0</v>
      </c>
      <c r="AM670" s="322">
        <f t="shared" si="757"/>
        <v>0</v>
      </c>
      <c r="AN670" s="322">
        <f t="shared" si="757"/>
        <v>0</v>
      </c>
      <c r="AO670" s="322">
        <f t="shared" si="757"/>
        <v>0</v>
      </c>
      <c r="AP670" s="322">
        <f t="shared" si="757"/>
        <v>0</v>
      </c>
      <c r="AQ670" s="322">
        <f t="shared" si="757"/>
        <v>0</v>
      </c>
      <c r="AR670" s="322">
        <f t="shared" si="757"/>
        <v>0</v>
      </c>
      <c r="AS670" s="322">
        <f t="shared" si="757"/>
        <v>0</v>
      </c>
      <c r="AT670" s="322">
        <f t="shared" si="757"/>
        <v>0</v>
      </c>
      <c r="AU670" s="322">
        <f t="shared" si="757"/>
        <v>0</v>
      </c>
      <c r="AV670" s="322">
        <f t="shared" si="757"/>
        <v>0</v>
      </c>
      <c r="AW670" s="322">
        <f t="shared" si="757"/>
        <v>0</v>
      </c>
      <c r="AX670" s="322">
        <f t="shared" si="757"/>
        <v>0</v>
      </c>
      <c r="AY670" s="322">
        <f t="shared" si="757"/>
        <v>0</v>
      </c>
      <c r="AZ670" s="322">
        <f t="shared" si="757"/>
        <v>0</v>
      </c>
      <c r="BA670" s="322">
        <f t="shared" si="757"/>
        <v>0</v>
      </c>
      <c r="BB670" s="322">
        <f t="shared" si="757"/>
        <v>0</v>
      </c>
      <c r="BC670" s="322">
        <f t="shared" si="757"/>
        <v>0</v>
      </c>
      <c r="BD670" s="322">
        <f t="shared" si="757"/>
        <v>0</v>
      </c>
      <c r="BE670" s="322">
        <f t="shared" si="757"/>
        <v>0</v>
      </c>
      <c r="BF670" s="322">
        <f t="shared" si="757"/>
        <v>0</v>
      </c>
      <c r="BG670" s="322">
        <f t="shared" si="757"/>
        <v>0</v>
      </c>
      <c r="BH670" s="322">
        <f t="shared" si="757"/>
        <v>0</v>
      </c>
      <c r="BI670" s="322">
        <f t="shared" si="757"/>
        <v>0</v>
      </c>
      <c r="BJ670" s="322">
        <f t="shared" si="757"/>
        <v>0</v>
      </c>
      <c r="BK670" s="322">
        <f t="shared" si="757"/>
        <v>0</v>
      </c>
      <c r="BL670" s="322">
        <f t="shared" si="757"/>
        <v>0</v>
      </c>
      <c r="BM670" s="322">
        <f t="shared" si="757"/>
        <v>0</v>
      </c>
      <c r="BN670" s="323">
        <f t="shared" si="757"/>
        <v>0</v>
      </c>
      <c r="BP670" s="536" t="s">
        <v>933</v>
      </c>
      <c r="BQ670" s="1438" t="str">
        <f>CONCATENATE("GHG_",BP670,"a = GHG_",BP670,"a-1 + (C128 * ",CL670," * E128 / 100) + (F128 / 100 * ",CM670,")) * ",CO670," / (",CP670,") / 1000000")</f>
        <v>GHG_Electricitya = GHG_Electricitya-1 + (C128 * BUI_COL (307 + ((A128 - 1) * 8) * E128 / 100) + (F128 / 100 * BUI_COL (307 + ((A128 - 1) * 8) * (100 - E128) / 100)) * GRID_ELECTRICITY_emission_factora (from row4) / (J128-I128+1) / 1000000</v>
      </c>
      <c r="BR670" s="1438"/>
      <c r="BS670" s="1438"/>
      <c r="BT670" s="1438"/>
      <c r="BU670" s="1438"/>
      <c r="BV670" s="1438"/>
      <c r="BW670" s="1438"/>
      <c r="BX670" s="1438"/>
      <c r="BY670" s="1438"/>
      <c r="BZ670" s="1438"/>
      <c r="CA670" s="1438"/>
      <c r="CB670" s="1438"/>
      <c r="CC670" s="1438"/>
      <c r="CD670" s="1438"/>
      <c r="CE670" s="1438"/>
      <c r="CF670" s="1438"/>
      <c r="CG670" s="1438"/>
      <c r="CH670" s="1438"/>
      <c r="CI670" s="1438"/>
      <c r="CJ670" s="1438"/>
      <c r="CK670" s="1438"/>
      <c r="CL670" s="915" t="s">
        <v>2598</v>
      </c>
      <c r="CM670" s="1471" t="s">
        <v>2599</v>
      </c>
      <c r="CN670" s="1472"/>
      <c r="CO670" s="536" t="s">
        <v>2601</v>
      </c>
      <c r="CP670" s="536" t="s">
        <v>2600</v>
      </c>
    </row>
    <row r="671" spans="32:94" ht="20.100000000000001" customHeight="1">
      <c r="AF671" s="1505"/>
      <c r="AG671" s="251" t="s">
        <v>1220</v>
      </c>
      <c r="AH671" s="251">
        <f>INDEX('DEFAULT DATA'!$VE$9:$VK$41,START!$C$3,1)</f>
        <v>202</v>
      </c>
      <c r="AI671" s="360">
        <f>INDEX('DEFAULT DATA'!$AGY$9:$AIT$41,START!$C$3,(2+(($A$129-1)*8)))</f>
        <v>0</v>
      </c>
      <c r="AJ671" s="262"/>
      <c r="AK671" s="345">
        <v>0</v>
      </c>
      <c r="AL671" s="272">
        <f t="shared" ref="AL671:BN671" si="758">IF(AND(AL$669&gt;($I$129+2020),AL$669&lt;($J$129+2022)),AK671+($AH$671*$C$129*$AI$671*((100-$E$129)/100)*((100-$F$129)/100)/($J$129-$I$129+1)/1000000),AK671)</f>
        <v>0</v>
      </c>
      <c r="AM671" s="272">
        <f t="shared" si="758"/>
        <v>0</v>
      </c>
      <c r="AN671" s="272">
        <f t="shared" si="758"/>
        <v>0</v>
      </c>
      <c r="AO671" s="272">
        <f t="shared" si="758"/>
        <v>0</v>
      </c>
      <c r="AP671" s="272">
        <f t="shared" si="758"/>
        <v>0</v>
      </c>
      <c r="AQ671" s="272">
        <f t="shared" si="758"/>
        <v>0</v>
      </c>
      <c r="AR671" s="272">
        <f t="shared" si="758"/>
        <v>0</v>
      </c>
      <c r="AS671" s="272">
        <f t="shared" si="758"/>
        <v>0</v>
      </c>
      <c r="AT671" s="272">
        <f t="shared" si="758"/>
        <v>0</v>
      </c>
      <c r="AU671" s="272">
        <f t="shared" si="758"/>
        <v>0</v>
      </c>
      <c r="AV671" s="272">
        <f t="shared" si="758"/>
        <v>0</v>
      </c>
      <c r="AW671" s="272">
        <f t="shared" si="758"/>
        <v>0</v>
      </c>
      <c r="AX671" s="272">
        <f t="shared" si="758"/>
        <v>0</v>
      </c>
      <c r="AY671" s="272">
        <f t="shared" si="758"/>
        <v>0</v>
      </c>
      <c r="AZ671" s="272">
        <f t="shared" si="758"/>
        <v>0</v>
      </c>
      <c r="BA671" s="272">
        <f t="shared" si="758"/>
        <v>0</v>
      </c>
      <c r="BB671" s="272">
        <f t="shared" si="758"/>
        <v>0</v>
      </c>
      <c r="BC671" s="272">
        <f t="shared" si="758"/>
        <v>0</v>
      </c>
      <c r="BD671" s="272">
        <f t="shared" si="758"/>
        <v>0</v>
      </c>
      <c r="BE671" s="272">
        <f t="shared" si="758"/>
        <v>0</v>
      </c>
      <c r="BF671" s="272">
        <f t="shared" si="758"/>
        <v>0</v>
      </c>
      <c r="BG671" s="272">
        <f t="shared" si="758"/>
        <v>0</v>
      </c>
      <c r="BH671" s="272">
        <f t="shared" si="758"/>
        <v>0</v>
      </c>
      <c r="BI671" s="272">
        <f t="shared" si="758"/>
        <v>0</v>
      </c>
      <c r="BJ671" s="272">
        <f t="shared" si="758"/>
        <v>0</v>
      </c>
      <c r="BK671" s="272">
        <f t="shared" si="758"/>
        <v>0</v>
      </c>
      <c r="BL671" s="272">
        <f t="shared" si="758"/>
        <v>0</v>
      </c>
      <c r="BM671" s="272">
        <f t="shared" si="758"/>
        <v>0</v>
      </c>
      <c r="BN671" s="324">
        <f t="shared" si="758"/>
        <v>0</v>
      </c>
      <c r="BP671" s="536" t="s">
        <v>1220</v>
      </c>
      <c r="BQ671" s="1438" t="str">
        <f t="shared" ref="BQ671:BQ677" si="759">CONCATENATE("GHG_",BP671,"a = GHG_",BP671,"a-1 + (C128 * ",CL671," * E128 / 100) + (F128 / 100 * ",CM671,")) * ",CO671," / (",CP671,") / 1000000")</f>
        <v>GHG_Gasa = GHG_Gasa-1 + (C128 * BUI_COL (307 + ((A128 - 1) * 8) * E128 / 100) + (F128 / 100 * BUI_COL (307 + ((A128 - 1) * 8) * (100 - E128) / 100)) * BUI_COL1 / (J128-I128+1) / 1000000</v>
      </c>
      <c r="BR671" s="1438"/>
      <c r="BS671" s="1438"/>
      <c r="BT671" s="1438"/>
      <c r="BU671" s="1438"/>
      <c r="BV671" s="1438"/>
      <c r="BW671" s="1438"/>
      <c r="BX671" s="1438"/>
      <c r="BY671" s="1438"/>
      <c r="BZ671" s="1438"/>
      <c r="CA671" s="1438"/>
      <c r="CB671" s="1438"/>
      <c r="CC671" s="1438"/>
      <c r="CD671" s="1438"/>
      <c r="CE671" s="1438"/>
      <c r="CF671" s="1438"/>
      <c r="CG671" s="1438"/>
      <c r="CH671" s="1438"/>
      <c r="CI671" s="1438"/>
      <c r="CJ671" s="1438"/>
      <c r="CK671" s="1438"/>
      <c r="CL671" s="915" t="s">
        <v>2598</v>
      </c>
      <c r="CM671" s="1471" t="s">
        <v>2599</v>
      </c>
      <c r="CN671" s="1472"/>
      <c r="CO671" s="536" t="s">
        <v>1248</v>
      </c>
      <c r="CP671" s="536" t="s">
        <v>2600</v>
      </c>
    </row>
    <row r="672" spans="32:94" ht="20.100000000000001" customHeight="1">
      <c r="AF672" s="1505"/>
      <c r="AG672" s="251" t="s">
        <v>1221</v>
      </c>
      <c r="AH672" s="251">
        <f>INDEX('DEFAULT DATA'!$VE$9:$VK$41,START!$C$3,2)</f>
        <v>279</v>
      </c>
      <c r="AI672" s="360">
        <f>INDEX('DEFAULT DATA'!$AGY$9:$AIT$41,START!$C$3,(3+(($A$129-1)*8)))</f>
        <v>0</v>
      </c>
      <c r="AJ672" s="262"/>
      <c r="AK672" s="345">
        <v>0</v>
      </c>
      <c r="AL672" s="272">
        <f t="shared" ref="AL672:BN672" si="760">IF(AND(AL$669&gt;($I$129+2020),AL$669&lt;($J$129+2022)),AK672+($AH$672*$C$129*$AI$672*((100-$E$129)/100)*((100-$F$129)/100)/($J$129-$I$129+1)/1000000),AK672)</f>
        <v>0</v>
      </c>
      <c r="AM672" s="272">
        <f t="shared" si="760"/>
        <v>0</v>
      </c>
      <c r="AN672" s="272">
        <f t="shared" si="760"/>
        <v>0</v>
      </c>
      <c r="AO672" s="272">
        <f t="shared" si="760"/>
        <v>0</v>
      </c>
      <c r="AP672" s="272">
        <f t="shared" si="760"/>
        <v>0</v>
      </c>
      <c r="AQ672" s="272">
        <f t="shared" si="760"/>
        <v>0</v>
      </c>
      <c r="AR672" s="272">
        <f t="shared" si="760"/>
        <v>0</v>
      </c>
      <c r="AS672" s="272">
        <f t="shared" si="760"/>
        <v>0</v>
      </c>
      <c r="AT672" s="272">
        <f t="shared" si="760"/>
        <v>0</v>
      </c>
      <c r="AU672" s="272">
        <f t="shared" si="760"/>
        <v>0</v>
      </c>
      <c r="AV672" s="272">
        <f t="shared" si="760"/>
        <v>0</v>
      </c>
      <c r="AW672" s="272">
        <f t="shared" si="760"/>
        <v>0</v>
      </c>
      <c r="AX672" s="272">
        <f t="shared" si="760"/>
        <v>0</v>
      </c>
      <c r="AY672" s="272">
        <f t="shared" si="760"/>
        <v>0</v>
      </c>
      <c r="AZ672" s="272">
        <f t="shared" si="760"/>
        <v>0</v>
      </c>
      <c r="BA672" s="272">
        <f t="shared" si="760"/>
        <v>0</v>
      </c>
      <c r="BB672" s="272">
        <f t="shared" si="760"/>
        <v>0</v>
      </c>
      <c r="BC672" s="272">
        <f t="shared" si="760"/>
        <v>0</v>
      </c>
      <c r="BD672" s="272">
        <f t="shared" si="760"/>
        <v>0</v>
      </c>
      <c r="BE672" s="272">
        <f t="shared" si="760"/>
        <v>0</v>
      </c>
      <c r="BF672" s="272">
        <f t="shared" si="760"/>
        <v>0</v>
      </c>
      <c r="BG672" s="272">
        <f t="shared" si="760"/>
        <v>0</v>
      </c>
      <c r="BH672" s="272">
        <f t="shared" si="760"/>
        <v>0</v>
      </c>
      <c r="BI672" s="272">
        <f t="shared" si="760"/>
        <v>0</v>
      </c>
      <c r="BJ672" s="272">
        <f t="shared" si="760"/>
        <v>0</v>
      </c>
      <c r="BK672" s="272">
        <f t="shared" si="760"/>
        <v>0</v>
      </c>
      <c r="BL672" s="272">
        <f t="shared" si="760"/>
        <v>0</v>
      </c>
      <c r="BM672" s="272">
        <f t="shared" si="760"/>
        <v>0</v>
      </c>
      <c r="BN672" s="324">
        <f t="shared" si="760"/>
        <v>0</v>
      </c>
      <c r="BP672" s="536" t="s">
        <v>1221</v>
      </c>
      <c r="BQ672" s="1438" t="str">
        <f t="shared" si="759"/>
        <v>GHG_Oila = GHG_Oila-1 + (C128 * BUI_COL (307 + ((A128 - 1) * 8) * E128 / 100) + (F128 / 100 * BUI_COL (307 + ((A128 - 1) * 8) * (100 - E128) / 100)) * BUI_COL2 / (J128-I128+1) / 1000000</v>
      </c>
      <c r="BR672" s="1438"/>
      <c r="BS672" s="1438"/>
      <c r="BT672" s="1438"/>
      <c r="BU672" s="1438"/>
      <c r="BV672" s="1438"/>
      <c r="BW672" s="1438"/>
      <c r="BX672" s="1438"/>
      <c r="BY672" s="1438"/>
      <c r="BZ672" s="1438"/>
      <c r="CA672" s="1438"/>
      <c r="CB672" s="1438"/>
      <c r="CC672" s="1438"/>
      <c r="CD672" s="1438"/>
      <c r="CE672" s="1438"/>
      <c r="CF672" s="1438"/>
      <c r="CG672" s="1438"/>
      <c r="CH672" s="1438"/>
      <c r="CI672" s="1438"/>
      <c r="CJ672" s="1438"/>
      <c r="CK672" s="1438"/>
      <c r="CL672" s="915" t="s">
        <v>2598</v>
      </c>
      <c r="CM672" s="1471" t="s">
        <v>2599</v>
      </c>
      <c r="CN672" s="1472"/>
      <c r="CO672" s="536" t="s">
        <v>1621</v>
      </c>
      <c r="CP672" s="536" t="s">
        <v>2600</v>
      </c>
    </row>
    <row r="673" spans="32:94" ht="20.100000000000001" customHeight="1">
      <c r="AF673" s="1505"/>
      <c r="AG673" s="251" t="s">
        <v>1222</v>
      </c>
      <c r="AH673" s="251">
        <f>INDEX('DEFAULT DATA'!$VE$9:$VK$41,START!$C$3,3)</f>
        <v>354</v>
      </c>
      <c r="AI673" s="360">
        <f>INDEX('DEFAULT DATA'!$AGY$9:$AIT$41,START!$C$3,(4+(($A$129-1)*8)))</f>
        <v>0</v>
      </c>
      <c r="AJ673" s="262"/>
      <c r="AK673" s="345">
        <v>0</v>
      </c>
      <c r="AL673" s="272">
        <f t="shared" ref="AL673:BN673" si="761">IF(AND(AL$669&gt;($I$129+2020),AL$669&lt;($J$129+2022)),AK673+($AH$673*$C$129*$AI$673*((100-$E$129)/100)*((100-$F$129)/100)/($J$129-$I$129+1)/1000000),AK673)</f>
        <v>0</v>
      </c>
      <c r="AM673" s="272">
        <f t="shared" si="761"/>
        <v>0</v>
      </c>
      <c r="AN673" s="272">
        <f t="shared" si="761"/>
        <v>0</v>
      </c>
      <c r="AO673" s="272">
        <f t="shared" si="761"/>
        <v>0</v>
      </c>
      <c r="AP673" s="272">
        <f t="shared" si="761"/>
        <v>0</v>
      </c>
      <c r="AQ673" s="272">
        <f t="shared" si="761"/>
        <v>0</v>
      </c>
      <c r="AR673" s="272">
        <f t="shared" si="761"/>
        <v>0</v>
      </c>
      <c r="AS673" s="272">
        <f t="shared" si="761"/>
        <v>0</v>
      </c>
      <c r="AT673" s="272">
        <f t="shared" si="761"/>
        <v>0</v>
      </c>
      <c r="AU673" s="272">
        <f t="shared" si="761"/>
        <v>0</v>
      </c>
      <c r="AV673" s="272">
        <f t="shared" si="761"/>
        <v>0</v>
      </c>
      <c r="AW673" s="272">
        <f t="shared" si="761"/>
        <v>0</v>
      </c>
      <c r="AX673" s="272">
        <f t="shared" si="761"/>
        <v>0</v>
      </c>
      <c r="AY673" s="272">
        <f t="shared" si="761"/>
        <v>0</v>
      </c>
      <c r="AZ673" s="272">
        <f t="shared" si="761"/>
        <v>0</v>
      </c>
      <c r="BA673" s="272">
        <f t="shared" si="761"/>
        <v>0</v>
      </c>
      <c r="BB673" s="272">
        <f t="shared" si="761"/>
        <v>0</v>
      </c>
      <c r="BC673" s="272">
        <f t="shared" si="761"/>
        <v>0</v>
      </c>
      <c r="BD673" s="272">
        <f t="shared" si="761"/>
        <v>0</v>
      </c>
      <c r="BE673" s="272">
        <f t="shared" si="761"/>
        <v>0</v>
      </c>
      <c r="BF673" s="272">
        <f t="shared" si="761"/>
        <v>0</v>
      </c>
      <c r="BG673" s="272">
        <f t="shared" si="761"/>
        <v>0</v>
      </c>
      <c r="BH673" s="272">
        <f t="shared" si="761"/>
        <v>0</v>
      </c>
      <c r="BI673" s="272">
        <f t="shared" si="761"/>
        <v>0</v>
      </c>
      <c r="BJ673" s="272">
        <f t="shared" si="761"/>
        <v>0</v>
      </c>
      <c r="BK673" s="272">
        <f t="shared" si="761"/>
        <v>0</v>
      </c>
      <c r="BL673" s="272">
        <f t="shared" si="761"/>
        <v>0</v>
      </c>
      <c r="BM673" s="272">
        <f t="shared" si="761"/>
        <v>0</v>
      </c>
      <c r="BN673" s="324">
        <f t="shared" si="761"/>
        <v>0</v>
      </c>
      <c r="BP673" s="536" t="s">
        <v>1222</v>
      </c>
      <c r="BQ673" s="1438" t="str">
        <f t="shared" si="759"/>
        <v>GHG_Coala = GHG_Coala-1 + (C128 * BUI_COL (307 + ((A128 - 1) * 8) * E128 / 100) + (F128 / 100 * BUI_COL (307 + ((A128 - 1) * 8) * (100 - E128) / 100)) * BUI_COL3 / (J128-I128+1) / 1000000</v>
      </c>
      <c r="BR673" s="1438"/>
      <c r="BS673" s="1438"/>
      <c r="BT673" s="1438"/>
      <c r="BU673" s="1438"/>
      <c r="BV673" s="1438"/>
      <c r="BW673" s="1438"/>
      <c r="BX673" s="1438"/>
      <c r="BY673" s="1438"/>
      <c r="BZ673" s="1438"/>
      <c r="CA673" s="1438"/>
      <c r="CB673" s="1438"/>
      <c r="CC673" s="1438"/>
      <c r="CD673" s="1438"/>
      <c r="CE673" s="1438"/>
      <c r="CF673" s="1438"/>
      <c r="CG673" s="1438"/>
      <c r="CH673" s="1438"/>
      <c r="CI673" s="1438"/>
      <c r="CJ673" s="1438"/>
      <c r="CK673" s="1438"/>
      <c r="CL673" s="915" t="s">
        <v>2598</v>
      </c>
      <c r="CM673" s="1471" t="s">
        <v>2599</v>
      </c>
      <c r="CN673" s="1472"/>
      <c r="CO673" s="536" t="s">
        <v>1622</v>
      </c>
      <c r="CP673" s="536" t="s">
        <v>2600</v>
      </c>
    </row>
    <row r="674" spans="32:94" ht="20.100000000000001" customHeight="1">
      <c r="AF674" s="1505"/>
      <c r="AG674" s="251" t="s">
        <v>1223</v>
      </c>
      <c r="AH674" s="251">
        <f>INDEX('DEFAULT DATA'!$VE$9:$VK$41,START!$C$3,4)</f>
        <v>0</v>
      </c>
      <c r="AI674" s="360">
        <f>INDEX('DEFAULT DATA'!$AGY$9:$AIT$41,START!$C$3,(5+(($A$129-1)*8)))</f>
        <v>0</v>
      </c>
      <c r="AJ674" s="262"/>
      <c r="AK674" s="345">
        <v>0</v>
      </c>
      <c r="AL674" s="272">
        <f t="shared" ref="AL674:BN674" si="762">IF(AND(AL$669&gt;($I$129+2020),AL$669&lt;($J$129+2022)),AK674+($AH$674*$C$129*$AI$674*((100-$E$129)/100)*((100-$F$129)/100)/($J$129-$I$129+1)/1000000),AK674)</f>
        <v>0</v>
      </c>
      <c r="AM674" s="272">
        <f t="shared" si="762"/>
        <v>0</v>
      </c>
      <c r="AN674" s="272">
        <f t="shared" si="762"/>
        <v>0</v>
      </c>
      <c r="AO674" s="272">
        <f t="shared" si="762"/>
        <v>0</v>
      </c>
      <c r="AP674" s="272">
        <f t="shared" si="762"/>
        <v>0</v>
      </c>
      <c r="AQ674" s="272">
        <f t="shared" si="762"/>
        <v>0</v>
      </c>
      <c r="AR674" s="272">
        <f t="shared" si="762"/>
        <v>0</v>
      </c>
      <c r="AS674" s="272">
        <f t="shared" si="762"/>
        <v>0</v>
      </c>
      <c r="AT674" s="272">
        <f t="shared" si="762"/>
        <v>0</v>
      </c>
      <c r="AU674" s="272">
        <f t="shared" si="762"/>
        <v>0</v>
      </c>
      <c r="AV674" s="272">
        <f t="shared" si="762"/>
        <v>0</v>
      </c>
      <c r="AW674" s="272">
        <f t="shared" si="762"/>
        <v>0</v>
      </c>
      <c r="AX674" s="272">
        <f t="shared" si="762"/>
        <v>0</v>
      </c>
      <c r="AY674" s="272">
        <f t="shared" si="762"/>
        <v>0</v>
      </c>
      <c r="AZ674" s="272">
        <f t="shared" si="762"/>
        <v>0</v>
      </c>
      <c r="BA674" s="272">
        <f t="shared" si="762"/>
        <v>0</v>
      </c>
      <c r="BB674" s="272">
        <f t="shared" si="762"/>
        <v>0</v>
      </c>
      <c r="BC674" s="272">
        <f t="shared" si="762"/>
        <v>0</v>
      </c>
      <c r="BD674" s="272">
        <f t="shared" si="762"/>
        <v>0</v>
      </c>
      <c r="BE674" s="272">
        <f t="shared" si="762"/>
        <v>0</v>
      </c>
      <c r="BF674" s="272">
        <f t="shared" si="762"/>
        <v>0</v>
      </c>
      <c r="BG674" s="272">
        <f t="shared" si="762"/>
        <v>0</v>
      </c>
      <c r="BH674" s="272">
        <f t="shared" si="762"/>
        <v>0</v>
      </c>
      <c r="BI674" s="272">
        <f t="shared" si="762"/>
        <v>0</v>
      </c>
      <c r="BJ674" s="272">
        <f t="shared" si="762"/>
        <v>0</v>
      </c>
      <c r="BK674" s="272">
        <f t="shared" si="762"/>
        <v>0</v>
      </c>
      <c r="BL674" s="272">
        <f t="shared" si="762"/>
        <v>0</v>
      </c>
      <c r="BM674" s="272">
        <f t="shared" si="762"/>
        <v>0</v>
      </c>
      <c r="BN674" s="324">
        <f t="shared" si="762"/>
        <v>0</v>
      </c>
      <c r="BP674" s="536" t="s">
        <v>1223</v>
      </c>
      <c r="BQ674" s="1438" t="str">
        <f t="shared" si="759"/>
        <v>GHG_Peata = GHG_Peata-1 + (C128 * BUI_COL (307 + ((A128 - 1) * 8) * E128 / 100) + (F128 / 100 * BUI_COL (307 + ((A128 - 1) * 8) * (100 - E128) / 100)) * BUI_COL4 / (J128-I128+1) / 1000000</v>
      </c>
      <c r="BR674" s="1438"/>
      <c r="BS674" s="1438"/>
      <c r="BT674" s="1438"/>
      <c r="BU674" s="1438"/>
      <c r="BV674" s="1438"/>
      <c r="BW674" s="1438"/>
      <c r="BX674" s="1438"/>
      <c r="BY674" s="1438"/>
      <c r="BZ674" s="1438"/>
      <c r="CA674" s="1438"/>
      <c r="CB674" s="1438"/>
      <c r="CC674" s="1438"/>
      <c r="CD674" s="1438"/>
      <c r="CE674" s="1438"/>
      <c r="CF674" s="1438"/>
      <c r="CG674" s="1438"/>
      <c r="CH674" s="1438"/>
      <c r="CI674" s="1438"/>
      <c r="CJ674" s="1438"/>
      <c r="CK674" s="1438"/>
      <c r="CL674" s="915" t="s">
        <v>2598</v>
      </c>
      <c r="CM674" s="1471" t="s">
        <v>2599</v>
      </c>
      <c r="CN674" s="1472"/>
      <c r="CO674" s="536" t="s">
        <v>1623</v>
      </c>
      <c r="CP674" s="536" t="s">
        <v>2600</v>
      </c>
    </row>
    <row r="675" spans="32:94" ht="20.100000000000001" customHeight="1">
      <c r="AF675" s="1505"/>
      <c r="AG675" s="251" t="s">
        <v>1224</v>
      </c>
      <c r="AH675" s="251">
        <f>INDEX('DEFAULT DATA'!$VE$9:$VK$41,START!$C$3,5)</f>
        <v>403</v>
      </c>
      <c r="AI675" s="360">
        <f>INDEX('DEFAULT DATA'!$AGY$9:$AIT$41,START!$C$3,(6+(($A$129-1)*8)))</f>
        <v>0</v>
      </c>
      <c r="AJ675" s="262"/>
      <c r="AK675" s="345">
        <v>0</v>
      </c>
      <c r="AL675" s="272">
        <f t="shared" ref="AL675:BN675" si="763">IF(AND(AL$669&gt;($I$129+2020),AL$669&lt;($J$129+2022)),AK675+($AH$675*$C$129*$AI$675*((100-$E$129)/100)*((100-$F$129)/100)/($J$129-$I$129+1)/1000000),AK675)</f>
        <v>0</v>
      </c>
      <c r="AM675" s="272">
        <f t="shared" si="763"/>
        <v>0</v>
      </c>
      <c r="AN675" s="272">
        <f t="shared" si="763"/>
        <v>0</v>
      </c>
      <c r="AO675" s="272">
        <f t="shared" si="763"/>
        <v>0</v>
      </c>
      <c r="AP675" s="272">
        <f t="shared" si="763"/>
        <v>0</v>
      </c>
      <c r="AQ675" s="272">
        <f t="shared" si="763"/>
        <v>0</v>
      </c>
      <c r="AR675" s="272">
        <f t="shared" si="763"/>
        <v>0</v>
      </c>
      <c r="AS675" s="272">
        <f t="shared" si="763"/>
        <v>0</v>
      </c>
      <c r="AT675" s="272">
        <f t="shared" si="763"/>
        <v>0</v>
      </c>
      <c r="AU675" s="272">
        <f t="shared" si="763"/>
        <v>0</v>
      </c>
      <c r="AV675" s="272">
        <f t="shared" si="763"/>
        <v>0</v>
      </c>
      <c r="AW675" s="272">
        <f t="shared" si="763"/>
        <v>0</v>
      </c>
      <c r="AX675" s="272">
        <f t="shared" si="763"/>
        <v>0</v>
      </c>
      <c r="AY675" s="272">
        <f t="shared" si="763"/>
        <v>0</v>
      </c>
      <c r="AZ675" s="272">
        <f t="shared" si="763"/>
        <v>0</v>
      </c>
      <c r="BA675" s="272">
        <f t="shared" si="763"/>
        <v>0</v>
      </c>
      <c r="BB675" s="272">
        <f t="shared" si="763"/>
        <v>0</v>
      </c>
      <c r="BC675" s="272">
        <f t="shared" si="763"/>
        <v>0</v>
      </c>
      <c r="BD675" s="272">
        <f t="shared" si="763"/>
        <v>0</v>
      </c>
      <c r="BE675" s="272">
        <f t="shared" si="763"/>
        <v>0</v>
      </c>
      <c r="BF675" s="272">
        <f t="shared" si="763"/>
        <v>0</v>
      </c>
      <c r="BG675" s="272">
        <f t="shared" si="763"/>
        <v>0</v>
      </c>
      <c r="BH675" s="272">
        <f t="shared" si="763"/>
        <v>0</v>
      </c>
      <c r="BI675" s="272">
        <f t="shared" si="763"/>
        <v>0</v>
      </c>
      <c r="BJ675" s="272">
        <f t="shared" si="763"/>
        <v>0</v>
      </c>
      <c r="BK675" s="272">
        <f t="shared" si="763"/>
        <v>0</v>
      </c>
      <c r="BL675" s="272">
        <f t="shared" si="763"/>
        <v>0</v>
      </c>
      <c r="BM675" s="272">
        <f t="shared" si="763"/>
        <v>0</v>
      </c>
      <c r="BN675" s="324">
        <f t="shared" si="763"/>
        <v>0</v>
      </c>
      <c r="BP675" s="536" t="s">
        <v>1224</v>
      </c>
      <c r="BQ675" s="1438" t="str">
        <f t="shared" si="759"/>
        <v>GHG_Wooda = GHG_Wooda-1 + (C128 * BUI_COL (307 + ((A128 - 1) * 8) * E128 / 100) + (F128 / 100 * BUI_COL (307 + ((A128 - 1) * 8) * (100 - E128) / 100)) * BUI_COL5 / (J128-I128+1) / 1000000</v>
      </c>
      <c r="BR675" s="1438"/>
      <c r="BS675" s="1438"/>
      <c r="BT675" s="1438"/>
      <c r="BU675" s="1438"/>
      <c r="BV675" s="1438"/>
      <c r="BW675" s="1438"/>
      <c r="BX675" s="1438"/>
      <c r="BY675" s="1438"/>
      <c r="BZ675" s="1438"/>
      <c r="CA675" s="1438"/>
      <c r="CB675" s="1438"/>
      <c r="CC675" s="1438"/>
      <c r="CD675" s="1438"/>
      <c r="CE675" s="1438"/>
      <c r="CF675" s="1438"/>
      <c r="CG675" s="1438"/>
      <c r="CH675" s="1438"/>
      <c r="CI675" s="1438"/>
      <c r="CJ675" s="1438"/>
      <c r="CK675" s="1438"/>
      <c r="CL675" s="915" t="s">
        <v>2598</v>
      </c>
      <c r="CM675" s="1471" t="s">
        <v>2599</v>
      </c>
      <c r="CN675" s="1472"/>
      <c r="CO675" s="536" t="s">
        <v>1624</v>
      </c>
      <c r="CP675" s="536" t="s">
        <v>2600</v>
      </c>
    </row>
    <row r="676" spans="32:94" ht="20.100000000000001" customHeight="1">
      <c r="AF676" s="1505"/>
      <c r="AG676" s="251" t="s">
        <v>1225</v>
      </c>
      <c r="AH676" s="251">
        <f>INDEX('DEFAULT DATA'!$VE$9:$VK$41,START!$C$3,6)</f>
        <v>0</v>
      </c>
      <c r="AI676" s="360">
        <f>INDEX('DEFAULT DATA'!$AGY$9:$AIT$41,START!$C$3,(7+(($A$129-1)*8)))</f>
        <v>0</v>
      </c>
      <c r="AJ676" s="262"/>
      <c r="AK676" s="345">
        <v>0</v>
      </c>
      <c r="AL676" s="272">
        <f t="shared" ref="AL676:BN676" si="764">IF(AND(AL$669&gt;($I$129+2020),AL$669&lt;($J$129+2022)),AK676+($AH$676*$C$129*$AI$676*((100-$E$129)/100)*((100-$F$129)/100)/($J$129-$I$129+1)/1000000),AK676)</f>
        <v>0</v>
      </c>
      <c r="AM676" s="272">
        <f t="shared" si="764"/>
        <v>0</v>
      </c>
      <c r="AN676" s="272">
        <f t="shared" si="764"/>
        <v>0</v>
      </c>
      <c r="AO676" s="272">
        <f t="shared" si="764"/>
        <v>0</v>
      </c>
      <c r="AP676" s="272">
        <f t="shared" si="764"/>
        <v>0</v>
      </c>
      <c r="AQ676" s="272">
        <f t="shared" si="764"/>
        <v>0</v>
      </c>
      <c r="AR676" s="272">
        <f t="shared" si="764"/>
        <v>0</v>
      </c>
      <c r="AS676" s="272">
        <f t="shared" si="764"/>
        <v>0</v>
      </c>
      <c r="AT676" s="272">
        <f t="shared" si="764"/>
        <v>0</v>
      </c>
      <c r="AU676" s="272">
        <f t="shared" si="764"/>
        <v>0</v>
      </c>
      <c r="AV676" s="272">
        <f t="shared" si="764"/>
        <v>0</v>
      </c>
      <c r="AW676" s="272">
        <f t="shared" si="764"/>
        <v>0</v>
      </c>
      <c r="AX676" s="272">
        <f t="shared" si="764"/>
        <v>0</v>
      </c>
      <c r="AY676" s="272">
        <f t="shared" si="764"/>
        <v>0</v>
      </c>
      <c r="AZ676" s="272">
        <f t="shared" si="764"/>
        <v>0</v>
      </c>
      <c r="BA676" s="272">
        <f t="shared" si="764"/>
        <v>0</v>
      </c>
      <c r="BB676" s="272">
        <f t="shared" si="764"/>
        <v>0</v>
      </c>
      <c r="BC676" s="272">
        <f t="shared" si="764"/>
        <v>0</v>
      </c>
      <c r="BD676" s="272">
        <f t="shared" si="764"/>
        <v>0</v>
      </c>
      <c r="BE676" s="272">
        <f t="shared" si="764"/>
        <v>0</v>
      </c>
      <c r="BF676" s="272">
        <f t="shared" si="764"/>
        <v>0</v>
      </c>
      <c r="BG676" s="272">
        <f t="shared" si="764"/>
        <v>0</v>
      </c>
      <c r="BH676" s="272">
        <f t="shared" si="764"/>
        <v>0</v>
      </c>
      <c r="BI676" s="272">
        <f t="shared" si="764"/>
        <v>0</v>
      </c>
      <c r="BJ676" s="272">
        <f t="shared" si="764"/>
        <v>0</v>
      </c>
      <c r="BK676" s="272">
        <f t="shared" si="764"/>
        <v>0</v>
      </c>
      <c r="BL676" s="272">
        <f t="shared" si="764"/>
        <v>0</v>
      </c>
      <c r="BM676" s="272">
        <f t="shared" si="764"/>
        <v>0</v>
      </c>
      <c r="BN676" s="324">
        <f t="shared" si="764"/>
        <v>0</v>
      </c>
      <c r="BP676" s="536" t="s">
        <v>1225</v>
      </c>
      <c r="BQ676" s="1438" t="str">
        <f t="shared" si="759"/>
        <v>GHG_Renewablea = GHG_Renewablea-1 + (C128 * BUI_COL (307 + ((A128 - 1) * 8) * E128 / 100) + (F128 / 100 * BUI_COL (307 + ((A128 - 1) * 8) * (100 - E128) / 100)) * BUI_COL6 / (J128-I128+1) / 1000000</v>
      </c>
      <c r="BR676" s="1438"/>
      <c r="BS676" s="1438"/>
      <c r="BT676" s="1438"/>
      <c r="BU676" s="1438"/>
      <c r="BV676" s="1438"/>
      <c r="BW676" s="1438"/>
      <c r="BX676" s="1438"/>
      <c r="BY676" s="1438"/>
      <c r="BZ676" s="1438"/>
      <c r="CA676" s="1438"/>
      <c r="CB676" s="1438"/>
      <c r="CC676" s="1438"/>
      <c r="CD676" s="1438"/>
      <c r="CE676" s="1438"/>
      <c r="CF676" s="1438"/>
      <c r="CG676" s="1438"/>
      <c r="CH676" s="1438"/>
      <c r="CI676" s="1438"/>
      <c r="CJ676" s="1438"/>
      <c r="CK676" s="1438"/>
      <c r="CL676" s="915" t="s">
        <v>2598</v>
      </c>
      <c r="CM676" s="1471" t="s">
        <v>2599</v>
      </c>
      <c r="CN676" s="1472"/>
      <c r="CO676" s="536" t="s">
        <v>1625</v>
      </c>
      <c r="CP676" s="536" t="s">
        <v>2600</v>
      </c>
    </row>
    <row r="677" spans="32:94" ht="20.100000000000001" customHeight="1" thickBot="1">
      <c r="AF677" s="1506"/>
      <c r="AG677" s="310" t="s">
        <v>1226</v>
      </c>
      <c r="AH677" s="310" t="s">
        <v>1497</v>
      </c>
      <c r="AI677" s="362">
        <f>INDEX('DEFAULT DATA'!$AGY$9:$AIT$41,START!$C$3,(8+(($A$129-1)*8)))</f>
        <v>0</v>
      </c>
      <c r="AJ677" s="335"/>
      <c r="AK677" s="348">
        <v>0</v>
      </c>
      <c r="AL677" s="325">
        <f t="shared" ref="AL677:BN677" si="765">IF(AND(AL$669&gt;($I$129+2020),AL$669&lt;($J$129+2022)),AK677+(AL$6*$C$129*$AI$677*((100-$E$129)/100)*((100-$F$129)/100)/($J$129-$I$129+1)/1000000),AK677)</f>
        <v>0</v>
      </c>
      <c r="AM677" s="325">
        <f t="shared" si="765"/>
        <v>0</v>
      </c>
      <c r="AN677" s="325">
        <f t="shared" si="765"/>
        <v>0</v>
      </c>
      <c r="AO677" s="325">
        <f t="shared" si="765"/>
        <v>0</v>
      </c>
      <c r="AP677" s="325">
        <f t="shared" si="765"/>
        <v>0</v>
      </c>
      <c r="AQ677" s="325">
        <f t="shared" si="765"/>
        <v>0</v>
      </c>
      <c r="AR677" s="325">
        <f t="shared" si="765"/>
        <v>0</v>
      </c>
      <c r="AS677" s="325">
        <f t="shared" si="765"/>
        <v>0</v>
      </c>
      <c r="AT677" s="325">
        <f t="shared" si="765"/>
        <v>0</v>
      </c>
      <c r="AU677" s="325">
        <f t="shared" si="765"/>
        <v>0</v>
      </c>
      <c r="AV677" s="325">
        <f t="shared" si="765"/>
        <v>0</v>
      </c>
      <c r="AW677" s="325">
        <f t="shared" si="765"/>
        <v>0</v>
      </c>
      <c r="AX677" s="325">
        <f t="shared" si="765"/>
        <v>0</v>
      </c>
      <c r="AY677" s="325">
        <f t="shared" si="765"/>
        <v>0</v>
      </c>
      <c r="AZ677" s="325">
        <f t="shared" si="765"/>
        <v>0</v>
      </c>
      <c r="BA677" s="325">
        <f t="shared" si="765"/>
        <v>0</v>
      </c>
      <c r="BB677" s="325">
        <f t="shared" si="765"/>
        <v>0</v>
      </c>
      <c r="BC677" s="325">
        <f t="shared" si="765"/>
        <v>0</v>
      </c>
      <c r="BD677" s="325">
        <f t="shared" si="765"/>
        <v>0</v>
      </c>
      <c r="BE677" s="325">
        <f t="shared" si="765"/>
        <v>0</v>
      </c>
      <c r="BF677" s="325">
        <f t="shared" si="765"/>
        <v>0</v>
      </c>
      <c r="BG677" s="325">
        <f t="shared" si="765"/>
        <v>0</v>
      </c>
      <c r="BH677" s="325">
        <f t="shared" si="765"/>
        <v>0</v>
      </c>
      <c r="BI677" s="325">
        <f t="shared" si="765"/>
        <v>0</v>
      </c>
      <c r="BJ677" s="325">
        <f t="shared" si="765"/>
        <v>0</v>
      </c>
      <c r="BK677" s="325">
        <f t="shared" si="765"/>
        <v>0</v>
      </c>
      <c r="BL677" s="325">
        <f t="shared" si="765"/>
        <v>0</v>
      </c>
      <c r="BM677" s="325">
        <f t="shared" si="765"/>
        <v>0</v>
      </c>
      <c r="BN677" s="326">
        <f t="shared" si="765"/>
        <v>0</v>
      </c>
      <c r="BP677" s="536" t="s">
        <v>1226</v>
      </c>
      <c r="BQ677" s="1438" t="str">
        <f t="shared" si="759"/>
        <v>GHG_Heata = GHG_Heata-1 + (C128 * BUI_COL (307 + ((A128 - 1) * 8) * E128 / 100) + (F128 / 100 * BUI_COL (307 + ((A128 - 1) * 8) * (100 - E128) / 100)) * DISTRICT_HEATING_emission_factora (from row 5) / (J128-I128+1) / 1000000</v>
      </c>
      <c r="BR677" s="1438"/>
      <c r="BS677" s="1438"/>
      <c r="BT677" s="1438"/>
      <c r="BU677" s="1438"/>
      <c r="BV677" s="1438"/>
      <c r="BW677" s="1438"/>
      <c r="BX677" s="1438"/>
      <c r="BY677" s="1438"/>
      <c r="BZ677" s="1438"/>
      <c r="CA677" s="1438"/>
      <c r="CB677" s="1438"/>
      <c r="CC677" s="1438"/>
      <c r="CD677" s="1438"/>
      <c r="CE677" s="1438"/>
      <c r="CF677" s="1438"/>
      <c r="CG677" s="1438"/>
      <c r="CH677" s="1438"/>
      <c r="CI677" s="1438"/>
      <c r="CJ677" s="1438"/>
      <c r="CK677" s="1438"/>
      <c r="CL677" s="915" t="s">
        <v>2598</v>
      </c>
      <c r="CM677" s="1473" t="s">
        <v>2599</v>
      </c>
      <c r="CN677" s="1474"/>
      <c r="CO677" s="536" t="s">
        <v>2602</v>
      </c>
      <c r="CP677" s="536" t="s">
        <v>2600</v>
      </c>
    </row>
    <row r="678" spans="32:94" ht="20.100000000000001" customHeight="1">
      <c r="AF678" s="332"/>
      <c r="AG678" s="308" t="s">
        <v>310</v>
      </c>
      <c r="AH678" s="309"/>
      <c r="AI678" s="309"/>
      <c r="AJ678" s="309"/>
      <c r="AK678" s="344">
        <v>0</v>
      </c>
      <c r="AL678" s="327">
        <f>SUM(AL670:AL677)</f>
        <v>0</v>
      </c>
      <c r="AM678" s="327">
        <f t="shared" ref="AM678" si="766">SUM(AM670:AM677)</f>
        <v>0</v>
      </c>
      <c r="AN678" s="327">
        <f t="shared" ref="AN678" si="767">SUM(AN670:AN677)</f>
        <v>0</v>
      </c>
      <c r="AO678" s="327">
        <f t="shared" ref="AO678" si="768">SUM(AO670:AO677)</f>
        <v>0</v>
      </c>
      <c r="AP678" s="327">
        <f t="shared" ref="AP678" si="769">SUM(AP670:AP677)</f>
        <v>0</v>
      </c>
      <c r="AQ678" s="327">
        <f t="shared" ref="AQ678" si="770">SUM(AQ670:AQ677)</f>
        <v>0</v>
      </c>
      <c r="AR678" s="327">
        <f t="shared" ref="AR678" si="771">SUM(AR670:AR677)</f>
        <v>0</v>
      </c>
      <c r="AS678" s="327">
        <f t="shared" ref="AS678" si="772">SUM(AS670:AS677)</f>
        <v>0</v>
      </c>
      <c r="AT678" s="327">
        <f t="shared" ref="AT678" si="773">SUM(AT670:AT677)</f>
        <v>0</v>
      </c>
      <c r="AU678" s="327">
        <f t="shared" ref="AU678" si="774">SUM(AU670:AU677)</f>
        <v>0</v>
      </c>
      <c r="AV678" s="327">
        <f t="shared" ref="AV678" si="775">SUM(AV670:AV677)</f>
        <v>0</v>
      </c>
      <c r="AW678" s="327">
        <f t="shared" ref="AW678" si="776">SUM(AW670:AW677)</f>
        <v>0</v>
      </c>
      <c r="AX678" s="327">
        <f t="shared" ref="AX678" si="777">SUM(AX670:AX677)</f>
        <v>0</v>
      </c>
      <c r="AY678" s="327">
        <f t="shared" ref="AY678" si="778">SUM(AY670:AY677)</f>
        <v>0</v>
      </c>
      <c r="AZ678" s="327">
        <f t="shared" ref="AZ678" si="779">SUM(AZ670:AZ677)</f>
        <v>0</v>
      </c>
      <c r="BA678" s="327">
        <f t="shared" ref="BA678" si="780">SUM(BA670:BA677)</f>
        <v>0</v>
      </c>
      <c r="BB678" s="327">
        <f t="shared" ref="BB678" si="781">SUM(BB670:BB677)</f>
        <v>0</v>
      </c>
      <c r="BC678" s="327">
        <f t="shared" ref="BC678" si="782">SUM(BC670:BC677)</f>
        <v>0</v>
      </c>
      <c r="BD678" s="327">
        <f t="shared" ref="BD678" si="783">SUM(BD670:BD677)</f>
        <v>0</v>
      </c>
      <c r="BE678" s="327">
        <f t="shared" ref="BE678" si="784">SUM(BE670:BE677)</f>
        <v>0</v>
      </c>
      <c r="BF678" s="327">
        <f t="shared" ref="BF678" si="785">SUM(BF670:BF677)</f>
        <v>0</v>
      </c>
      <c r="BG678" s="327">
        <f t="shared" ref="BG678" si="786">SUM(BG670:BG677)</f>
        <v>0</v>
      </c>
      <c r="BH678" s="327">
        <f t="shared" ref="BH678" si="787">SUM(BH670:BH677)</f>
        <v>0</v>
      </c>
      <c r="BI678" s="327">
        <f t="shared" ref="BI678" si="788">SUM(BI670:BI677)</f>
        <v>0</v>
      </c>
      <c r="BJ678" s="327">
        <f t="shared" ref="BJ678" si="789">SUM(BJ670:BJ677)</f>
        <v>0</v>
      </c>
      <c r="BK678" s="327">
        <f t="shared" ref="BK678" si="790">SUM(BK670:BK677)</f>
        <v>0</v>
      </c>
      <c r="BL678" s="327">
        <f t="shared" ref="BL678" si="791">SUM(BL670:BL677)</f>
        <v>0</v>
      </c>
      <c r="BM678" s="327">
        <f t="shared" ref="BM678" si="792">SUM(BM670:BM677)</f>
        <v>0</v>
      </c>
      <c r="BN678" s="327">
        <f t="shared" ref="BN678" si="793">SUM(BN670:BN677)</f>
        <v>0</v>
      </c>
      <c r="CM678" s="1470"/>
      <c r="CN678" s="1470"/>
    </row>
    <row r="680" spans="32:94" ht="20.100000000000001" customHeight="1">
      <c r="AF680" s="921" t="s">
        <v>2519</v>
      </c>
      <c r="AG680" s="922"/>
      <c r="AH680" s="922"/>
      <c r="AI680" s="922"/>
      <c r="AJ680" s="922"/>
      <c r="AK680" s="922"/>
      <c r="AL680" s="922"/>
      <c r="AM680" s="922"/>
      <c r="AN680" s="922"/>
      <c r="AO680" s="922"/>
      <c r="AP680" s="922"/>
      <c r="AQ680" s="923"/>
      <c r="AR680" s="222"/>
      <c r="AS680" s="222"/>
      <c r="AT680" s="222"/>
    </row>
    <row r="681" spans="32:94" ht="20.100000000000001" customHeight="1">
      <c r="AF681" s="924" t="s">
        <v>2515</v>
      </c>
      <c r="AG681" s="925"/>
      <c r="AH681" s="925"/>
      <c r="AI681" s="925"/>
      <c r="AJ681" s="925"/>
      <c r="AK681" s="925"/>
      <c r="AL681" s="925"/>
      <c r="AM681" s="925"/>
      <c r="AN681" s="925"/>
      <c r="AO681" s="925"/>
      <c r="AP681" s="925"/>
      <c r="AQ681" s="926"/>
      <c r="AR681" s="222"/>
      <c r="AS681" s="222"/>
      <c r="AT681" s="222"/>
    </row>
    <row r="682" spans="32:94" ht="20.100000000000001" customHeight="1">
      <c r="AF682" s="936" t="s">
        <v>2517</v>
      </c>
      <c r="AG682" s="925"/>
      <c r="AH682" s="925"/>
      <c r="AI682" s="925"/>
      <c r="AJ682" s="925"/>
      <c r="AK682" s="925"/>
      <c r="AL682" s="925"/>
      <c r="AM682" s="925"/>
      <c r="AN682" s="925"/>
      <c r="AO682" s="925"/>
      <c r="AP682" s="925"/>
      <c r="AQ682" s="926"/>
      <c r="AR682" s="222"/>
      <c r="AS682" s="222"/>
      <c r="AT682" s="222"/>
    </row>
    <row r="683" spans="32:94" ht="20.100000000000001" customHeight="1">
      <c r="AF683" s="924" t="s">
        <v>2516</v>
      </c>
      <c r="AG683" s="925"/>
      <c r="AH683" s="925"/>
      <c r="AI683" s="925"/>
      <c r="AJ683" s="925"/>
      <c r="AK683" s="925"/>
      <c r="AL683" s="925"/>
      <c r="AM683" s="925"/>
      <c r="AN683" s="925"/>
      <c r="AO683" s="925"/>
      <c r="AP683" s="925"/>
      <c r="AQ683" s="926"/>
      <c r="AR683" s="222"/>
      <c r="AS683" s="222"/>
      <c r="AT683" s="222"/>
    </row>
    <row r="684" spans="32:94" ht="20.100000000000001" customHeight="1">
      <c r="AF684" s="936" t="s">
        <v>2518</v>
      </c>
      <c r="AG684" s="925"/>
      <c r="AH684" s="925"/>
      <c r="AI684" s="925"/>
      <c r="AJ684" s="925"/>
      <c r="AK684" s="925"/>
      <c r="AL684" s="925"/>
      <c r="AM684" s="925"/>
      <c r="AN684" s="925"/>
      <c r="AO684" s="925"/>
      <c r="AP684" s="925"/>
      <c r="AQ684" s="926"/>
      <c r="AR684" s="222"/>
      <c r="AS684" s="222"/>
      <c r="AT684" s="222"/>
    </row>
    <row r="685" spans="32:94" ht="20.100000000000001" customHeight="1">
      <c r="AF685" s="927" t="s">
        <v>2546</v>
      </c>
      <c r="AG685" s="925"/>
      <c r="AH685" s="925"/>
      <c r="AI685" s="925"/>
      <c r="AJ685" s="925"/>
      <c r="AK685" s="925"/>
      <c r="AL685" s="925"/>
      <c r="AM685" s="925"/>
      <c r="AN685" s="925"/>
      <c r="AO685" s="925"/>
      <c r="AP685" s="925"/>
      <c r="AQ685" s="926"/>
      <c r="AR685" s="222"/>
      <c r="AS685" s="222"/>
      <c r="AT685" s="222"/>
    </row>
    <row r="686" spans="32:94" ht="20.100000000000001" customHeight="1">
      <c r="AF686" s="927" t="s">
        <v>2537</v>
      </c>
      <c r="AG686" s="925"/>
      <c r="AH686" s="925"/>
      <c r="AI686" s="925"/>
      <c r="AJ686" s="925"/>
      <c r="AK686" s="925"/>
      <c r="AL686" s="925"/>
      <c r="AM686" s="925"/>
      <c r="AN686" s="925"/>
      <c r="AO686" s="925"/>
      <c r="AP686" s="925"/>
      <c r="AQ686" s="926"/>
      <c r="AR686" s="222"/>
      <c r="AS686" s="222"/>
      <c r="AT686" s="222"/>
    </row>
    <row r="687" spans="32:94" ht="20.100000000000001" customHeight="1">
      <c r="AF687" s="927" t="s">
        <v>2616</v>
      </c>
      <c r="AG687" s="925"/>
      <c r="AH687" s="925"/>
      <c r="AI687" s="925"/>
      <c r="AJ687" s="925"/>
      <c r="AK687" s="925"/>
      <c r="AL687" s="925"/>
      <c r="AM687" s="925"/>
      <c r="AN687" s="925"/>
      <c r="AO687" s="925"/>
      <c r="AP687" s="925"/>
      <c r="AQ687" s="926"/>
      <c r="AR687" s="222"/>
      <c r="AS687" s="222"/>
      <c r="AT687" s="222"/>
    </row>
    <row r="688" spans="32:94" ht="20.100000000000001" customHeight="1">
      <c r="AF688" s="928" t="s">
        <v>1899</v>
      </c>
      <c r="AG688" s="929">
        <v>1</v>
      </c>
      <c r="AH688" s="925"/>
      <c r="AI688" s="925"/>
      <c r="AJ688" s="925"/>
      <c r="AK688" s="925"/>
      <c r="AL688" s="925"/>
      <c r="AM688" s="925"/>
      <c r="AN688" s="925"/>
      <c r="AO688" s="925"/>
      <c r="AP688" s="925"/>
      <c r="AQ688" s="926"/>
      <c r="AR688" s="222"/>
      <c r="AS688" s="222"/>
      <c r="AT688" s="222"/>
    </row>
    <row r="689" spans="32:46" ht="20.100000000000001" customHeight="1">
      <c r="AF689" s="928" t="s">
        <v>1630</v>
      </c>
      <c r="AG689" s="929">
        <v>2</v>
      </c>
      <c r="AH689" s="925"/>
      <c r="AI689" s="925"/>
      <c r="AJ689" s="925"/>
      <c r="AK689" s="925"/>
      <c r="AL689" s="925"/>
      <c r="AM689" s="925"/>
      <c r="AN689" s="925"/>
      <c r="AO689" s="925"/>
      <c r="AP689" s="925"/>
      <c r="AQ689" s="926"/>
      <c r="AR689" s="222"/>
      <c r="AS689" s="222"/>
      <c r="AT689" s="222"/>
    </row>
    <row r="690" spans="32:46" ht="20.100000000000001" customHeight="1">
      <c r="AF690" s="928" t="s">
        <v>1658</v>
      </c>
      <c r="AG690" s="929">
        <v>3</v>
      </c>
      <c r="AH690" s="925"/>
      <c r="AI690" s="925"/>
      <c r="AJ690" s="925"/>
      <c r="AK690" s="925"/>
      <c r="AL690" s="925"/>
      <c r="AM690" s="925"/>
      <c r="AN690" s="925"/>
      <c r="AO690" s="925"/>
      <c r="AP690" s="925"/>
      <c r="AQ690" s="926"/>
      <c r="AR690" s="222"/>
      <c r="AS690" s="222"/>
      <c r="AT690" s="222"/>
    </row>
    <row r="691" spans="32:46" ht="20.100000000000001" customHeight="1">
      <c r="AF691" s="928" t="s">
        <v>1745</v>
      </c>
      <c r="AG691" s="929">
        <v>4</v>
      </c>
      <c r="AH691" s="925"/>
      <c r="AI691" s="925"/>
      <c r="AJ691" s="925"/>
      <c r="AK691" s="925"/>
      <c r="AL691" s="925"/>
      <c r="AM691" s="925"/>
      <c r="AN691" s="925"/>
      <c r="AO691" s="925"/>
      <c r="AP691" s="925"/>
      <c r="AQ691" s="926"/>
      <c r="AR691" s="222"/>
      <c r="AS691" s="222"/>
      <c r="AT691" s="222"/>
    </row>
    <row r="692" spans="32:46" ht="20.100000000000001" customHeight="1">
      <c r="AF692" s="928" t="s">
        <v>2500</v>
      </c>
      <c r="AG692" s="929">
        <v>5</v>
      </c>
      <c r="AH692" s="925"/>
      <c r="AI692" s="925"/>
      <c r="AJ692" s="925"/>
      <c r="AK692" s="925"/>
      <c r="AL692" s="925"/>
      <c r="AM692" s="925"/>
      <c r="AN692" s="925"/>
      <c r="AO692" s="925"/>
      <c r="AP692" s="925"/>
      <c r="AQ692" s="926"/>
      <c r="AR692" s="222"/>
      <c r="AS692" s="222"/>
      <c r="AT692" s="222"/>
    </row>
    <row r="693" spans="32:46" ht="20.100000000000001" customHeight="1">
      <c r="AF693" s="928" t="s">
        <v>2501</v>
      </c>
      <c r="AG693" s="929">
        <v>6</v>
      </c>
      <c r="AH693" s="925"/>
      <c r="AI693" s="925"/>
      <c r="AJ693" s="925"/>
      <c r="AK693" s="925"/>
      <c r="AL693" s="925"/>
      <c r="AM693" s="925"/>
      <c r="AN693" s="925"/>
      <c r="AO693" s="925"/>
      <c r="AP693" s="925"/>
      <c r="AQ693" s="926"/>
      <c r="AR693" s="222"/>
      <c r="AS693" s="222"/>
      <c r="AT693" s="222"/>
    </row>
    <row r="694" spans="32:46" ht="20.100000000000001" customHeight="1">
      <c r="AF694" s="928" t="s">
        <v>2502</v>
      </c>
      <c r="AG694" s="929">
        <v>7</v>
      </c>
      <c r="AH694" s="925"/>
      <c r="AI694" s="925"/>
      <c r="AJ694" s="925"/>
      <c r="AK694" s="925"/>
      <c r="AL694" s="925"/>
      <c r="AM694" s="925"/>
      <c r="AN694" s="925"/>
      <c r="AO694" s="925"/>
      <c r="AP694" s="925"/>
      <c r="AQ694" s="926"/>
      <c r="AR694" s="222"/>
      <c r="AS694" s="222"/>
      <c r="AT694" s="222"/>
    </row>
    <row r="695" spans="32:46" ht="20.100000000000001" customHeight="1">
      <c r="AF695" s="928" t="s">
        <v>2503</v>
      </c>
      <c r="AG695" s="929">
        <v>8</v>
      </c>
      <c r="AH695" s="925"/>
      <c r="AI695" s="925"/>
      <c r="AJ695" s="925"/>
      <c r="AK695" s="925"/>
      <c r="AL695" s="925"/>
      <c r="AM695" s="925"/>
      <c r="AN695" s="925"/>
      <c r="AO695" s="925"/>
      <c r="AP695" s="925"/>
      <c r="AQ695" s="926"/>
      <c r="AR695" s="222"/>
      <c r="AS695" s="222"/>
      <c r="AT695" s="222"/>
    </row>
    <row r="696" spans="32:46" ht="20.100000000000001" customHeight="1">
      <c r="AF696" s="928" t="s">
        <v>2504</v>
      </c>
      <c r="AG696" s="929">
        <v>9</v>
      </c>
      <c r="AH696" s="925"/>
      <c r="AI696" s="925"/>
      <c r="AJ696" s="925"/>
      <c r="AK696" s="925"/>
      <c r="AL696" s="925"/>
      <c r="AM696" s="925"/>
      <c r="AN696" s="925"/>
      <c r="AO696" s="925"/>
      <c r="AP696" s="925"/>
      <c r="AQ696" s="926"/>
      <c r="AR696" s="222"/>
      <c r="AS696" s="222"/>
      <c r="AT696" s="222"/>
    </row>
    <row r="697" spans="32:46" ht="20.100000000000001" customHeight="1">
      <c r="AF697" s="928" t="s">
        <v>2505</v>
      </c>
      <c r="AG697" s="929">
        <v>10</v>
      </c>
      <c r="AH697" s="925"/>
      <c r="AI697" s="925"/>
      <c r="AJ697" s="925"/>
      <c r="AK697" s="925"/>
      <c r="AL697" s="925"/>
      <c r="AM697" s="925"/>
      <c r="AN697" s="925"/>
      <c r="AO697" s="925"/>
      <c r="AP697" s="925"/>
      <c r="AQ697" s="926"/>
      <c r="AR697" s="222"/>
      <c r="AS697" s="222"/>
      <c r="AT697" s="222"/>
    </row>
    <row r="698" spans="32:46" ht="20.100000000000001" customHeight="1">
      <c r="AF698" s="931" t="s">
        <v>2447</v>
      </c>
      <c r="AG698" s="932" t="s">
        <v>2520</v>
      </c>
      <c r="AH698" s="925"/>
      <c r="AI698" s="925"/>
      <c r="AJ698" s="925"/>
      <c r="AK698" s="925" t="s">
        <v>2617</v>
      </c>
      <c r="AL698" s="925"/>
      <c r="AM698" s="932" t="s">
        <v>2618</v>
      </c>
      <c r="AN698" s="925"/>
      <c r="AO698" s="925"/>
      <c r="AP698" s="925"/>
      <c r="AQ698" s="926"/>
      <c r="AR698" s="222"/>
      <c r="AS698" s="222"/>
      <c r="AT698" s="222"/>
    </row>
    <row r="699" spans="32:46" ht="20.100000000000001" customHeight="1">
      <c r="AF699" s="931" t="s">
        <v>2547</v>
      </c>
      <c r="AG699" s="930"/>
      <c r="AH699" s="925"/>
      <c r="AI699" s="925"/>
      <c r="AJ699" s="925"/>
      <c r="AK699" s="925"/>
      <c r="AL699" s="925"/>
      <c r="AM699" s="925"/>
      <c r="AN699" s="925"/>
      <c r="AO699" s="925"/>
      <c r="AP699" s="925"/>
      <c r="AQ699" s="926"/>
      <c r="AR699" s="222"/>
      <c r="AS699" s="222"/>
      <c r="AT699" s="222"/>
    </row>
    <row r="700" spans="32:46" ht="20.100000000000001" customHeight="1">
      <c r="AF700" s="931" t="s">
        <v>2463</v>
      </c>
      <c r="AG700" s="930"/>
      <c r="AH700" s="925"/>
      <c r="AI700" s="925"/>
      <c r="AJ700" s="925"/>
      <c r="AK700" s="925"/>
      <c r="AL700" s="925"/>
      <c r="AM700" s="925"/>
      <c r="AN700" s="925"/>
      <c r="AO700" s="925"/>
      <c r="AP700" s="925"/>
      <c r="AQ700" s="926"/>
      <c r="AR700" s="222"/>
      <c r="AS700" s="222"/>
      <c r="AT700" s="222"/>
    </row>
    <row r="701" spans="32:46" ht="20.100000000000001" customHeight="1">
      <c r="AF701" s="933" t="s">
        <v>2521</v>
      </c>
      <c r="AG701" s="930"/>
      <c r="AH701" s="925"/>
      <c r="AI701" s="925"/>
      <c r="AJ701" s="925"/>
      <c r="AK701" s="925"/>
      <c r="AL701" s="925"/>
      <c r="AM701" s="925"/>
      <c r="AN701" s="925"/>
      <c r="AO701" s="925"/>
      <c r="AP701" s="925"/>
      <c r="AQ701" s="926"/>
      <c r="AR701" s="222"/>
      <c r="AS701" s="222"/>
      <c r="AT701" s="222"/>
    </row>
    <row r="702" spans="32:46" ht="20.100000000000001" customHeight="1">
      <c r="AF702" s="934" t="s">
        <v>2522</v>
      </c>
      <c r="AG702" s="916" t="s">
        <v>2509</v>
      </c>
      <c r="AH702" s="925"/>
      <c r="AI702" s="925"/>
      <c r="AJ702" s="925"/>
      <c r="AK702" s="925"/>
      <c r="AL702" s="925"/>
      <c r="AM702" s="925"/>
      <c r="AN702" s="925"/>
      <c r="AO702" s="925"/>
      <c r="AP702" s="925"/>
      <c r="AQ702" s="926"/>
      <c r="AR702" s="222"/>
      <c r="AS702" s="222"/>
      <c r="AT702" s="222"/>
    </row>
    <row r="703" spans="32:46" ht="20.100000000000001" customHeight="1">
      <c r="AF703" s="931" t="s">
        <v>2523</v>
      </c>
      <c r="AG703" s="940"/>
      <c r="AH703" s="925"/>
      <c r="AI703" s="925"/>
      <c r="AJ703" s="925"/>
      <c r="AK703" s="925"/>
      <c r="AL703" s="925"/>
      <c r="AM703" s="925"/>
      <c r="AN703" s="925"/>
      <c r="AO703" s="925"/>
      <c r="AP703" s="925"/>
      <c r="AQ703" s="926"/>
      <c r="AR703" s="222"/>
      <c r="AS703" s="222"/>
      <c r="AT703" s="222"/>
    </row>
    <row r="704" spans="32:46" ht="20.100000000000001" customHeight="1">
      <c r="AF704" s="927" t="s">
        <v>2533</v>
      </c>
      <c r="AG704" s="925"/>
      <c r="AH704" s="925"/>
      <c r="AI704" s="925"/>
      <c r="AJ704" s="925"/>
      <c r="AK704" s="925"/>
      <c r="AL704" s="925"/>
      <c r="AM704" s="925"/>
      <c r="AN704" s="925"/>
      <c r="AO704" s="925"/>
      <c r="AP704" s="925"/>
      <c r="AQ704" s="926"/>
      <c r="AR704" s="222"/>
      <c r="AS704" s="222"/>
      <c r="AT704" s="222"/>
    </row>
    <row r="705" spans="32:89" ht="20.100000000000001" customHeight="1">
      <c r="AF705" s="927" t="s">
        <v>2540</v>
      </c>
      <c r="AG705" s="925"/>
      <c r="AH705" s="925"/>
      <c r="AI705" s="925"/>
      <c r="AJ705" s="925"/>
      <c r="AK705" s="925"/>
      <c r="AL705" s="925"/>
      <c r="AM705" s="925"/>
      <c r="AN705" s="925"/>
      <c r="AO705" s="925"/>
      <c r="AP705" s="925"/>
      <c r="AQ705" s="926"/>
      <c r="AR705" s="222"/>
      <c r="AS705" s="222"/>
      <c r="AT705" s="222"/>
    </row>
    <row r="706" spans="32:89" ht="20.100000000000001" customHeight="1">
      <c r="AF706" s="927" t="s">
        <v>2541</v>
      </c>
      <c r="AG706" s="925"/>
      <c r="AH706" s="925"/>
      <c r="AI706" s="925"/>
      <c r="AJ706" s="925"/>
      <c r="AK706" s="925"/>
      <c r="AL706" s="925"/>
      <c r="AM706" s="925"/>
      <c r="AN706" s="925"/>
      <c r="AO706" s="925"/>
      <c r="AP706" s="925"/>
      <c r="AQ706" s="926"/>
      <c r="AR706" s="222"/>
      <c r="AS706" s="222"/>
      <c r="AT706" s="222"/>
    </row>
    <row r="707" spans="32:89" ht="20.100000000000001" customHeight="1">
      <c r="AF707" s="927"/>
      <c r="AG707" s="925"/>
      <c r="AH707" s="925"/>
      <c r="AI707" s="925"/>
      <c r="AJ707" s="925"/>
      <c r="AK707" s="925"/>
      <c r="AL707" s="925"/>
      <c r="AM707" s="925"/>
      <c r="AN707" s="925"/>
      <c r="AO707" s="925"/>
      <c r="AP707" s="925"/>
      <c r="AQ707" s="926"/>
      <c r="AR707" s="222"/>
      <c r="AS707" s="222"/>
      <c r="AT707" s="222"/>
    </row>
    <row r="708" spans="32:89" ht="20.100000000000001" customHeight="1">
      <c r="AF708" s="927" t="s">
        <v>2469</v>
      </c>
      <c r="AG708" s="925"/>
      <c r="AH708" s="925"/>
      <c r="AI708" s="925"/>
      <c r="AJ708" s="925"/>
      <c r="AK708" s="925"/>
      <c r="AL708" s="925"/>
      <c r="AM708" s="925"/>
      <c r="AN708" s="925"/>
      <c r="AO708" s="925"/>
      <c r="AP708" s="925"/>
      <c r="AQ708" s="926"/>
      <c r="AR708" s="222"/>
      <c r="AS708" s="222"/>
      <c r="AT708" s="222"/>
    </row>
    <row r="709" spans="32:89" ht="20.100000000000001" customHeight="1">
      <c r="AF709" s="924" t="s">
        <v>2545</v>
      </c>
      <c r="AG709" s="925"/>
      <c r="AH709" s="925"/>
      <c r="AI709" s="925"/>
      <c r="AJ709" s="925"/>
      <c r="AK709" s="925"/>
      <c r="AL709" s="925"/>
      <c r="AM709" s="925"/>
      <c r="AN709" s="925"/>
      <c r="AO709" s="925"/>
      <c r="AP709" s="925"/>
      <c r="AQ709" s="926"/>
      <c r="AR709" s="222"/>
      <c r="AS709" s="222"/>
      <c r="AT709" s="222"/>
    </row>
    <row r="710" spans="32:89" ht="20.100000000000001" customHeight="1">
      <c r="AF710" s="927" t="s">
        <v>2453</v>
      </c>
      <c r="AG710" s="925"/>
      <c r="AH710" s="925"/>
      <c r="AI710" s="925"/>
      <c r="AJ710" s="925"/>
      <c r="AK710" s="925"/>
      <c r="AL710" s="925"/>
      <c r="AM710" s="925"/>
      <c r="AN710" s="925"/>
      <c r="AO710" s="925"/>
      <c r="AP710" s="925"/>
      <c r="AQ710" s="926"/>
      <c r="AR710" s="222"/>
      <c r="AS710" s="222"/>
      <c r="AT710" s="222"/>
    </row>
    <row r="711" spans="32:89" ht="20.100000000000001" customHeight="1">
      <c r="AF711" s="936" t="s">
        <v>2542</v>
      </c>
      <c r="AG711" s="925"/>
      <c r="AH711" s="925"/>
      <c r="AI711" s="925"/>
      <c r="AJ711" s="925"/>
      <c r="AK711" s="925"/>
      <c r="AL711" s="925"/>
      <c r="AM711" s="925"/>
      <c r="AN711" s="925"/>
      <c r="AO711" s="925"/>
      <c r="AP711" s="925"/>
      <c r="AQ711" s="926"/>
      <c r="AR711" s="222"/>
      <c r="AS711" s="222"/>
      <c r="AT711" s="222"/>
    </row>
    <row r="712" spans="32:89" ht="20.100000000000001" customHeight="1">
      <c r="AF712" s="936" t="s">
        <v>2454</v>
      </c>
      <c r="AG712" s="925"/>
      <c r="AH712" s="925"/>
      <c r="AI712" s="925"/>
      <c r="AJ712" s="925"/>
      <c r="AK712" s="925"/>
      <c r="AL712" s="925"/>
      <c r="AM712" s="925"/>
      <c r="AN712" s="925"/>
      <c r="AO712" s="925"/>
      <c r="AP712" s="925"/>
      <c r="AQ712" s="926"/>
      <c r="AR712" s="222"/>
      <c r="AS712" s="222"/>
      <c r="AT712" s="222"/>
    </row>
    <row r="713" spans="32:89" ht="20.100000000000001" customHeight="1">
      <c r="AF713" s="936" t="s">
        <v>2543</v>
      </c>
      <c r="AG713" s="925"/>
      <c r="AH713" s="925"/>
      <c r="AI713" s="925"/>
      <c r="AJ713" s="925"/>
      <c r="AK713" s="925"/>
      <c r="AL713" s="925"/>
      <c r="AM713" s="925"/>
      <c r="AN713" s="925"/>
      <c r="AO713" s="925"/>
      <c r="AP713" s="925"/>
      <c r="AQ713" s="926"/>
      <c r="AR713" s="222"/>
      <c r="AS713" s="222"/>
      <c r="AT713" s="222"/>
    </row>
    <row r="714" spans="32:89" ht="20.100000000000001" customHeight="1">
      <c r="AF714" s="936" t="s">
        <v>2544</v>
      </c>
      <c r="AG714" s="925"/>
      <c r="AH714" s="925"/>
      <c r="AI714" s="925"/>
      <c r="AJ714" s="925"/>
      <c r="AK714" s="925"/>
      <c r="AL714" s="925"/>
      <c r="AM714" s="925"/>
      <c r="AN714" s="925"/>
      <c r="AO714" s="925"/>
      <c r="AP714" s="925"/>
      <c r="AQ714" s="926"/>
      <c r="AR714" s="222"/>
      <c r="AS714" s="222"/>
      <c r="AT714" s="222"/>
    </row>
    <row r="715" spans="32:89" ht="20.100000000000001" customHeight="1">
      <c r="AF715" s="936" t="s">
        <v>2458</v>
      </c>
      <c r="AG715" s="925"/>
      <c r="AH715" s="925"/>
      <c r="AI715" s="925"/>
      <c r="AJ715" s="925"/>
      <c r="AK715" s="925"/>
      <c r="AL715" s="925"/>
      <c r="AM715" s="925"/>
      <c r="AN715" s="925"/>
      <c r="AO715" s="925"/>
      <c r="AP715" s="925"/>
      <c r="AQ715" s="926"/>
      <c r="AR715" s="222"/>
      <c r="AS715" s="222"/>
      <c r="AT715" s="222"/>
    </row>
    <row r="716" spans="32:89" ht="20.100000000000001" customHeight="1">
      <c r="AF716" s="936"/>
      <c r="AG716" s="925"/>
      <c r="AH716" s="925"/>
      <c r="AI716" s="925"/>
      <c r="AJ716" s="925"/>
      <c r="AK716" s="925"/>
      <c r="AL716" s="925"/>
      <c r="AM716" s="925"/>
      <c r="AN716" s="925"/>
      <c r="AO716" s="925"/>
      <c r="AP716" s="925"/>
      <c r="AQ716" s="926"/>
      <c r="AR716" s="222"/>
      <c r="AS716" s="222"/>
      <c r="AT716" s="222"/>
    </row>
    <row r="717" spans="32:89" ht="20.100000000000001" customHeight="1">
      <c r="AF717" s="942" t="s">
        <v>2550</v>
      </c>
      <c r="AG717" s="938"/>
      <c r="AH717" s="938"/>
      <c r="AI717" s="938"/>
      <c r="AJ717" s="938"/>
      <c r="AK717" s="938"/>
      <c r="AL717" s="938"/>
      <c r="AM717" s="938"/>
      <c r="AN717" s="938"/>
      <c r="AO717" s="938"/>
      <c r="AP717" s="938"/>
      <c r="AQ717" s="939"/>
      <c r="AR717" s="222"/>
      <c r="AS717" s="222"/>
      <c r="AT717" s="222"/>
    </row>
    <row r="719" spans="32:89" ht="20.100000000000001" customHeight="1">
      <c r="AF719" s="290" t="s">
        <v>1512</v>
      </c>
      <c r="BQ719" s="413"/>
      <c r="CI719" s="402" t="s">
        <v>2625</v>
      </c>
    </row>
    <row r="720" spans="32:89" ht="20.100000000000001" customHeight="1" thickBot="1">
      <c r="AF720" s="333" t="s">
        <v>1514</v>
      </c>
      <c r="AG720" s="333"/>
      <c r="AH720" s="334" t="s">
        <v>977</v>
      </c>
      <c r="AI720" s="1477" t="s">
        <v>2548</v>
      </c>
      <c r="AJ720" s="1478"/>
      <c r="AK720" s="346">
        <v>2021</v>
      </c>
      <c r="AL720" s="284">
        <v>2022</v>
      </c>
      <c r="AM720" s="284">
        <f>AL720+1</f>
        <v>2023</v>
      </c>
      <c r="AN720" s="284">
        <f t="shared" ref="AN720" si="794">AM720+1</f>
        <v>2024</v>
      </c>
      <c r="AO720" s="284">
        <f t="shared" ref="AO720" si="795">AN720+1</f>
        <v>2025</v>
      </c>
      <c r="AP720" s="284">
        <f t="shared" ref="AP720" si="796">AO720+1</f>
        <v>2026</v>
      </c>
      <c r="AQ720" s="284">
        <f t="shared" ref="AQ720" si="797">AP720+1</f>
        <v>2027</v>
      </c>
      <c r="AR720" s="284">
        <f t="shared" ref="AR720" si="798">AQ720+1</f>
        <v>2028</v>
      </c>
      <c r="AS720" s="284">
        <f t="shared" ref="AS720" si="799">AR720+1</f>
        <v>2029</v>
      </c>
      <c r="AT720" s="284">
        <f t="shared" ref="AT720" si="800">AS720+1</f>
        <v>2030</v>
      </c>
      <c r="AU720" s="284">
        <f t="shared" ref="AU720" si="801">AT720+1</f>
        <v>2031</v>
      </c>
      <c r="AV720" s="284">
        <f t="shared" ref="AV720" si="802">AU720+1</f>
        <v>2032</v>
      </c>
      <c r="AW720" s="284">
        <f t="shared" ref="AW720" si="803">AV720+1</f>
        <v>2033</v>
      </c>
      <c r="AX720" s="284">
        <f t="shared" ref="AX720" si="804">AW720+1</f>
        <v>2034</v>
      </c>
      <c r="AY720" s="284">
        <f t="shared" ref="AY720" si="805">AX720+1</f>
        <v>2035</v>
      </c>
      <c r="AZ720" s="284">
        <f t="shared" ref="AZ720" si="806">AY720+1</f>
        <v>2036</v>
      </c>
      <c r="BA720" s="284">
        <f t="shared" ref="BA720" si="807">AZ720+1</f>
        <v>2037</v>
      </c>
      <c r="BB720" s="284">
        <f t="shared" ref="BB720" si="808">BA720+1</f>
        <v>2038</v>
      </c>
      <c r="BC720" s="284">
        <f t="shared" ref="BC720" si="809">BB720+1</f>
        <v>2039</v>
      </c>
      <c r="BD720" s="284">
        <f t="shared" ref="BD720" si="810">BC720+1</f>
        <v>2040</v>
      </c>
      <c r="BE720" s="284">
        <f t="shared" ref="BE720" si="811">BD720+1</f>
        <v>2041</v>
      </c>
      <c r="BF720" s="284">
        <f t="shared" ref="BF720" si="812">BE720+1</f>
        <v>2042</v>
      </c>
      <c r="BG720" s="284">
        <f t="shared" ref="BG720" si="813">BF720+1</f>
        <v>2043</v>
      </c>
      <c r="BH720" s="284">
        <f t="shared" ref="BH720" si="814">BG720+1</f>
        <v>2044</v>
      </c>
      <c r="BI720" s="284">
        <f t="shared" ref="BI720" si="815">BH720+1</f>
        <v>2045</v>
      </c>
      <c r="BJ720" s="284">
        <f t="shared" ref="BJ720" si="816">BI720+1</f>
        <v>2046</v>
      </c>
      <c r="BK720" s="284">
        <f t="shared" ref="BK720" si="817">BJ720+1</f>
        <v>2047</v>
      </c>
      <c r="BL720" s="284">
        <f t="shared" ref="BL720" si="818">BK720+1</f>
        <v>2048</v>
      </c>
      <c r="BM720" s="284">
        <f t="shared" ref="BM720" si="819">BL720+1</f>
        <v>2049</v>
      </c>
      <c r="BN720" s="284">
        <f t="shared" ref="BN720" si="820">BM720+1</f>
        <v>2050</v>
      </c>
      <c r="BQ720" s="222" t="s">
        <v>2619</v>
      </c>
      <c r="BR720" s="417"/>
      <c r="BS720" s="417"/>
      <c r="BT720" s="417"/>
      <c r="BU720" s="417"/>
      <c r="BV720" s="417"/>
      <c r="BW720" s="417"/>
      <c r="BX720" s="417"/>
      <c r="BY720" s="417"/>
      <c r="BZ720" s="417"/>
      <c r="CA720" s="417"/>
      <c r="CB720" s="417"/>
      <c r="CC720" s="417"/>
      <c r="CD720" s="417"/>
      <c r="CE720" s="417"/>
      <c r="CF720" s="417"/>
      <c r="CG720" s="417"/>
      <c r="CH720" s="417"/>
      <c r="CI720" s="944" t="s">
        <v>1767</v>
      </c>
      <c r="CJ720" s="279" t="s">
        <v>2552</v>
      </c>
      <c r="CK720" s="945" t="s">
        <v>1598</v>
      </c>
    </row>
    <row r="721" spans="11:90" ht="20.100000000000001" customHeight="1">
      <c r="AF721" s="237" t="str">
        <f>CONCATENATE("conversions from ",INDEX('MENU OPTIONS'!$B$27:$B$36,$A$135,1))</f>
        <v>conversions from Industrial</v>
      </c>
      <c r="AG721" s="286" t="s">
        <v>933</v>
      </c>
      <c r="AH721" s="286" t="s">
        <v>1496</v>
      </c>
      <c r="AI721" s="941">
        <f>INDEX('DEFAULT DATA'!$AFS$9:$AIT$41,START!$C$3,(1+(($A$135-1)*8)))/IF($A$135&lt;5,INDEX('DEFAULT DATA'!$WT$9:$WW$41,START!$C$3,$A$135),1)</f>
        <v>0</v>
      </c>
      <c r="AJ721" s="367"/>
      <c r="AK721" s="343">
        <v>0</v>
      </c>
      <c r="AL721" s="322">
        <f t="shared" ref="AL721:BN721" si="821">IF(AND(AL$720&gt;($I$135+2020),AL$720&lt;($J$135+2022)),AK721+(AL$5*$E$135*$AI$721/($J$135-$I$135+1)/1000000),AK721)</f>
        <v>0</v>
      </c>
      <c r="AM721" s="322">
        <f t="shared" si="821"/>
        <v>0</v>
      </c>
      <c r="AN721" s="322">
        <f t="shared" si="821"/>
        <v>0</v>
      </c>
      <c r="AO721" s="322">
        <f t="shared" si="821"/>
        <v>0</v>
      </c>
      <c r="AP721" s="322">
        <f t="shared" si="821"/>
        <v>0</v>
      </c>
      <c r="AQ721" s="322">
        <f t="shared" si="821"/>
        <v>0</v>
      </c>
      <c r="AR721" s="322">
        <f t="shared" si="821"/>
        <v>0</v>
      </c>
      <c r="AS721" s="322">
        <f t="shared" si="821"/>
        <v>0</v>
      </c>
      <c r="AT721" s="322">
        <f t="shared" si="821"/>
        <v>0</v>
      </c>
      <c r="AU721" s="322">
        <f t="shared" si="821"/>
        <v>0</v>
      </c>
      <c r="AV721" s="322">
        <f t="shared" si="821"/>
        <v>0</v>
      </c>
      <c r="AW721" s="322">
        <f t="shared" si="821"/>
        <v>0</v>
      </c>
      <c r="AX721" s="322">
        <f t="shared" si="821"/>
        <v>0</v>
      </c>
      <c r="AY721" s="322">
        <f t="shared" si="821"/>
        <v>0</v>
      </c>
      <c r="AZ721" s="322">
        <f t="shared" si="821"/>
        <v>0</v>
      </c>
      <c r="BA721" s="322">
        <f t="shared" si="821"/>
        <v>0</v>
      </c>
      <c r="BB721" s="322">
        <f t="shared" si="821"/>
        <v>0</v>
      </c>
      <c r="BC721" s="322">
        <f t="shared" si="821"/>
        <v>0</v>
      </c>
      <c r="BD721" s="322">
        <f t="shared" si="821"/>
        <v>0</v>
      </c>
      <c r="BE721" s="322">
        <f t="shared" si="821"/>
        <v>0</v>
      </c>
      <c r="BF721" s="322">
        <f t="shared" si="821"/>
        <v>0</v>
      </c>
      <c r="BG721" s="322">
        <f t="shared" si="821"/>
        <v>0</v>
      </c>
      <c r="BH721" s="322">
        <f t="shared" si="821"/>
        <v>0</v>
      </c>
      <c r="BI721" s="322">
        <f t="shared" si="821"/>
        <v>0</v>
      </c>
      <c r="BJ721" s="322">
        <f t="shared" si="821"/>
        <v>0</v>
      </c>
      <c r="BK721" s="322">
        <f t="shared" si="821"/>
        <v>0</v>
      </c>
      <c r="BL721" s="322">
        <f t="shared" si="821"/>
        <v>0</v>
      </c>
      <c r="BM721" s="322">
        <f t="shared" si="821"/>
        <v>0</v>
      </c>
      <c r="BN721" s="323">
        <f t="shared" si="821"/>
        <v>0</v>
      </c>
      <c r="BP721" s="536" t="s">
        <v>933</v>
      </c>
      <c r="BQ721" s="1471" t="str">
        <f>CONCATENATE("GHG_",BP721,"a = GHG_",BP721,"a-1 + (E134 * ",CI721," * ",CK721," / (",CJ721,") / 1000000)")</f>
        <v>GHG_Electricitya = GHG_Electricitya-1 + (E134 * BUI_COL (307 + ((A134 - 1) * 8) * GRID_ELECTRICITY_emission_factora (from row4) / (J134-I134+1) / 1000000)</v>
      </c>
      <c r="BR721" s="1479"/>
      <c r="BS721" s="1479"/>
      <c r="BT721" s="1479"/>
      <c r="BU721" s="1479"/>
      <c r="BV721" s="1479"/>
      <c r="BW721" s="1479"/>
      <c r="BX721" s="1479"/>
      <c r="BY721" s="1479"/>
      <c r="BZ721" s="1479"/>
      <c r="CA721" s="1479"/>
      <c r="CB721" s="1479"/>
      <c r="CC721" s="1479"/>
      <c r="CD721" s="1479"/>
      <c r="CE721" s="1479"/>
      <c r="CF721" s="1479"/>
      <c r="CG721" s="1479"/>
      <c r="CH721" s="1472"/>
      <c r="CI721" s="915" t="s">
        <v>2603</v>
      </c>
      <c r="CJ721" s="536" t="s">
        <v>2604</v>
      </c>
      <c r="CK721" s="536" t="s">
        <v>2601</v>
      </c>
      <c r="CL721" s="919"/>
    </row>
    <row r="722" spans="11:90" ht="20.100000000000001" customHeight="1">
      <c r="AF722" s="355"/>
      <c r="AG722" s="251" t="s">
        <v>1220</v>
      </c>
      <c r="AH722" s="251">
        <f>INDEX('DEFAULT DATA'!$VE$9:$VK$41,START!$C$3,1)</f>
        <v>202</v>
      </c>
      <c r="AI722" s="660">
        <f>INDEX('DEFAULT DATA'!$AFS$9:$AIT$41,START!$C$3,(2+(($A$135-1)*8)))/IF($A$135&lt;5,INDEX('DEFAULT DATA'!$WT$9:$WW$41,START!$C$3,$A$135),1)</f>
        <v>0</v>
      </c>
      <c r="AJ722" s="366"/>
      <c r="AK722" s="345">
        <v>0</v>
      </c>
      <c r="AL722" s="272">
        <f t="shared" ref="AL722:BN722" si="822">IF(AND(AL$720&gt;($I$135+2020),AL$720&lt;($J$135+2022)),AK722+($AH$722*$E$135*$AI$722/($J$135-$I$135+1)/1000000),AK722)</f>
        <v>0</v>
      </c>
      <c r="AM722" s="272">
        <f t="shared" si="822"/>
        <v>0</v>
      </c>
      <c r="AN722" s="272">
        <f t="shared" si="822"/>
        <v>0</v>
      </c>
      <c r="AO722" s="272">
        <f t="shared" si="822"/>
        <v>0</v>
      </c>
      <c r="AP722" s="272">
        <f t="shared" si="822"/>
        <v>0</v>
      </c>
      <c r="AQ722" s="272">
        <f t="shared" si="822"/>
        <v>0</v>
      </c>
      <c r="AR722" s="272">
        <f t="shared" si="822"/>
        <v>0</v>
      </c>
      <c r="AS722" s="272">
        <f t="shared" si="822"/>
        <v>0</v>
      </c>
      <c r="AT722" s="272">
        <f t="shared" si="822"/>
        <v>0</v>
      </c>
      <c r="AU722" s="272">
        <f t="shared" si="822"/>
        <v>0</v>
      </c>
      <c r="AV722" s="272">
        <f t="shared" si="822"/>
        <v>0</v>
      </c>
      <c r="AW722" s="272">
        <f t="shared" si="822"/>
        <v>0</v>
      </c>
      <c r="AX722" s="272">
        <f t="shared" si="822"/>
        <v>0</v>
      </c>
      <c r="AY722" s="272">
        <f t="shared" si="822"/>
        <v>0</v>
      </c>
      <c r="AZ722" s="272">
        <f t="shared" si="822"/>
        <v>0</v>
      </c>
      <c r="BA722" s="272">
        <f t="shared" si="822"/>
        <v>0</v>
      </c>
      <c r="BB722" s="272">
        <f t="shared" si="822"/>
        <v>0</v>
      </c>
      <c r="BC722" s="272">
        <f t="shared" si="822"/>
        <v>0</v>
      </c>
      <c r="BD722" s="272">
        <f t="shared" si="822"/>
        <v>0</v>
      </c>
      <c r="BE722" s="272">
        <f t="shared" si="822"/>
        <v>0</v>
      </c>
      <c r="BF722" s="272">
        <f t="shared" si="822"/>
        <v>0</v>
      </c>
      <c r="BG722" s="272">
        <f t="shared" si="822"/>
        <v>0</v>
      </c>
      <c r="BH722" s="272">
        <f t="shared" si="822"/>
        <v>0</v>
      </c>
      <c r="BI722" s="272">
        <f t="shared" si="822"/>
        <v>0</v>
      </c>
      <c r="BJ722" s="272">
        <f t="shared" si="822"/>
        <v>0</v>
      </c>
      <c r="BK722" s="272">
        <f t="shared" si="822"/>
        <v>0</v>
      </c>
      <c r="BL722" s="272">
        <f t="shared" si="822"/>
        <v>0</v>
      </c>
      <c r="BM722" s="272">
        <f t="shared" si="822"/>
        <v>0</v>
      </c>
      <c r="BN722" s="324">
        <f t="shared" si="822"/>
        <v>0</v>
      </c>
      <c r="BP722" s="536" t="s">
        <v>1220</v>
      </c>
      <c r="BQ722" s="1471" t="str">
        <f t="shared" ref="BQ722:BQ728" si="823">CONCATENATE("GHG_",BP722,"a = GHG_",BP722,"a-1 + (E134 * ",CI722," * ",CK722," / (",CJ722,") / 1000000)")</f>
        <v>GHG_Gasa = GHG_Gasa-1 + (E134 * BUI_COL (307 + ((A134 - 1) * 8) * BUI_COL1 / (J134-I134+1) / 1000000)</v>
      </c>
      <c r="BR722" s="1479"/>
      <c r="BS722" s="1479"/>
      <c r="BT722" s="1479"/>
      <c r="BU722" s="1479"/>
      <c r="BV722" s="1479"/>
      <c r="BW722" s="1479"/>
      <c r="BX722" s="1479"/>
      <c r="BY722" s="1479"/>
      <c r="BZ722" s="1479"/>
      <c r="CA722" s="1479"/>
      <c r="CB722" s="1479"/>
      <c r="CC722" s="1479"/>
      <c r="CD722" s="1479"/>
      <c r="CE722" s="1479"/>
      <c r="CF722" s="1479"/>
      <c r="CG722" s="1479"/>
      <c r="CH722" s="1472"/>
      <c r="CI722" s="917" t="s">
        <v>2603</v>
      </c>
      <c r="CJ722" s="536" t="s">
        <v>2604</v>
      </c>
      <c r="CK722" s="536" t="s">
        <v>1248</v>
      </c>
      <c r="CL722" s="919"/>
    </row>
    <row r="723" spans="11:90" ht="20.100000000000001" customHeight="1">
      <c r="AF723" s="355"/>
      <c r="AG723" s="251" t="s">
        <v>1221</v>
      </c>
      <c r="AH723" s="251">
        <f>INDEX('DEFAULT DATA'!$VE$9:$VK$41,START!$C$3,2)</f>
        <v>279</v>
      </c>
      <c r="AI723" s="660">
        <f>INDEX('DEFAULT DATA'!$AFS$9:$AIT$41,START!$C$3,(3+(($A$135-1)*8)))/IF($A$135&lt;5,INDEX('DEFAULT DATA'!$WT$9:$WW$41,START!$C$3,$A$135),1)</f>
        <v>0</v>
      </c>
      <c r="AJ723" s="366"/>
      <c r="AK723" s="345">
        <v>0</v>
      </c>
      <c r="AL723" s="272">
        <f t="shared" ref="AL723:BN723" si="824">IF(AND(AL$720&gt;($I$135+2020),AL$720&lt;($J$135+2022)),AK723+($AH$723*$E$135*$AI$723/($J$135-$I$135+1)/1000000),AK723)</f>
        <v>0</v>
      </c>
      <c r="AM723" s="272">
        <f t="shared" si="824"/>
        <v>0</v>
      </c>
      <c r="AN723" s="272">
        <f t="shared" si="824"/>
        <v>0</v>
      </c>
      <c r="AO723" s="272">
        <f t="shared" si="824"/>
        <v>0</v>
      </c>
      <c r="AP723" s="272">
        <f t="shared" si="824"/>
        <v>0</v>
      </c>
      <c r="AQ723" s="272">
        <f t="shared" si="824"/>
        <v>0</v>
      </c>
      <c r="AR723" s="272">
        <f t="shared" si="824"/>
        <v>0</v>
      </c>
      <c r="AS723" s="272">
        <f t="shared" si="824"/>
        <v>0</v>
      </c>
      <c r="AT723" s="272">
        <f t="shared" si="824"/>
        <v>0</v>
      </c>
      <c r="AU723" s="272">
        <f t="shared" si="824"/>
        <v>0</v>
      </c>
      <c r="AV723" s="272">
        <f t="shared" si="824"/>
        <v>0</v>
      </c>
      <c r="AW723" s="272">
        <f t="shared" si="824"/>
        <v>0</v>
      </c>
      <c r="AX723" s="272">
        <f t="shared" si="824"/>
        <v>0</v>
      </c>
      <c r="AY723" s="272">
        <f t="shared" si="824"/>
        <v>0</v>
      </c>
      <c r="AZ723" s="272">
        <f t="shared" si="824"/>
        <v>0</v>
      </c>
      <c r="BA723" s="272">
        <f t="shared" si="824"/>
        <v>0</v>
      </c>
      <c r="BB723" s="272">
        <f t="shared" si="824"/>
        <v>0</v>
      </c>
      <c r="BC723" s="272">
        <f t="shared" si="824"/>
        <v>0</v>
      </c>
      <c r="BD723" s="272">
        <f t="shared" si="824"/>
        <v>0</v>
      </c>
      <c r="BE723" s="272">
        <f t="shared" si="824"/>
        <v>0</v>
      </c>
      <c r="BF723" s="272">
        <f t="shared" si="824"/>
        <v>0</v>
      </c>
      <c r="BG723" s="272">
        <f t="shared" si="824"/>
        <v>0</v>
      </c>
      <c r="BH723" s="272">
        <f t="shared" si="824"/>
        <v>0</v>
      </c>
      <c r="BI723" s="272">
        <f t="shared" si="824"/>
        <v>0</v>
      </c>
      <c r="BJ723" s="272">
        <f t="shared" si="824"/>
        <v>0</v>
      </c>
      <c r="BK723" s="272">
        <f t="shared" si="824"/>
        <v>0</v>
      </c>
      <c r="BL723" s="272">
        <f t="shared" si="824"/>
        <v>0</v>
      </c>
      <c r="BM723" s="272">
        <f t="shared" si="824"/>
        <v>0</v>
      </c>
      <c r="BN723" s="324">
        <f t="shared" si="824"/>
        <v>0</v>
      </c>
      <c r="BP723" s="536" t="s">
        <v>1221</v>
      </c>
      <c r="BQ723" s="1471" t="str">
        <f t="shared" si="823"/>
        <v>GHG_Oila = GHG_Oila-1 + (E134 * BUI_COL (307 + ((A134 - 1) * 8) * BUI_COL2 / (J134-I134+1) / 1000000)</v>
      </c>
      <c r="BR723" s="1479"/>
      <c r="BS723" s="1479"/>
      <c r="BT723" s="1479"/>
      <c r="BU723" s="1479"/>
      <c r="BV723" s="1479"/>
      <c r="BW723" s="1479"/>
      <c r="BX723" s="1479"/>
      <c r="BY723" s="1479"/>
      <c r="BZ723" s="1479"/>
      <c r="CA723" s="1479"/>
      <c r="CB723" s="1479"/>
      <c r="CC723" s="1479"/>
      <c r="CD723" s="1479"/>
      <c r="CE723" s="1479"/>
      <c r="CF723" s="1479"/>
      <c r="CG723" s="1479"/>
      <c r="CH723" s="1472"/>
      <c r="CI723" s="917" t="s">
        <v>2603</v>
      </c>
      <c r="CJ723" s="536" t="s">
        <v>2604</v>
      </c>
      <c r="CK723" s="536" t="s">
        <v>1621</v>
      </c>
      <c r="CL723" s="919"/>
    </row>
    <row r="724" spans="11:90" ht="20.100000000000001" customHeight="1">
      <c r="K724" s="347"/>
      <c r="L724" s="347"/>
      <c r="M724" s="347"/>
      <c r="N724" s="347"/>
      <c r="O724" s="347"/>
      <c r="P724" s="347"/>
      <c r="Q724" s="347"/>
      <c r="R724" s="347"/>
      <c r="S724" s="347"/>
      <c r="T724" s="347"/>
      <c r="U724" s="347"/>
      <c r="V724" s="347"/>
      <c r="W724" s="347"/>
      <c r="X724" s="347"/>
      <c r="Y724" s="347"/>
      <c r="Z724" s="347"/>
      <c r="AA724" s="347"/>
      <c r="AB724" s="347"/>
      <c r="AC724" s="347"/>
      <c r="AD724" s="347"/>
      <c r="AE724" s="347"/>
      <c r="AF724" s="355"/>
      <c r="AG724" s="251" t="s">
        <v>1222</v>
      </c>
      <c r="AH724" s="251">
        <f>INDEX('DEFAULT DATA'!$VE$9:$VK$41,START!$C$3,3)</f>
        <v>354</v>
      </c>
      <c r="AI724" s="660">
        <f>INDEX('DEFAULT DATA'!$AFS$9:$AIT$41,START!$C$3,(4+(($A$135-1)*8)))/IF($A$135&lt;5,INDEX('DEFAULT DATA'!$WT$9:$WW$41,START!$C$3,$A$135),1)</f>
        <v>0</v>
      </c>
      <c r="AJ724" s="366"/>
      <c r="AK724" s="345">
        <v>0</v>
      </c>
      <c r="AL724" s="272">
        <f t="shared" ref="AL724:BN724" si="825">IF(AND(AL$720&gt;($I$135+2020),AL$720&lt;($J$135+2022)),AK724+($AH$724*$E$135*$AI$724/($J$135-$I$135+1)/1000000),AK724)</f>
        <v>0</v>
      </c>
      <c r="AM724" s="272">
        <f t="shared" si="825"/>
        <v>0</v>
      </c>
      <c r="AN724" s="272">
        <f t="shared" si="825"/>
        <v>0</v>
      </c>
      <c r="AO724" s="272">
        <f t="shared" si="825"/>
        <v>0</v>
      </c>
      <c r="AP724" s="272">
        <f t="shared" si="825"/>
        <v>0</v>
      </c>
      <c r="AQ724" s="272">
        <f t="shared" si="825"/>
        <v>0</v>
      </c>
      <c r="AR724" s="272">
        <f t="shared" si="825"/>
        <v>0</v>
      </c>
      <c r="AS724" s="272">
        <f t="shared" si="825"/>
        <v>0</v>
      </c>
      <c r="AT724" s="272">
        <f t="shared" si="825"/>
        <v>0</v>
      </c>
      <c r="AU724" s="272">
        <f t="shared" si="825"/>
        <v>0</v>
      </c>
      <c r="AV724" s="272">
        <f t="shared" si="825"/>
        <v>0</v>
      </c>
      <c r="AW724" s="272">
        <f t="shared" si="825"/>
        <v>0</v>
      </c>
      <c r="AX724" s="272">
        <f t="shared" si="825"/>
        <v>0</v>
      </c>
      <c r="AY724" s="272">
        <f t="shared" si="825"/>
        <v>0</v>
      </c>
      <c r="AZ724" s="272">
        <f t="shared" si="825"/>
        <v>0</v>
      </c>
      <c r="BA724" s="272">
        <f t="shared" si="825"/>
        <v>0</v>
      </c>
      <c r="BB724" s="272">
        <f t="shared" si="825"/>
        <v>0</v>
      </c>
      <c r="BC724" s="272">
        <f t="shared" si="825"/>
        <v>0</v>
      </c>
      <c r="BD724" s="272">
        <f t="shared" si="825"/>
        <v>0</v>
      </c>
      <c r="BE724" s="272">
        <f t="shared" si="825"/>
        <v>0</v>
      </c>
      <c r="BF724" s="272">
        <f t="shared" si="825"/>
        <v>0</v>
      </c>
      <c r="BG724" s="272">
        <f t="shared" si="825"/>
        <v>0</v>
      </c>
      <c r="BH724" s="272">
        <f t="shared" si="825"/>
        <v>0</v>
      </c>
      <c r="BI724" s="272">
        <f t="shared" si="825"/>
        <v>0</v>
      </c>
      <c r="BJ724" s="272">
        <f t="shared" si="825"/>
        <v>0</v>
      </c>
      <c r="BK724" s="272">
        <f t="shared" si="825"/>
        <v>0</v>
      </c>
      <c r="BL724" s="272">
        <f t="shared" si="825"/>
        <v>0</v>
      </c>
      <c r="BM724" s="272">
        <f t="shared" si="825"/>
        <v>0</v>
      </c>
      <c r="BN724" s="324">
        <f t="shared" si="825"/>
        <v>0</v>
      </c>
      <c r="BP724" s="536" t="s">
        <v>1222</v>
      </c>
      <c r="BQ724" s="1471" t="str">
        <f t="shared" si="823"/>
        <v>GHG_Coala = GHG_Coala-1 + (E134 * BUI_COL (307 + ((A134 - 1) * 8) * BUI_COL3 / (J134-I134+1) / 1000000)</v>
      </c>
      <c r="BR724" s="1479"/>
      <c r="BS724" s="1479"/>
      <c r="BT724" s="1479"/>
      <c r="BU724" s="1479"/>
      <c r="BV724" s="1479"/>
      <c r="BW724" s="1479"/>
      <c r="BX724" s="1479"/>
      <c r="BY724" s="1479"/>
      <c r="BZ724" s="1479"/>
      <c r="CA724" s="1479"/>
      <c r="CB724" s="1479"/>
      <c r="CC724" s="1479"/>
      <c r="CD724" s="1479"/>
      <c r="CE724" s="1479"/>
      <c r="CF724" s="1479"/>
      <c r="CG724" s="1479"/>
      <c r="CH724" s="1472"/>
      <c r="CI724" s="917" t="s">
        <v>2603</v>
      </c>
      <c r="CJ724" s="536" t="s">
        <v>2604</v>
      </c>
      <c r="CK724" s="536" t="s">
        <v>1622</v>
      </c>
      <c r="CL724" s="919"/>
    </row>
    <row r="725" spans="11:90" ht="20.100000000000001" customHeight="1">
      <c r="AF725" s="355"/>
      <c r="AG725" s="251" t="s">
        <v>1223</v>
      </c>
      <c r="AH725" s="251">
        <f>INDEX('DEFAULT DATA'!$VE$9:$VK$41,START!$C$3,4)</f>
        <v>0</v>
      </c>
      <c r="AI725" s="660">
        <f>INDEX('DEFAULT DATA'!$AFS$9:$AIT$41,START!$C$3,(5+(($A$135-1)*8)))/IF($A$135&lt;5,INDEX('DEFAULT DATA'!$WT$9:$WW$41,START!$C$3,$A$135),1)</f>
        <v>0</v>
      </c>
      <c r="AJ725" s="366"/>
      <c r="AK725" s="345">
        <v>0</v>
      </c>
      <c r="AL725" s="272">
        <f t="shared" ref="AL725:BN725" si="826">IF(AND(AL$720&gt;($I$135+2020),AL$720&lt;($J$135+2022)),AK725+($AH$725*$E$135*$AI$725/($J$135-$I$135+1)/1000000),AK725)</f>
        <v>0</v>
      </c>
      <c r="AM725" s="272">
        <f t="shared" si="826"/>
        <v>0</v>
      </c>
      <c r="AN725" s="272">
        <f t="shared" si="826"/>
        <v>0</v>
      </c>
      <c r="AO725" s="272">
        <f t="shared" si="826"/>
        <v>0</v>
      </c>
      <c r="AP725" s="272">
        <f t="shared" si="826"/>
        <v>0</v>
      </c>
      <c r="AQ725" s="272">
        <f t="shared" si="826"/>
        <v>0</v>
      </c>
      <c r="AR725" s="272">
        <f t="shared" si="826"/>
        <v>0</v>
      </c>
      <c r="AS725" s="272">
        <f t="shared" si="826"/>
        <v>0</v>
      </c>
      <c r="AT725" s="272">
        <f t="shared" si="826"/>
        <v>0</v>
      </c>
      <c r="AU725" s="272">
        <f t="shared" si="826"/>
        <v>0</v>
      </c>
      <c r="AV725" s="272">
        <f t="shared" si="826"/>
        <v>0</v>
      </c>
      <c r="AW725" s="272">
        <f t="shared" si="826"/>
        <v>0</v>
      </c>
      <c r="AX725" s="272">
        <f t="shared" si="826"/>
        <v>0</v>
      </c>
      <c r="AY725" s="272">
        <f t="shared" si="826"/>
        <v>0</v>
      </c>
      <c r="AZ725" s="272">
        <f t="shared" si="826"/>
        <v>0</v>
      </c>
      <c r="BA725" s="272">
        <f t="shared" si="826"/>
        <v>0</v>
      </c>
      <c r="BB725" s="272">
        <f t="shared" si="826"/>
        <v>0</v>
      </c>
      <c r="BC725" s="272">
        <f t="shared" si="826"/>
        <v>0</v>
      </c>
      <c r="BD725" s="272">
        <f t="shared" si="826"/>
        <v>0</v>
      </c>
      <c r="BE725" s="272">
        <f t="shared" si="826"/>
        <v>0</v>
      </c>
      <c r="BF725" s="272">
        <f t="shared" si="826"/>
        <v>0</v>
      </c>
      <c r="BG725" s="272">
        <f t="shared" si="826"/>
        <v>0</v>
      </c>
      <c r="BH725" s="272">
        <f t="shared" si="826"/>
        <v>0</v>
      </c>
      <c r="BI725" s="272">
        <f t="shared" si="826"/>
        <v>0</v>
      </c>
      <c r="BJ725" s="272">
        <f t="shared" si="826"/>
        <v>0</v>
      </c>
      <c r="BK725" s="272">
        <f t="shared" si="826"/>
        <v>0</v>
      </c>
      <c r="BL725" s="272">
        <f t="shared" si="826"/>
        <v>0</v>
      </c>
      <c r="BM725" s="272">
        <f t="shared" si="826"/>
        <v>0</v>
      </c>
      <c r="BN725" s="324">
        <f t="shared" si="826"/>
        <v>0</v>
      </c>
      <c r="BP725" s="536" t="s">
        <v>1223</v>
      </c>
      <c r="BQ725" s="1471" t="str">
        <f t="shared" si="823"/>
        <v>GHG_Peata = GHG_Peata-1 + (E134 * BUI_COL (307 + ((A134 - 1) * 8) * BUI_COL4 / (J134-I134+1) / 1000000)</v>
      </c>
      <c r="BR725" s="1479"/>
      <c r="BS725" s="1479"/>
      <c r="BT725" s="1479"/>
      <c r="BU725" s="1479"/>
      <c r="BV725" s="1479"/>
      <c r="BW725" s="1479"/>
      <c r="BX725" s="1479"/>
      <c r="BY725" s="1479"/>
      <c r="BZ725" s="1479"/>
      <c r="CA725" s="1479"/>
      <c r="CB725" s="1479"/>
      <c r="CC725" s="1479"/>
      <c r="CD725" s="1479"/>
      <c r="CE725" s="1479"/>
      <c r="CF725" s="1479"/>
      <c r="CG725" s="1479"/>
      <c r="CH725" s="1472"/>
      <c r="CI725" s="917" t="s">
        <v>2603</v>
      </c>
      <c r="CJ725" s="536" t="s">
        <v>2604</v>
      </c>
      <c r="CK725" s="536" t="s">
        <v>1623</v>
      </c>
      <c r="CL725" s="919"/>
    </row>
    <row r="726" spans="11:90" ht="20.100000000000001" customHeight="1">
      <c r="AF726" s="355"/>
      <c r="AG726" s="251" t="s">
        <v>1224</v>
      </c>
      <c r="AH726" s="251">
        <f>INDEX('DEFAULT DATA'!$VE$9:$VK$41,START!$C$3,5)</f>
        <v>403</v>
      </c>
      <c r="AI726" s="660">
        <f>INDEX('DEFAULT DATA'!$AFS$9:$AIT$41,START!$C$3,(6+(($A$135-1)*8)))/IF($A$135&lt;5,INDEX('DEFAULT DATA'!$WT$9:$WW$41,START!$C$3,$A$135),1)</f>
        <v>0</v>
      </c>
      <c r="AJ726" s="366"/>
      <c r="AK726" s="345">
        <v>0</v>
      </c>
      <c r="AL726" s="272">
        <f t="shared" ref="AL726:BN726" si="827">IF(AND(AL$720&gt;($I$135+2020),AL$720&lt;($J$135+2022)),AK726+($AH$726*$E$135*$AI$726/($J$135-$I$135+1)/1000000),AK726)</f>
        <v>0</v>
      </c>
      <c r="AM726" s="272">
        <f t="shared" si="827"/>
        <v>0</v>
      </c>
      <c r="AN726" s="272">
        <f t="shared" si="827"/>
        <v>0</v>
      </c>
      <c r="AO726" s="272">
        <f t="shared" si="827"/>
        <v>0</v>
      </c>
      <c r="AP726" s="272">
        <f t="shared" si="827"/>
        <v>0</v>
      </c>
      <c r="AQ726" s="272">
        <f t="shared" si="827"/>
        <v>0</v>
      </c>
      <c r="AR726" s="272">
        <f t="shared" si="827"/>
        <v>0</v>
      </c>
      <c r="AS726" s="272">
        <f t="shared" si="827"/>
        <v>0</v>
      </c>
      <c r="AT726" s="272">
        <f t="shared" si="827"/>
        <v>0</v>
      </c>
      <c r="AU726" s="272">
        <f t="shared" si="827"/>
        <v>0</v>
      </c>
      <c r="AV726" s="272">
        <f t="shared" si="827"/>
        <v>0</v>
      </c>
      <c r="AW726" s="272">
        <f t="shared" si="827"/>
        <v>0</v>
      </c>
      <c r="AX726" s="272">
        <f t="shared" si="827"/>
        <v>0</v>
      </c>
      <c r="AY726" s="272">
        <f t="shared" si="827"/>
        <v>0</v>
      </c>
      <c r="AZ726" s="272">
        <f t="shared" si="827"/>
        <v>0</v>
      </c>
      <c r="BA726" s="272">
        <f t="shared" si="827"/>
        <v>0</v>
      </c>
      <c r="BB726" s="272">
        <f t="shared" si="827"/>
        <v>0</v>
      </c>
      <c r="BC726" s="272">
        <f t="shared" si="827"/>
        <v>0</v>
      </c>
      <c r="BD726" s="272">
        <f t="shared" si="827"/>
        <v>0</v>
      </c>
      <c r="BE726" s="272">
        <f t="shared" si="827"/>
        <v>0</v>
      </c>
      <c r="BF726" s="272">
        <f t="shared" si="827"/>
        <v>0</v>
      </c>
      <c r="BG726" s="272">
        <f t="shared" si="827"/>
        <v>0</v>
      </c>
      <c r="BH726" s="272">
        <f t="shared" si="827"/>
        <v>0</v>
      </c>
      <c r="BI726" s="272">
        <f t="shared" si="827"/>
        <v>0</v>
      </c>
      <c r="BJ726" s="272">
        <f t="shared" si="827"/>
        <v>0</v>
      </c>
      <c r="BK726" s="272">
        <f t="shared" si="827"/>
        <v>0</v>
      </c>
      <c r="BL726" s="272">
        <f t="shared" si="827"/>
        <v>0</v>
      </c>
      <c r="BM726" s="272">
        <f t="shared" si="827"/>
        <v>0</v>
      </c>
      <c r="BN726" s="324">
        <f t="shared" si="827"/>
        <v>0</v>
      </c>
      <c r="BP726" s="536" t="s">
        <v>1224</v>
      </c>
      <c r="BQ726" s="1471" t="str">
        <f t="shared" si="823"/>
        <v>GHG_Wooda = GHG_Wooda-1 + (E134 * BUI_COL (307 + ((A134 - 1) * 8) * BUI_COL5 / (J134-I134+1) / 1000000)</v>
      </c>
      <c r="BR726" s="1479"/>
      <c r="BS726" s="1479"/>
      <c r="BT726" s="1479"/>
      <c r="BU726" s="1479"/>
      <c r="BV726" s="1479"/>
      <c r="BW726" s="1479"/>
      <c r="BX726" s="1479"/>
      <c r="BY726" s="1479"/>
      <c r="BZ726" s="1479"/>
      <c r="CA726" s="1479"/>
      <c r="CB726" s="1479"/>
      <c r="CC726" s="1479"/>
      <c r="CD726" s="1479"/>
      <c r="CE726" s="1479"/>
      <c r="CF726" s="1479"/>
      <c r="CG726" s="1479"/>
      <c r="CH726" s="1472"/>
      <c r="CI726" s="917" t="s">
        <v>2603</v>
      </c>
      <c r="CJ726" s="536" t="s">
        <v>2604</v>
      </c>
      <c r="CK726" s="536" t="s">
        <v>1624</v>
      </c>
      <c r="CL726" s="919"/>
    </row>
    <row r="727" spans="11:90" ht="20.100000000000001" customHeight="1">
      <c r="AF727" s="355"/>
      <c r="AG727" s="251" t="s">
        <v>1225</v>
      </c>
      <c r="AH727" s="251">
        <f>INDEX('DEFAULT DATA'!$VE$9:$VK$41,START!$C$3,6)</f>
        <v>0</v>
      </c>
      <c r="AI727" s="660">
        <f>INDEX('DEFAULT DATA'!$AFS$9:$AIT$41,START!$C$3,(7+(($A$135-1)*8)))/IF($A$135&lt;5,INDEX('DEFAULT DATA'!$WT$9:$WW$41,START!$C$3,$A$135),1)</f>
        <v>0</v>
      </c>
      <c r="AJ727" s="366"/>
      <c r="AK727" s="345">
        <v>0</v>
      </c>
      <c r="AL727" s="272">
        <f t="shared" ref="AL727:BN727" si="828">IF(AND(AL$720&gt;($I$135+2020),AL$720&lt;($J$135+2022)),AK727+($AH$727*$E$135*$AI$727/($J$135-$I$135+1)/1000000),AK727)</f>
        <v>0</v>
      </c>
      <c r="AM727" s="272">
        <f t="shared" si="828"/>
        <v>0</v>
      </c>
      <c r="AN727" s="272">
        <f t="shared" si="828"/>
        <v>0</v>
      </c>
      <c r="AO727" s="272">
        <f t="shared" si="828"/>
        <v>0</v>
      </c>
      <c r="AP727" s="272">
        <f t="shared" si="828"/>
        <v>0</v>
      </c>
      <c r="AQ727" s="272">
        <f t="shared" si="828"/>
        <v>0</v>
      </c>
      <c r="AR727" s="272">
        <f t="shared" si="828"/>
        <v>0</v>
      </c>
      <c r="AS727" s="272">
        <f t="shared" si="828"/>
        <v>0</v>
      </c>
      <c r="AT727" s="272">
        <f t="shared" si="828"/>
        <v>0</v>
      </c>
      <c r="AU727" s="272">
        <f t="shared" si="828"/>
        <v>0</v>
      </c>
      <c r="AV727" s="272">
        <f t="shared" si="828"/>
        <v>0</v>
      </c>
      <c r="AW727" s="272">
        <f t="shared" si="828"/>
        <v>0</v>
      </c>
      <c r="AX727" s="272">
        <f t="shared" si="828"/>
        <v>0</v>
      </c>
      <c r="AY727" s="272">
        <f t="shared" si="828"/>
        <v>0</v>
      </c>
      <c r="AZ727" s="272">
        <f t="shared" si="828"/>
        <v>0</v>
      </c>
      <c r="BA727" s="272">
        <f t="shared" si="828"/>
        <v>0</v>
      </c>
      <c r="BB727" s="272">
        <f t="shared" si="828"/>
        <v>0</v>
      </c>
      <c r="BC727" s="272">
        <f t="shared" si="828"/>
        <v>0</v>
      </c>
      <c r="BD727" s="272">
        <f t="shared" si="828"/>
        <v>0</v>
      </c>
      <c r="BE727" s="272">
        <f t="shared" si="828"/>
        <v>0</v>
      </c>
      <c r="BF727" s="272">
        <f t="shared" si="828"/>
        <v>0</v>
      </c>
      <c r="BG727" s="272">
        <f t="shared" si="828"/>
        <v>0</v>
      </c>
      <c r="BH727" s="272">
        <f t="shared" si="828"/>
        <v>0</v>
      </c>
      <c r="BI727" s="272">
        <f t="shared" si="828"/>
        <v>0</v>
      </c>
      <c r="BJ727" s="272">
        <f t="shared" si="828"/>
        <v>0</v>
      </c>
      <c r="BK727" s="272">
        <f t="shared" si="828"/>
        <v>0</v>
      </c>
      <c r="BL727" s="272">
        <f t="shared" si="828"/>
        <v>0</v>
      </c>
      <c r="BM727" s="272">
        <f t="shared" si="828"/>
        <v>0</v>
      </c>
      <c r="BN727" s="324">
        <f t="shared" si="828"/>
        <v>0</v>
      </c>
      <c r="BP727" s="536" t="s">
        <v>1225</v>
      </c>
      <c r="BQ727" s="1471" t="str">
        <f t="shared" si="823"/>
        <v>GHG_Renewablea = GHG_Renewablea-1 + (E134 * BUI_COL (307 + ((A134 - 1) * 8) * BUI_COL6 / (J134-I134+1) / 1000000)</v>
      </c>
      <c r="BR727" s="1479"/>
      <c r="BS727" s="1479"/>
      <c r="BT727" s="1479"/>
      <c r="BU727" s="1479"/>
      <c r="BV727" s="1479"/>
      <c r="BW727" s="1479"/>
      <c r="BX727" s="1479"/>
      <c r="BY727" s="1479"/>
      <c r="BZ727" s="1479"/>
      <c r="CA727" s="1479"/>
      <c r="CB727" s="1479"/>
      <c r="CC727" s="1479"/>
      <c r="CD727" s="1479"/>
      <c r="CE727" s="1479"/>
      <c r="CF727" s="1479"/>
      <c r="CG727" s="1479"/>
      <c r="CH727" s="1472"/>
      <c r="CI727" s="917" t="s">
        <v>2603</v>
      </c>
      <c r="CJ727" s="536" t="s">
        <v>2604</v>
      </c>
      <c r="CK727" s="536" t="s">
        <v>1625</v>
      </c>
      <c r="CL727" s="919"/>
    </row>
    <row r="728" spans="11:90" ht="20.100000000000001" customHeight="1" thickBot="1">
      <c r="AF728" s="356"/>
      <c r="AG728" s="310" t="s">
        <v>1226</v>
      </c>
      <c r="AH728" s="310" t="s">
        <v>1497</v>
      </c>
      <c r="AI728" s="786">
        <f>INDEX('DEFAULT DATA'!$AFS$9:$AIT$41,START!$C$3,(8+(($A$135-1)*8)))/IF($A$135&lt;5,INDEX('DEFAULT DATA'!$WT$9:$WW$41,START!$C$3,$A$135),1)</f>
        <v>0</v>
      </c>
      <c r="AJ728" s="368"/>
      <c r="AK728" s="348">
        <v>0</v>
      </c>
      <c r="AL728" s="325">
        <f t="shared" ref="AL728:BN728" si="829">IF(AND(AL$720&gt;($I$135+2020),AL$720&lt;($J$135+2022)),AK728+(AL$6*$E$135*$AI$728/($J$135-$I$135+1)/1000000),AK728)</f>
        <v>0</v>
      </c>
      <c r="AM728" s="325">
        <f t="shared" si="829"/>
        <v>0</v>
      </c>
      <c r="AN728" s="325">
        <f t="shared" si="829"/>
        <v>0</v>
      </c>
      <c r="AO728" s="325">
        <f t="shared" si="829"/>
        <v>0</v>
      </c>
      <c r="AP728" s="325">
        <f t="shared" si="829"/>
        <v>0</v>
      </c>
      <c r="AQ728" s="325">
        <f t="shared" si="829"/>
        <v>0</v>
      </c>
      <c r="AR728" s="325">
        <f t="shared" si="829"/>
        <v>0</v>
      </c>
      <c r="AS728" s="325">
        <f t="shared" si="829"/>
        <v>0</v>
      </c>
      <c r="AT728" s="325">
        <f t="shared" si="829"/>
        <v>0</v>
      </c>
      <c r="AU728" s="325">
        <f t="shared" si="829"/>
        <v>0</v>
      </c>
      <c r="AV728" s="325">
        <f t="shared" si="829"/>
        <v>0</v>
      </c>
      <c r="AW728" s="325">
        <f t="shared" si="829"/>
        <v>0</v>
      </c>
      <c r="AX728" s="325">
        <f t="shared" si="829"/>
        <v>0</v>
      </c>
      <c r="AY728" s="325">
        <f t="shared" si="829"/>
        <v>0</v>
      </c>
      <c r="AZ728" s="325">
        <f t="shared" si="829"/>
        <v>0</v>
      </c>
      <c r="BA728" s="325">
        <f t="shared" si="829"/>
        <v>0</v>
      </c>
      <c r="BB728" s="325">
        <f t="shared" si="829"/>
        <v>0</v>
      </c>
      <c r="BC728" s="325">
        <f t="shared" si="829"/>
        <v>0</v>
      </c>
      <c r="BD728" s="325">
        <f t="shared" si="829"/>
        <v>0</v>
      </c>
      <c r="BE728" s="325">
        <f t="shared" si="829"/>
        <v>0</v>
      </c>
      <c r="BF728" s="325">
        <f t="shared" si="829"/>
        <v>0</v>
      </c>
      <c r="BG728" s="325">
        <f t="shared" si="829"/>
        <v>0</v>
      </c>
      <c r="BH728" s="325">
        <f t="shared" si="829"/>
        <v>0</v>
      </c>
      <c r="BI728" s="325">
        <f t="shared" si="829"/>
        <v>0</v>
      </c>
      <c r="BJ728" s="325">
        <f t="shared" si="829"/>
        <v>0</v>
      </c>
      <c r="BK728" s="325">
        <f t="shared" si="829"/>
        <v>0</v>
      </c>
      <c r="BL728" s="325">
        <f t="shared" si="829"/>
        <v>0</v>
      </c>
      <c r="BM728" s="325">
        <f t="shared" si="829"/>
        <v>0</v>
      </c>
      <c r="BN728" s="326">
        <f t="shared" si="829"/>
        <v>0</v>
      </c>
      <c r="BP728" s="536" t="s">
        <v>1226</v>
      </c>
      <c r="BQ728" s="1471" t="str">
        <f t="shared" si="823"/>
        <v>GHG_Heata = GHG_Heata-1 + (E134 * BUI_COL (307 + ((A134 - 1) * 8) * DISTRICT_HEATING_emission_factora (from row 5) / (J134-I134+1) / 1000000)</v>
      </c>
      <c r="BR728" s="1479"/>
      <c r="BS728" s="1479"/>
      <c r="BT728" s="1479"/>
      <c r="BU728" s="1479"/>
      <c r="BV728" s="1479"/>
      <c r="BW728" s="1479"/>
      <c r="BX728" s="1479"/>
      <c r="BY728" s="1479"/>
      <c r="BZ728" s="1479"/>
      <c r="CA728" s="1479"/>
      <c r="CB728" s="1479"/>
      <c r="CC728" s="1479"/>
      <c r="CD728" s="1479"/>
      <c r="CE728" s="1479"/>
      <c r="CF728" s="1479"/>
      <c r="CG728" s="1479"/>
      <c r="CH728" s="1472"/>
      <c r="CI728" s="917" t="s">
        <v>2603</v>
      </c>
      <c r="CJ728" s="536" t="s">
        <v>2604</v>
      </c>
      <c r="CK728" s="536" t="s">
        <v>2602</v>
      </c>
      <c r="CL728" s="919"/>
    </row>
    <row r="729" spans="11:90" ht="20.100000000000001" customHeight="1">
      <c r="AF729" s="332"/>
      <c r="AG729" s="308" t="s">
        <v>310</v>
      </c>
      <c r="AH729" s="309"/>
      <c r="AI729" s="363"/>
      <c r="AJ729" s="309"/>
      <c r="AK729" s="344">
        <v>0</v>
      </c>
      <c r="AL729" s="327">
        <f>SUM(AL721:AL728)</f>
        <v>0</v>
      </c>
      <c r="AM729" s="327">
        <f t="shared" ref="AM729:BN729" si="830">SUM(AM721:AM728)</f>
        <v>0</v>
      </c>
      <c r="AN729" s="327">
        <f t="shared" si="830"/>
        <v>0</v>
      </c>
      <c r="AO729" s="327">
        <f t="shared" si="830"/>
        <v>0</v>
      </c>
      <c r="AP729" s="327">
        <f t="shared" si="830"/>
        <v>0</v>
      </c>
      <c r="AQ729" s="327">
        <f t="shared" si="830"/>
        <v>0</v>
      </c>
      <c r="AR729" s="327">
        <f t="shared" si="830"/>
        <v>0</v>
      </c>
      <c r="AS729" s="327">
        <f t="shared" si="830"/>
        <v>0</v>
      </c>
      <c r="AT729" s="327">
        <f t="shared" si="830"/>
        <v>0</v>
      </c>
      <c r="AU729" s="327">
        <f t="shared" si="830"/>
        <v>0</v>
      </c>
      <c r="AV729" s="327">
        <f t="shared" si="830"/>
        <v>0</v>
      </c>
      <c r="AW729" s="327">
        <f t="shared" si="830"/>
        <v>0</v>
      </c>
      <c r="AX729" s="327">
        <f t="shared" si="830"/>
        <v>0</v>
      </c>
      <c r="AY729" s="327">
        <f t="shared" si="830"/>
        <v>0</v>
      </c>
      <c r="AZ729" s="327">
        <f t="shared" si="830"/>
        <v>0</v>
      </c>
      <c r="BA729" s="327">
        <f t="shared" si="830"/>
        <v>0</v>
      </c>
      <c r="BB729" s="327">
        <f t="shared" si="830"/>
        <v>0</v>
      </c>
      <c r="BC729" s="327">
        <f t="shared" si="830"/>
        <v>0</v>
      </c>
      <c r="BD729" s="327">
        <f t="shared" si="830"/>
        <v>0</v>
      </c>
      <c r="BE729" s="327">
        <f t="shared" si="830"/>
        <v>0</v>
      </c>
      <c r="BF729" s="327">
        <f t="shared" si="830"/>
        <v>0</v>
      </c>
      <c r="BG729" s="327">
        <f t="shared" si="830"/>
        <v>0</v>
      </c>
      <c r="BH729" s="327">
        <f t="shared" si="830"/>
        <v>0</v>
      </c>
      <c r="BI729" s="327">
        <f t="shared" si="830"/>
        <v>0</v>
      </c>
      <c r="BJ729" s="327">
        <f t="shared" si="830"/>
        <v>0</v>
      </c>
      <c r="BK729" s="327">
        <f t="shared" si="830"/>
        <v>0</v>
      </c>
      <c r="BL729" s="327">
        <f t="shared" si="830"/>
        <v>0</v>
      </c>
      <c r="BM729" s="327">
        <f t="shared" si="830"/>
        <v>0</v>
      </c>
      <c r="BN729" s="327">
        <f t="shared" si="830"/>
        <v>0</v>
      </c>
    </row>
    <row r="730" spans="11:90" ht="20.100000000000001" customHeight="1">
      <c r="AI730" s="364"/>
    </row>
    <row r="731" spans="11:90" ht="20.100000000000001" customHeight="1" thickBot="1">
      <c r="AF731" s="333" t="s">
        <v>1514</v>
      </c>
      <c r="AG731" s="333"/>
      <c r="AH731" s="334" t="s">
        <v>977</v>
      </c>
      <c r="AI731" s="1477" t="s">
        <v>2548</v>
      </c>
      <c r="AJ731" s="1478"/>
      <c r="AK731" s="346">
        <v>2021</v>
      </c>
      <c r="AL731" s="284">
        <v>2022</v>
      </c>
      <c r="AM731" s="284">
        <v>2023</v>
      </c>
      <c r="AN731" s="284">
        <v>2024</v>
      </c>
      <c r="AO731" s="284">
        <v>2025</v>
      </c>
      <c r="AP731" s="284">
        <v>2026</v>
      </c>
      <c r="AQ731" s="284">
        <v>2027</v>
      </c>
      <c r="AR731" s="284">
        <v>2028</v>
      </c>
      <c r="AS731" s="284">
        <v>2029</v>
      </c>
      <c r="AT731" s="284">
        <v>2030</v>
      </c>
      <c r="AU731" s="284">
        <v>2031</v>
      </c>
      <c r="AV731" s="284">
        <v>2032</v>
      </c>
      <c r="AW731" s="284">
        <v>2033</v>
      </c>
      <c r="AX731" s="284">
        <v>2034</v>
      </c>
      <c r="AY731" s="284">
        <v>2035</v>
      </c>
      <c r="AZ731" s="284">
        <v>2036</v>
      </c>
      <c r="BA731" s="284">
        <v>2037</v>
      </c>
      <c r="BB731" s="284">
        <v>2038</v>
      </c>
      <c r="BC731" s="284">
        <v>2039</v>
      </c>
      <c r="BD731" s="284">
        <v>2040</v>
      </c>
      <c r="BE731" s="284">
        <v>2041</v>
      </c>
      <c r="BF731" s="284">
        <v>2042</v>
      </c>
      <c r="BG731" s="284">
        <v>2043</v>
      </c>
      <c r="BH731" s="284">
        <v>2044</v>
      </c>
      <c r="BI731" s="284">
        <v>2045</v>
      </c>
      <c r="BJ731" s="284">
        <v>2046</v>
      </c>
      <c r="BK731" s="284">
        <v>2047</v>
      </c>
      <c r="BL731" s="284">
        <v>2048</v>
      </c>
      <c r="BM731" s="284">
        <v>2049</v>
      </c>
      <c r="BN731" s="284">
        <v>2050</v>
      </c>
      <c r="BQ731" s="222" t="s">
        <v>2620</v>
      </c>
      <c r="BR731" s="417"/>
      <c r="BS731" s="417"/>
      <c r="BT731" s="417"/>
      <c r="BU731" s="417"/>
      <c r="BV731" s="417"/>
      <c r="BW731" s="417"/>
      <c r="BX731" s="417"/>
      <c r="BY731" s="417"/>
      <c r="BZ731" s="417"/>
      <c r="CA731" s="417"/>
      <c r="CB731" s="417"/>
      <c r="CC731" s="417"/>
      <c r="CD731" s="417"/>
      <c r="CE731" s="417"/>
      <c r="CF731" s="417"/>
      <c r="CG731" s="417"/>
      <c r="CH731" s="417"/>
      <c r="CI731" s="944" t="s">
        <v>1767</v>
      </c>
      <c r="CJ731" s="279" t="s">
        <v>2552</v>
      </c>
      <c r="CK731" s="945" t="s">
        <v>1598</v>
      </c>
    </row>
    <row r="732" spans="11:90" ht="20.100000000000001" customHeight="1">
      <c r="AF732" s="237" t="str">
        <f>CONCATENATE("conversion from ",INDEX('MENU OPTIONS'!$B$27:$B$36,$A$136,1))</f>
        <v>conversion from Apartment</v>
      </c>
      <c r="AG732" s="286" t="s">
        <v>933</v>
      </c>
      <c r="AH732" s="286" t="s">
        <v>1496</v>
      </c>
      <c r="AI732" s="941">
        <f>INDEX('DEFAULT DATA'!$AFS$9:$AIT$41,START!$C$3,(1+(($A$136-1)*8)))/IF($A$136&lt;5,INDEX('DEFAULT DATA'!$WT$9:$WW$41,START!$C$3,$A$136),1)</f>
        <v>75.341615424859171</v>
      </c>
      <c r="AJ732" s="367"/>
      <c r="AK732" s="343">
        <v>0</v>
      </c>
      <c r="AL732" s="322">
        <f t="shared" ref="AL732:BN732" si="831">IF(AND(AL$731&gt;($I$136+2020),AL$731&lt;($J$136+2022)),AK732+(AL$5*$E$136*$AI$732/($J$136-$I$136+1)/1000000),AK732)</f>
        <v>0</v>
      </c>
      <c r="AM732" s="322">
        <f t="shared" si="831"/>
        <v>0</v>
      </c>
      <c r="AN732" s="322">
        <f t="shared" si="831"/>
        <v>0</v>
      </c>
      <c r="AO732" s="322">
        <f t="shared" si="831"/>
        <v>0</v>
      </c>
      <c r="AP732" s="322">
        <f t="shared" si="831"/>
        <v>0</v>
      </c>
      <c r="AQ732" s="322">
        <f t="shared" si="831"/>
        <v>0</v>
      </c>
      <c r="AR732" s="322">
        <f t="shared" si="831"/>
        <v>0</v>
      </c>
      <c r="AS732" s="322">
        <f t="shared" si="831"/>
        <v>0</v>
      </c>
      <c r="AT732" s="322">
        <f t="shared" si="831"/>
        <v>0</v>
      </c>
      <c r="AU732" s="322">
        <f t="shared" si="831"/>
        <v>0</v>
      </c>
      <c r="AV732" s="322">
        <f t="shared" si="831"/>
        <v>0</v>
      </c>
      <c r="AW732" s="322">
        <f t="shared" si="831"/>
        <v>0</v>
      </c>
      <c r="AX732" s="322">
        <f t="shared" si="831"/>
        <v>0</v>
      </c>
      <c r="AY732" s="322">
        <f t="shared" si="831"/>
        <v>0</v>
      </c>
      <c r="AZ732" s="322">
        <f t="shared" si="831"/>
        <v>0</v>
      </c>
      <c r="BA732" s="322">
        <f t="shared" si="831"/>
        <v>0</v>
      </c>
      <c r="BB732" s="322">
        <f t="shared" si="831"/>
        <v>0</v>
      </c>
      <c r="BC732" s="322">
        <f t="shared" si="831"/>
        <v>0</v>
      </c>
      <c r="BD732" s="322">
        <f t="shared" si="831"/>
        <v>0</v>
      </c>
      <c r="BE732" s="322">
        <f t="shared" si="831"/>
        <v>0</v>
      </c>
      <c r="BF732" s="322">
        <f t="shared" si="831"/>
        <v>0</v>
      </c>
      <c r="BG732" s="322">
        <f t="shared" si="831"/>
        <v>0</v>
      </c>
      <c r="BH732" s="322">
        <f t="shared" si="831"/>
        <v>0</v>
      </c>
      <c r="BI732" s="322">
        <f t="shared" si="831"/>
        <v>0</v>
      </c>
      <c r="BJ732" s="322">
        <f t="shared" si="831"/>
        <v>0</v>
      </c>
      <c r="BK732" s="322">
        <f t="shared" si="831"/>
        <v>0</v>
      </c>
      <c r="BL732" s="322">
        <f t="shared" si="831"/>
        <v>0</v>
      </c>
      <c r="BM732" s="322">
        <f t="shared" si="831"/>
        <v>0</v>
      </c>
      <c r="BN732" s="323">
        <f t="shared" si="831"/>
        <v>0</v>
      </c>
      <c r="BP732" s="536" t="s">
        <v>933</v>
      </c>
      <c r="BQ732" s="1471" t="str">
        <f>CONCATENATE("GHG_",BP732,"a = GHG_",BP732,"a-1 + (E135 * ",CI732," * ",CK732," / (",CJ732,") / 1000000)")</f>
        <v>GHG_Electricitya = GHG_Electricitya-1 + (E135 * BUI_COL (307 + ((A135 - 1) * 8) * GRID_ELECTRICITY_emission_factora (from row4) / (J135-I135+1) / 1000000)</v>
      </c>
      <c r="BR732" s="1479"/>
      <c r="BS732" s="1479"/>
      <c r="BT732" s="1479"/>
      <c r="BU732" s="1479"/>
      <c r="BV732" s="1479"/>
      <c r="BW732" s="1479"/>
      <c r="BX732" s="1479"/>
      <c r="BY732" s="1479"/>
      <c r="BZ732" s="1479"/>
      <c r="CA732" s="1479"/>
      <c r="CB732" s="1479"/>
      <c r="CC732" s="1479"/>
      <c r="CD732" s="1479"/>
      <c r="CE732" s="1479"/>
      <c r="CF732" s="1479"/>
      <c r="CG732" s="1479"/>
      <c r="CH732" s="1472"/>
      <c r="CI732" s="917" t="s">
        <v>2605</v>
      </c>
      <c r="CJ732" s="536" t="s">
        <v>2606</v>
      </c>
      <c r="CK732" s="536" t="s">
        <v>2601</v>
      </c>
      <c r="CL732" s="919"/>
    </row>
    <row r="733" spans="11:90" ht="20.100000000000001" customHeight="1">
      <c r="AF733" s="355"/>
      <c r="AG733" s="251" t="s">
        <v>1220</v>
      </c>
      <c r="AH733" s="251">
        <f>INDEX('DEFAULT DATA'!$VE$9:$VK$41,START!$C$3,1)</f>
        <v>202</v>
      </c>
      <c r="AI733" s="660">
        <f>INDEX('DEFAULT DATA'!$AFS$9:$AIT$41,START!$C$3,(2+(($A$136-1)*8)))/IF($A$136&lt;5,INDEX('DEFAULT DATA'!$WT$9:$WW$41,START!$C$3,$A$136),1)</f>
        <v>2.0928226506905325</v>
      </c>
      <c r="AJ733" s="366"/>
      <c r="AK733" s="345">
        <v>0</v>
      </c>
      <c r="AL733" s="272">
        <f t="shared" ref="AL733:BN733" si="832">IF(AND(AL$731&gt;($I$136+2020),AL$731&lt;($J$136+2022)),AK733+($AH$733*$E$136*$AI$733/($J$136-$I$136+1)/1000000),AK733)</f>
        <v>0</v>
      </c>
      <c r="AM733" s="272">
        <f t="shared" si="832"/>
        <v>0</v>
      </c>
      <c r="AN733" s="272">
        <f t="shared" si="832"/>
        <v>0</v>
      </c>
      <c r="AO733" s="272">
        <f t="shared" si="832"/>
        <v>0</v>
      </c>
      <c r="AP733" s="272">
        <f t="shared" si="832"/>
        <v>0</v>
      </c>
      <c r="AQ733" s="272">
        <f t="shared" si="832"/>
        <v>0</v>
      </c>
      <c r="AR733" s="272">
        <f t="shared" si="832"/>
        <v>0</v>
      </c>
      <c r="AS733" s="272">
        <f t="shared" si="832"/>
        <v>0</v>
      </c>
      <c r="AT733" s="272">
        <f t="shared" si="832"/>
        <v>0</v>
      </c>
      <c r="AU733" s="272">
        <f t="shared" si="832"/>
        <v>0</v>
      </c>
      <c r="AV733" s="272">
        <f t="shared" si="832"/>
        <v>0</v>
      </c>
      <c r="AW733" s="272">
        <f t="shared" si="832"/>
        <v>0</v>
      </c>
      <c r="AX733" s="272">
        <f t="shared" si="832"/>
        <v>0</v>
      </c>
      <c r="AY733" s="272">
        <f t="shared" si="832"/>
        <v>0</v>
      </c>
      <c r="AZ733" s="272">
        <f t="shared" si="832"/>
        <v>0</v>
      </c>
      <c r="BA733" s="272">
        <f t="shared" si="832"/>
        <v>0</v>
      </c>
      <c r="BB733" s="272">
        <f t="shared" si="832"/>
        <v>0</v>
      </c>
      <c r="BC733" s="272">
        <f t="shared" si="832"/>
        <v>0</v>
      </c>
      <c r="BD733" s="272">
        <f t="shared" si="832"/>
        <v>0</v>
      </c>
      <c r="BE733" s="272">
        <f t="shared" si="832"/>
        <v>0</v>
      </c>
      <c r="BF733" s="272">
        <f t="shared" si="832"/>
        <v>0</v>
      </c>
      <c r="BG733" s="272">
        <f t="shared" si="832"/>
        <v>0</v>
      </c>
      <c r="BH733" s="272">
        <f t="shared" si="832"/>
        <v>0</v>
      </c>
      <c r="BI733" s="272">
        <f t="shared" si="832"/>
        <v>0</v>
      </c>
      <c r="BJ733" s="272">
        <f t="shared" si="832"/>
        <v>0</v>
      </c>
      <c r="BK733" s="272">
        <f t="shared" si="832"/>
        <v>0</v>
      </c>
      <c r="BL733" s="272">
        <f t="shared" si="832"/>
        <v>0</v>
      </c>
      <c r="BM733" s="272">
        <f t="shared" si="832"/>
        <v>0</v>
      </c>
      <c r="BN733" s="324">
        <f t="shared" si="832"/>
        <v>0</v>
      </c>
      <c r="BP733" s="536" t="s">
        <v>1220</v>
      </c>
      <c r="BQ733" s="1471" t="str">
        <f t="shared" ref="BQ733:BQ738" si="833">CONCATENATE("GHG_",BP733,"a = GHG_",BP733,"a-1 + (E135 * ",CI733," * ",CK733," / (",CJ733,") / 1000000)")</f>
        <v>GHG_Gasa = GHG_Gasa-1 + (E135 * BUI_COL (307 + ((A135 - 1) * 8) * BUI_COL1 / (J135-I135+1) / 1000000)</v>
      </c>
      <c r="BR733" s="1479"/>
      <c r="BS733" s="1479"/>
      <c r="BT733" s="1479"/>
      <c r="BU733" s="1479"/>
      <c r="BV733" s="1479"/>
      <c r="BW733" s="1479"/>
      <c r="BX733" s="1479"/>
      <c r="BY733" s="1479"/>
      <c r="BZ733" s="1479"/>
      <c r="CA733" s="1479"/>
      <c r="CB733" s="1479"/>
      <c r="CC733" s="1479"/>
      <c r="CD733" s="1479"/>
      <c r="CE733" s="1479"/>
      <c r="CF733" s="1479"/>
      <c r="CG733" s="1479"/>
      <c r="CH733" s="1472"/>
      <c r="CI733" s="917" t="s">
        <v>2605</v>
      </c>
      <c r="CJ733" s="536" t="s">
        <v>2606</v>
      </c>
      <c r="CK733" s="536" t="s">
        <v>1248</v>
      </c>
      <c r="CL733" s="919"/>
    </row>
    <row r="734" spans="11:90" ht="20.100000000000001" customHeight="1">
      <c r="AF734" s="355"/>
      <c r="AG734" s="251" t="s">
        <v>1221</v>
      </c>
      <c r="AH734" s="251">
        <f>INDEX('DEFAULT DATA'!$VE$9:$VK$41,START!$C$3,2)</f>
        <v>279</v>
      </c>
      <c r="AI734" s="660">
        <f>INDEX('DEFAULT DATA'!$AFS$9:$AIT$41,START!$C$3,(3+(($A$136-1)*8)))/IF($A$136&lt;5,INDEX('DEFAULT DATA'!$WT$9:$WW$41,START!$C$3,$A$136),1)</f>
        <v>16.74258120552426</v>
      </c>
      <c r="AJ734" s="366"/>
      <c r="AK734" s="345">
        <v>0</v>
      </c>
      <c r="AL734" s="272">
        <f t="shared" ref="AL734:BN734" si="834">IF(AND(AL$731&gt;($I$136+2020),AL$731&lt;($J$136+2022)),AK734+($AH$734*$E$136*$AI$734/($J$136-$I$136+1)/1000000),AK734)</f>
        <v>0</v>
      </c>
      <c r="AM734" s="272">
        <f t="shared" si="834"/>
        <v>0</v>
      </c>
      <c r="AN734" s="272">
        <f t="shared" si="834"/>
        <v>0</v>
      </c>
      <c r="AO734" s="272">
        <f t="shared" si="834"/>
        <v>0</v>
      </c>
      <c r="AP734" s="272">
        <f t="shared" si="834"/>
        <v>0</v>
      </c>
      <c r="AQ734" s="272">
        <f t="shared" si="834"/>
        <v>0</v>
      </c>
      <c r="AR734" s="272">
        <f t="shared" si="834"/>
        <v>0</v>
      </c>
      <c r="AS734" s="272">
        <f t="shared" si="834"/>
        <v>0</v>
      </c>
      <c r="AT734" s="272">
        <f t="shared" si="834"/>
        <v>0</v>
      </c>
      <c r="AU734" s="272">
        <f t="shared" si="834"/>
        <v>0</v>
      </c>
      <c r="AV734" s="272">
        <f t="shared" si="834"/>
        <v>0</v>
      </c>
      <c r="AW734" s="272">
        <f t="shared" si="834"/>
        <v>0</v>
      </c>
      <c r="AX734" s="272">
        <f t="shared" si="834"/>
        <v>0</v>
      </c>
      <c r="AY734" s="272">
        <f t="shared" si="834"/>
        <v>0</v>
      </c>
      <c r="AZ734" s="272">
        <f t="shared" si="834"/>
        <v>0</v>
      </c>
      <c r="BA734" s="272">
        <f t="shared" si="834"/>
        <v>0</v>
      </c>
      <c r="BB734" s="272">
        <f t="shared" si="834"/>
        <v>0</v>
      </c>
      <c r="BC734" s="272">
        <f t="shared" si="834"/>
        <v>0</v>
      </c>
      <c r="BD734" s="272">
        <f t="shared" si="834"/>
        <v>0</v>
      </c>
      <c r="BE734" s="272">
        <f t="shared" si="834"/>
        <v>0</v>
      </c>
      <c r="BF734" s="272">
        <f t="shared" si="834"/>
        <v>0</v>
      </c>
      <c r="BG734" s="272">
        <f t="shared" si="834"/>
        <v>0</v>
      </c>
      <c r="BH734" s="272">
        <f t="shared" si="834"/>
        <v>0</v>
      </c>
      <c r="BI734" s="272">
        <f t="shared" si="834"/>
        <v>0</v>
      </c>
      <c r="BJ734" s="272">
        <f t="shared" si="834"/>
        <v>0</v>
      </c>
      <c r="BK734" s="272">
        <f t="shared" si="834"/>
        <v>0</v>
      </c>
      <c r="BL734" s="272">
        <f t="shared" si="834"/>
        <v>0</v>
      </c>
      <c r="BM734" s="272">
        <f t="shared" si="834"/>
        <v>0</v>
      </c>
      <c r="BN734" s="324">
        <f t="shared" si="834"/>
        <v>0</v>
      </c>
      <c r="BP734" s="536" t="s">
        <v>1221</v>
      </c>
      <c r="BQ734" s="1471" t="str">
        <f t="shared" si="833"/>
        <v>GHG_Oila = GHG_Oila-1 + (E135 * BUI_COL (307 + ((A135 - 1) * 8) * BUI_COL2 / (J135-I135+1) / 1000000)</v>
      </c>
      <c r="BR734" s="1479"/>
      <c r="BS734" s="1479"/>
      <c r="BT734" s="1479"/>
      <c r="BU734" s="1479"/>
      <c r="BV734" s="1479"/>
      <c r="BW734" s="1479"/>
      <c r="BX734" s="1479"/>
      <c r="BY734" s="1479"/>
      <c r="BZ734" s="1479"/>
      <c r="CA734" s="1479"/>
      <c r="CB734" s="1479"/>
      <c r="CC734" s="1479"/>
      <c r="CD734" s="1479"/>
      <c r="CE734" s="1479"/>
      <c r="CF734" s="1479"/>
      <c r="CG734" s="1479"/>
      <c r="CH734" s="1472"/>
      <c r="CI734" s="917" t="s">
        <v>2605</v>
      </c>
      <c r="CJ734" s="536" t="s">
        <v>2606</v>
      </c>
      <c r="CK734" s="536" t="s">
        <v>1621</v>
      </c>
      <c r="CL734" s="919"/>
    </row>
    <row r="735" spans="11:90" ht="20.100000000000001" customHeight="1">
      <c r="AF735" s="355"/>
      <c r="AG735" s="251" t="s">
        <v>1222</v>
      </c>
      <c r="AH735" s="251">
        <f>INDEX('DEFAULT DATA'!$VE$9:$VK$41,START!$C$3,3)</f>
        <v>354</v>
      </c>
      <c r="AI735" s="660">
        <f>INDEX('DEFAULT DATA'!$AFS$9:$AIT$41,START!$C$3,(4+(($A$136-1)*8)))/IF($A$136&lt;5,INDEX('DEFAULT DATA'!$WT$9:$WW$41,START!$C$3,$A$136),1)</f>
        <v>0</v>
      </c>
      <c r="AJ735" s="366"/>
      <c r="AK735" s="345">
        <v>0</v>
      </c>
      <c r="AL735" s="272">
        <f t="shared" ref="AL735:BN735" si="835">IF(AND(AL$731&gt;($I$136+2020),AL$731&lt;($J$136+2022)),AK735+($AH$735*$E$136*$AI$735/($J$136-$I$136+1)/1000000),AK735)</f>
        <v>0</v>
      </c>
      <c r="AM735" s="272">
        <f t="shared" si="835"/>
        <v>0</v>
      </c>
      <c r="AN735" s="272">
        <f t="shared" si="835"/>
        <v>0</v>
      </c>
      <c r="AO735" s="272">
        <f t="shared" si="835"/>
        <v>0</v>
      </c>
      <c r="AP735" s="272">
        <f t="shared" si="835"/>
        <v>0</v>
      </c>
      <c r="AQ735" s="272">
        <f t="shared" si="835"/>
        <v>0</v>
      </c>
      <c r="AR735" s="272">
        <f t="shared" si="835"/>
        <v>0</v>
      </c>
      <c r="AS735" s="272">
        <f t="shared" si="835"/>
        <v>0</v>
      </c>
      <c r="AT735" s="272">
        <f t="shared" si="835"/>
        <v>0</v>
      </c>
      <c r="AU735" s="272">
        <f t="shared" si="835"/>
        <v>0</v>
      </c>
      <c r="AV735" s="272">
        <f t="shared" si="835"/>
        <v>0</v>
      </c>
      <c r="AW735" s="272">
        <f t="shared" si="835"/>
        <v>0</v>
      </c>
      <c r="AX735" s="272">
        <f t="shared" si="835"/>
        <v>0</v>
      </c>
      <c r="AY735" s="272">
        <f t="shared" si="835"/>
        <v>0</v>
      </c>
      <c r="AZ735" s="272">
        <f t="shared" si="835"/>
        <v>0</v>
      </c>
      <c r="BA735" s="272">
        <f t="shared" si="835"/>
        <v>0</v>
      </c>
      <c r="BB735" s="272">
        <f t="shared" si="835"/>
        <v>0</v>
      </c>
      <c r="BC735" s="272">
        <f t="shared" si="835"/>
        <v>0</v>
      </c>
      <c r="BD735" s="272">
        <f t="shared" si="835"/>
        <v>0</v>
      </c>
      <c r="BE735" s="272">
        <f t="shared" si="835"/>
        <v>0</v>
      </c>
      <c r="BF735" s="272">
        <f t="shared" si="835"/>
        <v>0</v>
      </c>
      <c r="BG735" s="272">
        <f t="shared" si="835"/>
        <v>0</v>
      </c>
      <c r="BH735" s="272">
        <f t="shared" si="835"/>
        <v>0</v>
      </c>
      <c r="BI735" s="272">
        <f t="shared" si="835"/>
        <v>0</v>
      </c>
      <c r="BJ735" s="272">
        <f t="shared" si="835"/>
        <v>0</v>
      </c>
      <c r="BK735" s="272">
        <f t="shared" si="835"/>
        <v>0</v>
      </c>
      <c r="BL735" s="272">
        <f t="shared" si="835"/>
        <v>0</v>
      </c>
      <c r="BM735" s="272">
        <f t="shared" si="835"/>
        <v>0</v>
      </c>
      <c r="BN735" s="324">
        <f t="shared" si="835"/>
        <v>0</v>
      </c>
      <c r="BP735" s="536" t="s">
        <v>1222</v>
      </c>
      <c r="BQ735" s="1471" t="str">
        <f t="shared" si="833"/>
        <v>GHG_Coala = GHG_Coala-1 + (E135 * BUI_COL (307 + ((A135 - 1) * 8) * BUI_COL3 / (J135-I135+1) / 1000000)</v>
      </c>
      <c r="BR735" s="1479"/>
      <c r="BS735" s="1479"/>
      <c r="BT735" s="1479"/>
      <c r="BU735" s="1479"/>
      <c r="BV735" s="1479"/>
      <c r="BW735" s="1479"/>
      <c r="BX735" s="1479"/>
      <c r="BY735" s="1479"/>
      <c r="BZ735" s="1479"/>
      <c r="CA735" s="1479"/>
      <c r="CB735" s="1479"/>
      <c r="CC735" s="1479"/>
      <c r="CD735" s="1479"/>
      <c r="CE735" s="1479"/>
      <c r="CF735" s="1479"/>
      <c r="CG735" s="1479"/>
      <c r="CH735" s="1472"/>
      <c r="CI735" s="917" t="s">
        <v>2605</v>
      </c>
      <c r="CJ735" s="536" t="s">
        <v>2606</v>
      </c>
      <c r="CK735" s="536" t="s">
        <v>1622</v>
      </c>
      <c r="CL735" s="919"/>
    </row>
    <row r="736" spans="11:90" ht="20.100000000000001" customHeight="1">
      <c r="AF736" s="355"/>
      <c r="AG736" s="251" t="s">
        <v>1223</v>
      </c>
      <c r="AH736" s="251">
        <f>INDEX('DEFAULT DATA'!$VE$9:$VK$41,START!$C$3,4)</f>
        <v>0</v>
      </c>
      <c r="AI736" s="660">
        <f>INDEX('DEFAULT DATA'!$AFS$9:$AIT$41,START!$C$3,(5+(($A$136-1)*8)))/IF($A$136&lt;5,INDEX('DEFAULT DATA'!$WT$9:$WW$41,START!$C$3,$A$136),1)</f>
        <v>0</v>
      </c>
      <c r="AJ736" s="366"/>
      <c r="AK736" s="345">
        <v>0</v>
      </c>
      <c r="AL736" s="272">
        <f t="shared" ref="AL736:BN736" si="836">IF(AND(AL$731&gt;($I$136+2020),AL$731&lt;($J$136+2022)),AK736+($AH$736*$E$136*$AI$736/($J$136-$I$136+1)/1000000),AK736)</f>
        <v>0</v>
      </c>
      <c r="AM736" s="272">
        <f t="shared" si="836"/>
        <v>0</v>
      </c>
      <c r="AN736" s="272">
        <f t="shared" si="836"/>
        <v>0</v>
      </c>
      <c r="AO736" s="272">
        <f t="shared" si="836"/>
        <v>0</v>
      </c>
      <c r="AP736" s="272">
        <f t="shared" si="836"/>
        <v>0</v>
      </c>
      <c r="AQ736" s="272">
        <f t="shared" si="836"/>
        <v>0</v>
      </c>
      <c r="AR736" s="272">
        <f t="shared" si="836"/>
        <v>0</v>
      </c>
      <c r="AS736" s="272">
        <f t="shared" si="836"/>
        <v>0</v>
      </c>
      <c r="AT736" s="272">
        <f t="shared" si="836"/>
        <v>0</v>
      </c>
      <c r="AU736" s="272">
        <f t="shared" si="836"/>
        <v>0</v>
      </c>
      <c r="AV736" s="272">
        <f t="shared" si="836"/>
        <v>0</v>
      </c>
      <c r="AW736" s="272">
        <f t="shared" si="836"/>
        <v>0</v>
      </c>
      <c r="AX736" s="272">
        <f t="shared" si="836"/>
        <v>0</v>
      </c>
      <c r="AY736" s="272">
        <f t="shared" si="836"/>
        <v>0</v>
      </c>
      <c r="AZ736" s="272">
        <f t="shared" si="836"/>
        <v>0</v>
      </c>
      <c r="BA736" s="272">
        <f t="shared" si="836"/>
        <v>0</v>
      </c>
      <c r="BB736" s="272">
        <f t="shared" si="836"/>
        <v>0</v>
      </c>
      <c r="BC736" s="272">
        <f t="shared" si="836"/>
        <v>0</v>
      </c>
      <c r="BD736" s="272">
        <f t="shared" si="836"/>
        <v>0</v>
      </c>
      <c r="BE736" s="272">
        <f t="shared" si="836"/>
        <v>0</v>
      </c>
      <c r="BF736" s="272">
        <f t="shared" si="836"/>
        <v>0</v>
      </c>
      <c r="BG736" s="272">
        <f t="shared" si="836"/>
        <v>0</v>
      </c>
      <c r="BH736" s="272">
        <f t="shared" si="836"/>
        <v>0</v>
      </c>
      <c r="BI736" s="272">
        <f t="shared" si="836"/>
        <v>0</v>
      </c>
      <c r="BJ736" s="272">
        <f t="shared" si="836"/>
        <v>0</v>
      </c>
      <c r="BK736" s="272">
        <f t="shared" si="836"/>
        <v>0</v>
      </c>
      <c r="BL736" s="272">
        <f t="shared" si="836"/>
        <v>0</v>
      </c>
      <c r="BM736" s="272">
        <f t="shared" si="836"/>
        <v>0</v>
      </c>
      <c r="BN736" s="324">
        <f t="shared" si="836"/>
        <v>0</v>
      </c>
      <c r="BP736" s="536" t="s">
        <v>1223</v>
      </c>
      <c r="BQ736" s="1471" t="str">
        <f t="shared" si="833"/>
        <v>GHG_Peata = GHG_Peata-1 + (E135 * BUI_COL (307 + ((A135 - 1) * 8) * BUI_COL4 / (J135-I135+1) / 1000000)</v>
      </c>
      <c r="BR736" s="1479"/>
      <c r="BS736" s="1479"/>
      <c r="BT736" s="1479"/>
      <c r="BU736" s="1479"/>
      <c r="BV736" s="1479"/>
      <c r="BW736" s="1479"/>
      <c r="BX736" s="1479"/>
      <c r="BY736" s="1479"/>
      <c r="BZ736" s="1479"/>
      <c r="CA736" s="1479"/>
      <c r="CB736" s="1479"/>
      <c r="CC736" s="1479"/>
      <c r="CD736" s="1479"/>
      <c r="CE736" s="1479"/>
      <c r="CF736" s="1479"/>
      <c r="CG736" s="1479"/>
      <c r="CH736" s="1472"/>
      <c r="CI736" s="917" t="s">
        <v>2605</v>
      </c>
      <c r="CJ736" s="536" t="s">
        <v>2606</v>
      </c>
      <c r="CK736" s="536" t="s">
        <v>1623</v>
      </c>
      <c r="CL736" s="919"/>
    </row>
    <row r="737" spans="32:90" ht="20.100000000000001" customHeight="1">
      <c r="AF737" s="355"/>
      <c r="AG737" s="251" t="s">
        <v>1224</v>
      </c>
      <c r="AH737" s="251">
        <f>INDEX('DEFAULT DATA'!$VE$9:$VK$41,START!$C$3,5)</f>
        <v>403</v>
      </c>
      <c r="AI737" s="660">
        <f>INDEX('DEFAULT DATA'!$AFS$9:$AIT$41,START!$C$3,(6+(($A$136-1)*8)))/IF($A$136&lt;5,INDEX('DEFAULT DATA'!$WT$9:$WW$41,START!$C$3,$A$136),1)</f>
        <v>0</v>
      </c>
      <c r="AJ737" s="366"/>
      <c r="AK737" s="345">
        <v>0</v>
      </c>
      <c r="AL737" s="272">
        <f t="shared" ref="AL737:BN737" si="837">IF(AND(AL$731&gt;($I$136+2020),AL$731&lt;($J$136+2022)),AK737+($AH$737*$E$136*$AI$737/($J$136-$I$136+1)/1000000),AK737)</f>
        <v>0</v>
      </c>
      <c r="AM737" s="272">
        <f t="shared" si="837"/>
        <v>0</v>
      </c>
      <c r="AN737" s="272">
        <f t="shared" si="837"/>
        <v>0</v>
      </c>
      <c r="AO737" s="272">
        <f t="shared" si="837"/>
        <v>0</v>
      </c>
      <c r="AP737" s="272">
        <f t="shared" si="837"/>
        <v>0</v>
      </c>
      <c r="AQ737" s="272">
        <f t="shared" si="837"/>
        <v>0</v>
      </c>
      <c r="AR737" s="272">
        <f t="shared" si="837"/>
        <v>0</v>
      </c>
      <c r="AS737" s="272">
        <f t="shared" si="837"/>
        <v>0</v>
      </c>
      <c r="AT737" s="272">
        <f t="shared" si="837"/>
        <v>0</v>
      </c>
      <c r="AU737" s="272">
        <f t="shared" si="837"/>
        <v>0</v>
      </c>
      <c r="AV737" s="272">
        <f t="shared" si="837"/>
        <v>0</v>
      </c>
      <c r="AW737" s="272">
        <f t="shared" si="837"/>
        <v>0</v>
      </c>
      <c r="AX737" s="272">
        <f t="shared" si="837"/>
        <v>0</v>
      </c>
      <c r="AY737" s="272">
        <f t="shared" si="837"/>
        <v>0</v>
      </c>
      <c r="AZ737" s="272">
        <f t="shared" si="837"/>
        <v>0</v>
      </c>
      <c r="BA737" s="272">
        <f t="shared" si="837"/>
        <v>0</v>
      </c>
      <c r="BB737" s="272">
        <f t="shared" si="837"/>
        <v>0</v>
      </c>
      <c r="BC737" s="272">
        <f t="shared" si="837"/>
        <v>0</v>
      </c>
      <c r="BD737" s="272">
        <f t="shared" si="837"/>
        <v>0</v>
      </c>
      <c r="BE737" s="272">
        <f t="shared" si="837"/>
        <v>0</v>
      </c>
      <c r="BF737" s="272">
        <f t="shared" si="837"/>
        <v>0</v>
      </c>
      <c r="BG737" s="272">
        <f t="shared" si="837"/>
        <v>0</v>
      </c>
      <c r="BH737" s="272">
        <f t="shared" si="837"/>
        <v>0</v>
      </c>
      <c r="BI737" s="272">
        <f t="shared" si="837"/>
        <v>0</v>
      </c>
      <c r="BJ737" s="272">
        <f t="shared" si="837"/>
        <v>0</v>
      </c>
      <c r="BK737" s="272">
        <f t="shared" si="837"/>
        <v>0</v>
      </c>
      <c r="BL737" s="272">
        <f t="shared" si="837"/>
        <v>0</v>
      </c>
      <c r="BM737" s="272">
        <f t="shared" si="837"/>
        <v>0</v>
      </c>
      <c r="BN737" s="324">
        <f t="shared" si="837"/>
        <v>0</v>
      </c>
      <c r="BP737" s="536" t="s">
        <v>1224</v>
      </c>
      <c r="BQ737" s="1471" t="str">
        <f t="shared" si="833"/>
        <v>GHG_Wooda = GHG_Wooda-1 + (E135 * BUI_COL (307 + ((A135 - 1) * 8) * BUI_COL5 / (J135-I135+1) / 1000000)</v>
      </c>
      <c r="BR737" s="1479"/>
      <c r="BS737" s="1479"/>
      <c r="BT737" s="1479"/>
      <c r="BU737" s="1479"/>
      <c r="BV737" s="1479"/>
      <c r="BW737" s="1479"/>
      <c r="BX737" s="1479"/>
      <c r="BY737" s="1479"/>
      <c r="BZ737" s="1479"/>
      <c r="CA737" s="1479"/>
      <c r="CB737" s="1479"/>
      <c r="CC737" s="1479"/>
      <c r="CD737" s="1479"/>
      <c r="CE737" s="1479"/>
      <c r="CF737" s="1479"/>
      <c r="CG737" s="1479"/>
      <c r="CH737" s="1472"/>
      <c r="CI737" s="917" t="s">
        <v>2605</v>
      </c>
      <c r="CJ737" s="536" t="s">
        <v>2606</v>
      </c>
      <c r="CK737" s="536" t="s">
        <v>1624</v>
      </c>
      <c r="CL737" s="919"/>
    </row>
    <row r="738" spans="32:90" ht="20.100000000000001" customHeight="1">
      <c r="AF738" s="355"/>
      <c r="AG738" s="251" t="s">
        <v>1225</v>
      </c>
      <c r="AH738" s="251">
        <f>INDEX('DEFAULT DATA'!$VE$9:$VK$41,START!$C$3,6)</f>
        <v>0</v>
      </c>
      <c r="AI738" s="660">
        <f>INDEX('DEFAULT DATA'!$AFS$9:$AIT$41,START!$C$3,(7+(($A$136-1)*8)))/IF($A$136&lt;5,INDEX('DEFAULT DATA'!$WT$9:$WW$41,START!$C$3,$A$136),1)</f>
        <v>52.32056626726331</v>
      </c>
      <c r="AJ738" s="366"/>
      <c r="AK738" s="345">
        <v>0</v>
      </c>
      <c r="AL738" s="272">
        <f t="shared" ref="AL738:BN738" si="838">IF(AND(AL$731&gt;($I$136+2020),AL$731&lt;($J$136+2022)),AK738+($AH$738*$E$136*$AI$738/($J$136-$I$136+1)/1000000),AK738)</f>
        <v>0</v>
      </c>
      <c r="AM738" s="272">
        <f t="shared" si="838"/>
        <v>0</v>
      </c>
      <c r="AN738" s="272">
        <f t="shared" si="838"/>
        <v>0</v>
      </c>
      <c r="AO738" s="272">
        <f t="shared" si="838"/>
        <v>0</v>
      </c>
      <c r="AP738" s="272">
        <f t="shared" si="838"/>
        <v>0</v>
      </c>
      <c r="AQ738" s="272">
        <f t="shared" si="838"/>
        <v>0</v>
      </c>
      <c r="AR738" s="272">
        <f t="shared" si="838"/>
        <v>0</v>
      </c>
      <c r="AS738" s="272">
        <f t="shared" si="838"/>
        <v>0</v>
      </c>
      <c r="AT738" s="272">
        <f t="shared" si="838"/>
        <v>0</v>
      </c>
      <c r="AU738" s="272">
        <f t="shared" si="838"/>
        <v>0</v>
      </c>
      <c r="AV738" s="272">
        <f t="shared" si="838"/>
        <v>0</v>
      </c>
      <c r="AW738" s="272">
        <f t="shared" si="838"/>
        <v>0</v>
      </c>
      <c r="AX738" s="272">
        <f t="shared" si="838"/>
        <v>0</v>
      </c>
      <c r="AY738" s="272">
        <f t="shared" si="838"/>
        <v>0</v>
      </c>
      <c r="AZ738" s="272">
        <f t="shared" si="838"/>
        <v>0</v>
      </c>
      <c r="BA738" s="272">
        <f t="shared" si="838"/>
        <v>0</v>
      </c>
      <c r="BB738" s="272">
        <f t="shared" si="838"/>
        <v>0</v>
      </c>
      <c r="BC738" s="272">
        <f t="shared" si="838"/>
        <v>0</v>
      </c>
      <c r="BD738" s="272">
        <f t="shared" si="838"/>
        <v>0</v>
      </c>
      <c r="BE738" s="272">
        <f t="shared" si="838"/>
        <v>0</v>
      </c>
      <c r="BF738" s="272">
        <f t="shared" si="838"/>
        <v>0</v>
      </c>
      <c r="BG738" s="272">
        <f t="shared" si="838"/>
        <v>0</v>
      </c>
      <c r="BH738" s="272">
        <f t="shared" si="838"/>
        <v>0</v>
      </c>
      <c r="BI738" s="272">
        <f t="shared" si="838"/>
        <v>0</v>
      </c>
      <c r="BJ738" s="272">
        <f t="shared" si="838"/>
        <v>0</v>
      </c>
      <c r="BK738" s="272">
        <f t="shared" si="838"/>
        <v>0</v>
      </c>
      <c r="BL738" s="272">
        <f t="shared" si="838"/>
        <v>0</v>
      </c>
      <c r="BM738" s="272">
        <f t="shared" si="838"/>
        <v>0</v>
      </c>
      <c r="BN738" s="324">
        <f t="shared" si="838"/>
        <v>0</v>
      </c>
      <c r="BP738" s="536" t="s">
        <v>1225</v>
      </c>
      <c r="BQ738" s="1471" t="str">
        <f t="shared" si="833"/>
        <v>GHG_Renewablea = GHG_Renewablea-1 + (E135 * BUI_COL (307 + ((A135 - 1) * 8) * BUI_COL6 / (J135-I135+1) / 1000000)</v>
      </c>
      <c r="BR738" s="1479"/>
      <c r="BS738" s="1479"/>
      <c r="BT738" s="1479"/>
      <c r="BU738" s="1479"/>
      <c r="BV738" s="1479"/>
      <c r="BW738" s="1479"/>
      <c r="BX738" s="1479"/>
      <c r="BY738" s="1479"/>
      <c r="BZ738" s="1479"/>
      <c r="CA738" s="1479"/>
      <c r="CB738" s="1479"/>
      <c r="CC738" s="1479"/>
      <c r="CD738" s="1479"/>
      <c r="CE738" s="1479"/>
      <c r="CF738" s="1479"/>
      <c r="CG738" s="1479"/>
      <c r="CH738" s="1472"/>
      <c r="CI738" s="917" t="s">
        <v>2605</v>
      </c>
      <c r="CJ738" s="536" t="s">
        <v>2606</v>
      </c>
      <c r="CK738" s="536" t="s">
        <v>1625</v>
      </c>
      <c r="CL738" s="919"/>
    </row>
    <row r="739" spans="32:90" ht="20.100000000000001" customHeight="1" thickBot="1">
      <c r="AF739" s="356"/>
      <c r="AG739" s="310" t="s">
        <v>1226</v>
      </c>
      <c r="AH739" s="310" t="s">
        <v>1497</v>
      </c>
      <c r="AI739" s="786">
        <f>INDEX('DEFAULT DATA'!$AFS$9:$AIT$41,START!$C$3,(8+(($A$136-1)*8)))/IF($A$136&lt;5,INDEX('DEFAULT DATA'!$WT$9:$WW$41,START!$C$3,$A$136),1)</f>
        <v>62.784679520715976</v>
      </c>
      <c r="AJ739" s="368"/>
      <c r="AK739" s="348">
        <v>0</v>
      </c>
      <c r="AL739" s="325">
        <f t="shared" ref="AL739:BN739" si="839">IF(AND(AL$731&gt;($I$136+2020),AL$731&lt;($J$136+2022)),AK739+(AL$6*$E$136*$AI$739/($J$136-$I$136+1)/1000000),AK739)</f>
        <v>0</v>
      </c>
      <c r="AM739" s="325">
        <f t="shared" si="839"/>
        <v>0</v>
      </c>
      <c r="AN739" s="325">
        <f t="shared" si="839"/>
        <v>0</v>
      </c>
      <c r="AO739" s="325">
        <f t="shared" si="839"/>
        <v>0</v>
      </c>
      <c r="AP739" s="325">
        <f t="shared" si="839"/>
        <v>0</v>
      </c>
      <c r="AQ739" s="325">
        <f t="shared" si="839"/>
        <v>0</v>
      </c>
      <c r="AR739" s="325">
        <f t="shared" si="839"/>
        <v>0</v>
      </c>
      <c r="AS739" s="325">
        <f t="shared" si="839"/>
        <v>0</v>
      </c>
      <c r="AT739" s="325">
        <f t="shared" si="839"/>
        <v>0</v>
      </c>
      <c r="AU739" s="325">
        <f t="shared" si="839"/>
        <v>0</v>
      </c>
      <c r="AV739" s="325">
        <f t="shared" si="839"/>
        <v>0</v>
      </c>
      <c r="AW739" s="325">
        <f t="shared" si="839"/>
        <v>0</v>
      </c>
      <c r="AX739" s="325">
        <f t="shared" si="839"/>
        <v>0</v>
      </c>
      <c r="AY739" s="325">
        <f t="shared" si="839"/>
        <v>0</v>
      </c>
      <c r="AZ739" s="325">
        <f t="shared" si="839"/>
        <v>0</v>
      </c>
      <c r="BA739" s="325">
        <f t="shared" si="839"/>
        <v>0</v>
      </c>
      <c r="BB739" s="325">
        <f t="shared" si="839"/>
        <v>0</v>
      </c>
      <c r="BC739" s="325">
        <f t="shared" si="839"/>
        <v>0</v>
      </c>
      <c r="BD739" s="325">
        <f t="shared" si="839"/>
        <v>0</v>
      </c>
      <c r="BE739" s="325">
        <f t="shared" si="839"/>
        <v>0</v>
      </c>
      <c r="BF739" s="325">
        <f t="shared" si="839"/>
        <v>0</v>
      </c>
      <c r="BG739" s="325">
        <f t="shared" si="839"/>
        <v>0</v>
      </c>
      <c r="BH739" s="325">
        <f t="shared" si="839"/>
        <v>0</v>
      </c>
      <c r="BI739" s="325">
        <f t="shared" si="839"/>
        <v>0</v>
      </c>
      <c r="BJ739" s="325">
        <f t="shared" si="839"/>
        <v>0</v>
      </c>
      <c r="BK739" s="325">
        <f t="shared" si="839"/>
        <v>0</v>
      </c>
      <c r="BL739" s="325">
        <f t="shared" si="839"/>
        <v>0</v>
      </c>
      <c r="BM739" s="325">
        <f t="shared" si="839"/>
        <v>0</v>
      </c>
      <c r="BN739" s="326">
        <f t="shared" si="839"/>
        <v>0</v>
      </c>
      <c r="BP739" s="536" t="s">
        <v>1226</v>
      </c>
      <c r="BQ739" s="1471" t="str">
        <f>CONCATENATE("GHG_",BP739,"a = GHG_",BP739,"a-1 + (E135 * ",CI739," * ",CK739," / (",CJ739,") / 1000000)")</f>
        <v>GHG_Heata = GHG_Heata-1 + (E135 * BUI_COL (307 + ((A135 - 1) * 8) * DISTRICT_HEATING_emission_factora (from row 5) / (J135-I135+1) / 1000000)</v>
      </c>
      <c r="BR739" s="1479"/>
      <c r="BS739" s="1479"/>
      <c r="BT739" s="1479"/>
      <c r="BU739" s="1479"/>
      <c r="BV739" s="1479"/>
      <c r="BW739" s="1479"/>
      <c r="BX739" s="1479"/>
      <c r="BY739" s="1479"/>
      <c r="BZ739" s="1479"/>
      <c r="CA739" s="1479"/>
      <c r="CB739" s="1479"/>
      <c r="CC739" s="1479"/>
      <c r="CD739" s="1479"/>
      <c r="CE739" s="1479"/>
      <c r="CF739" s="1479"/>
      <c r="CG739" s="1479"/>
      <c r="CH739" s="1472"/>
      <c r="CI739" s="917" t="s">
        <v>2605</v>
      </c>
      <c r="CJ739" s="536" t="s">
        <v>2606</v>
      </c>
      <c r="CK739" s="536" t="s">
        <v>2602</v>
      </c>
      <c r="CL739" s="919"/>
    </row>
    <row r="740" spans="32:90" ht="20.100000000000001" customHeight="1">
      <c r="AF740" s="332"/>
      <c r="AG740" s="308" t="s">
        <v>310</v>
      </c>
      <c r="AH740" s="309"/>
      <c r="AI740" s="363"/>
      <c r="AJ740" s="309"/>
      <c r="AK740" s="344">
        <v>0</v>
      </c>
      <c r="AL740" s="327">
        <f>SUM(AL732:AL739)</f>
        <v>0</v>
      </c>
      <c r="AM740" s="327">
        <f t="shared" ref="AM740:BN740" si="840">SUM(AM732:AM739)</f>
        <v>0</v>
      </c>
      <c r="AN740" s="327">
        <f t="shared" si="840"/>
        <v>0</v>
      </c>
      <c r="AO740" s="327">
        <f t="shared" si="840"/>
        <v>0</v>
      </c>
      <c r="AP740" s="327">
        <f t="shared" si="840"/>
        <v>0</v>
      </c>
      <c r="AQ740" s="327">
        <f t="shared" si="840"/>
        <v>0</v>
      </c>
      <c r="AR740" s="327">
        <f t="shared" si="840"/>
        <v>0</v>
      </c>
      <c r="AS740" s="327">
        <f t="shared" si="840"/>
        <v>0</v>
      </c>
      <c r="AT740" s="327">
        <f t="shared" si="840"/>
        <v>0</v>
      </c>
      <c r="AU740" s="327">
        <f t="shared" si="840"/>
        <v>0</v>
      </c>
      <c r="AV740" s="327">
        <f t="shared" si="840"/>
        <v>0</v>
      </c>
      <c r="AW740" s="327">
        <f t="shared" si="840"/>
        <v>0</v>
      </c>
      <c r="AX740" s="327">
        <f t="shared" si="840"/>
        <v>0</v>
      </c>
      <c r="AY740" s="327">
        <f t="shared" si="840"/>
        <v>0</v>
      </c>
      <c r="AZ740" s="327">
        <f t="shared" si="840"/>
        <v>0</v>
      </c>
      <c r="BA740" s="327">
        <f t="shared" si="840"/>
        <v>0</v>
      </c>
      <c r="BB740" s="327">
        <f t="shared" si="840"/>
        <v>0</v>
      </c>
      <c r="BC740" s="327">
        <f t="shared" si="840"/>
        <v>0</v>
      </c>
      <c r="BD740" s="327">
        <f t="shared" si="840"/>
        <v>0</v>
      </c>
      <c r="BE740" s="327">
        <f t="shared" si="840"/>
        <v>0</v>
      </c>
      <c r="BF740" s="327">
        <f t="shared" si="840"/>
        <v>0</v>
      </c>
      <c r="BG740" s="327">
        <f t="shared" si="840"/>
        <v>0</v>
      </c>
      <c r="BH740" s="327">
        <f t="shared" si="840"/>
        <v>0</v>
      </c>
      <c r="BI740" s="327">
        <f t="shared" si="840"/>
        <v>0</v>
      </c>
      <c r="BJ740" s="327">
        <f t="shared" si="840"/>
        <v>0</v>
      </c>
      <c r="BK740" s="327">
        <f t="shared" si="840"/>
        <v>0</v>
      </c>
      <c r="BL740" s="327">
        <f t="shared" si="840"/>
        <v>0</v>
      </c>
      <c r="BM740" s="327">
        <f t="shared" si="840"/>
        <v>0</v>
      </c>
      <c r="BN740" s="327">
        <f t="shared" si="840"/>
        <v>0</v>
      </c>
    </row>
    <row r="741" spans="32:90" ht="20.100000000000001" customHeight="1">
      <c r="AI741" s="364"/>
    </row>
    <row r="742" spans="32:90" ht="20.100000000000001" customHeight="1" thickBot="1">
      <c r="AF742" s="333" t="s">
        <v>1514</v>
      </c>
      <c r="AG742" s="333"/>
      <c r="AH742" s="334" t="s">
        <v>977</v>
      </c>
      <c r="AI742" s="1477" t="s">
        <v>2548</v>
      </c>
      <c r="AJ742" s="1478"/>
      <c r="AK742" s="346">
        <v>2021</v>
      </c>
      <c r="AL742" s="284">
        <v>2022</v>
      </c>
      <c r="AM742" s="284">
        <v>2023</v>
      </c>
      <c r="AN742" s="284">
        <v>2024</v>
      </c>
      <c r="AO742" s="284">
        <v>2025</v>
      </c>
      <c r="AP742" s="284">
        <v>2026</v>
      </c>
      <c r="AQ742" s="284">
        <v>2027</v>
      </c>
      <c r="AR742" s="284">
        <v>2028</v>
      </c>
      <c r="AS742" s="284">
        <v>2029</v>
      </c>
      <c r="AT742" s="284">
        <v>2030</v>
      </c>
      <c r="AU742" s="284">
        <v>2031</v>
      </c>
      <c r="AV742" s="284">
        <v>2032</v>
      </c>
      <c r="AW742" s="284">
        <v>2033</v>
      </c>
      <c r="AX742" s="284">
        <v>2034</v>
      </c>
      <c r="AY742" s="284">
        <v>2035</v>
      </c>
      <c r="AZ742" s="284">
        <v>2036</v>
      </c>
      <c r="BA742" s="284">
        <v>2037</v>
      </c>
      <c r="BB742" s="284">
        <v>2038</v>
      </c>
      <c r="BC742" s="284">
        <v>2039</v>
      </c>
      <c r="BD742" s="284">
        <v>2040</v>
      </c>
      <c r="BE742" s="284">
        <v>2041</v>
      </c>
      <c r="BF742" s="284">
        <v>2042</v>
      </c>
      <c r="BG742" s="284">
        <v>2043</v>
      </c>
      <c r="BH742" s="284">
        <v>2044</v>
      </c>
      <c r="BI742" s="284">
        <v>2045</v>
      </c>
      <c r="BJ742" s="284">
        <v>2046</v>
      </c>
      <c r="BK742" s="284">
        <v>2047</v>
      </c>
      <c r="BL742" s="284">
        <v>2048</v>
      </c>
      <c r="BM742" s="284">
        <v>2049</v>
      </c>
      <c r="BN742" s="284">
        <v>2050</v>
      </c>
      <c r="BQ742" s="222" t="s">
        <v>2621</v>
      </c>
      <c r="BR742" s="417"/>
      <c r="BS742" s="417"/>
      <c r="BT742" s="417"/>
      <c r="BU742" s="417"/>
      <c r="BV742" s="417"/>
      <c r="BW742" s="417"/>
      <c r="BX742" s="417"/>
      <c r="BY742" s="417"/>
      <c r="BZ742" s="417"/>
      <c r="CA742" s="417"/>
      <c r="CB742" s="417"/>
      <c r="CC742" s="417"/>
      <c r="CD742" s="417"/>
      <c r="CE742" s="417"/>
      <c r="CF742" s="417"/>
      <c r="CG742" s="417"/>
      <c r="CH742" s="417"/>
      <c r="CI742" s="944" t="s">
        <v>1767</v>
      </c>
      <c r="CJ742" s="279" t="s">
        <v>2552</v>
      </c>
      <c r="CK742" s="945" t="s">
        <v>1598</v>
      </c>
    </row>
    <row r="743" spans="32:90" ht="20.100000000000001" customHeight="1">
      <c r="AF743" s="237" t="str">
        <f>CONCATENATE("conversion from ",INDEX('MENU OPTIONS'!$B$27:$B$36,$A$137,1))</f>
        <v>conversion from Apartment</v>
      </c>
      <c r="AG743" s="286" t="s">
        <v>933</v>
      </c>
      <c r="AH743" s="286" t="s">
        <v>1496</v>
      </c>
      <c r="AI743" s="941">
        <f>INDEX('DEFAULT DATA'!$AFS$9:$AIT$41,START!$C$3,(1+(($A$137-1)*8)))/IF($A$137&lt;5,INDEX('DEFAULT DATA'!$WT$9:$WW$41,START!$C$3,$A$137),1)</f>
        <v>75.341615424859171</v>
      </c>
      <c r="AJ743" s="330"/>
      <c r="AK743" s="343">
        <v>0</v>
      </c>
      <c r="AL743" s="322">
        <f t="shared" ref="AL743:BN743" si="841">IF(AND(AL$742&gt;($I$137+2020),AL$742&lt;($J$137+2022)),AK743+(AL$5*$E$137*$AI$743/($J$137-$I$137+1)/1000000),AK743)</f>
        <v>0</v>
      </c>
      <c r="AM743" s="322">
        <f t="shared" si="841"/>
        <v>0</v>
      </c>
      <c r="AN743" s="322">
        <f t="shared" si="841"/>
        <v>0</v>
      </c>
      <c r="AO743" s="322">
        <f t="shared" si="841"/>
        <v>0</v>
      </c>
      <c r="AP743" s="322">
        <f t="shared" si="841"/>
        <v>0</v>
      </c>
      <c r="AQ743" s="322">
        <f t="shared" si="841"/>
        <v>0</v>
      </c>
      <c r="AR743" s="322">
        <f t="shared" si="841"/>
        <v>0</v>
      </c>
      <c r="AS743" s="322">
        <f t="shared" si="841"/>
        <v>0</v>
      </c>
      <c r="AT743" s="322">
        <f t="shared" si="841"/>
        <v>0</v>
      </c>
      <c r="AU743" s="322">
        <f t="shared" si="841"/>
        <v>0</v>
      </c>
      <c r="AV743" s="322">
        <f t="shared" si="841"/>
        <v>0</v>
      </c>
      <c r="AW743" s="322">
        <f t="shared" si="841"/>
        <v>0</v>
      </c>
      <c r="AX743" s="322">
        <f t="shared" si="841"/>
        <v>0</v>
      </c>
      <c r="AY743" s="322">
        <f t="shared" si="841"/>
        <v>0</v>
      </c>
      <c r="AZ743" s="322">
        <f t="shared" si="841"/>
        <v>0</v>
      </c>
      <c r="BA743" s="322">
        <f t="shared" si="841"/>
        <v>0</v>
      </c>
      <c r="BB743" s="322">
        <f t="shared" si="841"/>
        <v>0</v>
      </c>
      <c r="BC743" s="322">
        <f t="shared" si="841"/>
        <v>0</v>
      </c>
      <c r="BD743" s="322">
        <f t="shared" si="841"/>
        <v>0</v>
      </c>
      <c r="BE743" s="322">
        <f t="shared" si="841"/>
        <v>0</v>
      </c>
      <c r="BF743" s="322">
        <f t="shared" si="841"/>
        <v>0</v>
      </c>
      <c r="BG743" s="322">
        <f t="shared" si="841"/>
        <v>0</v>
      </c>
      <c r="BH743" s="322">
        <f t="shared" si="841"/>
        <v>0</v>
      </c>
      <c r="BI743" s="322">
        <f t="shared" si="841"/>
        <v>0</v>
      </c>
      <c r="BJ743" s="322">
        <f t="shared" si="841"/>
        <v>0</v>
      </c>
      <c r="BK743" s="322">
        <f t="shared" si="841"/>
        <v>0</v>
      </c>
      <c r="BL743" s="322">
        <f t="shared" si="841"/>
        <v>0</v>
      </c>
      <c r="BM743" s="322">
        <f t="shared" si="841"/>
        <v>0</v>
      </c>
      <c r="BN743" s="323">
        <f t="shared" si="841"/>
        <v>0</v>
      </c>
      <c r="BP743" s="536" t="s">
        <v>933</v>
      </c>
      <c r="BQ743" s="1471" t="str">
        <f>CONCATENATE("GHG_",BP743,"a = GHG_",BP743,"a-1 + (E136 * ",CI743," * ",CK743," / (",CJ743,") / 1000000)")</f>
        <v>GHG_Electricitya = GHG_Electricitya-1 + (E136 * BUI_COL (307 + ((A136 - 1) * 8) * GRID_ELECTRICITY_emission_factora (from row4) / (J136-I136+1) / 1000000)</v>
      </c>
      <c r="BR743" s="1479"/>
      <c r="BS743" s="1479"/>
      <c r="BT743" s="1479"/>
      <c r="BU743" s="1479"/>
      <c r="BV743" s="1479"/>
      <c r="BW743" s="1479"/>
      <c r="BX743" s="1479"/>
      <c r="BY743" s="1479"/>
      <c r="BZ743" s="1479"/>
      <c r="CA743" s="1479"/>
      <c r="CB743" s="1479"/>
      <c r="CC743" s="1479"/>
      <c r="CD743" s="1479"/>
      <c r="CE743" s="1479"/>
      <c r="CF743" s="1479"/>
      <c r="CG743" s="1479"/>
      <c r="CH743" s="1472"/>
      <c r="CI743" s="917" t="s">
        <v>2607</v>
      </c>
      <c r="CJ743" s="536" t="s">
        <v>2608</v>
      </c>
      <c r="CK743" s="536" t="s">
        <v>2601</v>
      </c>
      <c r="CL743" s="919"/>
    </row>
    <row r="744" spans="32:90" ht="20.100000000000001" customHeight="1">
      <c r="AF744" s="355"/>
      <c r="AG744" s="251" t="s">
        <v>1220</v>
      </c>
      <c r="AH744" s="251">
        <f>INDEX('DEFAULT DATA'!$VE$9:$VK$41,START!$C$3,1)</f>
        <v>202</v>
      </c>
      <c r="AI744" s="660">
        <f>INDEX('DEFAULT DATA'!$AFS$9:$AIT$41,START!$C$3,(2+(($A$137-1)*8)))/IF($A$137&lt;5,INDEX('DEFAULT DATA'!$WT$9:$WW$41,START!$C$3,$A$137),1)</f>
        <v>2.0928226506905325</v>
      </c>
      <c r="AJ744" s="262"/>
      <c r="AK744" s="345">
        <v>0</v>
      </c>
      <c r="AL744" s="272">
        <f t="shared" ref="AL744:BN744" si="842">IF(AND(AL$742&gt;($I$137+2020),AL$742&lt;($J$137+2022)),AK744+($AH$744*$E$137*$AI$744/($J$137-$I$137+1)/1000000),AK744)</f>
        <v>0</v>
      </c>
      <c r="AM744" s="272">
        <f t="shared" si="842"/>
        <v>0</v>
      </c>
      <c r="AN744" s="272">
        <f t="shared" si="842"/>
        <v>0</v>
      </c>
      <c r="AO744" s="272">
        <f t="shared" si="842"/>
        <v>0</v>
      </c>
      <c r="AP744" s="272">
        <f t="shared" si="842"/>
        <v>0</v>
      </c>
      <c r="AQ744" s="272">
        <f t="shared" si="842"/>
        <v>0</v>
      </c>
      <c r="AR744" s="272">
        <f t="shared" si="842"/>
        <v>0</v>
      </c>
      <c r="AS744" s="272">
        <f t="shared" si="842"/>
        <v>0</v>
      </c>
      <c r="AT744" s="272">
        <f t="shared" si="842"/>
        <v>0</v>
      </c>
      <c r="AU744" s="272">
        <f t="shared" si="842"/>
        <v>0</v>
      </c>
      <c r="AV744" s="272">
        <f t="shared" si="842"/>
        <v>0</v>
      </c>
      <c r="AW744" s="272">
        <f t="shared" si="842"/>
        <v>0</v>
      </c>
      <c r="AX744" s="272">
        <f t="shared" si="842"/>
        <v>0</v>
      </c>
      <c r="AY744" s="272">
        <f t="shared" si="842"/>
        <v>0</v>
      </c>
      <c r="AZ744" s="272">
        <f t="shared" si="842"/>
        <v>0</v>
      </c>
      <c r="BA744" s="272">
        <f t="shared" si="842"/>
        <v>0</v>
      </c>
      <c r="BB744" s="272">
        <f t="shared" si="842"/>
        <v>0</v>
      </c>
      <c r="BC744" s="272">
        <f t="shared" si="842"/>
        <v>0</v>
      </c>
      <c r="BD744" s="272">
        <f t="shared" si="842"/>
        <v>0</v>
      </c>
      <c r="BE744" s="272">
        <f t="shared" si="842"/>
        <v>0</v>
      </c>
      <c r="BF744" s="272">
        <f t="shared" si="842"/>
        <v>0</v>
      </c>
      <c r="BG744" s="272">
        <f t="shared" si="842"/>
        <v>0</v>
      </c>
      <c r="BH744" s="272">
        <f t="shared" si="842"/>
        <v>0</v>
      </c>
      <c r="BI744" s="272">
        <f t="shared" si="842"/>
        <v>0</v>
      </c>
      <c r="BJ744" s="272">
        <f t="shared" si="842"/>
        <v>0</v>
      </c>
      <c r="BK744" s="272">
        <f t="shared" si="842"/>
        <v>0</v>
      </c>
      <c r="BL744" s="272">
        <f t="shared" si="842"/>
        <v>0</v>
      </c>
      <c r="BM744" s="272">
        <f t="shared" si="842"/>
        <v>0</v>
      </c>
      <c r="BN744" s="324">
        <f t="shared" si="842"/>
        <v>0</v>
      </c>
      <c r="BP744" s="536" t="s">
        <v>1220</v>
      </c>
      <c r="BQ744" s="1471" t="str">
        <f t="shared" ref="BQ744:BQ749" si="843">CONCATENATE("GHG_",BP744,"a = GHG_",BP744,"a-1 + (E136 * ",CI744," * ",CK744," / (",CJ744,") / 1000000)")</f>
        <v>GHG_Gasa = GHG_Gasa-1 + (E136 * BUI_COL (307 + ((A136 - 1) * 8) * BUI_COL1 / (J136-I136+1) / 1000000)</v>
      </c>
      <c r="BR744" s="1479"/>
      <c r="BS744" s="1479"/>
      <c r="BT744" s="1479"/>
      <c r="BU744" s="1479"/>
      <c r="BV744" s="1479"/>
      <c r="BW744" s="1479"/>
      <c r="BX744" s="1479"/>
      <c r="BY744" s="1479"/>
      <c r="BZ744" s="1479"/>
      <c r="CA744" s="1479"/>
      <c r="CB744" s="1479"/>
      <c r="CC744" s="1479"/>
      <c r="CD744" s="1479"/>
      <c r="CE744" s="1479"/>
      <c r="CF744" s="1479"/>
      <c r="CG744" s="1479"/>
      <c r="CH744" s="1472"/>
      <c r="CI744" s="917" t="s">
        <v>2607</v>
      </c>
      <c r="CJ744" s="536" t="s">
        <v>2608</v>
      </c>
      <c r="CK744" s="536" t="s">
        <v>1248</v>
      </c>
      <c r="CL744" s="919"/>
    </row>
    <row r="745" spans="32:90" ht="20.100000000000001" customHeight="1">
      <c r="AF745" s="40"/>
      <c r="AG745" s="251" t="s">
        <v>1221</v>
      </c>
      <c r="AH745" s="251">
        <f>INDEX('DEFAULT DATA'!$VE$9:$VK$41,START!$C$3,2)</f>
        <v>279</v>
      </c>
      <c r="AI745" s="660">
        <f>INDEX('DEFAULT DATA'!$AFS$9:$AIT$41,START!$C$3,(3+(($A$137-1)*8)))/IF($A$137&lt;5,INDEX('DEFAULT DATA'!$WT$9:$WW$41,START!$C$3,$A$137),1)</f>
        <v>16.74258120552426</v>
      </c>
      <c r="AJ745" s="262"/>
      <c r="AK745" s="345">
        <v>0</v>
      </c>
      <c r="AL745" s="272">
        <f t="shared" ref="AL745:BN745" si="844">IF(AND(AL$742&gt;($I$137+2020),AL$742&lt;($J$137+2022)),AK745+($AH$745*$E$137*$AI$745/($J$137-$I$137+1)/1000000),AK745)</f>
        <v>0</v>
      </c>
      <c r="AM745" s="272">
        <f t="shared" si="844"/>
        <v>0</v>
      </c>
      <c r="AN745" s="272">
        <f t="shared" si="844"/>
        <v>0</v>
      </c>
      <c r="AO745" s="272">
        <f t="shared" si="844"/>
        <v>0</v>
      </c>
      <c r="AP745" s="272">
        <f t="shared" si="844"/>
        <v>0</v>
      </c>
      <c r="AQ745" s="272">
        <f t="shared" si="844"/>
        <v>0</v>
      </c>
      <c r="AR745" s="272">
        <f t="shared" si="844"/>
        <v>0</v>
      </c>
      <c r="AS745" s="272">
        <f t="shared" si="844"/>
        <v>0</v>
      </c>
      <c r="AT745" s="272">
        <f t="shared" si="844"/>
        <v>0</v>
      </c>
      <c r="AU745" s="272">
        <f t="shared" si="844"/>
        <v>0</v>
      </c>
      <c r="AV745" s="272">
        <f t="shared" si="844"/>
        <v>0</v>
      </c>
      <c r="AW745" s="272">
        <f t="shared" si="844"/>
        <v>0</v>
      </c>
      <c r="AX745" s="272">
        <f t="shared" si="844"/>
        <v>0</v>
      </c>
      <c r="AY745" s="272">
        <f t="shared" si="844"/>
        <v>0</v>
      </c>
      <c r="AZ745" s="272">
        <f t="shared" si="844"/>
        <v>0</v>
      </c>
      <c r="BA745" s="272">
        <f t="shared" si="844"/>
        <v>0</v>
      </c>
      <c r="BB745" s="272">
        <f t="shared" si="844"/>
        <v>0</v>
      </c>
      <c r="BC745" s="272">
        <f t="shared" si="844"/>
        <v>0</v>
      </c>
      <c r="BD745" s="272">
        <f t="shared" si="844"/>
        <v>0</v>
      </c>
      <c r="BE745" s="272">
        <f t="shared" si="844"/>
        <v>0</v>
      </c>
      <c r="BF745" s="272">
        <f t="shared" si="844"/>
        <v>0</v>
      </c>
      <c r="BG745" s="272">
        <f t="shared" si="844"/>
        <v>0</v>
      </c>
      <c r="BH745" s="272">
        <f t="shared" si="844"/>
        <v>0</v>
      </c>
      <c r="BI745" s="272">
        <f t="shared" si="844"/>
        <v>0</v>
      </c>
      <c r="BJ745" s="272">
        <f t="shared" si="844"/>
        <v>0</v>
      </c>
      <c r="BK745" s="272">
        <f t="shared" si="844"/>
        <v>0</v>
      </c>
      <c r="BL745" s="272">
        <f t="shared" si="844"/>
        <v>0</v>
      </c>
      <c r="BM745" s="272">
        <f t="shared" si="844"/>
        <v>0</v>
      </c>
      <c r="BN745" s="324">
        <f t="shared" si="844"/>
        <v>0</v>
      </c>
      <c r="BP745" s="536" t="s">
        <v>1221</v>
      </c>
      <c r="BQ745" s="1471" t="str">
        <f t="shared" si="843"/>
        <v>GHG_Oila = GHG_Oila-1 + (E136 * BUI_COL (307 + ((A136 - 1) * 8) * BUI_COL2 / (J136-I136+1) / 1000000)</v>
      </c>
      <c r="BR745" s="1479"/>
      <c r="BS745" s="1479"/>
      <c r="BT745" s="1479"/>
      <c r="BU745" s="1479"/>
      <c r="BV745" s="1479"/>
      <c r="BW745" s="1479"/>
      <c r="BX745" s="1479"/>
      <c r="BY745" s="1479"/>
      <c r="BZ745" s="1479"/>
      <c r="CA745" s="1479"/>
      <c r="CB745" s="1479"/>
      <c r="CC745" s="1479"/>
      <c r="CD745" s="1479"/>
      <c r="CE745" s="1479"/>
      <c r="CF745" s="1479"/>
      <c r="CG745" s="1479"/>
      <c r="CH745" s="1472"/>
      <c r="CI745" s="917" t="s">
        <v>2607</v>
      </c>
      <c r="CJ745" s="536" t="s">
        <v>2608</v>
      </c>
      <c r="CK745" s="536" t="s">
        <v>1621</v>
      </c>
      <c r="CL745" s="919"/>
    </row>
    <row r="746" spans="32:90" ht="20.100000000000001" customHeight="1">
      <c r="AF746" s="40"/>
      <c r="AG746" s="251" t="s">
        <v>1222</v>
      </c>
      <c r="AH746" s="251">
        <f>INDEX('DEFAULT DATA'!$VE$9:$VK$41,START!$C$3,3)</f>
        <v>354</v>
      </c>
      <c r="AI746" s="660">
        <f>INDEX('DEFAULT DATA'!$AFS$9:$AIT$41,START!$C$3,(4+(($A$137-1)*8)))/IF($A$137&lt;5,INDEX('DEFAULT DATA'!$WT$9:$WW$41,START!$C$3,$A$137),1)</f>
        <v>0</v>
      </c>
      <c r="AJ746" s="262"/>
      <c r="AK746" s="345">
        <v>0</v>
      </c>
      <c r="AL746" s="272">
        <f t="shared" ref="AL746:BN746" si="845">IF(AND(AL$742&gt;($I$137+2020),AL$742&lt;($J$137+2022)),AK746+($AH$746*$E$137*$AI$746/($J$137-$I$137+1)/1000000),AK746)</f>
        <v>0</v>
      </c>
      <c r="AM746" s="272">
        <f t="shared" si="845"/>
        <v>0</v>
      </c>
      <c r="AN746" s="272">
        <f t="shared" si="845"/>
        <v>0</v>
      </c>
      <c r="AO746" s="272">
        <f t="shared" si="845"/>
        <v>0</v>
      </c>
      <c r="AP746" s="272">
        <f t="shared" si="845"/>
        <v>0</v>
      </c>
      <c r="AQ746" s="272">
        <f t="shared" si="845"/>
        <v>0</v>
      </c>
      <c r="AR746" s="272">
        <f t="shared" si="845"/>
        <v>0</v>
      </c>
      <c r="AS746" s="272">
        <f t="shared" si="845"/>
        <v>0</v>
      </c>
      <c r="AT746" s="272">
        <f t="shared" si="845"/>
        <v>0</v>
      </c>
      <c r="AU746" s="272">
        <f t="shared" si="845"/>
        <v>0</v>
      </c>
      <c r="AV746" s="272">
        <f t="shared" si="845"/>
        <v>0</v>
      </c>
      <c r="AW746" s="272">
        <f t="shared" si="845"/>
        <v>0</v>
      </c>
      <c r="AX746" s="272">
        <f t="shared" si="845"/>
        <v>0</v>
      </c>
      <c r="AY746" s="272">
        <f t="shared" si="845"/>
        <v>0</v>
      </c>
      <c r="AZ746" s="272">
        <f t="shared" si="845"/>
        <v>0</v>
      </c>
      <c r="BA746" s="272">
        <f t="shared" si="845"/>
        <v>0</v>
      </c>
      <c r="BB746" s="272">
        <f t="shared" si="845"/>
        <v>0</v>
      </c>
      <c r="BC746" s="272">
        <f t="shared" si="845"/>
        <v>0</v>
      </c>
      <c r="BD746" s="272">
        <f t="shared" si="845"/>
        <v>0</v>
      </c>
      <c r="BE746" s="272">
        <f t="shared" si="845"/>
        <v>0</v>
      </c>
      <c r="BF746" s="272">
        <f t="shared" si="845"/>
        <v>0</v>
      </c>
      <c r="BG746" s="272">
        <f t="shared" si="845"/>
        <v>0</v>
      </c>
      <c r="BH746" s="272">
        <f t="shared" si="845"/>
        <v>0</v>
      </c>
      <c r="BI746" s="272">
        <f t="shared" si="845"/>
        <v>0</v>
      </c>
      <c r="BJ746" s="272">
        <f t="shared" si="845"/>
        <v>0</v>
      </c>
      <c r="BK746" s="272">
        <f t="shared" si="845"/>
        <v>0</v>
      </c>
      <c r="BL746" s="272">
        <f t="shared" si="845"/>
        <v>0</v>
      </c>
      <c r="BM746" s="272">
        <f t="shared" si="845"/>
        <v>0</v>
      </c>
      <c r="BN746" s="324">
        <f t="shared" si="845"/>
        <v>0</v>
      </c>
      <c r="BP746" s="536" t="s">
        <v>1222</v>
      </c>
      <c r="BQ746" s="1471" t="str">
        <f t="shared" si="843"/>
        <v>GHG_Coala = GHG_Coala-1 + (E136 * BUI_COL (307 + ((A136 - 1) * 8) * BUI_COL3 / (J136-I136+1) / 1000000)</v>
      </c>
      <c r="BR746" s="1479"/>
      <c r="BS746" s="1479"/>
      <c r="BT746" s="1479"/>
      <c r="BU746" s="1479"/>
      <c r="BV746" s="1479"/>
      <c r="BW746" s="1479"/>
      <c r="BX746" s="1479"/>
      <c r="BY746" s="1479"/>
      <c r="BZ746" s="1479"/>
      <c r="CA746" s="1479"/>
      <c r="CB746" s="1479"/>
      <c r="CC746" s="1479"/>
      <c r="CD746" s="1479"/>
      <c r="CE746" s="1479"/>
      <c r="CF746" s="1479"/>
      <c r="CG746" s="1479"/>
      <c r="CH746" s="1472"/>
      <c r="CI746" s="917" t="s">
        <v>2607</v>
      </c>
      <c r="CJ746" s="536" t="s">
        <v>2608</v>
      </c>
      <c r="CK746" s="536" t="s">
        <v>1622</v>
      </c>
      <c r="CL746" s="919"/>
    </row>
    <row r="747" spans="32:90" ht="20.100000000000001" customHeight="1">
      <c r="AF747" s="355"/>
      <c r="AG747" s="251" t="s">
        <v>1223</v>
      </c>
      <c r="AH747" s="251">
        <f>INDEX('DEFAULT DATA'!$VE$9:$VK$41,START!$C$3,4)</f>
        <v>0</v>
      </c>
      <c r="AI747" s="660">
        <f>INDEX('DEFAULT DATA'!$AFS$9:$AIT$41,START!$C$3,(5+(($A$137-1)*8)))/IF($A$137&lt;5,INDEX('DEFAULT DATA'!$WT$9:$WW$41,START!$C$3,$A$137),1)</f>
        <v>0</v>
      </c>
      <c r="AJ747" s="262"/>
      <c r="AK747" s="345">
        <v>0</v>
      </c>
      <c r="AL747" s="272">
        <f t="shared" ref="AL747:BN747" si="846">IF(AND(AL$742&gt;($I$137+2020),AL$742&lt;($J$137+2022)),AK747+($AH$747*$E$137*$AI$747/($J$137-$I$137+1)/1000000),AK747)</f>
        <v>0</v>
      </c>
      <c r="AM747" s="272">
        <f t="shared" si="846"/>
        <v>0</v>
      </c>
      <c r="AN747" s="272">
        <f t="shared" si="846"/>
        <v>0</v>
      </c>
      <c r="AO747" s="272">
        <f t="shared" si="846"/>
        <v>0</v>
      </c>
      <c r="AP747" s="272">
        <f t="shared" si="846"/>
        <v>0</v>
      </c>
      <c r="AQ747" s="272">
        <f t="shared" si="846"/>
        <v>0</v>
      </c>
      <c r="AR747" s="272">
        <f t="shared" si="846"/>
        <v>0</v>
      </c>
      <c r="AS747" s="272">
        <f t="shared" si="846"/>
        <v>0</v>
      </c>
      <c r="AT747" s="272">
        <f t="shared" si="846"/>
        <v>0</v>
      </c>
      <c r="AU747" s="272">
        <f t="shared" si="846"/>
        <v>0</v>
      </c>
      <c r="AV747" s="272">
        <f t="shared" si="846"/>
        <v>0</v>
      </c>
      <c r="AW747" s="272">
        <f t="shared" si="846"/>
        <v>0</v>
      </c>
      <c r="AX747" s="272">
        <f t="shared" si="846"/>
        <v>0</v>
      </c>
      <c r="AY747" s="272">
        <f t="shared" si="846"/>
        <v>0</v>
      </c>
      <c r="AZ747" s="272">
        <f t="shared" si="846"/>
        <v>0</v>
      </c>
      <c r="BA747" s="272">
        <f t="shared" si="846"/>
        <v>0</v>
      </c>
      <c r="BB747" s="272">
        <f t="shared" si="846"/>
        <v>0</v>
      </c>
      <c r="BC747" s="272">
        <f t="shared" si="846"/>
        <v>0</v>
      </c>
      <c r="BD747" s="272">
        <f t="shared" si="846"/>
        <v>0</v>
      </c>
      <c r="BE747" s="272">
        <f t="shared" si="846"/>
        <v>0</v>
      </c>
      <c r="BF747" s="272">
        <f t="shared" si="846"/>
        <v>0</v>
      </c>
      <c r="BG747" s="272">
        <f t="shared" si="846"/>
        <v>0</v>
      </c>
      <c r="BH747" s="272">
        <f t="shared" si="846"/>
        <v>0</v>
      </c>
      <c r="BI747" s="272">
        <f t="shared" si="846"/>
        <v>0</v>
      </c>
      <c r="BJ747" s="272">
        <f t="shared" si="846"/>
        <v>0</v>
      </c>
      <c r="BK747" s="272">
        <f t="shared" si="846"/>
        <v>0</v>
      </c>
      <c r="BL747" s="272">
        <f t="shared" si="846"/>
        <v>0</v>
      </c>
      <c r="BM747" s="272">
        <f t="shared" si="846"/>
        <v>0</v>
      </c>
      <c r="BN747" s="324">
        <f t="shared" si="846"/>
        <v>0</v>
      </c>
      <c r="BP747" s="536" t="s">
        <v>1223</v>
      </c>
      <c r="BQ747" s="1471" t="str">
        <f t="shared" si="843"/>
        <v>GHG_Peata = GHG_Peata-1 + (E136 * BUI_COL (307 + ((A136 - 1) * 8) * BUI_COL4 / (J136-I136+1) / 1000000)</v>
      </c>
      <c r="BR747" s="1479"/>
      <c r="BS747" s="1479"/>
      <c r="BT747" s="1479"/>
      <c r="BU747" s="1479"/>
      <c r="BV747" s="1479"/>
      <c r="BW747" s="1479"/>
      <c r="BX747" s="1479"/>
      <c r="BY747" s="1479"/>
      <c r="BZ747" s="1479"/>
      <c r="CA747" s="1479"/>
      <c r="CB747" s="1479"/>
      <c r="CC747" s="1479"/>
      <c r="CD747" s="1479"/>
      <c r="CE747" s="1479"/>
      <c r="CF747" s="1479"/>
      <c r="CG747" s="1479"/>
      <c r="CH747" s="1472"/>
      <c r="CI747" s="917" t="s">
        <v>2607</v>
      </c>
      <c r="CJ747" s="536" t="s">
        <v>2608</v>
      </c>
      <c r="CK747" s="536" t="s">
        <v>1623</v>
      </c>
      <c r="CL747" s="919"/>
    </row>
    <row r="748" spans="32:90" ht="20.100000000000001" customHeight="1">
      <c r="AF748" s="355"/>
      <c r="AG748" s="251" t="s">
        <v>1224</v>
      </c>
      <c r="AH748" s="251">
        <f>INDEX('DEFAULT DATA'!$VE$9:$VK$41,START!$C$3,5)</f>
        <v>403</v>
      </c>
      <c r="AI748" s="660">
        <f>INDEX('DEFAULT DATA'!$AFS$9:$AIT$41,START!$C$3,(6+(($A$137-1)*8)))/IF($A$137&lt;5,INDEX('DEFAULT DATA'!$WT$9:$WW$41,START!$C$3,$A$137),1)</f>
        <v>0</v>
      </c>
      <c r="AJ748" s="262"/>
      <c r="AK748" s="345">
        <v>0</v>
      </c>
      <c r="AL748" s="272">
        <f t="shared" ref="AL748:BN748" si="847">IF(AND(AL$742&gt;($I$137+2020),AL$742&lt;($J$137+2022)),AK748+($AH$748*$E$137*$AI$748/($J$137-$I$137+1)/1000000),AK748)</f>
        <v>0</v>
      </c>
      <c r="AM748" s="272">
        <f t="shared" si="847"/>
        <v>0</v>
      </c>
      <c r="AN748" s="272">
        <f t="shared" si="847"/>
        <v>0</v>
      </c>
      <c r="AO748" s="272">
        <f t="shared" si="847"/>
        <v>0</v>
      </c>
      <c r="AP748" s="272">
        <f t="shared" si="847"/>
        <v>0</v>
      </c>
      <c r="AQ748" s="272">
        <f t="shared" si="847"/>
        <v>0</v>
      </c>
      <c r="AR748" s="272">
        <f t="shared" si="847"/>
        <v>0</v>
      </c>
      <c r="AS748" s="272">
        <f t="shared" si="847"/>
        <v>0</v>
      </c>
      <c r="AT748" s="272">
        <f t="shared" si="847"/>
        <v>0</v>
      </c>
      <c r="AU748" s="272">
        <f t="shared" si="847"/>
        <v>0</v>
      </c>
      <c r="AV748" s="272">
        <f t="shared" si="847"/>
        <v>0</v>
      </c>
      <c r="AW748" s="272">
        <f t="shared" si="847"/>
        <v>0</v>
      </c>
      <c r="AX748" s="272">
        <f t="shared" si="847"/>
        <v>0</v>
      </c>
      <c r="AY748" s="272">
        <f t="shared" si="847"/>
        <v>0</v>
      </c>
      <c r="AZ748" s="272">
        <f t="shared" si="847"/>
        <v>0</v>
      </c>
      <c r="BA748" s="272">
        <f t="shared" si="847"/>
        <v>0</v>
      </c>
      <c r="BB748" s="272">
        <f t="shared" si="847"/>
        <v>0</v>
      </c>
      <c r="BC748" s="272">
        <f t="shared" si="847"/>
        <v>0</v>
      </c>
      <c r="BD748" s="272">
        <f t="shared" si="847"/>
        <v>0</v>
      </c>
      <c r="BE748" s="272">
        <f t="shared" si="847"/>
        <v>0</v>
      </c>
      <c r="BF748" s="272">
        <f t="shared" si="847"/>
        <v>0</v>
      </c>
      <c r="BG748" s="272">
        <f t="shared" si="847"/>
        <v>0</v>
      </c>
      <c r="BH748" s="272">
        <f t="shared" si="847"/>
        <v>0</v>
      </c>
      <c r="BI748" s="272">
        <f t="shared" si="847"/>
        <v>0</v>
      </c>
      <c r="BJ748" s="272">
        <f t="shared" si="847"/>
        <v>0</v>
      </c>
      <c r="BK748" s="272">
        <f t="shared" si="847"/>
        <v>0</v>
      </c>
      <c r="BL748" s="272">
        <f t="shared" si="847"/>
        <v>0</v>
      </c>
      <c r="BM748" s="272">
        <f t="shared" si="847"/>
        <v>0</v>
      </c>
      <c r="BN748" s="324">
        <f t="shared" si="847"/>
        <v>0</v>
      </c>
      <c r="BP748" s="536" t="s">
        <v>1224</v>
      </c>
      <c r="BQ748" s="1471" t="str">
        <f t="shared" si="843"/>
        <v>GHG_Wooda = GHG_Wooda-1 + (E136 * BUI_COL (307 + ((A136 - 1) * 8) * BUI_COL5 / (J136-I136+1) / 1000000)</v>
      </c>
      <c r="BR748" s="1479"/>
      <c r="BS748" s="1479"/>
      <c r="BT748" s="1479"/>
      <c r="BU748" s="1479"/>
      <c r="BV748" s="1479"/>
      <c r="BW748" s="1479"/>
      <c r="BX748" s="1479"/>
      <c r="BY748" s="1479"/>
      <c r="BZ748" s="1479"/>
      <c r="CA748" s="1479"/>
      <c r="CB748" s="1479"/>
      <c r="CC748" s="1479"/>
      <c r="CD748" s="1479"/>
      <c r="CE748" s="1479"/>
      <c r="CF748" s="1479"/>
      <c r="CG748" s="1479"/>
      <c r="CH748" s="1472"/>
      <c r="CI748" s="917" t="s">
        <v>2607</v>
      </c>
      <c r="CJ748" s="536" t="s">
        <v>2608</v>
      </c>
      <c r="CK748" s="536" t="s">
        <v>1624</v>
      </c>
      <c r="CL748" s="919"/>
    </row>
    <row r="749" spans="32:90" ht="20.100000000000001" customHeight="1">
      <c r="AF749" s="355"/>
      <c r="AG749" s="251" t="s">
        <v>1225</v>
      </c>
      <c r="AH749" s="251">
        <f>INDEX('DEFAULT DATA'!$VE$9:$VK$41,START!$C$3,6)</f>
        <v>0</v>
      </c>
      <c r="AI749" s="660">
        <f>INDEX('DEFAULT DATA'!$AFS$9:$AIT$41,START!$C$3,(7+(($A$137-1)*8)))/IF($A$137&lt;5,INDEX('DEFAULT DATA'!$WT$9:$WW$41,START!$C$3,$A$137),1)</f>
        <v>52.32056626726331</v>
      </c>
      <c r="AJ749" s="262"/>
      <c r="AK749" s="345">
        <v>0</v>
      </c>
      <c r="AL749" s="272">
        <f t="shared" ref="AL749:BN749" si="848">IF(AND(AL$742&gt;($I$137+2020),AL$742&lt;($J$137+2022)),AK749+($AH$749*$E$137*$AI$749/($J$137-$I$137+1)/1000000),AK749)</f>
        <v>0</v>
      </c>
      <c r="AM749" s="272">
        <f t="shared" si="848"/>
        <v>0</v>
      </c>
      <c r="AN749" s="272">
        <f t="shared" si="848"/>
        <v>0</v>
      </c>
      <c r="AO749" s="272">
        <f t="shared" si="848"/>
        <v>0</v>
      </c>
      <c r="AP749" s="272">
        <f t="shared" si="848"/>
        <v>0</v>
      </c>
      <c r="AQ749" s="272">
        <f t="shared" si="848"/>
        <v>0</v>
      </c>
      <c r="AR749" s="272">
        <f t="shared" si="848"/>
        <v>0</v>
      </c>
      <c r="AS749" s="272">
        <f t="shared" si="848"/>
        <v>0</v>
      </c>
      <c r="AT749" s="272">
        <f t="shared" si="848"/>
        <v>0</v>
      </c>
      <c r="AU749" s="272">
        <f t="shared" si="848"/>
        <v>0</v>
      </c>
      <c r="AV749" s="272">
        <f t="shared" si="848"/>
        <v>0</v>
      </c>
      <c r="AW749" s="272">
        <f t="shared" si="848"/>
        <v>0</v>
      </c>
      <c r="AX749" s="272">
        <f t="shared" si="848"/>
        <v>0</v>
      </c>
      <c r="AY749" s="272">
        <f t="shared" si="848"/>
        <v>0</v>
      </c>
      <c r="AZ749" s="272">
        <f t="shared" si="848"/>
        <v>0</v>
      </c>
      <c r="BA749" s="272">
        <f t="shared" si="848"/>
        <v>0</v>
      </c>
      <c r="BB749" s="272">
        <f t="shared" si="848"/>
        <v>0</v>
      </c>
      <c r="BC749" s="272">
        <f t="shared" si="848"/>
        <v>0</v>
      </c>
      <c r="BD749" s="272">
        <f t="shared" si="848"/>
        <v>0</v>
      </c>
      <c r="BE749" s="272">
        <f t="shared" si="848"/>
        <v>0</v>
      </c>
      <c r="BF749" s="272">
        <f t="shared" si="848"/>
        <v>0</v>
      </c>
      <c r="BG749" s="272">
        <f t="shared" si="848"/>
        <v>0</v>
      </c>
      <c r="BH749" s="272">
        <f t="shared" si="848"/>
        <v>0</v>
      </c>
      <c r="BI749" s="272">
        <f t="shared" si="848"/>
        <v>0</v>
      </c>
      <c r="BJ749" s="272">
        <f t="shared" si="848"/>
        <v>0</v>
      </c>
      <c r="BK749" s="272">
        <f t="shared" si="848"/>
        <v>0</v>
      </c>
      <c r="BL749" s="272">
        <f t="shared" si="848"/>
        <v>0</v>
      </c>
      <c r="BM749" s="272">
        <f t="shared" si="848"/>
        <v>0</v>
      </c>
      <c r="BN749" s="324">
        <f t="shared" si="848"/>
        <v>0</v>
      </c>
      <c r="BP749" s="536" t="s">
        <v>1225</v>
      </c>
      <c r="BQ749" s="1471" t="str">
        <f t="shared" si="843"/>
        <v>GHG_Renewablea = GHG_Renewablea-1 + (E136 * BUI_COL (307 + ((A136 - 1) * 8) * BUI_COL6 / (J136-I136+1) / 1000000)</v>
      </c>
      <c r="BR749" s="1479"/>
      <c r="BS749" s="1479"/>
      <c r="BT749" s="1479"/>
      <c r="BU749" s="1479"/>
      <c r="BV749" s="1479"/>
      <c r="BW749" s="1479"/>
      <c r="BX749" s="1479"/>
      <c r="BY749" s="1479"/>
      <c r="BZ749" s="1479"/>
      <c r="CA749" s="1479"/>
      <c r="CB749" s="1479"/>
      <c r="CC749" s="1479"/>
      <c r="CD749" s="1479"/>
      <c r="CE749" s="1479"/>
      <c r="CF749" s="1479"/>
      <c r="CG749" s="1479"/>
      <c r="CH749" s="1472"/>
      <c r="CI749" s="917" t="s">
        <v>2607</v>
      </c>
      <c r="CJ749" s="536" t="s">
        <v>2608</v>
      </c>
      <c r="CK749" s="536" t="s">
        <v>1625</v>
      </c>
      <c r="CL749" s="919"/>
    </row>
    <row r="750" spans="32:90" ht="20.100000000000001" customHeight="1" thickBot="1">
      <c r="AF750" s="356"/>
      <c r="AG750" s="310" t="s">
        <v>1226</v>
      </c>
      <c r="AH750" s="310" t="s">
        <v>1497</v>
      </c>
      <c r="AI750" s="786">
        <f>INDEX('DEFAULT DATA'!$AFS$9:$AIT$41,START!$C$3,(8+(($A$137-1)*8)))/IF($A$137&lt;5,INDEX('DEFAULT DATA'!$WT$9:$WW$41,START!$C$3,$A$137),1)</f>
        <v>62.784679520715976</v>
      </c>
      <c r="AJ750" s="335"/>
      <c r="AK750" s="348">
        <v>0</v>
      </c>
      <c r="AL750" s="325">
        <f t="shared" ref="AL750:BN750" si="849">IF(AND(AL$742&gt;($I$137+2020),AL$742&lt;($J$137+2022)),AK750+(AL$6*$E$137*$AI$750/($J$137-$I$137+1)/1000000),AK750)</f>
        <v>0</v>
      </c>
      <c r="AM750" s="325">
        <f t="shared" si="849"/>
        <v>0</v>
      </c>
      <c r="AN750" s="325">
        <f t="shared" si="849"/>
        <v>0</v>
      </c>
      <c r="AO750" s="325">
        <f t="shared" si="849"/>
        <v>0</v>
      </c>
      <c r="AP750" s="325">
        <f t="shared" si="849"/>
        <v>0</v>
      </c>
      <c r="AQ750" s="325">
        <f t="shared" si="849"/>
        <v>0</v>
      </c>
      <c r="AR750" s="325">
        <f t="shared" si="849"/>
        <v>0</v>
      </c>
      <c r="AS750" s="325">
        <f t="shared" si="849"/>
        <v>0</v>
      </c>
      <c r="AT750" s="325">
        <f t="shared" si="849"/>
        <v>0</v>
      </c>
      <c r="AU750" s="325">
        <f t="shared" si="849"/>
        <v>0</v>
      </c>
      <c r="AV750" s="325">
        <f t="shared" si="849"/>
        <v>0</v>
      </c>
      <c r="AW750" s="325">
        <f t="shared" si="849"/>
        <v>0</v>
      </c>
      <c r="AX750" s="325">
        <f t="shared" si="849"/>
        <v>0</v>
      </c>
      <c r="AY750" s="325">
        <f t="shared" si="849"/>
        <v>0</v>
      </c>
      <c r="AZ750" s="325">
        <f t="shared" si="849"/>
        <v>0</v>
      </c>
      <c r="BA750" s="325">
        <f t="shared" si="849"/>
        <v>0</v>
      </c>
      <c r="BB750" s="325">
        <f t="shared" si="849"/>
        <v>0</v>
      </c>
      <c r="BC750" s="325">
        <f t="shared" si="849"/>
        <v>0</v>
      </c>
      <c r="BD750" s="325">
        <f t="shared" si="849"/>
        <v>0</v>
      </c>
      <c r="BE750" s="325">
        <f t="shared" si="849"/>
        <v>0</v>
      </c>
      <c r="BF750" s="325">
        <f t="shared" si="849"/>
        <v>0</v>
      </c>
      <c r="BG750" s="325">
        <f t="shared" si="849"/>
        <v>0</v>
      </c>
      <c r="BH750" s="325">
        <f t="shared" si="849"/>
        <v>0</v>
      </c>
      <c r="BI750" s="325">
        <f t="shared" si="849"/>
        <v>0</v>
      </c>
      <c r="BJ750" s="325">
        <f t="shared" si="849"/>
        <v>0</v>
      </c>
      <c r="BK750" s="325">
        <f t="shared" si="849"/>
        <v>0</v>
      </c>
      <c r="BL750" s="325">
        <f t="shared" si="849"/>
        <v>0</v>
      </c>
      <c r="BM750" s="325">
        <f t="shared" si="849"/>
        <v>0</v>
      </c>
      <c r="BN750" s="326">
        <f t="shared" si="849"/>
        <v>0</v>
      </c>
      <c r="BP750" s="536" t="s">
        <v>1226</v>
      </c>
      <c r="BQ750" s="1471" t="str">
        <f>CONCATENATE("GHG_",BP750,"a = GHG_",BP750,"a-1 + (E136 * ",CI750," * ",CK750," / (",CJ750,") / 1000000)")</f>
        <v>GHG_Heata = GHG_Heata-1 + (E136 * BUI_COL (307 + ((A136 - 1) * 8) * DISTRICT_HEATING_emission_factora (from row 5) / (J136-I136+1) / 1000000)</v>
      </c>
      <c r="BR750" s="1479"/>
      <c r="BS750" s="1479"/>
      <c r="BT750" s="1479"/>
      <c r="BU750" s="1479"/>
      <c r="BV750" s="1479"/>
      <c r="BW750" s="1479"/>
      <c r="BX750" s="1479"/>
      <c r="BY750" s="1479"/>
      <c r="BZ750" s="1479"/>
      <c r="CA750" s="1479"/>
      <c r="CB750" s="1479"/>
      <c r="CC750" s="1479"/>
      <c r="CD750" s="1479"/>
      <c r="CE750" s="1479"/>
      <c r="CF750" s="1479"/>
      <c r="CG750" s="1479"/>
      <c r="CH750" s="1472"/>
      <c r="CI750" s="917" t="s">
        <v>2607</v>
      </c>
      <c r="CJ750" s="536" t="s">
        <v>2608</v>
      </c>
      <c r="CK750" s="536" t="s">
        <v>2602</v>
      </c>
      <c r="CL750" s="919"/>
    </row>
    <row r="751" spans="32:90" ht="20.100000000000001" customHeight="1">
      <c r="AF751" s="332"/>
      <c r="AG751" s="308" t="s">
        <v>310</v>
      </c>
      <c r="AH751" s="309"/>
      <c r="AI751" s="363"/>
      <c r="AJ751" s="309"/>
      <c r="AK751" s="344">
        <v>0</v>
      </c>
      <c r="AL751" s="327">
        <f>SUM(AL743:AL750)</f>
        <v>0</v>
      </c>
      <c r="AM751" s="327">
        <f t="shared" ref="AM751:BN751" si="850">SUM(AM743:AM750)</f>
        <v>0</v>
      </c>
      <c r="AN751" s="327">
        <f t="shared" si="850"/>
        <v>0</v>
      </c>
      <c r="AO751" s="327">
        <f t="shared" si="850"/>
        <v>0</v>
      </c>
      <c r="AP751" s="327">
        <f t="shared" si="850"/>
        <v>0</v>
      </c>
      <c r="AQ751" s="327">
        <f t="shared" si="850"/>
        <v>0</v>
      </c>
      <c r="AR751" s="327">
        <f t="shared" si="850"/>
        <v>0</v>
      </c>
      <c r="AS751" s="327">
        <f t="shared" si="850"/>
        <v>0</v>
      </c>
      <c r="AT751" s="327">
        <f t="shared" si="850"/>
        <v>0</v>
      </c>
      <c r="AU751" s="327">
        <f t="shared" si="850"/>
        <v>0</v>
      </c>
      <c r="AV751" s="327">
        <f t="shared" si="850"/>
        <v>0</v>
      </c>
      <c r="AW751" s="327">
        <f t="shared" si="850"/>
        <v>0</v>
      </c>
      <c r="AX751" s="327">
        <f t="shared" si="850"/>
        <v>0</v>
      </c>
      <c r="AY751" s="327">
        <f t="shared" si="850"/>
        <v>0</v>
      </c>
      <c r="AZ751" s="327">
        <f t="shared" si="850"/>
        <v>0</v>
      </c>
      <c r="BA751" s="327">
        <f t="shared" si="850"/>
        <v>0</v>
      </c>
      <c r="BB751" s="327">
        <f t="shared" si="850"/>
        <v>0</v>
      </c>
      <c r="BC751" s="327">
        <f t="shared" si="850"/>
        <v>0</v>
      </c>
      <c r="BD751" s="327">
        <f t="shared" si="850"/>
        <v>0</v>
      </c>
      <c r="BE751" s="327">
        <f t="shared" si="850"/>
        <v>0</v>
      </c>
      <c r="BF751" s="327">
        <f t="shared" si="850"/>
        <v>0</v>
      </c>
      <c r="BG751" s="327">
        <f t="shared" si="850"/>
        <v>0</v>
      </c>
      <c r="BH751" s="327">
        <f t="shared" si="850"/>
        <v>0</v>
      </c>
      <c r="BI751" s="327">
        <f t="shared" si="850"/>
        <v>0</v>
      </c>
      <c r="BJ751" s="327">
        <f t="shared" si="850"/>
        <v>0</v>
      </c>
      <c r="BK751" s="327">
        <f t="shared" si="850"/>
        <v>0</v>
      </c>
      <c r="BL751" s="327">
        <f t="shared" si="850"/>
        <v>0</v>
      </c>
      <c r="BM751" s="327">
        <f t="shared" si="850"/>
        <v>0</v>
      </c>
      <c r="BN751" s="327">
        <f t="shared" si="850"/>
        <v>0</v>
      </c>
    </row>
    <row r="752" spans="32:90" ht="20.100000000000001" customHeight="1">
      <c r="AI752" s="364"/>
    </row>
    <row r="753" spans="32:90" ht="20.100000000000001" customHeight="1" thickBot="1">
      <c r="AF753" s="333" t="s">
        <v>1514</v>
      </c>
      <c r="AG753" s="333"/>
      <c r="AH753" s="334" t="s">
        <v>977</v>
      </c>
      <c r="AI753" s="1477" t="s">
        <v>2548</v>
      </c>
      <c r="AJ753" s="1478"/>
      <c r="AK753" s="346">
        <v>2021</v>
      </c>
      <c r="AL753" s="284">
        <v>2022</v>
      </c>
      <c r="AM753" s="284">
        <v>2023</v>
      </c>
      <c r="AN753" s="284">
        <v>2024</v>
      </c>
      <c r="AO753" s="284">
        <v>2025</v>
      </c>
      <c r="AP753" s="284">
        <v>2026</v>
      </c>
      <c r="AQ753" s="284">
        <v>2027</v>
      </c>
      <c r="AR753" s="284">
        <v>2028</v>
      </c>
      <c r="AS753" s="284">
        <v>2029</v>
      </c>
      <c r="AT753" s="284">
        <v>2030</v>
      </c>
      <c r="AU753" s="284">
        <v>2031</v>
      </c>
      <c r="AV753" s="284">
        <v>2032</v>
      </c>
      <c r="AW753" s="284">
        <v>2033</v>
      </c>
      <c r="AX753" s="284">
        <v>2034</v>
      </c>
      <c r="AY753" s="284">
        <v>2035</v>
      </c>
      <c r="AZ753" s="284">
        <v>2036</v>
      </c>
      <c r="BA753" s="284">
        <v>2037</v>
      </c>
      <c r="BB753" s="284">
        <v>2038</v>
      </c>
      <c r="BC753" s="284">
        <v>2039</v>
      </c>
      <c r="BD753" s="284">
        <v>2040</v>
      </c>
      <c r="BE753" s="284">
        <v>2041</v>
      </c>
      <c r="BF753" s="284">
        <v>2042</v>
      </c>
      <c r="BG753" s="284">
        <v>2043</v>
      </c>
      <c r="BH753" s="284">
        <v>2044</v>
      </c>
      <c r="BI753" s="284">
        <v>2045</v>
      </c>
      <c r="BJ753" s="284">
        <v>2046</v>
      </c>
      <c r="BK753" s="284">
        <v>2047</v>
      </c>
      <c r="BL753" s="284">
        <v>2048</v>
      </c>
      <c r="BM753" s="284">
        <v>2049</v>
      </c>
      <c r="BN753" s="284">
        <v>2050</v>
      </c>
      <c r="BQ753" s="222" t="s">
        <v>2622</v>
      </c>
      <c r="BR753" s="417"/>
      <c r="BS753" s="417"/>
      <c r="BT753" s="417"/>
      <c r="BU753" s="417"/>
      <c r="BV753" s="417"/>
      <c r="BW753" s="417"/>
      <c r="BX753" s="417"/>
      <c r="BY753" s="417"/>
      <c r="BZ753" s="417"/>
      <c r="CA753" s="417"/>
      <c r="CB753" s="417"/>
      <c r="CC753" s="417"/>
      <c r="CD753" s="417"/>
      <c r="CE753" s="417"/>
      <c r="CF753" s="417"/>
      <c r="CG753" s="417"/>
      <c r="CH753" s="417"/>
      <c r="CI753" s="944" t="s">
        <v>1767</v>
      </c>
      <c r="CJ753" s="279" t="s">
        <v>2552</v>
      </c>
      <c r="CK753" s="945" t="s">
        <v>1598</v>
      </c>
    </row>
    <row r="754" spans="32:90" ht="20.100000000000001" customHeight="1">
      <c r="AF754" s="237" t="str">
        <f>CONCATENATE("conversion from ",INDEX('MENU OPTIONS'!$B$27:$B$36,$A$138,1))</f>
        <v>conversion from Apartment</v>
      </c>
      <c r="AG754" s="286" t="s">
        <v>933</v>
      </c>
      <c r="AH754" s="286" t="s">
        <v>1496</v>
      </c>
      <c r="AI754" s="941">
        <f>INDEX('DEFAULT DATA'!$AFS$9:$AIT$41,START!$C$3,(1+(($A$138-1)*8)))/IF($A$138&lt;5,INDEX('DEFAULT DATA'!$WT$9:$WW$41,START!$C$3,$A$138),1)</f>
        <v>75.341615424859171</v>
      </c>
      <c r="AJ754" s="330"/>
      <c r="AK754" s="343">
        <v>0</v>
      </c>
      <c r="AL754" s="322">
        <f t="shared" ref="AL754:BN754" si="851">IF(AND(AL$753&gt;($I$138+2020),AL$753&lt;($J$138+2022)),AK754+(AL$5*$E$138*$AI$754/($J$138-$I$138+1)/1000000),AK754)</f>
        <v>0</v>
      </c>
      <c r="AM754" s="322">
        <f t="shared" si="851"/>
        <v>0</v>
      </c>
      <c r="AN754" s="322">
        <f t="shared" si="851"/>
        <v>0</v>
      </c>
      <c r="AO754" s="322">
        <f t="shared" si="851"/>
        <v>0</v>
      </c>
      <c r="AP754" s="322">
        <f t="shared" si="851"/>
        <v>0</v>
      </c>
      <c r="AQ754" s="322">
        <f t="shared" si="851"/>
        <v>0</v>
      </c>
      <c r="AR754" s="322">
        <f t="shared" si="851"/>
        <v>0</v>
      </c>
      <c r="AS754" s="322">
        <f t="shared" si="851"/>
        <v>0</v>
      </c>
      <c r="AT754" s="322">
        <f t="shared" si="851"/>
        <v>0</v>
      </c>
      <c r="AU754" s="322">
        <f t="shared" si="851"/>
        <v>0</v>
      </c>
      <c r="AV754" s="322">
        <f t="shared" si="851"/>
        <v>0</v>
      </c>
      <c r="AW754" s="322">
        <f t="shared" si="851"/>
        <v>0</v>
      </c>
      <c r="AX754" s="322">
        <f t="shared" si="851"/>
        <v>0</v>
      </c>
      <c r="AY754" s="322">
        <f t="shared" si="851"/>
        <v>0</v>
      </c>
      <c r="AZ754" s="322">
        <f t="shared" si="851"/>
        <v>0</v>
      </c>
      <c r="BA754" s="322">
        <f t="shared" si="851"/>
        <v>0</v>
      </c>
      <c r="BB754" s="322">
        <f t="shared" si="851"/>
        <v>0</v>
      </c>
      <c r="BC754" s="322">
        <f t="shared" si="851"/>
        <v>0</v>
      </c>
      <c r="BD754" s="322">
        <f t="shared" si="851"/>
        <v>0</v>
      </c>
      <c r="BE754" s="322">
        <f t="shared" si="851"/>
        <v>0</v>
      </c>
      <c r="BF754" s="322">
        <f t="shared" si="851"/>
        <v>0</v>
      </c>
      <c r="BG754" s="322">
        <f t="shared" si="851"/>
        <v>0</v>
      </c>
      <c r="BH754" s="322">
        <f t="shared" si="851"/>
        <v>0</v>
      </c>
      <c r="BI754" s="322">
        <f t="shared" si="851"/>
        <v>0</v>
      </c>
      <c r="BJ754" s="322">
        <f t="shared" si="851"/>
        <v>0</v>
      </c>
      <c r="BK754" s="322">
        <f t="shared" si="851"/>
        <v>0</v>
      </c>
      <c r="BL754" s="322">
        <f t="shared" si="851"/>
        <v>0</v>
      </c>
      <c r="BM754" s="322">
        <f t="shared" si="851"/>
        <v>0</v>
      </c>
      <c r="BN754" s="323">
        <f t="shared" si="851"/>
        <v>0</v>
      </c>
      <c r="BP754" s="536" t="s">
        <v>933</v>
      </c>
      <c r="BQ754" s="1471" t="str">
        <f>CONCATENATE("GHG_",BP754,"a = GHG_",BP754,"a-1 + (E137 * ",CI754," * ",CK754," / (",CJ754,") / 1000000)")</f>
        <v>GHG_Electricitya = GHG_Electricitya-1 + (E137 * BUI_COL (307 + ((A137 - 1) * 8) * GRID_ELECTRICITY_emission_factora (from row4) / (J137-I137+1) / 1000000)</v>
      </c>
      <c r="BR754" s="1479"/>
      <c r="BS754" s="1479"/>
      <c r="BT754" s="1479"/>
      <c r="BU754" s="1479"/>
      <c r="BV754" s="1479"/>
      <c r="BW754" s="1479"/>
      <c r="BX754" s="1479"/>
      <c r="BY754" s="1479"/>
      <c r="BZ754" s="1479"/>
      <c r="CA754" s="1479"/>
      <c r="CB754" s="1479"/>
      <c r="CC754" s="1479"/>
      <c r="CD754" s="1479"/>
      <c r="CE754" s="1479"/>
      <c r="CF754" s="1479"/>
      <c r="CG754" s="1479"/>
      <c r="CH754" s="1472"/>
      <c r="CI754" s="917" t="s">
        <v>2609</v>
      </c>
      <c r="CJ754" s="536" t="s">
        <v>2610</v>
      </c>
      <c r="CK754" s="536" t="s">
        <v>2601</v>
      </c>
      <c r="CL754" s="919"/>
    </row>
    <row r="755" spans="32:90" ht="20.100000000000001" customHeight="1">
      <c r="AF755" s="355"/>
      <c r="AG755" s="251" t="s">
        <v>1220</v>
      </c>
      <c r="AH755" s="251">
        <f>INDEX('DEFAULT DATA'!$VE$9:$VK$41,START!$C$3,1)</f>
        <v>202</v>
      </c>
      <c r="AI755" s="660">
        <f>INDEX('DEFAULT DATA'!$AFS$9:$AIT$41,START!$C$3,(2+(($A$138-1)*8)))/IF($A$138&lt;5,INDEX('DEFAULT DATA'!$WT$9:$WW$41,START!$C$3,$A$138),1)</f>
        <v>2.0928226506905325</v>
      </c>
      <c r="AJ755" s="262"/>
      <c r="AK755" s="345">
        <v>0</v>
      </c>
      <c r="AL755" s="272">
        <f t="shared" ref="AL755:BN755" si="852">IF(AND(AL$753&gt;($I$138+2020),AL$753&lt;($J$138+2022)),AK755+($AH$755*$E$138*$AI$755/($J$138-$I$138+1)/1000000),AK755)</f>
        <v>0</v>
      </c>
      <c r="AM755" s="272">
        <f t="shared" si="852"/>
        <v>0</v>
      </c>
      <c r="AN755" s="272">
        <f t="shared" si="852"/>
        <v>0</v>
      </c>
      <c r="AO755" s="272">
        <f t="shared" si="852"/>
        <v>0</v>
      </c>
      <c r="AP755" s="272">
        <f t="shared" si="852"/>
        <v>0</v>
      </c>
      <c r="AQ755" s="272">
        <f t="shared" si="852"/>
        <v>0</v>
      </c>
      <c r="AR755" s="272">
        <f t="shared" si="852"/>
        <v>0</v>
      </c>
      <c r="AS755" s="272">
        <f t="shared" si="852"/>
        <v>0</v>
      </c>
      <c r="AT755" s="272">
        <f t="shared" si="852"/>
        <v>0</v>
      </c>
      <c r="AU755" s="272">
        <f t="shared" si="852"/>
        <v>0</v>
      </c>
      <c r="AV755" s="272">
        <f t="shared" si="852"/>
        <v>0</v>
      </c>
      <c r="AW755" s="272">
        <f t="shared" si="852"/>
        <v>0</v>
      </c>
      <c r="AX755" s="272">
        <f t="shared" si="852"/>
        <v>0</v>
      </c>
      <c r="AY755" s="272">
        <f t="shared" si="852"/>
        <v>0</v>
      </c>
      <c r="AZ755" s="272">
        <f t="shared" si="852"/>
        <v>0</v>
      </c>
      <c r="BA755" s="272">
        <f t="shared" si="852"/>
        <v>0</v>
      </c>
      <c r="BB755" s="272">
        <f t="shared" si="852"/>
        <v>0</v>
      </c>
      <c r="BC755" s="272">
        <f t="shared" si="852"/>
        <v>0</v>
      </c>
      <c r="BD755" s="272">
        <f t="shared" si="852"/>
        <v>0</v>
      </c>
      <c r="BE755" s="272">
        <f t="shared" si="852"/>
        <v>0</v>
      </c>
      <c r="BF755" s="272">
        <f t="shared" si="852"/>
        <v>0</v>
      </c>
      <c r="BG755" s="272">
        <f t="shared" si="852"/>
        <v>0</v>
      </c>
      <c r="BH755" s="272">
        <f t="shared" si="852"/>
        <v>0</v>
      </c>
      <c r="BI755" s="272">
        <f t="shared" si="852"/>
        <v>0</v>
      </c>
      <c r="BJ755" s="272">
        <f t="shared" si="852"/>
        <v>0</v>
      </c>
      <c r="BK755" s="272">
        <f t="shared" si="852"/>
        <v>0</v>
      </c>
      <c r="BL755" s="272">
        <f t="shared" si="852"/>
        <v>0</v>
      </c>
      <c r="BM755" s="272">
        <f t="shared" si="852"/>
        <v>0</v>
      </c>
      <c r="BN755" s="324">
        <f t="shared" si="852"/>
        <v>0</v>
      </c>
      <c r="BP755" s="536" t="s">
        <v>1220</v>
      </c>
      <c r="BQ755" s="1471" t="str">
        <f t="shared" ref="BQ755:BQ761" si="853">CONCATENATE("GHG_",BP755,"a = GHG_",BP755,"a-1 + (E137 * ",CI755," * ",CK755," / (",CJ755,") / 1000000)")</f>
        <v>GHG_Gasa = GHG_Gasa-1 + (E137 * BUI_COL (307 + ((A137 - 1) * 8) * BUI_COL1 / (J137-I137+1) / 1000000)</v>
      </c>
      <c r="BR755" s="1479"/>
      <c r="BS755" s="1479"/>
      <c r="BT755" s="1479"/>
      <c r="BU755" s="1479"/>
      <c r="BV755" s="1479"/>
      <c r="BW755" s="1479"/>
      <c r="BX755" s="1479"/>
      <c r="BY755" s="1479"/>
      <c r="BZ755" s="1479"/>
      <c r="CA755" s="1479"/>
      <c r="CB755" s="1479"/>
      <c r="CC755" s="1479"/>
      <c r="CD755" s="1479"/>
      <c r="CE755" s="1479"/>
      <c r="CF755" s="1479"/>
      <c r="CG755" s="1479"/>
      <c r="CH755" s="1472"/>
      <c r="CI755" s="917" t="s">
        <v>2609</v>
      </c>
      <c r="CJ755" s="536" t="s">
        <v>2610</v>
      </c>
      <c r="CK755" s="536" t="s">
        <v>1248</v>
      </c>
      <c r="CL755" s="919"/>
    </row>
    <row r="756" spans="32:90" ht="20.100000000000001" customHeight="1">
      <c r="AF756" s="40"/>
      <c r="AG756" s="251" t="s">
        <v>1221</v>
      </c>
      <c r="AH756" s="251">
        <f>INDEX('DEFAULT DATA'!$VE$9:$VK$41,START!$C$3,2)</f>
        <v>279</v>
      </c>
      <c r="AI756" s="660">
        <f>INDEX('DEFAULT DATA'!$AFS$9:$AIT$41,START!$C$3,(3+(($A$138-1)*8)))/IF($A$138&lt;5,INDEX('DEFAULT DATA'!$WT$9:$WW$41,START!$C$3,$A$138),1)</f>
        <v>16.74258120552426</v>
      </c>
      <c r="AJ756" s="262"/>
      <c r="AK756" s="345">
        <v>0</v>
      </c>
      <c r="AL756" s="272">
        <f t="shared" ref="AL756:BN756" si="854">IF(AND(AL$753&gt;($I$138+2020),AL$753&lt;($J$138+2022)),AK756+($AH$756*$E$138*$AI$756/($J$138-$I$138+1)/1000000),AK756)</f>
        <v>0</v>
      </c>
      <c r="AM756" s="272">
        <f t="shared" si="854"/>
        <v>0</v>
      </c>
      <c r="AN756" s="272">
        <f t="shared" si="854"/>
        <v>0</v>
      </c>
      <c r="AO756" s="272">
        <f t="shared" si="854"/>
        <v>0</v>
      </c>
      <c r="AP756" s="272">
        <f t="shared" si="854"/>
        <v>0</v>
      </c>
      <c r="AQ756" s="272">
        <f t="shared" si="854"/>
        <v>0</v>
      </c>
      <c r="AR756" s="272">
        <f t="shared" si="854"/>
        <v>0</v>
      </c>
      <c r="AS756" s="272">
        <f t="shared" si="854"/>
        <v>0</v>
      </c>
      <c r="AT756" s="272">
        <f t="shared" si="854"/>
        <v>0</v>
      </c>
      <c r="AU756" s="272">
        <f t="shared" si="854"/>
        <v>0</v>
      </c>
      <c r="AV756" s="272">
        <f t="shared" si="854"/>
        <v>0</v>
      </c>
      <c r="AW756" s="272">
        <f t="shared" si="854"/>
        <v>0</v>
      </c>
      <c r="AX756" s="272">
        <f t="shared" si="854"/>
        <v>0</v>
      </c>
      <c r="AY756" s="272">
        <f t="shared" si="854"/>
        <v>0</v>
      </c>
      <c r="AZ756" s="272">
        <f t="shared" si="854"/>
        <v>0</v>
      </c>
      <c r="BA756" s="272">
        <f t="shared" si="854"/>
        <v>0</v>
      </c>
      <c r="BB756" s="272">
        <f t="shared" si="854"/>
        <v>0</v>
      </c>
      <c r="BC756" s="272">
        <f t="shared" si="854"/>
        <v>0</v>
      </c>
      <c r="BD756" s="272">
        <f t="shared" si="854"/>
        <v>0</v>
      </c>
      <c r="BE756" s="272">
        <f t="shared" si="854"/>
        <v>0</v>
      </c>
      <c r="BF756" s="272">
        <f t="shared" si="854"/>
        <v>0</v>
      </c>
      <c r="BG756" s="272">
        <f t="shared" si="854"/>
        <v>0</v>
      </c>
      <c r="BH756" s="272">
        <f t="shared" si="854"/>
        <v>0</v>
      </c>
      <c r="BI756" s="272">
        <f t="shared" si="854"/>
        <v>0</v>
      </c>
      <c r="BJ756" s="272">
        <f t="shared" si="854"/>
        <v>0</v>
      </c>
      <c r="BK756" s="272">
        <f t="shared" si="854"/>
        <v>0</v>
      </c>
      <c r="BL756" s="272">
        <f t="shared" si="854"/>
        <v>0</v>
      </c>
      <c r="BM756" s="272">
        <f t="shared" si="854"/>
        <v>0</v>
      </c>
      <c r="BN756" s="324">
        <f t="shared" si="854"/>
        <v>0</v>
      </c>
      <c r="BP756" s="536" t="s">
        <v>1221</v>
      </c>
      <c r="BQ756" s="1471" t="str">
        <f t="shared" si="853"/>
        <v>GHG_Oila = GHG_Oila-1 + (E137 * BUI_COL (307 + ((A137 - 1) * 8) * BUI_COL2 / (J137-I137+1) / 1000000)</v>
      </c>
      <c r="BR756" s="1479"/>
      <c r="BS756" s="1479"/>
      <c r="BT756" s="1479"/>
      <c r="BU756" s="1479"/>
      <c r="BV756" s="1479"/>
      <c r="BW756" s="1479"/>
      <c r="BX756" s="1479"/>
      <c r="BY756" s="1479"/>
      <c r="BZ756" s="1479"/>
      <c r="CA756" s="1479"/>
      <c r="CB756" s="1479"/>
      <c r="CC756" s="1479"/>
      <c r="CD756" s="1479"/>
      <c r="CE756" s="1479"/>
      <c r="CF756" s="1479"/>
      <c r="CG756" s="1479"/>
      <c r="CH756" s="1472"/>
      <c r="CI756" s="917" t="s">
        <v>2609</v>
      </c>
      <c r="CJ756" s="536" t="s">
        <v>2610</v>
      </c>
      <c r="CK756" s="536" t="s">
        <v>1621</v>
      </c>
      <c r="CL756" s="919"/>
    </row>
    <row r="757" spans="32:90" ht="20.100000000000001" customHeight="1">
      <c r="AF757" s="40"/>
      <c r="AG757" s="251" t="s">
        <v>1222</v>
      </c>
      <c r="AH757" s="251">
        <f>INDEX('DEFAULT DATA'!$VE$9:$VK$41,START!$C$3,3)</f>
        <v>354</v>
      </c>
      <c r="AI757" s="660">
        <f>INDEX('DEFAULT DATA'!$AFS$9:$AIT$41,START!$C$3,(4+(($A$138-1)*8)))/IF($A$138&lt;5,INDEX('DEFAULT DATA'!$WT$9:$WW$41,START!$C$3,$A$138),1)</f>
        <v>0</v>
      </c>
      <c r="AJ757" s="262"/>
      <c r="AK757" s="345">
        <v>0</v>
      </c>
      <c r="AL757" s="272">
        <f t="shared" ref="AL757:BN757" si="855">IF(AND(AL$753&gt;($I$138+2020),AL$753&lt;($J$138+2022)),AK757+($AH$757*$E$138*$AI$757/($J$138-$I$138+1)/1000000),AK757)</f>
        <v>0</v>
      </c>
      <c r="AM757" s="272">
        <f t="shared" si="855"/>
        <v>0</v>
      </c>
      <c r="AN757" s="272">
        <f t="shared" si="855"/>
        <v>0</v>
      </c>
      <c r="AO757" s="272">
        <f t="shared" si="855"/>
        <v>0</v>
      </c>
      <c r="AP757" s="272">
        <f t="shared" si="855"/>
        <v>0</v>
      </c>
      <c r="AQ757" s="272">
        <f t="shared" si="855"/>
        <v>0</v>
      </c>
      <c r="AR757" s="272">
        <f t="shared" si="855"/>
        <v>0</v>
      </c>
      <c r="AS757" s="272">
        <f t="shared" si="855"/>
        <v>0</v>
      </c>
      <c r="AT757" s="272">
        <f t="shared" si="855"/>
        <v>0</v>
      </c>
      <c r="AU757" s="272">
        <f t="shared" si="855"/>
        <v>0</v>
      </c>
      <c r="AV757" s="272">
        <f t="shared" si="855"/>
        <v>0</v>
      </c>
      <c r="AW757" s="272">
        <f t="shared" si="855"/>
        <v>0</v>
      </c>
      <c r="AX757" s="272">
        <f t="shared" si="855"/>
        <v>0</v>
      </c>
      <c r="AY757" s="272">
        <f t="shared" si="855"/>
        <v>0</v>
      </c>
      <c r="AZ757" s="272">
        <f t="shared" si="855"/>
        <v>0</v>
      </c>
      <c r="BA757" s="272">
        <f t="shared" si="855"/>
        <v>0</v>
      </c>
      <c r="BB757" s="272">
        <f t="shared" si="855"/>
        <v>0</v>
      </c>
      <c r="BC757" s="272">
        <f t="shared" si="855"/>
        <v>0</v>
      </c>
      <c r="BD757" s="272">
        <f t="shared" si="855"/>
        <v>0</v>
      </c>
      <c r="BE757" s="272">
        <f t="shared" si="855"/>
        <v>0</v>
      </c>
      <c r="BF757" s="272">
        <f t="shared" si="855"/>
        <v>0</v>
      </c>
      <c r="BG757" s="272">
        <f t="shared" si="855"/>
        <v>0</v>
      </c>
      <c r="BH757" s="272">
        <f t="shared" si="855"/>
        <v>0</v>
      </c>
      <c r="BI757" s="272">
        <f t="shared" si="855"/>
        <v>0</v>
      </c>
      <c r="BJ757" s="272">
        <f t="shared" si="855"/>
        <v>0</v>
      </c>
      <c r="BK757" s="272">
        <f t="shared" si="855"/>
        <v>0</v>
      </c>
      <c r="BL757" s="272">
        <f t="shared" si="855"/>
        <v>0</v>
      </c>
      <c r="BM757" s="272">
        <f t="shared" si="855"/>
        <v>0</v>
      </c>
      <c r="BN757" s="324">
        <f t="shared" si="855"/>
        <v>0</v>
      </c>
      <c r="BP757" s="536" t="s">
        <v>1222</v>
      </c>
      <c r="BQ757" s="1471" t="str">
        <f t="shared" si="853"/>
        <v>GHG_Coala = GHG_Coala-1 + (E137 * BUI_COL (307 + ((A137 - 1) * 8) * BUI_COL3 / (J137-I137+1) / 1000000)</v>
      </c>
      <c r="BR757" s="1479"/>
      <c r="BS757" s="1479"/>
      <c r="BT757" s="1479"/>
      <c r="BU757" s="1479"/>
      <c r="BV757" s="1479"/>
      <c r="BW757" s="1479"/>
      <c r="BX757" s="1479"/>
      <c r="BY757" s="1479"/>
      <c r="BZ757" s="1479"/>
      <c r="CA757" s="1479"/>
      <c r="CB757" s="1479"/>
      <c r="CC757" s="1479"/>
      <c r="CD757" s="1479"/>
      <c r="CE757" s="1479"/>
      <c r="CF757" s="1479"/>
      <c r="CG757" s="1479"/>
      <c r="CH757" s="1472"/>
      <c r="CI757" s="917" t="s">
        <v>2609</v>
      </c>
      <c r="CJ757" s="536" t="s">
        <v>2610</v>
      </c>
      <c r="CK757" s="536" t="s">
        <v>1622</v>
      </c>
      <c r="CL757" s="919"/>
    </row>
    <row r="758" spans="32:90" ht="20.100000000000001" customHeight="1">
      <c r="AF758" s="355"/>
      <c r="AG758" s="251" t="s">
        <v>1223</v>
      </c>
      <c r="AH758" s="251">
        <f>INDEX('DEFAULT DATA'!$VE$9:$VK$41,START!$C$3,4)</f>
        <v>0</v>
      </c>
      <c r="AI758" s="660">
        <f>INDEX('DEFAULT DATA'!$AFS$9:$AIT$41,START!$C$3,(5+(($A$138-1)*8)))/IF($A$138&lt;5,INDEX('DEFAULT DATA'!$WT$9:$WW$41,START!$C$3,$A$138),1)</f>
        <v>0</v>
      </c>
      <c r="AJ758" s="262"/>
      <c r="AK758" s="345">
        <v>0</v>
      </c>
      <c r="AL758" s="272">
        <f t="shared" ref="AL758:BN758" si="856">IF(AND(AL$753&gt;($I$138+2020),AL$753&lt;($J$138+2022)),AK758+($AH$758*$E$138*$AI$758/($J$138-$I$138+1)/1000000),AK758)</f>
        <v>0</v>
      </c>
      <c r="AM758" s="272">
        <f t="shared" si="856"/>
        <v>0</v>
      </c>
      <c r="AN758" s="272">
        <f t="shared" si="856"/>
        <v>0</v>
      </c>
      <c r="AO758" s="272">
        <f t="shared" si="856"/>
        <v>0</v>
      </c>
      <c r="AP758" s="272">
        <f t="shared" si="856"/>
        <v>0</v>
      </c>
      <c r="AQ758" s="272">
        <f t="shared" si="856"/>
        <v>0</v>
      </c>
      <c r="AR758" s="272">
        <f t="shared" si="856"/>
        <v>0</v>
      </c>
      <c r="AS758" s="272">
        <f t="shared" si="856"/>
        <v>0</v>
      </c>
      <c r="AT758" s="272">
        <f t="shared" si="856"/>
        <v>0</v>
      </c>
      <c r="AU758" s="272">
        <f t="shared" si="856"/>
        <v>0</v>
      </c>
      <c r="AV758" s="272">
        <f t="shared" si="856"/>
        <v>0</v>
      </c>
      <c r="AW758" s="272">
        <f t="shared" si="856"/>
        <v>0</v>
      </c>
      <c r="AX758" s="272">
        <f t="shared" si="856"/>
        <v>0</v>
      </c>
      <c r="AY758" s="272">
        <f t="shared" si="856"/>
        <v>0</v>
      </c>
      <c r="AZ758" s="272">
        <f t="shared" si="856"/>
        <v>0</v>
      </c>
      <c r="BA758" s="272">
        <f t="shared" si="856"/>
        <v>0</v>
      </c>
      <c r="BB758" s="272">
        <f t="shared" si="856"/>
        <v>0</v>
      </c>
      <c r="BC758" s="272">
        <f t="shared" si="856"/>
        <v>0</v>
      </c>
      <c r="BD758" s="272">
        <f t="shared" si="856"/>
        <v>0</v>
      </c>
      <c r="BE758" s="272">
        <f t="shared" si="856"/>
        <v>0</v>
      </c>
      <c r="BF758" s="272">
        <f t="shared" si="856"/>
        <v>0</v>
      </c>
      <c r="BG758" s="272">
        <f t="shared" si="856"/>
        <v>0</v>
      </c>
      <c r="BH758" s="272">
        <f t="shared" si="856"/>
        <v>0</v>
      </c>
      <c r="BI758" s="272">
        <f t="shared" si="856"/>
        <v>0</v>
      </c>
      <c r="BJ758" s="272">
        <f t="shared" si="856"/>
        <v>0</v>
      </c>
      <c r="BK758" s="272">
        <f t="shared" si="856"/>
        <v>0</v>
      </c>
      <c r="BL758" s="272">
        <f t="shared" si="856"/>
        <v>0</v>
      </c>
      <c r="BM758" s="272">
        <f t="shared" si="856"/>
        <v>0</v>
      </c>
      <c r="BN758" s="324">
        <f t="shared" si="856"/>
        <v>0</v>
      </c>
      <c r="BP758" s="536" t="s">
        <v>1223</v>
      </c>
      <c r="BQ758" s="1471" t="str">
        <f t="shared" si="853"/>
        <v>GHG_Peata = GHG_Peata-1 + (E137 * BUI_COL (307 + ((A137 - 1) * 8) * BUI_COL4 / (J137-I137+1) / 1000000)</v>
      </c>
      <c r="BR758" s="1479"/>
      <c r="BS758" s="1479"/>
      <c r="BT758" s="1479"/>
      <c r="BU758" s="1479"/>
      <c r="BV758" s="1479"/>
      <c r="BW758" s="1479"/>
      <c r="BX758" s="1479"/>
      <c r="BY758" s="1479"/>
      <c r="BZ758" s="1479"/>
      <c r="CA758" s="1479"/>
      <c r="CB758" s="1479"/>
      <c r="CC758" s="1479"/>
      <c r="CD758" s="1479"/>
      <c r="CE758" s="1479"/>
      <c r="CF758" s="1479"/>
      <c r="CG758" s="1479"/>
      <c r="CH758" s="1472"/>
      <c r="CI758" s="917" t="s">
        <v>2609</v>
      </c>
      <c r="CJ758" s="536" t="s">
        <v>2610</v>
      </c>
      <c r="CK758" s="536" t="s">
        <v>1623</v>
      </c>
      <c r="CL758" s="919"/>
    </row>
    <row r="759" spans="32:90" ht="20.100000000000001" customHeight="1">
      <c r="AF759" s="355"/>
      <c r="AG759" s="251" t="s">
        <v>1224</v>
      </c>
      <c r="AH759" s="251">
        <f>INDEX('DEFAULT DATA'!$VE$9:$VK$41,START!$C$3,5)</f>
        <v>403</v>
      </c>
      <c r="AI759" s="660">
        <f>INDEX('DEFAULT DATA'!$AFS$9:$AIT$41,START!$C$3,(6+(($A$138-1)*8)))/IF($A$138&lt;5,INDEX('DEFAULT DATA'!$WT$9:$WW$41,START!$C$3,$A$138),1)</f>
        <v>0</v>
      </c>
      <c r="AJ759" s="262"/>
      <c r="AK759" s="345">
        <v>0</v>
      </c>
      <c r="AL759" s="272">
        <f t="shared" ref="AL759:BN759" si="857">IF(AND(AL$753&gt;($I$138+2020),AL$753&lt;($J$138+2022)),AK759+($AH$759*$E$138*$AI$759/($J$138-$I$138+1)/1000000),AK759)</f>
        <v>0</v>
      </c>
      <c r="AM759" s="272">
        <f t="shared" si="857"/>
        <v>0</v>
      </c>
      <c r="AN759" s="272">
        <f t="shared" si="857"/>
        <v>0</v>
      </c>
      <c r="AO759" s="272">
        <f t="shared" si="857"/>
        <v>0</v>
      </c>
      <c r="AP759" s="272">
        <f t="shared" si="857"/>
        <v>0</v>
      </c>
      <c r="AQ759" s="272">
        <f t="shared" si="857"/>
        <v>0</v>
      </c>
      <c r="AR759" s="272">
        <f t="shared" si="857"/>
        <v>0</v>
      </c>
      <c r="AS759" s="272">
        <f t="shared" si="857"/>
        <v>0</v>
      </c>
      <c r="AT759" s="272">
        <f t="shared" si="857"/>
        <v>0</v>
      </c>
      <c r="AU759" s="272">
        <f t="shared" si="857"/>
        <v>0</v>
      </c>
      <c r="AV759" s="272">
        <f t="shared" si="857"/>
        <v>0</v>
      </c>
      <c r="AW759" s="272">
        <f t="shared" si="857"/>
        <v>0</v>
      </c>
      <c r="AX759" s="272">
        <f t="shared" si="857"/>
        <v>0</v>
      </c>
      <c r="AY759" s="272">
        <f t="shared" si="857"/>
        <v>0</v>
      </c>
      <c r="AZ759" s="272">
        <f t="shared" si="857"/>
        <v>0</v>
      </c>
      <c r="BA759" s="272">
        <f t="shared" si="857"/>
        <v>0</v>
      </c>
      <c r="BB759" s="272">
        <f t="shared" si="857"/>
        <v>0</v>
      </c>
      <c r="BC759" s="272">
        <f t="shared" si="857"/>
        <v>0</v>
      </c>
      <c r="BD759" s="272">
        <f t="shared" si="857"/>
        <v>0</v>
      </c>
      <c r="BE759" s="272">
        <f t="shared" si="857"/>
        <v>0</v>
      </c>
      <c r="BF759" s="272">
        <f t="shared" si="857"/>
        <v>0</v>
      </c>
      <c r="BG759" s="272">
        <f t="shared" si="857"/>
        <v>0</v>
      </c>
      <c r="BH759" s="272">
        <f t="shared" si="857"/>
        <v>0</v>
      </c>
      <c r="BI759" s="272">
        <f t="shared" si="857"/>
        <v>0</v>
      </c>
      <c r="BJ759" s="272">
        <f t="shared" si="857"/>
        <v>0</v>
      </c>
      <c r="BK759" s="272">
        <f t="shared" si="857"/>
        <v>0</v>
      </c>
      <c r="BL759" s="272">
        <f t="shared" si="857"/>
        <v>0</v>
      </c>
      <c r="BM759" s="272">
        <f t="shared" si="857"/>
        <v>0</v>
      </c>
      <c r="BN759" s="324">
        <f t="shared" si="857"/>
        <v>0</v>
      </c>
      <c r="BP759" s="536" t="s">
        <v>1224</v>
      </c>
      <c r="BQ759" s="1471" t="str">
        <f t="shared" si="853"/>
        <v>GHG_Wooda = GHG_Wooda-1 + (E137 * BUI_COL (307 + ((A137 - 1) * 8) * BUI_COL5 / (J137-I137+1) / 1000000)</v>
      </c>
      <c r="BR759" s="1479"/>
      <c r="BS759" s="1479"/>
      <c r="BT759" s="1479"/>
      <c r="BU759" s="1479"/>
      <c r="BV759" s="1479"/>
      <c r="BW759" s="1479"/>
      <c r="BX759" s="1479"/>
      <c r="BY759" s="1479"/>
      <c r="BZ759" s="1479"/>
      <c r="CA759" s="1479"/>
      <c r="CB759" s="1479"/>
      <c r="CC759" s="1479"/>
      <c r="CD759" s="1479"/>
      <c r="CE759" s="1479"/>
      <c r="CF759" s="1479"/>
      <c r="CG759" s="1479"/>
      <c r="CH759" s="1472"/>
      <c r="CI759" s="917" t="s">
        <v>2609</v>
      </c>
      <c r="CJ759" s="536" t="s">
        <v>2610</v>
      </c>
      <c r="CK759" s="536" t="s">
        <v>1624</v>
      </c>
      <c r="CL759" s="919"/>
    </row>
    <row r="760" spans="32:90" ht="20.100000000000001" customHeight="1">
      <c r="AF760" s="355"/>
      <c r="AG760" s="251" t="s">
        <v>1225</v>
      </c>
      <c r="AH760" s="251">
        <f>INDEX('DEFAULT DATA'!$VE$9:$VK$41,START!$C$3,6)</f>
        <v>0</v>
      </c>
      <c r="AI760" s="660">
        <f>INDEX('DEFAULT DATA'!$AFS$9:$AIT$41,START!$C$3,(7+(($A$138-1)*8)))/IF($A$138&lt;5,INDEX('DEFAULT DATA'!$WT$9:$WW$41,START!$C$3,$A$138),1)</f>
        <v>52.32056626726331</v>
      </c>
      <c r="AJ760" s="262"/>
      <c r="AK760" s="345">
        <v>0</v>
      </c>
      <c r="AL760" s="272">
        <f t="shared" ref="AL760:BN760" si="858">IF(AND(AL$753&gt;($I$138+2020),AL$753&lt;($J$138+2022)),AK760+($AH$760*$E$138*$AI$760/($J$138-$I$138+1)/1000000),AK760)</f>
        <v>0</v>
      </c>
      <c r="AM760" s="272">
        <f t="shared" si="858"/>
        <v>0</v>
      </c>
      <c r="AN760" s="272">
        <f t="shared" si="858"/>
        <v>0</v>
      </c>
      <c r="AO760" s="272">
        <f t="shared" si="858"/>
        <v>0</v>
      </c>
      <c r="AP760" s="272">
        <f t="shared" si="858"/>
        <v>0</v>
      </c>
      <c r="AQ760" s="272">
        <f t="shared" si="858"/>
        <v>0</v>
      </c>
      <c r="AR760" s="272">
        <f t="shared" si="858"/>
        <v>0</v>
      </c>
      <c r="AS760" s="272">
        <f t="shared" si="858"/>
        <v>0</v>
      </c>
      <c r="AT760" s="272">
        <f t="shared" si="858"/>
        <v>0</v>
      </c>
      <c r="AU760" s="272">
        <f t="shared" si="858"/>
        <v>0</v>
      </c>
      <c r="AV760" s="272">
        <f t="shared" si="858"/>
        <v>0</v>
      </c>
      <c r="AW760" s="272">
        <f t="shared" si="858"/>
        <v>0</v>
      </c>
      <c r="AX760" s="272">
        <f t="shared" si="858"/>
        <v>0</v>
      </c>
      <c r="AY760" s="272">
        <f t="shared" si="858"/>
        <v>0</v>
      </c>
      <c r="AZ760" s="272">
        <f t="shared" si="858"/>
        <v>0</v>
      </c>
      <c r="BA760" s="272">
        <f t="shared" si="858"/>
        <v>0</v>
      </c>
      <c r="BB760" s="272">
        <f t="shared" si="858"/>
        <v>0</v>
      </c>
      <c r="BC760" s="272">
        <f t="shared" si="858"/>
        <v>0</v>
      </c>
      <c r="BD760" s="272">
        <f t="shared" si="858"/>
        <v>0</v>
      </c>
      <c r="BE760" s="272">
        <f t="shared" si="858"/>
        <v>0</v>
      </c>
      <c r="BF760" s="272">
        <f t="shared" si="858"/>
        <v>0</v>
      </c>
      <c r="BG760" s="272">
        <f t="shared" si="858"/>
        <v>0</v>
      </c>
      <c r="BH760" s="272">
        <f t="shared" si="858"/>
        <v>0</v>
      </c>
      <c r="BI760" s="272">
        <f t="shared" si="858"/>
        <v>0</v>
      </c>
      <c r="BJ760" s="272">
        <f t="shared" si="858"/>
        <v>0</v>
      </c>
      <c r="BK760" s="272">
        <f t="shared" si="858"/>
        <v>0</v>
      </c>
      <c r="BL760" s="272">
        <f t="shared" si="858"/>
        <v>0</v>
      </c>
      <c r="BM760" s="272">
        <f t="shared" si="858"/>
        <v>0</v>
      </c>
      <c r="BN760" s="324">
        <f t="shared" si="858"/>
        <v>0</v>
      </c>
      <c r="BP760" s="536" t="s">
        <v>1225</v>
      </c>
      <c r="BQ760" s="1471" t="str">
        <f t="shared" si="853"/>
        <v>GHG_Renewablea = GHG_Renewablea-1 + (E137 * BUI_COL (307 + ((A137 - 1) * 8) * BUI_COL6 / (J137-I137+1) / 1000000)</v>
      </c>
      <c r="BR760" s="1479"/>
      <c r="BS760" s="1479"/>
      <c r="BT760" s="1479"/>
      <c r="BU760" s="1479"/>
      <c r="BV760" s="1479"/>
      <c r="BW760" s="1479"/>
      <c r="BX760" s="1479"/>
      <c r="BY760" s="1479"/>
      <c r="BZ760" s="1479"/>
      <c r="CA760" s="1479"/>
      <c r="CB760" s="1479"/>
      <c r="CC760" s="1479"/>
      <c r="CD760" s="1479"/>
      <c r="CE760" s="1479"/>
      <c r="CF760" s="1479"/>
      <c r="CG760" s="1479"/>
      <c r="CH760" s="1472"/>
      <c r="CI760" s="917" t="s">
        <v>2609</v>
      </c>
      <c r="CJ760" s="536" t="s">
        <v>2610</v>
      </c>
      <c r="CK760" s="536" t="s">
        <v>1625</v>
      </c>
      <c r="CL760" s="919"/>
    </row>
    <row r="761" spans="32:90" ht="20.100000000000001" customHeight="1" thickBot="1">
      <c r="AF761" s="356"/>
      <c r="AG761" s="310" t="s">
        <v>1226</v>
      </c>
      <c r="AH761" s="310" t="s">
        <v>1497</v>
      </c>
      <c r="AI761" s="786">
        <f>INDEX('DEFAULT DATA'!$AFS$9:$AIT$41,START!$C$3,(8+(($A$138-1)*8)))/IF($A$138&lt;5,INDEX('DEFAULT DATA'!$WT$9:$WW$41,START!$C$3,$A$138),1)</f>
        <v>62.784679520715976</v>
      </c>
      <c r="AJ761" s="335"/>
      <c r="AK761" s="348">
        <v>0</v>
      </c>
      <c r="AL761" s="325">
        <f t="shared" ref="AL761:BN761" si="859">IF(AND(AL$753&gt;($I$138+2020),AL$753&lt;($J$138+2022)),AK761+(AL$6*$E$138*$AI$761/($J$138-$I$138+1)/1000000),AK761)</f>
        <v>0</v>
      </c>
      <c r="AM761" s="325">
        <f t="shared" si="859"/>
        <v>0</v>
      </c>
      <c r="AN761" s="325">
        <f t="shared" si="859"/>
        <v>0</v>
      </c>
      <c r="AO761" s="325">
        <f t="shared" si="859"/>
        <v>0</v>
      </c>
      <c r="AP761" s="325">
        <f t="shared" si="859"/>
        <v>0</v>
      </c>
      <c r="AQ761" s="325">
        <f t="shared" si="859"/>
        <v>0</v>
      </c>
      <c r="AR761" s="325">
        <f t="shared" si="859"/>
        <v>0</v>
      </c>
      <c r="AS761" s="325">
        <f t="shared" si="859"/>
        <v>0</v>
      </c>
      <c r="AT761" s="325">
        <f t="shared" si="859"/>
        <v>0</v>
      </c>
      <c r="AU761" s="325">
        <f t="shared" si="859"/>
        <v>0</v>
      </c>
      <c r="AV761" s="325">
        <f t="shared" si="859"/>
        <v>0</v>
      </c>
      <c r="AW761" s="325">
        <f t="shared" si="859"/>
        <v>0</v>
      </c>
      <c r="AX761" s="325">
        <f t="shared" si="859"/>
        <v>0</v>
      </c>
      <c r="AY761" s="325">
        <f t="shared" si="859"/>
        <v>0</v>
      </c>
      <c r="AZ761" s="325">
        <f t="shared" si="859"/>
        <v>0</v>
      </c>
      <c r="BA761" s="325">
        <f t="shared" si="859"/>
        <v>0</v>
      </c>
      <c r="BB761" s="325">
        <f t="shared" si="859"/>
        <v>0</v>
      </c>
      <c r="BC761" s="325">
        <f t="shared" si="859"/>
        <v>0</v>
      </c>
      <c r="BD761" s="325">
        <f t="shared" si="859"/>
        <v>0</v>
      </c>
      <c r="BE761" s="325">
        <f t="shared" si="859"/>
        <v>0</v>
      </c>
      <c r="BF761" s="325">
        <f t="shared" si="859"/>
        <v>0</v>
      </c>
      <c r="BG761" s="325">
        <f t="shared" si="859"/>
        <v>0</v>
      </c>
      <c r="BH761" s="325">
        <f t="shared" si="859"/>
        <v>0</v>
      </c>
      <c r="BI761" s="325">
        <f t="shared" si="859"/>
        <v>0</v>
      </c>
      <c r="BJ761" s="325">
        <f t="shared" si="859"/>
        <v>0</v>
      </c>
      <c r="BK761" s="325">
        <f t="shared" si="859"/>
        <v>0</v>
      </c>
      <c r="BL761" s="325">
        <f t="shared" si="859"/>
        <v>0</v>
      </c>
      <c r="BM761" s="325">
        <f t="shared" si="859"/>
        <v>0</v>
      </c>
      <c r="BN761" s="326">
        <f t="shared" si="859"/>
        <v>0</v>
      </c>
      <c r="BP761" s="536" t="s">
        <v>1226</v>
      </c>
      <c r="BQ761" s="1471" t="str">
        <f t="shared" si="853"/>
        <v>GHG_Heata = GHG_Heata-1 + (E137 * BUI_COL (307 + ((A137 - 1) * 8) * DISTRICT_HEATING_emission_factora (from row 5) / (J137-I137+1) / 1000000)</v>
      </c>
      <c r="BR761" s="1479"/>
      <c r="BS761" s="1479"/>
      <c r="BT761" s="1479"/>
      <c r="BU761" s="1479"/>
      <c r="BV761" s="1479"/>
      <c r="BW761" s="1479"/>
      <c r="BX761" s="1479"/>
      <c r="BY761" s="1479"/>
      <c r="BZ761" s="1479"/>
      <c r="CA761" s="1479"/>
      <c r="CB761" s="1479"/>
      <c r="CC761" s="1479"/>
      <c r="CD761" s="1479"/>
      <c r="CE761" s="1479"/>
      <c r="CF761" s="1479"/>
      <c r="CG761" s="1479"/>
      <c r="CH761" s="1472"/>
      <c r="CI761" s="917" t="s">
        <v>2609</v>
      </c>
      <c r="CJ761" s="536" t="s">
        <v>2610</v>
      </c>
      <c r="CK761" s="536" t="s">
        <v>2602</v>
      </c>
      <c r="CL761" s="919"/>
    </row>
    <row r="762" spans="32:90" ht="20.100000000000001" customHeight="1">
      <c r="AF762" s="332"/>
      <c r="AG762" s="308" t="s">
        <v>310</v>
      </c>
      <c r="AH762" s="309"/>
      <c r="AI762" s="363"/>
      <c r="AJ762" s="309"/>
      <c r="AK762" s="344">
        <v>0</v>
      </c>
      <c r="AL762" s="327">
        <f>SUM(AL754:AL761)</f>
        <v>0</v>
      </c>
      <c r="AM762" s="327">
        <f t="shared" ref="AM762:BN762" si="860">SUM(AM754:AM761)</f>
        <v>0</v>
      </c>
      <c r="AN762" s="327">
        <f t="shared" si="860"/>
        <v>0</v>
      </c>
      <c r="AO762" s="327">
        <f t="shared" si="860"/>
        <v>0</v>
      </c>
      <c r="AP762" s="327">
        <f t="shared" si="860"/>
        <v>0</v>
      </c>
      <c r="AQ762" s="327">
        <f t="shared" si="860"/>
        <v>0</v>
      </c>
      <c r="AR762" s="327">
        <f t="shared" si="860"/>
        <v>0</v>
      </c>
      <c r="AS762" s="327">
        <f t="shared" si="860"/>
        <v>0</v>
      </c>
      <c r="AT762" s="327">
        <f t="shared" si="860"/>
        <v>0</v>
      </c>
      <c r="AU762" s="327">
        <f t="shared" si="860"/>
        <v>0</v>
      </c>
      <c r="AV762" s="327">
        <f t="shared" si="860"/>
        <v>0</v>
      </c>
      <c r="AW762" s="327">
        <f t="shared" si="860"/>
        <v>0</v>
      </c>
      <c r="AX762" s="327">
        <f t="shared" si="860"/>
        <v>0</v>
      </c>
      <c r="AY762" s="327">
        <f t="shared" si="860"/>
        <v>0</v>
      </c>
      <c r="AZ762" s="327">
        <f t="shared" si="860"/>
        <v>0</v>
      </c>
      <c r="BA762" s="327">
        <f t="shared" si="860"/>
        <v>0</v>
      </c>
      <c r="BB762" s="327">
        <f t="shared" si="860"/>
        <v>0</v>
      </c>
      <c r="BC762" s="327">
        <f t="shared" si="860"/>
        <v>0</v>
      </c>
      <c r="BD762" s="327">
        <f t="shared" si="860"/>
        <v>0</v>
      </c>
      <c r="BE762" s="327">
        <f t="shared" si="860"/>
        <v>0</v>
      </c>
      <c r="BF762" s="327">
        <f t="shared" si="860"/>
        <v>0</v>
      </c>
      <c r="BG762" s="327">
        <f t="shared" si="860"/>
        <v>0</v>
      </c>
      <c r="BH762" s="327">
        <f t="shared" si="860"/>
        <v>0</v>
      </c>
      <c r="BI762" s="327">
        <f t="shared" si="860"/>
        <v>0</v>
      </c>
      <c r="BJ762" s="327">
        <f t="shared" si="860"/>
        <v>0</v>
      </c>
      <c r="BK762" s="327">
        <f t="shared" si="860"/>
        <v>0</v>
      </c>
      <c r="BL762" s="327">
        <f t="shared" si="860"/>
        <v>0</v>
      </c>
      <c r="BM762" s="327">
        <f t="shared" si="860"/>
        <v>0</v>
      </c>
      <c r="BN762" s="327">
        <f t="shared" si="860"/>
        <v>0</v>
      </c>
    </row>
    <row r="763" spans="32:90" ht="20.100000000000001" customHeight="1">
      <c r="AI763" s="364"/>
    </row>
    <row r="764" spans="32:90" ht="20.100000000000001" customHeight="1" thickBot="1">
      <c r="AF764" s="333" t="s">
        <v>1514</v>
      </c>
      <c r="AG764" s="333"/>
      <c r="AH764" s="334" t="s">
        <v>977</v>
      </c>
      <c r="AI764" s="1477" t="s">
        <v>2548</v>
      </c>
      <c r="AJ764" s="1478"/>
      <c r="AK764" s="346">
        <v>2021</v>
      </c>
      <c r="AL764" s="284">
        <v>2022</v>
      </c>
      <c r="AM764" s="284">
        <v>2023</v>
      </c>
      <c r="AN764" s="284">
        <v>2024</v>
      </c>
      <c r="AO764" s="284">
        <v>2025</v>
      </c>
      <c r="AP764" s="284">
        <v>2026</v>
      </c>
      <c r="AQ764" s="284">
        <v>2027</v>
      </c>
      <c r="AR764" s="284">
        <v>2028</v>
      </c>
      <c r="AS764" s="284">
        <v>2029</v>
      </c>
      <c r="AT764" s="284">
        <v>2030</v>
      </c>
      <c r="AU764" s="284">
        <v>2031</v>
      </c>
      <c r="AV764" s="284">
        <v>2032</v>
      </c>
      <c r="AW764" s="284">
        <v>2033</v>
      </c>
      <c r="AX764" s="284">
        <v>2034</v>
      </c>
      <c r="AY764" s="284">
        <v>2035</v>
      </c>
      <c r="AZ764" s="284">
        <v>2036</v>
      </c>
      <c r="BA764" s="284">
        <v>2037</v>
      </c>
      <c r="BB764" s="284">
        <v>2038</v>
      </c>
      <c r="BC764" s="284">
        <v>2039</v>
      </c>
      <c r="BD764" s="284">
        <v>2040</v>
      </c>
      <c r="BE764" s="284">
        <v>2041</v>
      </c>
      <c r="BF764" s="284">
        <v>2042</v>
      </c>
      <c r="BG764" s="284">
        <v>2043</v>
      </c>
      <c r="BH764" s="284">
        <v>2044</v>
      </c>
      <c r="BI764" s="284">
        <v>2045</v>
      </c>
      <c r="BJ764" s="284">
        <v>2046</v>
      </c>
      <c r="BK764" s="284">
        <v>2047</v>
      </c>
      <c r="BL764" s="284">
        <v>2048</v>
      </c>
      <c r="BM764" s="284">
        <v>2049</v>
      </c>
      <c r="BN764" s="284">
        <v>2050</v>
      </c>
      <c r="BQ764" s="222" t="s">
        <v>2623</v>
      </c>
      <c r="BR764" s="417"/>
      <c r="BS764" s="417"/>
      <c r="BT764" s="417"/>
      <c r="BU764" s="417"/>
      <c r="BV764" s="417"/>
      <c r="BW764" s="417"/>
      <c r="BX764" s="417"/>
      <c r="BY764" s="417"/>
      <c r="BZ764" s="417"/>
      <c r="CA764" s="417"/>
      <c r="CB764" s="417"/>
      <c r="CC764" s="417"/>
      <c r="CD764" s="417"/>
      <c r="CE764" s="417"/>
      <c r="CF764" s="417"/>
      <c r="CG764" s="417"/>
      <c r="CH764" s="417"/>
      <c r="CI764" s="944" t="s">
        <v>1767</v>
      </c>
      <c r="CJ764" s="279" t="s">
        <v>2552</v>
      </c>
      <c r="CK764" s="945" t="s">
        <v>1598</v>
      </c>
    </row>
    <row r="765" spans="32:90" ht="20.100000000000001" customHeight="1">
      <c r="AF765" s="237" t="str">
        <f>CONCATENATE("conversion from ",INDEX('MENU OPTIONS'!$B$27:$B$36,$A$139,1))</f>
        <v>conversion from Apartment</v>
      </c>
      <c r="AG765" s="286" t="s">
        <v>933</v>
      </c>
      <c r="AH765" s="286" t="s">
        <v>1496</v>
      </c>
      <c r="AI765" s="941">
        <f>INDEX('DEFAULT DATA'!$AFS$9:$AIT$41,START!$C$3,(1+(($A$139-1)*8)))/IF($A$139&lt;5,INDEX('DEFAULT DATA'!$WT$9:$WW$41,START!$C$3,$A$139),1)</f>
        <v>75.341615424859171</v>
      </c>
      <c r="AJ765" s="330"/>
      <c r="AK765" s="343">
        <v>0</v>
      </c>
      <c r="AL765" s="322">
        <f t="shared" ref="AL765:BN765" si="861">IF(AND(AL$764&gt;($I$139+2020),AL$764&lt;($J$139+2022)),AK765+(AL$5*$E$139*$AI$765/($J$139-$I$139+1)/1000000),AK765)</f>
        <v>0</v>
      </c>
      <c r="AM765" s="322">
        <f t="shared" si="861"/>
        <v>0</v>
      </c>
      <c r="AN765" s="322">
        <f t="shared" si="861"/>
        <v>0</v>
      </c>
      <c r="AO765" s="322">
        <f t="shared" si="861"/>
        <v>0</v>
      </c>
      <c r="AP765" s="322">
        <f t="shared" si="861"/>
        <v>0</v>
      </c>
      <c r="AQ765" s="322">
        <f t="shared" si="861"/>
        <v>0</v>
      </c>
      <c r="AR765" s="322">
        <f t="shared" si="861"/>
        <v>0</v>
      </c>
      <c r="AS765" s="322">
        <f t="shared" si="861"/>
        <v>0</v>
      </c>
      <c r="AT765" s="322">
        <f t="shared" si="861"/>
        <v>0</v>
      </c>
      <c r="AU765" s="322">
        <f t="shared" si="861"/>
        <v>0</v>
      </c>
      <c r="AV765" s="322">
        <f t="shared" si="861"/>
        <v>0</v>
      </c>
      <c r="AW765" s="322">
        <f t="shared" si="861"/>
        <v>0</v>
      </c>
      <c r="AX765" s="322">
        <f t="shared" si="861"/>
        <v>0</v>
      </c>
      <c r="AY765" s="322">
        <f t="shared" si="861"/>
        <v>0</v>
      </c>
      <c r="AZ765" s="322">
        <f t="shared" si="861"/>
        <v>0</v>
      </c>
      <c r="BA765" s="322">
        <f t="shared" si="861"/>
        <v>0</v>
      </c>
      <c r="BB765" s="322">
        <f t="shared" si="861"/>
        <v>0</v>
      </c>
      <c r="BC765" s="322">
        <f t="shared" si="861"/>
        <v>0</v>
      </c>
      <c r="BD765" s="322">
        <f t="shared" si="861"/>
        <v>0</v>
      </c>
      <c r="BE765" s="322">
        <f t="shared" si="861"/>
        <v>0</v>
      </c>
      <c r="BF765" s="322">
        <f t="shared" si="861"/>
        <v>0</v>
      </c>
      <c r="BG765" s="322">
        <f t="shared" si="861"/>
        <v>0</v>
      </c>
      <c r="BH765" s="322">
        <f t="shared" si="861"/>
        <v>0</v>
      </c>
      <c r="BI765" s="322">
        <f t="shared" si="861"/>
        <v>0</v>
      </c>
      <c r="BJ765" s="322">
        <f t="shared" si="861"/>
        <v>0</v>
      </c>
      <c r="BK765" s="322">
        <f t="shared" si="861"/>
        <v>0</v>
      </c>
      <c r="BL765" s="322">
        <f t="shared" si="861"/>
        <v>0</v>
      </c>
      <c r="BM765" s="322">
        <f t="shared" si="861"/>
        <v>0</v>
      </c>
      <c r="BN765" s="323">
        <f t="shared" si="861"/>
        <v>0</v>
      </c>
      <c r="BP765" s="536" t="s">
        <v>933</v>
      </c>
      <c r="BQ765" s="1471" t="str">
        <f>CONCATENATE("GHG_",BP765,"a = GHG_",BP765,"a-1 + (E138 * ",CI765," * ",CK765," / (",CJ765,") / 1000000)")</f>
        <v>GHG_Electricitya = GHG_Electricitya-1 + (E138 * BUI_COL (307 + ((A138 - 1) * 8) * GRID_ELECTRICITY_emission_factora (from row4) / (J138-I138+1) / 1000000)</v>
      </c>
      <c r="BR765" s="1479"/>
      <c r="BS765" s="1479"/>
      <c r="BT765" s="1479"/>
      <c r="BU765" s="1479"/>
      <c r="BV765" s="1479"/>
      <c r="BW765" s="1479"/>
      <c r="BX765" s="1479"/>
      <c r="BY765" s="1479"/>
      <c r="BZ765" s="1479"/>
      <c r="CA765" s="1479"/>
      <c r="CB765" s="1479"/>
      <c r="CC765" s="1479"/>
      <c r="CD765" s="1479"/>
      <c r="CE765" s="1479"/>
      <c r="CF765" s="1479"/>
      <c r="CG765" s="1479"/>
      <c r="CH765" s="1472"/>
      <c r="CI765" s="917" t="s">
        <v>2611</v>
      </c>
      <c r="CJ765" s="536" t="s">
        <v>2612</v>
      </c>
      <c r="CK765" s="536" t="s">
        <v>2601</v>
      </c>
      <c r="CL765" s="919"/>
    </row>
    <row r="766" spans="32:90" ht="20.100000000000001" customHeight="1">
      <c r="AF766" s="355"/>
      <c r="AG766" s="251" t="s">
        <v>1220</v>
      </c>
      <c r="AH766" s="251">
        <f>INDEX('DEFAULT DATA'!$VE$9:$VK$41,START!$C$3,1)</f>
        <v>202</v>
      </c>
      <c r="AI766" s="660">
        <f>INDEX('DEFAULT DATA'!$AFS$9:$AIT$41,START!$C$3,(2+(($A$139-1)*8)))/IF($A$139&lt;5,INDEX('DEFAULT DATA'!$WT$9:$WW$41,START!$C$3,$A$139),1)</f>
        <v>2.0928226506905325</v>
      </c>
      <c r="AJ766" s="262"/>
      <c r="AK766" s="345">
        <v>0</v>
      </c>
      <c r="AL766" s="272">
        <f t="shared" ref="AL766:BN766" si="862">IF(AND(AL$764&gt;($I$139+2020),AL$764&lt;($J$139+2022)),AK766+($AH$766*$E$139*$AI$766/($J$139-$I$139+1)/1000000),AK766)</f>
        <v>0</v>
      </c>
      <c r="AM766" s="272">
        <f t="shared" si="862"/>
        <v>0</v>
      </c>
      <c r="AN766" s="272">
        <f t="shared" si="862"/>
        <v>0</v>
      </c>
      <c r="AO766" s="272">
        <f t="shared" si="862"/>
        <v>0</v>
      </c>
      <c r="AP766" s="272">
        <f t="shared" si="862"/>
        <v>0</v>
      </c>
      <c r="AQ766" s="272">
        <f t="shared" si="862"/>
        <v>0</v>
      </c>
      <c r="AR766" s="272">
        <f t="shared" si="862"/>
        <v>0</v>
      </c>
      <c r="AS766" s="272">
        <f t="shared" si="862"/>
        <v>0</v>
      </c>
      <c r="AT766" s="272">
        <f t="shared" si="862"/>
        <v>0</v>
      </c>
      <c r="AU766" s="272">
        <f t="shared" si="862"/>
        <v>0</v>
      </c>
      <c r="AV766" s="272">
        <f t="shared" si="862"/>
        <v>0</v>
      </c>
      <c r="AW766" s="272">
        <f t="shared" si="862"/>
        <v>0</v>
      </c>
      <c r="AX766" s="272">
        <f t="shared" si="862"/>
        <v>0</v>
      </c>
      <c r="AY766" s="272">
        <f t="shared" si="862"/>
        <v>0</v>
      </c>
      <c r="AZ766" s="272">
        <f t="shared" si="862"/>
        <v>0</v>
      </c>
      <c r="BA766" s="272">
        <f t="shared" si="862"/>
        <v>0</v>
      </c>
      <c r="BB766" s="272">
        <f t="shared" si="862"/>
        <v>0</v>
      </c>
      <c r="BC766" s="272">
        <f t="shared" si="862"/>
        <v>0</v>
      </c>
      <c r="BD766" s="272">
        <f t="shared" si="862"/>
        <v>0</v>
      </c>
      <c r="BE766" s="272">
        <f t="shared" si="862"/>
        <v>0</v>
      </c>
      <c r="BF766" s="272">
        <f t="shared" si="862"/>
        <v>0</v>
      </c>
      <c r="BG766" s="272">
        <f t="shared" si="862"/>
        <v>0</v>
      </c>
      <c r="BH766" s="272">
        <f t="shared" si="862"/>
        <v>0</v>
      </c>
      <c r="BI766" s="272">
        <f t="shared" si="862"/>
        <v>0</v>
      </c>
      <c r="BJ766" s="272">
        <f t="shared" si="862"/>
        <v>0</v>
      </c>
      <c r="BK766" s="272">
        <f t="shared" si="862"/>
        <v>0</v>
      </c>
      <c r="BL766" s="272">
        <f t="shared" si="862"/>
        <v>0</v>
      </c>
      <c r="BM766" s="272">
        <f t="shared" si="862"/>
        <v>0</v>
      </c>
      <c r="BN766" s="324">
        <f t="shared" si="862"/>
        <v>0</v>
      </c>
      <c r="BP766" s="536" t="s">
        <v>1220</v>
      </c>
      <c r="BQ766" s="1471" t="str">
        <f t="shared" ref="BQ766:BQ772" si="863">CONCATENATE("GHG_",BP766,"a = GHG_",BP766,"a-1 + (E138 * ",CI766," * ",CK766," / (",CJ766,") / 1000000)")</f>
        <v>GHG_Gasa = GHG_Gasa-1 + (E138 * BUI_COL (307 + ((A138 - 1) * 8) * BUI_COL1 / (J138-I138+1) / 1000000)</v>
      </c>
      <c r="BR766" s="1479"/>
      <c r="BS766" s="1479"/>
      <c r="BT766" s="1479"/>
      <c r="BU766" s="1479"/>
      <c r="BV766" s="1479"/>
      <c r="BW766" s="1479"/>
      <c r="BX766" s="1479"/>
      <c r="BY766" s="1479"/>
      <c r="BZ766" s="1479"/>
      <c r="CA766" s="1479"/>
      <c r="CB766" s="1479"/>
      <c r="CC766" s="1479"/>
      <c r="CD766" s="1479"/>
      <c r="CE766" s="1479"/>
      <c r="CF766" s="1479"/>
      <c r="CG766" s="1479"/>
      <c r="CH766" s="1472"/>
      <c r="CI766" s="917" t="s">
        <v>2611</v>
      </c>
      <c r="CJ766" s="536" t="s">
        <v>2612</v>
      </c>
      <c r="CK766" s="536" t="s">
        <v>1248</v>
      </c>
      <c r="CL766" s="919"/>
    </row>
    <row r="767" spans="32:90" ht="20.100000000000001" customHeight="1">
      <c r="AF767" s="40"/>
      <c r="AG767" s="251" t="s">
        <v>1221</v>
      </c>
      <c r="AH767" s="251">
        <f>INDEX('DEFAULT DATA'!$VE$9:$VK$41,START!$C$3,2)</f>
        <v>279</v>
      </c>
      <c r="AI767" s="660">
        <f>INDEX('DEFAULT DATA'!$AFS$9:$AIT$41,START!$C$3,(3+(($A$139-1)*8)))/IF($A$139&lt;5,INDEX('DEFAULT DATA'!$WT$9:$WW$41,START!$C$3,$A$139),1)</f>
        <v>16.74258120552426</v>
      </c>
      <c r="AJ767" s="262"/>
      <c r="AK767" s="345">
        <v>0</v>
      </c>
      <c r="AL767" s="272">
        <f t="shared" ref="AL767:BN767" si="864">IF(AND(AL$764&gt;($I$139+2020),AL$764&lt;($J$139+2022)),AK767+($AH$767*$E$139*$AI$767/($J$139-$I$139+1)/1000000),AK767)</f>
        <v>0</v>
      </c>
      <c r="AM767" s="272">
        <f t="shared" si="864"/>
        <v>0</v>
      </c>
      <c r="AN767" s="272">
        <f t="shared" si="864"/>
        <v>0</v>
      </c>
      <c r="AO767" s="272">
        <f t="shared" si="864"/>
        <v>0</v>
      </c>
      <c r="AP767" s="272">
        <f t="shared" si="864"/>
        <v>0</v>
      </c>
      <c r="AQ767" s="272">
        <f t="shared" si="864"/>
        <v>0</v>
      </c>
      <c r="AR767" s="272">
        <f t="shared" si="864"/>
        <v>0</v>
      </c>
      <c r="AS767" s="272">
        <f t="shared" si="864"/>
        <v>0</v>
      </c>
      <c r="AT767" s="272">
        <f t="shared" si="864"/>
        <v>0</v>
      </c>
      <c r="AU767" s="272">
        <f t="shared" si="864"/>
        <v>0</v>
      </c>
      <c r="AV767" s="272">
        <f t="shared" si="864"/>
        <v>0</v>
      </c>
      <c r="AW767" s="272">
        <f t="shared" si="864"/>
        <v>0</v>
      </c>
      <c r="AX767" s="272">
        <f t="shared" si="864"/>
        <v>0</v>
      </c>
      <c r="AY767" s="272">
        <f t="shared" si="864"/>
        <v>0</v>
      </c>
      <c r="AZ767" s="272">
        <f t="shared" si="864"/>
        <v>0</v>
      </c>
      <c r="BA767" s="272">
        <f t="shared" si="864"/>
        <v>0</v>
      </c>
      <c r="BB767" s="272">
        <f t="shared" si="864"/>
        <v>0</v>
      </c>
      <c r="BC767" s="272">
        <f t="shared" si="864"/>
        <v>0</v>
      </c>
      <c r="BD767" s="272">
        <f t="shared" si="864"/>
        <v>0</v>
      </c>
      <c r="BE767" s="272">
        <f t="shared" si="864"/>
        <v>0</v>
      </c>
      <c r="BF767" s="272">
        <f t="shared" si="864"/>
        <v>0</v>
      </c>
      <c r="BG767" s="272">
        <f t="shared" si="864"/>
        <v>0</v>
      </c>
      <c r="BH767" s="272">
        <f t="shared" si="864"/>
        <v>0</v>
      </c>
      <c r="BI767" s="272">
        <f t="shared" si="864"/>
        <v>0</v>
      </c>
      <c r="BJ767" s="272">
        <f t="shared" si="864"/>
        <v>0</v>
      </c>
      <c r="BK767" s="272">
        <f t="shared" si="864"/>
        <v>0</v>
      </c>
      <c r="BL767" s="272">
        <f t="shared" si="864"/>
        <v>0</v>
      </c>
      <c r="BM767" s="272">
        <f t="shared" si="864"/>
        <v>0</v>
      </c>
      <c r="BN767" s="324">
        <f t="shared" si="864"/>
        <v>0</v>
      </c>
      <c r="BP767" s="536" t="s">
        <v>1221</v>
      </c>
      <c r="BQ767" s="1471" t="str">
        <f t="shared" si="863"/>
        <v>GHG_Oila = GHG_Oila-1 + (E138 * BUI_COL (307 + ((A138 - 1) * 8) * BUI_COL2 / (J138-I138+1) / 1000000)</v>
      </c>
      <c r="BR767" s="1479"/>
      <c r="BS767" s="1479"/>
      <c r="BT767" s="1479"/>
      <c r="BU767" s="1479"/>
      <c r="BV767" s="1479"/>
      <c r="BW767" s="1479"/>
      <c r="BX767" s="1479"/>
      <c r="BY767" s="1479"/>
      <c r="BZ767" s="1479"/>
      <c r="CA767" s="1479"/>
      <c r="CB767" s="1479"/>
      <c r="CC767" s="1479"/>
      <c r="CD767" s="1479"/>
      <c r="CE767" s="1479"/>
      <c r="CF767" s="1479"/>
      <c r="CG767" s="1479"/>
      <c r="CH767" s="1472"/>
      <c r="CI767" s="917" t="s">
        <v>2611</v>
      </c>
      <c r="CJ767" s="536" t="s">
        <v>2612</v>
      </c>
      <c r="CK767" s="536" t="s">
        <v>1621</v>
      </c>
      <c r="CL767" s="919"/>
    </row>
    <row r="768" spans="32:90" ht="20.100000000000001" customHeight="1">
      <c r="AF768" s="40"/>
      <c r="AG768" s="251" t="s">
        <v>1222</v>
      </c>
      <c r="AH768" s="251">
        <f>INDEX('DEFAULT DATA'!$VE$9:$VK$41,START!$C$3,3)</f>
        <v>354</v>
      </c>
      <c r="AI768" s="660">
        <f>INDEX('DEFAULT DATA'!$AFS$9:$AIT$41,START!$C$3,(4+(($A$139-1)*8)))/IF($A$139&lt;5,INDEX('DEFAULT DATA'!$WT$9:$WW$41,START!$C$3,$A$139),1)</f>
        <v>0</v>
      </c>
      <c r="AJ768" s="262"/>
      <c r="AK768" s="345">
        <v>0</v>
      </c>
      <c r="AL768" s="272">
        <f t="shared" ref="AL768:BN768" si="865">IF(AND(AL$764&gt;($I$139+2020),AL$764&lt;($J$139+2022)),AK768+($AH$768*$E$139*$AI$768/($J$139-$I$139+1)/1000000),AK768)</f>
        <v>0</v>
      </c>
      <c r="AM768" s="272">
        <f t="shared" si="865"/>
        <v>0</v>
      </c>
      <c r="AN768" s="272">
        <f t="shared" si="865"/>
        <v>0</v>
      </c>
      <c r="AO768" s="272">
        <f t="shared" si="865"/>
        <v>0</v>
      </c>
      <c r="AP768" s="272">
        <f t="shared" si="865"/>
        <v>0</v>
      </c>
      <c r="AQ768" s="272">
        <f t="shared" si="865"/>
        <v>0</v>
      </c>
      <c r="AR768" s="272">
        <f t="shared" si="865"/>
        <v>0</v>
      </c>
      <c r="AS768" s="272">
        <f t="shared" si="865"/>
        <v>0</v>
      </c>
      <c r="AT768" s="272">
        <f t="shared" si="865"/>
        <v>0</v>
      </c>
      <c r="AU768" s="272">
        <f t="shared" si="865"/>
        <v>0</v>
      </c>
      <c r="AV768" s="272">
        <f t="shared" si="865"/>
        <v>0</v>
      </c>
      <c r="AW768" s="272">
        <f t="shared" si="865"/>
        <v>0</v>
      </c>
      <c r="AX768" s="272">
        <f t="shared" si="865"/>
        <v>0</v>
      </c>
      <c r="AY768" s="272">
        <f t="shared" si="865"/>
        <v>0</v>
      </c>
      <c r="AZ768" s="272">
        <f t="shared" si="865"/>
        <v>0</v>
      </c>
      <c r="BA768" s="272">
        <f t="shared" si="865"/>
        <v>0</v>
      </c>
      <c r="BB768" s="272">
        <f t="shared" si="865"/>
        <v>0</v>
      </c>
      <c r="BC768" s="272">
        <f t="shared" si="865"/>
        <v>0</v>
      </c>
      <c r="BD768" s="272">
        <f t="shared" si="865"/>
        <v>0</v>
      </c>
      <c r="BE768" s="272">
        <f t="shared" si="865"/>
        <v>0</v>
      </c>
      <c r="BF768" s="272">
        <f t="shared" si="865"/>
        <v>0</v>
      </c>
      <c r="BG768" s="272">
        <f t="shared" si="865"/>
        <v>0</v>
      </c>
      <c r="BH768" s="272">
        <f t="shared" si="865"/>
        <v>0</v>
      </c>
      <c r="BI768" s="272">
        <f t="shared" si="865"/>
        <v>0</v>
      </c>
      <c r="BJ768" s="272">
        <f t="shared" si="865"/>
        <v>0</v>
      </c>
      <c r="BK768" s="272">
        <f t="shared" si="865"/>
        <v>0</v>
      </c>
      <c r="BL768" s="272">
        <f t="shared" si="865"/>
        <v>0</v>
      </c>
      <c r="BM768" s="272">
        <f t="shared" si="865"/>
        <v>0</v>
      </c>
      <c r="BN768" s="324">
        <f t="shared" si="865"/>
        <v>0</v>
      </c>
      <c r="BP768" s="536" t="s">
        <v>1222</v>
      </c>
      <c r="BQ768" s="1471" t="str">
        <f t="shared" si="863"/>
        <v>GHG_Coala = GHG_Coala-1 + (E138 * BUI_COL (307 + ((A138 - 1) * 8) * BUI_COL3 / (J138-I138+1) / 1000000)</v>
      </c>
      <c r="BR768" s="1479"/>
      <c r="BS768" s="1479"/>
      <c r="BT768" s="1479"/>
      <c r="BU768" s="1479"/>
      <c r="BV768" s="1479"/>
      <c r="BW768" s="1479"/>
      <c r="BX768" s="1479"/>
      <c r="BY768" s="1479"/>
      <c r="BZ768" s="1479"/>
      <c r="CA768" s="1479"/>
      <c r="CB768" s="1479"/>
      <c r="CC768" s="1479"/>
      <c r="CD768" s="1479"/>
      <c r="CE768" s="1479"/>
      <c r="CF768" s="1479"/>
      <c r="CG768" s="1479"/>
      <c r="CH768" s="1472"/>
      <c r="CI768" s="917" t="s">
        <v>2611</v>
      </c>
      <c r="CJ768" s="536" t="s">
        <v>2612</v>
      </c>
      <c r="CK768" s="536" t="s">
        <v>1622</v>
      </c>
      <c r="CL768" s="919"/>
    </row>
    <row r="769" spans="7:90" ht="20.100000000000001" customHeight="1">
      <c r="AF769" s="355"/>
      <c r="AG769" s="251" t="s">
        <v>1223</v>
      </c>
      <c r="AH769" s="251">
        <f>INDEX('DEFAULT DATA'!$VE$9:$VK$41,START!$C$3,4)</f>
        <v>0</v>
      </c>
      <c r="AI769" s="660">
        <f>INDEX('DEFAULT DATA'!$AFS$9:$AIT$41,START!$C$3,(5+(($A$139-1)*8)))/IF($A$139&lt;5,INDEX('DEFAULT DATA'!$WT$9:$WW$41,START!$C$3,$A$139),1)</f>
        <v>0</v>
      </c>
      <c r="AJ769" s="262"/>
      <c r="AK769" s="345">
        <v>0</v>
      </c>
      <c r="AL769" s="272">
        <f t="shared" ref="AL769:BN769" si="866">IF(AND(AL$764&gt;($I$139+2020),AL$764&lt;($J$139+2022)),AK769+($AH$769*$E$139*$AI$769/($J$139-$I$139+1)/1000000),AK769)</f>
        <v>0</v>
      </c>
      <c r="AM769" s="272">
        <f t="shared" si="866"/>
        <v>0</v>
      </c>
      <c r="AN769" s="272">
        <f t="shared" si="866"/>
        <v>0</v>
      </c>
      <c r="AO769" s="272">
        <f t="shared" si="866"/>
        <v>0</v>
      </c>
      <c r="AP769" s="272">
        <f t="shared" si="866"/>
        <v>0</v>
      </c>
      <c r="AQ769" s="272">
        <f t="shared" si="866"/>
        <v>0</v>
      </c>
      <c r="AR769" s="272">
        <f t="shared" si="866"/>
        <v>0</v>
      </c>
      <c r="AS769" s="272">
        <f t="shared" si="866"/>
        <v>0</v>
      </c>
      <c r="AT769" s="272">
        <f t="shared" si="866"/>
        <v>0</v>
      </c>
      <c r="AU769" s="272">
        <f t="shared" si="866"/>
        <v>0</v>
      </c>
      <c r="AV769" s="272">
        <f t="shared" si="866"/>
        <v>0</v>
      </c>
      <c r="AW769" s="272">
        <f t="shared" si="866"/>
        <v>0</v>
      </c>
      <c r="AX769" s="272">
        <f t="shared" si="866"/>
        <v>0</v>
      </c>
      <c r="AY769" s="272">
        <f t="shared" si="866"/>
        <v>0</v>
      </c>
      <c r="AZ769" s="272">
        <f t="shared" si="866"/>
        <v>0</v>
      </c>
      <c r="BA769" s="272">
        <f t="shared" si="866"/>
        <v>0</v>
      </c>
      <c r="BB769" s="272">
        <f t="shared" si="866"/>
        <v>0</v>
      </c>
      <c r="BC769" s="272">
        <f t="shared" si="866"/>
        <v>0</v>
      </c>
      <c r="BD769" s="272">
        <f t="shared" si="866"/>
        <v>0</v>
      </c>
      <c r="BE769" s="272">
        <f t="shared" si="866"/>
        <v>0</v>
      </c>
      <c r="BF769" s="272">
        <f t="shared" si="866"/>
        <v>0</v>
      </c>
      <c r="BG769" s="272">
        <f t="shared" si="866"/>
        <v>0</v>
      </c>
      <c r="BH769" s="272">
        <f t="shared" si="866"/>
        <v>0</v>
      </c>
      <c r="BI769" s="272">
        <f t="shared" si="866"/>
        <v>0</v>
      </c>
      <c r="BJ769" s="272">
        <f t="shared" si="866"/>
        <v>0</v>
      </c>
      <c r="BK769" s="272">
        <f t="shared" si="866"/>
        <v>0</v>
      </c>
      <c r="BL769" s="272">
        <f t="shared" si="866"/>
        <v>0</v>
      </c>
      <c r="BM769" s="272">
        <f t="shared" si="866"/>
        <v>0</v>
      </c>
      <c r="BN769" s="324">
        <f t="shared" si="866"/>
        <v>0</v>
      </c>
      <c r="BP769" s="536" t="s">
        <v>1223</v>
      </c>
      <c r="BQ769" s="1471" t="str">
        <f t="shared" si="863"/>
        <v>GHG_Peata = GHG_Peata-1 + (E138 * BUI_COL (307 + ((A138 - 1) * 8) * BUI_COL4 / (J138-I138+1) / 1000000)</v>
      </c>
      <c r="BR769" s="1479"/>
      <c r="BS769" s="1479"/>
      <c r="BT769" s="1479"/>
      <c r="BU769" s="1479"/>
      <c r="BV769" s="1479"/>
      <c r="BW769" s="1479"/>
      <c r="BX769" s="1479"/>
      <c r="BY769" s="1479"/>
      <c r="BZ769" s="1479"/>
      <c r="CA769" s="1479"/>
      <c r="CB769" s="1479"/>
      <c r="CC769" s="1479"/>
      <c r="CD769" s="1479"/>
      <c r="CE769" s="1479"/>
      <c r="CF769" s="1479"/>
      <c r="CG769" s="1479"/>
      <c r="CH769" s="1472"/>
      <c r="CI769" s="917" t="s">
        <v>2611</v>
      </c>
      <c r="CJ769" s="536" t="s">
        <v>2612</v>
      </c>
      <c r="CK769" s="536" t="s">
        <v>1623</v>
      </c>
      <c r="CL769" s="919"/>
    </row>
    <row r="770" spans="7:90" ht="20.100000000000001" customHeight="1">
      <c r="AF770" s="355"/>
      <c r="AG770" s="251" t="s">
        <v>1224</v>
      </c>
      <c r="AH770" s="251">
        <f>INDEX('DEFAULT DATA'!$VE$9:$VK$41,START!$C$3,5)</f>
        <v>403</v>
      </c>
      <c r="AI770" s="660">
        <f>INDEX('DEFAULT DATA'!$AFS$9:$AIT$41,START!$C$3,(6+(($A$139-1)*8)))/IF($A$139&lt;5,INDEX('DEFAULT DATA'!$WT$9:$WW$41,START!$C$3,$A$139),1)</f>
        <v>0</v>
      </c>
      <c r="AJ770" s="262"/>
      <c r="AK770" s="345">
        <v>0</v>
      </c>
      <c r="AL770" s="272">
        <f t="shared" ref="AL770:BN770" si="867">IF(AND(AL$764&gt;($I$139+2020),AL$764&lt;($J$139+2022)),AK770+($AH$770*$E$139*$AI$770/($J$139-$I$139+1)/1000000),AK770)</f>
        <v>0</v>
      </c>
      <c r="AM770" s="272">
        <f t="shared" si="867"/>
        <v>0</v>
      </c>
      <c r="AN770" s="272">
        <f t="shared" si="867"/>
        <v>0</v>
      </c>
      <c r="AO770" s="272">
        <f t="shared" si="867"/>
        <v>0</v>
      </c>
      <c r="AP770" s="272">
        <f t="shared" si="867"/>
        <v>0</v>
      </c>
      <c r="AQ770" s="272">
        <f t="shared" si="867"/>
        <v>0</v>
      </c>
      <c r="AR770" s="272">
        <f t="shared" si="867"/>
        <v>0</v>
      </c>
      <c r="AS770" s="272">
        <f t="shared" si="867"/>
        <v>0</v>
      </c>
      <c r="AT770" s="272">
        <f t="shared" si="867"/>
        <v>0</v>
      </c>
      <c r="AU770" s="272">
        <f t="shared" si="867"/>
        <v>0</v>
      </c>
      <c r="AV770" s="272">
        <f t="shared" si="867"/>
        <v>0</v>
      </c>
      <c r="AW770" s="272">
        <f t="shared" si="867"/>
        <v>0</v>
      </c>
      <c r="AX770" s="272">
        <f t="shared" si="867"/>
        <v>0</v>
      </c>
      <c r="AY770" s="272">
        <f t="shared" si="867"/>
        <v>0</v>
      </c>
      <c r="AZ770" s="272">
        <f t="shared" si="867"/>
        <v>0</v>
      </c>
      <c r="BA770" s="272">
        <f t="shared" si="867"/>
        <v>0</v>
      </c>
      <c r="BB770" s="272">
        <f t="shared" si="867"/>
        <v>0</v>
      </c>
      <c r="BC770" s="272">
        <f t="shared" si="867"/>
        <v>0</v>
      </c>
      <c r="BD770" s="272">
        <f t="shared" si="867"/>
        <v>0</v>
      </c>
      <c r="BE770" s="272">
        <f t="shared" si="867"/>
        <v>0</v>
      </c>
      <c r="BF770" s="272">
        <f t="shared" si="867"/>
        <v>0</v>
      </c>
      <c r="BG770" s="272">
        <f t="shared" si="867"/>
        <v>0</v>
      </c>
      <c r="BH770" s="272">
        <f t="shared" si="867"/>
        <v>0</v>
      </c>
      <c r="BI770" s="272">
        <f t="shared" si="867"/>
        <v>0</v>
      </c>
      <c r="BJ770" s="272">
        <f t="shared" si="867"/>
        <v>0</v>
      </c>
      <c r="BK770" s="272">
        <f t="shared" si="867"/>
        <v>0</v>
      </c>
      <c r="BL770" s="272">
        <f t="shared" si="867"/>
        <v>0</v>
      </c>
      <c r="BM770" s="272">
        <f t="shared" si="867"/>
        <v>0</v>
      </c>
      <c r="BN770" s="324">
        <f t="shared" si="867"/>
        <v>0</v>
      </c>
      <c r="BP770" s="536" t="s">
        <v>1224</v>
      </c>
      <c r="BQ770" s="1471" t="str">
        <f t="shared" si="863"/>
        <v>GHG_Wooda = GHG_Wooda-1 + (E138 * BUI_COL (307 + ((A138 - 1) * 8) * BUI_COL5 / (J138-I138+1) / 1000000)</v>
      </c>
      <c r="BR770" s="1479"/>
      <c r="BS770" s="1479"/>
      <c r="BT770" s="1479"/>
      <c r="BU770" s="1479"/>
      <c r="BV770" s="1479"/>
      <c r="BW770" s="1479"/>
      <c r="BX770" s="1479"/>
      <c r="BY770" s="1479"/>
      <c r="BZ770" s="1479"/>
      <c r="CA770" s="1479"/>
      <c r="CB770" s="1479"/>
      <c r="CC770" s="1479"/>
      <c r="CD770" s="1479"/>
      <c r="CE770" s="1479"/>
      <c r="CF770" s="1479"/>
      <c r="CG770" s="1479"/>
      <c r="CH770" s="1472"/>
      <c r="CI770" s="917" t="s">
        <v>2611</v>
      </c>
      <c r="CJ770" s="536" t="s">
        <v>2612</v>
      </c>
      <c r="CK770" s="536" t="s">
        <v>1624</v>
      </c>
      <c r="CL770" s="919"/>
    </row>
    <row r="771" spans="7:90" ht="20.100000000000001" customHeight="1">
      <c r="AF771" s="355"/>
      <c r="AG771" s="251" t="s">
        <v>1225</v>
      </c>
      <c r="AH771" s="251">
        <f>INDEX('DEFAULT DATA'!$VE$9:$VK$41,START!$C$3,6)</f>
        <v>0</v>
      </c>
      <c r="AI771" s="660">
        <f>INDEX('DEFAULT DATA'!$AFS$9:$AIT$41,START!$C$3,(7+(($A$139-1)*8)))/IF($A$139&lt;5,INDEX('DEFAULT DATA'!$WT$9:$WW$41,START!$C$3,$A$139),1)</f>
        <v>52.32056626726331</v>
      </c>
      <c r="AJ771" s="262"/>
      <c r="AK771" s="345">
        <v>0</v>
      </c>
      <c r="AL771" s="272">
        <f t="shared" ref="AL771:BN771" si="868">IF(AND(AL$764&gt;($I$139+2020),AL$764&lt;($J$139+2022)),AK771+($AH$771*$E$139*$AI$771/($J$139-$I$139+1)/1000000),AK771)</f>
        <v>0</v>
      </c>
      <c r="AM771" s="272">
        <f t="shared" si="868"/>
        <v>0</v>
      </c>
      <c r="AN771" s="272">
        <f t="shared" si="868"/>
        <v>0</v>
      </c>
      <c r="AO771" s="272">
        <f t="shared" si="868"/>
        <v>0</v>
      </c>
      <c r="AP771" s="272">
        <f t="shared" si="868"/>
        <v>0</v>
      </c>
      <c r="AQ771" s="272">
        <f t="shared" si="868"/>
        <v>0</v>
      </c>
      <c r="AR771" s="272">
        <f t="shared" si="868"/>
        <v>0</v>
      </c>
      <c r="AS771" s="272">
        <f t="shared" si="868"/>
        <v>0</v>
      </c>
      <c r="AT771" s="272">
        <f t="shared" si="868"/>
        <v>0</v>
      </c>
      <c r="AU771" s="272">
        <f t="shared" si="868"/>
        <v>0</v>
      </c>
      <c r="AV771" s="272">
        <f t="shared" si="868"/>
        <v>0</v>
      </c>
      <c r="AW771" s="272">
        <f t="shared" si="868"/>
        <v>0</v>
      </c>
      <c r="AX771" s="272">
        <f t="shared" si="868"/>
        <v>0</v>
      </c>
      <c r="AY771" s="272">
        <f t="shared" si="868"/>
        <v>0</v>
      </c>
      <c r="AZ771" s="272">
        <f t="shared" si="868"/>
        <v>0</v>
      </c>
      <c r="BA771" s="272">
        <f t="shared" si="868"/>
        <v>0</v>
      </c>
      <c r="BB771" s="272">
        <f t="shared" si="868"/>
        <v>0</v>
      </c>
      <c r="BC771" s="272">
        <f t="shared" si="868"/>
        <v>0</v>
      </c>
      <c r="BD771" s="272">
        <f t="shared" si="868"/>
        <v>0</v>
      </c>
      <c r="BE771" s="272">
        <f t="shared" si="868"/>
        <v>0</v>
      </c>
      <c r="BF771" s="272">
        <f t="shared" si="868"/>
        <v>0</v>
      </c>
      <c r="BG771" s="272">
        <f t="shared" si="868"/>
        <v>0</v>
      </c>
      <c r="BH771" s="272">
        <f t="shared" si="868"/>
        <v>0</v>
      </c>
      <c r="BI771" s="272">
        <f t="shared" si="868"/>
        <v>0</v>
      </c>
      <c r="BJ771" s="272">
        <f t="shared" si="868"/>
        <v>0</v>
      </c>
      <c r="BK771" s="272">
        <f t="shared" si="868"/>
        <v>0</v>
      </c>
      <c r="BL771" s="272">
        <f t="shared" si="868"/>
        <v>0</v>
      </c>
      <c r="BM771" s="272">
        <f t="shared" si="868"/>
        <v>0</v>
      </c>
      <c r="BN771" s="324">
        <f t="shared" si="868"/>
        <v>0</v>
      </c>
      <c r="BP771" s="536" t="s">
        <v>1225</v>
      </c>
      <c r="BQ771" s="1471" t="str">
        <f t="shared" si="863"/>
        <v>GHG_Renewablea = GHG_Renewablea-1 + (E138 * BUI_COL (307 + ((A138 - 1) * 8) * BUI_COL6 / (J138-I138+1) / 1000000)</v>
      </c>
      <c r="BR771" s="1479"/>
      <c r="BS771" s="1479"/>
      <c r="BT771" s="1479"/>
      <c r="BU771" s="1479"/>
      <c r="BV771" s="1479"/>
      <c r="BW771" s="1479"/>
      <c r="BX771" s="1479"/>
      <c r="BY771" s="1479"/>
      <c r="BZ771" s="1479"/>
      <c r="CA771" s="1479"/>
      <c r="CB771" s="1479"/>
      <c r="CC771" s="1479"/>
      <c r="CD771" s="1479"/>
      <c r="CE771" s="1479"/>
      <c r="CF771" s="1479"/>
      <c r="CG771" s="1479"/>
      <c r="CH771" s="1472"/>
      <c r="CI771" s="917" t="s">
        <v>2611</v>
      </c>
      <c r="CJ771" s="536" t="s">
        <v>2612</v>
      </c>
      <c r="CK771" s="536" t="s">
        <v>1625</v>
      </c>
      <c r="CL771" s="919"/>
    </row>
    <row r="772" spans="7:90" ht="20.100000000000001" customHeight="1" thickBot="1">
      <c r="AF772" s="356"/>
      <c r="AG772" s="310" t="s">
        <v>1226</v>
      </c>
      <c r="AH772" s="310" t="s">
        <v>1497</v>
      </c>
      <c r="AI772" s="786">
        <f>INDEX('DEFAULT DATA'!$AFS$9:$AIT$41,START!$C$3,(8+(($A$139-1)*8)))/IF($A$139&lt;5,INDEX('DEFAULT DATA'!$WT$9:$WW$41,START!$C$3,$A$139),1)</f>
        <v>62.784679520715976</v>
      </c>
      <c r="AJ772" s="335"/>
      <c r="AK772" s="348">
        <v>0</v>
      </c>
      <c r="AL772" s="325">
        <f t="shared" ref="AL772:BN772" si="869">IF(AND(AL$764&gt;($I$139+2020),AL$764&lt;($J$139+2022)),AK772+(AL6*$E$139*$AI$772/($J$139-$I$139+1)/1000000),AK772)</f>
        <v>0</v>
      </c>
      <c r="AM772" s="325">
        <f t="shared" si="869"/>
        <v>0</v>
      </c>
      <c r="AN772" s="325">
        <f t="shared" si="869"/>
        <v>0</v>
      </c>
      <c r="AO772" s="325">
        <f t="shared" si="869"/>
        <v>0</v>
      </c>
      <c r="AP772" s="325">
        <f t="shared" si="869"/>
        <v>0</v>
      </c>
      <c r="AQ772" s="325">
        <f t="shared" si="869"/>
        <v>0</v>
      </c>
      <c r="AR772" s="325">
        <f t="shared" si="869"/>
        <v>0</v>
      </c>
      <c r="AS772" s="325">
        <f t="shared" si="869"/>
        <v>0</v>
      </c>
      <c r="AT772" s="325">
        <f t="shared" si="869"/>
        <v>0</v>
      </c>
      <c r="AU772" s="325">
        <f t="shared" si="869"/>
        <v>0</v>
      </c>
      <c r="AV772" s="325">
        <f t="shared" si="869"/>
        <v>0</v>
      </c>
      <c r="AW772" s="325">
        <f t="shared" si="869"/>
        <v>0</v>
      </c>
      <c r="AX772" s="325">
        <f t="shared" si="869"/>
        <v>0</v>
      </c>
      <c r="AY772" s="325">
        <f t="shared" si="869"/>
        <v>0</v>
      </c>
      <c r="AZ772" s="325">
        <f t="shared" si="869"/>
        <v>0</v>
      </c>
      <c r="BA772" s="325">
        <f t="shared" si="869"/>
        <v>0</v>
      </c>
      <c r="BB772" s="325">
        <f t="shared" si="869"/>
        <v>0</v>
      </c>
      <c r="BC772" s="325">
        <f t="shared" si="869"/>
        <v>0</v>
      </c>
      <c r="BD772" s="325">
        <f t="shared" si="869"/>
        <v>0</v>
      </c>
      <c r="BE772" s="325">
        <f t="shared" si="869"/>
        <v>0</v>
      </c>
      <c r="BF772" s="325">
        <f t="shared" si="869"/>
        <v>0</v>
      </c>
      <c r="BG772" s="325">
        <f t="shared" si="869"/>
        <v>0</v>
      </c>
      <c r="BH772" s="325">
        <f t="shared" si="869"/>
        <v>0</v>
      </c>
      <c r="BI772" s="325">
        <f t="shared" si="869"/>
        <v>0</v>
      </c>
      <c r="BJ772" s="325">
        <f t="shared" si="869"/>
        <v>0</v>
      </c>
      <c r="BK772" s="325">
        <f t="shared" si="869"/>
        <v>0</v>
      </c>
      <c r="BL772" s="325">
        <f t="shared" si="869"/>
        <v>0</v>
      </c>
      <c r="BM772" s="325">
        <f t="shared" si="869"/>
        <v>0</v>
      </c>
      <c r="BN772" s="326">
        <f t="shared" si="869"/>
        <v>0</v>
      </c>
      <c r="BP772" s="536" t="s">
        <v>1226</v>
      </c>
      <c r="BQ772" s="1471" t="str">
        <f t="shared" si="863"/>
        <v>GHG_Heata = GHG_Heata-1 + (E138 * BUI_COL (307 + ((A138 - 1) * 8) * DISTRICT_HEATING_emission_factora (from row 5) / (J138-I138+1) / 1000000)</v>
      </c>
      <c r="BR772" s="1479"/>
      <c r="BS772" s="1479"/>
      <c r="BT772" s="1479"/>
      <c r="BU772" s="1479"/>
      <c r="BV772" s="1479"/>
      <c r="BW772" s="1479"/>
      <c r="BX772" s="1479"/>
      <c r="BY772" s="1479"/>
      <c r="BZ772" s="1479"/>
      <c r="CA772" s="1479"/>
      <c r="CB772" s="1479"/>
      <c r="CC772" s="1479"/>
      <c r="CD772" s="1479"/>
      <c r="CE772" s="1479"/>
      <c r="CF772" s="1479"/>
      <c r="CG772" s="1479"/>
      <c r="CH772" s="1472"/>
      <c r="CI772" s="917" t="s">
        <v>2611</v>
      </c>
      <c r="CJ772" s="536" t="s">
        <v>2612</v>
      </c>
      <c r="CK772" s="536" t="s">
        <v>2602</v>
      </c>
      <c r="CL772" s="919"/>
    </row>
    <row r="773" spans="7:90" ht="20.100000000000001" customHeight="1">
      <c r="AF773" s="332"/>
      <c r="AG773" s="308" t="s">
        <v>310</v>
      </c>
      <c r="AH773" s="309"/>
      <c r="AI773" s="363"/>
      <c r="AJ773" s="309"/>
      <c r="AK773" s="344">
        <v>0</v>
      </c>
      <c r="AL773" s="327">
        <f>SUM(AL765:AL772)</f>
        <v>0</v>
      </c>
      <c r="AM773" s="327">
        <f t="shared" ref="AM773:BN773" si="870">SUM(AM765:AM772)</f>
        <v>0</v>
      </c>
      <c r="AN773" s="327">
        <f t="shared" si="870"/>
        <v>0</v>
      </c>
      <c r="AO773" s="327">
        <f t="shared" si="870"/>
        <v>0</v>
      </c>
      <c r="AP773" s="327">
        <f t="shared" si="870"/>
        <v>0</v>
      </c>
      <c r="AQ773" s="327">
        <f t="shared" si="870"/>
        <v>0</v>
      </c>
      <c r="AR773" s="327">
        <f t="shared" si="870"/>
        <v>0</v>
      </c>
      <c r="AS773" s="327">
        <f t="shared" si="870"/>
        <v>0</v>
      </c>
      <c r="AT773" s="327">
        <f t="shared" si="870"/>
        <v>0</v>
      </c>
      <c r="AU773" s="327">
        <f t="shared" si="870"/>
        <v>0</v>
      </c>
      <c r="AV773" s="327">
        <f t="shared" si="870"/>
        <v>0</v>
      </c>
      <c r="AW773" s="327">
        <f t="shared" si="870"/>
        <v>0</v>
      </c>
      <c r="AX773" s="327">
        <f t="shared" si="870"/>
        <v>0</v>
      </c>
      <c r="AY773" s="327">
        <f t="shared" si="870"/>
        <v>0</v>
      </c>
      <c r="AZ773" s="327">
        <f t="shared" si="870"/>
        <v>0</v>
      </c>
      <c r="BA773" s="327">
        <f t="shared" si="870"/>
        <v>0</v>
      </c>
      <c r="BB773" s="327">
        <f t="shared" si="870"/>
        <v>0</v>
      </c>
      <c r="BC773" s="327">
        <f t="shared" si="870"/>
        <v>0</v>
      </c>
      <c r="BD773" s="327">
        <f t="shared" si="870"/>
        <v>0</v>
      </c>
      <c r="BE773" s="327">
        <f t="shared" si="870"/>
        <v>0</v>
      </c>
      <c r="BF773" s="327">
        <f t="shared" si="870"/>
        <v>0</v>
      </c>
      <c r="BG773" s="327">
        <f t="shared" si="870"/>
        <v>0</v>
      </c>
      <c r="BH773" s="327">
        <f t="shared" si="870"/>
        <v>0</v>
      </c>
      <c r="BI773" s="327">
        <f t="shared" si="870"/>
        <v>0</v>
      </c>
      <c r="BJ773" s="327">
        <f t="shared" si="870"/>
        <v>0</v>
      </c>
      <c r="BK773" s="327">
        <f t="shared" si="870"/>
        <v>0</v>
      </c>
      <c r="BL773" s="327">
        <f t="shared" si="870"/>
        <v>0</v>
      </c>
      <c r="BM773" s="327">
        <f t="shared" si="870"/>
        <v>0</v>
      </c>
      <c r="BN773" s="327">
        <f t="shared" si="870"/>
        <v>0</v>
      </c>
    </row>
    <row r="774" spans="7:90" ht="20.100000000000001" customHeight="1">
      <c r="G774" s="912"/>
      <c r="AI774" s="364"/>
    </row>
    <row r="775" spans="7:90" ht="20.100000000000001" customHeight="1" thickBot="1">
      <c r="AF775" s="333" t="s">
        <v>1514</v>
      </c>
      <c r="AG775" s="333"/>
      <c r="AH775" s="334" t="s">
        <v>977</v>
      </c>
      <c r="AI775" s="1477" t="s">
        <v>2548</v>
      </c>
      <c r="AJ775" s="1478"/>
      <c r="AK775" s="346">
        <v>2021</v>
      </c>
      <c r="AL775" s="284">
        <v>2022</v>
      </c>
      <c r="AM775" s="284">
        <v>2023</v>
      </c>
      <c r="AN775" s="284">
        <v>2024</v>
      </c>
      <c r="AO775" s="284">
        <v>2025</v>
      </c>
      <c r="AP775" s="284">
        <v>2026</v>
      </c>
      <c r="AQ775" s="284">
        <v>2027</v>
      </c>
      <c r="AR775" s="284">
        <v>2028</v>
      </c>
      <c r="AS775" s="284">
        <v>2029</v>
      </c>
      <c r="AT775" s="284">
        <v>2030</v>
      </c>
      <c r="AU775" s="284">
        <v>2031</v>
      </c>
      <c r="AV775" s="284">
        <v>2032</v>
      </c>
      <c r="AW775" s="284">
        <v>2033</v>
      </c>
      <c r="AX775" s="284">
        <v>2034</v>
      </c>
      <c r="AY775" s="284">
        <v>2035</v>
      </c>
      <c r="AZ775" s="284">
        <v>2036</v>
      </c>
      <c r="BA775" s="284">
        <v>2037</v>
      </c>
      <c r="BB775" s="284">
        <v>2038</v>
      </c>
      <c r="BC775" s="284">
        <v>2039</v>
      </c>
      <c r="BD775" s="284">
        <v>2040</v>
      </c>
      <c r="BE775" s="284">
        <v>2041</v>
      </c>
      <c r="BF775" s="284">
        <v>2042</v>
      </c>
      <c r="BG775" s="284">
        <v>2043</v>
      </c>
      <c r="BH775" s="284">
        <v>2044</v>
      </c>
      <c r="BI775" s="284">
        <v>2045</v>
      </c>
      <c r="BJ775" s="284">
        <v>2046</v>
      </c>
      <c r="BK775" s="284">
        <v>2047</v>
      </c>
      <c r="BL775" s="284">
        <v>2048</v>
      </c>
      <c r="BM775" s="284">
        <v>2049</v>
      </c>
      <c r="BN775" s="284">
        <v>2050</v>
      </c>
      <c r="BQ775" s="222" t="s">
        <v>2624</v>
      </c>
      <c r="BR775" s="417"/>
      <c r="BS775" s="417"/>
      <c r="BT775" s="417"/>
      <c r="BU775" s="417"/>
      <c r="BV775" s="417"/>
      <c r="BW775" s="417"/>
      <c r="BX775" s="417"/>
      <c r="BY775" s="417"/>
      <c r="BZ775" s="417"/>
      <c r="CA775" s="417"/>
      <c r="CB775" s="417"/>
      <c r="CC775" s="417"/>
      <c r="CD775" s="417"/>
      <c r="CE775" s="417"/>
      <c r="CF775" s="417"/>
      <c r="CG775" s="417"/>
      <c r="CH775" s="417"/>
      <c r="CI775" s="944" t="s">
        <v>1767</v>
      </c>
      <c r="CJ775" s="279" t="s">
        <v>2552</v>
      </c>
      <c r="CK775" s="945" t="s">
        <v>1598</v>
      </c>
    </row>
    <row r="776" spans="7:90" ht="20.100000000000001" customHeight="1">
      <c r="AF776" s="237" t="str">
        <f>CONCATENATE("conversion from ",INDEX('MENU OPTIONS'!$B$27:$B$36,$A$140,1))</f>
        <v>conversion from Apartment</v>
      </c>
      <c r="AG776" s="286" t="s">
        <v>933</v>
      </c>
      <c r="AH776" s="286" t="s">
        <v>1496</v>
      </c>
      <c r="AI776" s="941">
        <f>INDEX('DEFAULT DATA'!$AFS$9:$AIT$41,START!$C$3,(1+(($A$140-1)*8)))/IF($A$140&lt;5,INDEX('DEFAULT DATA'!$WT$9:$WW$41,START!$C$3,$A$140),1)</f>
        <v>75.341615424859171</v>
      </c>
      <c r="AJ776" s="330"/>
      <c r="AK776" s="343">
        <v>0</v>
      </c>
      <c r="AL776" s="322">
        <f t="shared" ref="AL776:BN776" si="871">IF(AND(AL$775&gt;($I$140+2020),AL$775&lt;($J$140+2022)),AK776+(AL$5*$E$140*$AI$776/($J$140-$I$140+1)/1000000),AK776)</f>
        <v>0</v>
      </c>
      <c r="AM776" s="322">
        <f t="shared" si="871"/>
        <v>0</v>
      </c>
      <c r="AN776" s="322">
        <f t="shared" si="871"/>
        <v>0</v>
      </c>
      <c r="AO776" s="322">
        <f t="shared" si="871"/>
        <v>0</v>
      </c>
      <c r="AP776" s="322">
        <f t="shared" si="871"/>
        <v>0</v>
      </c>
      <c r="AQ776" s="322">
        <f t="shared" si="871"/>
        <v>0</v>
      </c>
      <c r="AR776" s="322">
        <f t="shared" si="871"/>
        <v>0</v>
      </c>
      <c r="AS776" s="322">
        <f t="shared" si="871"/>
        <v>0</v>
      </c>
      <c r="AT776" s="322">
        <f t="shared" si="871"/>
        <v>0</v>
      </c>
      <c r="AU776" s="322">
        <f t="shared" si="871"/>
        <v>0</v>
      </c>
      <c r="AV776" s="322">
        <f t="shared" si="871"/>
        <v>0</v>
      </c>
      <c r="AW776" s="322">
        <f t="shared" si="871"/>
        <v>0</v>
      </c>
      <c r="AX776" s="322">
        <f t="shared" si="871"/>
        <v>0</v>
      </c>
      <c r="AY776" s="322">
        <f t="shared" si="871"/>
        <v>0</v>
      </c>
      <c r="AZ776" s="322">
        <f t="shared" si="871"/>
        <v>0</v>
      </c>
      <c r="BA776" s="322">
        <f t="shared" si="871"/>
        <v>0</v>
      </c>
      <c r="BB776" s="322">
        <f t="shared" si="871"/>
        <v>0</v>
      </c>
      <c r="BC776" s="322">
        <f t="shared" si="871"/>
        <v>0</v>
      </c>
      <c r="BD776" s="322">
        <f t="shared" si="871"/>
        <v>0</v>
      </c>
      <c r="BE776" s="322">
        <f t="shared" si="871"/>
        <v>0</v>
      </c>
      <c r="BF776" s="322">
        <f t="shared" si="871"/>
        <v>0</v>
      </c>
      <c r="BG776" s="322">
        <f t="shared" si="871"/>
        <v>0</v>
      </c>
      <c r="BH776" s="322">
        <f t="shared" si="871"/>
        <v>0</v>
      </c>
      <c r="BI776" s="322">
        <f t="shared" si="871"/>
        <v>0</v>
      </c>
      <c r="BJ776" s="322">
        <f t="shared" si="871"/>
        <v>0</v>
      </c>
      <c r="BK776" s="322">
        <f t="shared" si="871"/>
        <v>0</v>
      </c>
      <c r="BL776" s="322">
        <f t="shared" si="871"/>
        <v>0</v>
      </c>
      <c r="BM776" s="322">
        <f t="shared" si="871"/>
        <v>0</v>
      </c>
      <c r="BN776" s="323">
        <f t="shared" si="871"/>
        <v>0</v>
      </c>
      <c r="BP776" s="536" t="s">
        <v>933</v>
      </c>
      <c r="BQ776" s="1471" t="str">
        <f>CONCATENATE("GHG_",BP776,"a = GHG_",BP776,"a-1 + (E139 * ",CI776," * ",CK776," / (",CJ776,") / 1000000)")</f>
        <v>GHG_Electricitya = GHG_Electricitya-1 + (E139 * BUI_COL (307 + ((A139 - 1) * 8) * GRID_ELECTRICITY_emission_factora (from row4) / (J139-I139+1) / 1000000)</v>
      </c>
      <c r="BR776" s="1479"/>
      <c r="BS776" s="1479"/>
      <c r="BT776" s="1479"/>
      <c r="BU776" s="1479"/>
      <c r="BV776" s="1479"/>
      <c r="BW776" s="1479"/>
      <c r="BX776" s="1479"/>
      <c r="BY776" s="1479"/>
      <c r="BZ776" s="1479"/>
      <c r="CA776" s="1479"/>
      <c r="CB776" s="1479"/>
      <c r="CC776" s="1479"/>
      <c r="CD776" s="1479"/>
      <c r="CE776" s="1479"/>
      <c r="CF776" s="1479"/>
      <c r="CG776" s="1479"/>
      <c r="CH776" s="1472"/>
      <c r="CI776" s="917" t="s">
        <v>2613</v>
      </c>
      <c r="CJ776" s="536" t="s">
        <v>2614</v>
      </c>
      <c r="CK776" s="536" t="s">
        <v>2601</v>
      </c>
      <c r="CL776" s="919"/>
    </row>
    <row r="777" spans="7:90" ht="20.100000000000001" customHeight="1">
      <c r="AF777" s="355"/>
      <c r="AG777" s="251" t="s">
        <v>1220</v>
      </c>
      <c r="AH777" s="251">
        <f>INDEX('DEFAULT DATA'!$VE$9:$VK$41,START!$C$3,1)</f>
        <v>202</v>
      </c>
      <c r="AI777" s="660">
        <f>INDEX('DEFAULT DATA'!$AFS$9:$AIT$41,START!$C$3,(2+(($A$140-1)*8)))/IF($A$140&lt;5,INDEX('DEFAULT DATA'!$WT$9:$WW$41,START!$C$3,$A$140),1)</f>
        <v>2.0928226506905325</v>
      </c>
      <c r="AJ777" s="262"/>
      <c r="AK777" s="345">
        <v>0</v>
      </c>
      <c r="AL777" s="272">
        <f t="shared" ref="AL777:BN777" si="872">IF(AND(AL$775&gt;($I$140+2020),AL$775&lt;($J$140+2022)),AK777+($AH$777*$E$140*$AI$777/($J$140-$I$140+1)/1000000),AK777)</f>
        <v>0</v>
      </c>
      <c r="AM777" s="272">
        <f t="shared" si="872"/>
        <v>0</v>
      </c>
      <c r="AN777" s="272">
        <f t="shared" si="872"/>
        <v>0</v>
      </c>
      <c r="AO777" s="272">
        <f t="shared" si="872"/>
        <v>0</v>
      </c>
      <c r="AP777" s="272">
        <f t="shared" si="872"/>
        <v>0</v>
      </c>
      <c r="AQ777" s="272">
        <f t="shared" si="872"/>
        <v>0</v>
      </c>
      <c r="AR777" s="272">
        <f t="shared" si="872"/>
        <v>0</v>
      </c>
      <c r="AS777" s="272">
        <f t="shared" si="872"/>
        <v>0</v>
      </c>
      <c r="AT777" s="272">
        <f t="shared" si="872"/>
        <v>0</v>
      </c>
      <c r="AU777" s="272">
        <f t="shared" si="872"/>
        <v>0</v>
      </c>
      <c r="AV777" s="272">
        <f t="shared" si="872"/>
        <v>0</v>
      </c>
      <c r="AW777" s="272">
        <f t="shared" si="872"/>
        <v>0</v>
      </c>
      <c r="AX777" s="272">
        <f t="shared" si="872"/>
        <v>0</v>
      </c>
      <c r="AY777" s="272">
        <f t="shared" si="872"/>
        <v>0</v>
      </c>
      <c r="AZ777" s="272">
        <f t="shared" si="872"/>
        <v>0</v>
      </c>
      <c r="BA777" s="272">
        <f t="shared" si="872"/>
        <v>0</v>
      </c>
      <c r="BB777" s="272">
        <f t="shared" si="872"/>
        <v>0</v>
      </c>
      <c r="BC777" s="272">
        <f t="shared" si="872"/>
        <v>0</v>
      </c>
      <c r="BD777" s="272">
        <f t="shared" si="872"/>
        <v>0</v>
      </c>
      <c r="BE777" s="272">
        <f t="shared" si="872"/>
        <v>0</v>
      </c>
      <c r="BF777" s="272">
        <f t="shared" si="872"/>
        <v>0</v>
      </c>
      <c r="BG777" s="272">
        <f t="shared" si="872"/>
        <v>0</v>
      </c>
      <c r="BH777" s="272">
        <f t="shared" si="872"/>
        <v>0</v>
      </c>
      <c r="BI777" s="272">
        <f t="shared" si="872"/>
        <v>0</v>
      </c>
      <c r="BJ777" s="272">
        <f t="shared" si="872"/>
        <v>0</v>
      </c>
      <c r="BK777" s="272">
        <f t="shared" si="872"/>
        <v>0</v>
      </c>
      <c r="BL777" s="272">
        <f t="shared" si="872"/>
        <v>0</v>
      </c>
      <c r="BM777" s="272">
        <f t="shared" si="872"/>
        <v>0</v>
      </c>
      <c r="BN777" s="324">
        <f t="shared" si="872"/>
        <v>0</v>
      </c>
      <c r="BP777" s="536" t="s">
        <v>1220</v>
      </c>
      <c r="BQ777" s="1471" t="str">
        <f t="shared" ref="BQ777:BQ783" si="873">CONCATENATE("GHG_",BP777,"a = GHG_",BP777,"a-1 + (E139 * ",CI777," * ",CK777," / (",CJ777,") / 1000000)")</f>
        <v>GHG_Gasa = GHG_Gasa-1 + (E139 * BUI_COL (307 + ((A139 - 1) * 8) * BUI_COL1 / (J139-I139+1) / 1000000)</v>
      </c>
      <c r="BR777" s="1479"/>
      <c r="BS777" s="1479"/>
      <c r="BT777" s="1479"/>
      <c r="BU777" s="1479"/>
      <c r="BV777" s="1479"/>
      <c r="BW777" s="1479"/>
      <c r="BX777" s="1479"/>
      <c r="BY777" s="1479"/>
      <c r="BZ777" s="1479"/>
      <c r="CA777" s="1479"/>
      <c r="CB777" s="1479"/>
      <c r="CC777" s="1479"/>
      <c r="CD777" s="1479"/>
      <c r="CE777" s="1479"/>
      <c r="CF777" s="1479"/>
      <c r="CG777" s="1479"/>
      <c r="CH777" s="1472"/>
      <c r="CI777" s="917" t="s">
        <v>2613</v>
      </c>
      <c r="CJ777" s="536" t="s">
        <v>2614</v>
      </c>
      <c r="CK777" s="536" t="s">
        <v>1248</v>
      </c>
      <c r="CL777" s="919"/>
    </row>
    <row r="778" spans="7:90" ht="20.100000000000001" customHeight="1">
      <c r="AF778" s="40"/>
      <c r="AG778" s="251" t="s">
        <v>1221</v>
      </c>
      <c r="AH778" s="251">
        <f>INDEX('DEFAULT DATA'!$VE$9:$VK$41,START!$C$3,2)</f>
        <v>279</v>
      </c>
      <c r="AI778" s="660">
        <f>INDEX('DEFAULT DATA'!$AFS$9:$AIT$41,START!$C$3,(3+(($A$140-1)*8)))/IF($A$140&lt;5,INDEX('DEFAULT DATA'!$WT$9:$WW$41,START!$C$3,$A$140),1)</f>
        <v>16.74258120552426</v>
      </c>
      <c r="AJ778" s="262"/>
      <c r="AK778" s="345">
        <v>0</v>
      </c>
      <c r="AL778" s="272">
        <f t="shared" ref="AL778:BN778" si="874">IF(AND(AL$775&gt;($I$140+2020),AL$775&lt;($J$140+2022)),AK778+($AH$778*$E$140*$AI$778/($J$140-$I$140+1)/1000000),AK778)</f>
        <v>0</v>
      </c>
      <c r="AM778" s="272">
        <f t="shared" si="874"/>
        <v>0</v>
      </c>
      <c r="AN778" s="272">
        <f t="shared" si="874"/>
        <v>0</v>
      </c>
      <c r="AO778" s="272">
        <f t="shared" si="874"/>
        <v>0</v>
      </c>
      <c r="AP778" s="272">
        <f t="shared" si="874"/>
        <v>0</v>
      </c>
      <c r="AQ778" s="272">
        <f t="shared" si="874"/>
        <v>0</v>
      </c>
      <c r="AR778" s="272">
        <f t="shared" si="874"/>
        <v>0</v>
      </c>
      <c r="AS778" s="272">
        <f t="shared" si="874"/>
        <v>0</v>
      </c>
      <c r="AT778" s="272">
        <f t="shared" si="874"/>
        <v>0</v>
      </c>
      <c r="AU778" s="272">
        <f t="shared" si="874"/>
        <v>0</v>
      </c>
      <c r="AV778" s="272">
        <f t="shared" si="874"/>
        <v>0</v>
      </c>
      <c r="AW778" s="272">
        <f t="shared" si="874"/>
        <v>0</v>
      </c>
      <c r="AX778" s="272">
        <f t="shared" si="874"/>
        <v>0</v>
      </c>
      <c r="AY778" s="272">
        <f t="shared" si="874"/>
        <v>0</v>
      </c>
      <c r="AZ778" s="272">
        <f t="shared" si="874"/>
        <v>0</v>
      </c>
      <c r="BA778" s="272">
        <f t="shared" si="874"/>
        <v>0</v>
      </c>
      <c r="BB778" s="272">
        <f t="shared" si="874"/>
        <v>0</v>
      </c>
      <c r="BC778" s="272">
        <f t="shared" si="874"/>
        <v>0</v>
      </c>
      <c r="BD778" s="272">
        <f t="shared" si="874"/>
        <v>0</v>
      </c>
      <c r="BE778" s="272">
        <f t="shared" si="874"/>
        <v>0</v>
      </c>
      <c r="BF778" s="272">
        <f t="shared" si="874"/>
        <v>0</v>
      </c>
      <c r="BG778" s="272">
        <f t="shared" si="874"/>
        <v>0</v>
      </c>
      <c r="BH778" s="272">
        <f t="shared" si="874"/>
        <v>0</v>
      </c>
      <c r="BI778" s="272">
        <f t="shared" si="874"/>
        <v>0</v>
      </c>
      <c r="BJ778" s="272">
        <f t="shared" si="874"/>
        <v>0</v>
      </c>
      <c r="BK778" s="272">
        <f t="shared" si="874"/>
        <v>0</v>
      </c>
      <c r="BL778" s="272">
        <f t="shared" si="874"/>
        <v>0</v>
      </c>
      <c r="BM778" s="272">
        <f t="shared" si="874"/>
        <v>0</v>
      </c>
      <c r="BN778" s="324">
        <f t="shared" si="874"/>
        <v>0</v>
      </c>
      <c r="BP778" s="536" t="s">
        <v>1221</v>
      </c>
      <c r="BQ778" s="1471" t="str">
        <f t="shared" si="873"/>
        <v>GHG_Oila = GHG_Oila-1 + (E139 * BUI_COL (307 + ((A139 - 1) * 8) * BUI_COL2 / (J139-I139+1) / 1000000)</v>
      </c>
      <c r="BR778" s="1479"/>
      <c r="BS778" s="1479"/>
      <c r="BT778" s="1479"/>
      <c r="BU778" s="1479"/>
      <c r="BV778" s="1479"/>
      <c r="BW778" s="1479"/>
      <c r="BX778" s="1479"/>
      <c r="BY778" s="1479"/>
      <c r="BZ778" s="1479"/>
      <c r="CA778" s="1479"/>
      <c r="CB778" s="1479"/>
      <c r="CC778" s="1479"/>
      <c r="CD778" s="1479"/>
      <c r="CE778" s="1479"/>
      <c r="CF778" s="1479"/>
      <c r="CG778" s="1479"/>
      <c r="CH778" s="1472"/>
      <c r="CI778" s="917" t="s">
        <v>2613</v>
      </c>
      <c r="CJ778" s="536" t="s">
        <v>2614</v>
      </c>
      <c r="CK778" s="536" t="s">
        <v>1621</v>
      </c>
      <c r="CL778" s="919"/>
    </row>
    <row r="779" spans="7:90" ht="20.100000000000001" customHeight="1">
      <c r="AF779" s="40"/>
      <c r="AG779" s="251" t="s">
        <v>1222</v>
      </c>
      <c r="AH779" s="251">
        <f>INDEX('DEFAULT DATA'!$VE$9:$VK$41,START!$C$3,3)</f>
        <v>354</v>
      </c>
      <c r="AI779" s="660">
        <f>INDEX('DEFAULT DATA'!$AFS$9:$AIT$41,START!$C$3,(4+(($A$140-1)*8)))/IF($A$140&lt;5,INDEX('DEFAULT DATA'!$WT$9:$WW$41,START!$C$3,$A$140),1)</f>
        <v>0</v>
      </c>
      <c r="AJ779" s="262"/>
      <c r="AK779" s="345">
        <v>0</v>
      </c>
      <c r="AL779" s="272">
        <f t="shared" ref="AL779:BN779" si="875">IF(AND(AL$775&gt;($I$140+2020),AL$775&lt;($J$140+2022)),AK779+($AH$779*$E$140*$AI$779/($J$140-$I$140+1)/1000000),AK779)</f>
        <v>0</v>
      </c>
      <c r="AM779" s="272">
        <f t="shared" si="875"/>
        <v>0</v>
      </c>
      <c r="AN779" s="272">
        <f t="shared" si="875"/>
        <v>0</v>
      </c>
      <c r="AO779" s="272">
        <f t="shared" si="875"/>
        <v>0</v>
      </c>
      <c r="AP779" s="272">
        <f t="shared" si="875"/>
        <v>0</v>
      </c>
      <c r="AQ779" s="272">
        <f t="shared" si="875"/>
        <v>0</v>
      </c>
      <c r="AR779" s="272">
        <f t="shared" si="875"/>
        <v>0</v>
      </c>
      <c r="AS779" s="272">
        <f t="shared" si="875"/>
        <v>0</v>
      </c>
      <c r="AT779" s="272">
        <f t="shared" si="875"/>
        <v>0</v>
      </c>
      <c r="AU779" s="272">
        <f t="shared" si="875"/>
        <v>0</v>
      </c>
      <c r="AV779" s="272">
        <f t="shared" si="875"/>
        <v>0</v>
      </c>
      <c r="AW779" s="272">
        <f t="shared" si="875"/>
        <v>0</v>
      </c>
      <c r="AX779" s="272">
        <f t="shared" si="875"/>
        <v>0</v>
      </c>
      <c r="AY779" s="272">
        <f t="shared" si="875"/>
        <v>0</v>
      </c>
      <c r="AZ779" s="272">
        <f t="shared" si="875"/>
        <v>0</v>
      </c>
      <c r="BA779" s="272">
        <f t="shared" si="875"/>
        <v>0</v>
      </c>
      <c r="BB779" s="272">
        <f t="shared" si="875"/>
        <v>0</v>
      </c>
      <c r="BC779" s="272">
        <f t="shared" si="875"/>
        <v>0</v>
      </c>
      <c r="BD779" s="272">
        <f t="shared" si="875"/>
        <v>0</v>
      </c>
      <c r="BE779" s="272">
        <f t="shared" si="875"/>
        <v>0</v>
      </c>
      <c r="BF779" s="272">
        <f t="shared" si="875"/>
        <v>0</v>
      </c>
      <c r="BG779" s="272">
        <f t="shared" si="875"/>
        <v>0</v>
      </c>
      <c r="BH779" s="272">
        <f t="shared" si="875"/>
        <v>0</v>
      </c>
      <c r="BI779" s="272">
        <f t="shared" si="875"/>
        <v>0</v>
      </c>
      <c r="BJ779" s="272">
        <f t="shared" si="875"/>
        <v>0</v>
      </c>
      <c r="BK779" s="272">
        <f t="shared" si="875"/>
        <v>0</v>
      </c>
      <c r="BL779" s="272">
        <f t="shared" si="875"/>
        <v>0</v>
      </c>
      <c r="BM779" s="272">
        <f t="shared" si="875"/>
        <v>0</v>
      </c>
      <c r="BN779" s="324">
        <f t="shared" si="875"/>
        <v>0</v>
      </c>
      <c r="BP779" s="536" t="s">
        <v>1222</v>
      </c>
      <c r="BQ779" s="1471" t="str">
        <f t="shared" si="873"/>
        <v>GHG_Coala = GHG_Coala-1 + (E139 * BUI_COL (307 + ((A139 - 1) * 8) * BUI_COL3 / (J139-I139+1) / 1000000)</v>
      </c>
      <c r="BR779" s="1479"/>
      <c r="BS779" s="1479"/>
      <c r="BT779" s="1479"/>
      <c r="BU779" s="1479"/>
      <c r="BV779" s="1479"/>
      <c r="BW779" s="1479"/>
      <c r="BX779" s="1479"/>
      <c r="BY779" s="1479"/>
      <c r="BZ779" s="1479"/>
      <c r="CA779" s="1479"/>
      <c r="CB779" s="1479"/>
      <c r="CC779" s="1479"/>
      <c r="CD779" s="1479"/>
      <c r="CE779" s="1479"/>
      <c r="CF779" s="1479"/>
      <c r="CG779" s="1479"/>
      <c r="CH779" s="1472"/>
      <c r="CI779" s="917" t="s">
        <v>2613</v>
      </c>
      <c r="CJ779" s="536" t="s">
        <v>2614</v>
      </c>
      <c r="CK779" s="536" t="s">
        <v>1622</v>
      </c>
      <c r="CL779" s="919"/>
    </row>
    <row r="780" spans="7:90" ht="20.100000000000001" customHeight="1">
      <c r="AF780" s="355"/>
      <c r="AG780" s="251" t="s">
        <v>1223</v>
      </c>
      <c r="AH780" s="251">
        <f>INDEX('DEFAULT DATA'!$VE$9:$VK$41,START!$C$3,4)</f>
        <v>0</v>
      </c>
      <c r="AI780" s="660">
        <f>INDEX('DEFAULT DATA'!$AFS$9:$AIT$41,START!$C$3,(5+(($A$140-1)*8)))/IF($A$140&lt;5,INDEX('DEFAULT DATA'!$WT$9:$WW$41,START!$C$3,$A$140),1)</f>
        <v>0</v>
      </c>
      <c r="AJ780" s="262"/>
      <c r="AK780" s="345">
        <v>0</v>
      </c>
      <c r="AL780" s="272">
        <f t="shared" ref="AL780:BN780" si="876">IF(AND(AL$775&gt;($I$140+2020),AL$775&lt;($J$140+2022)),AK780+($AH$780*$E$140*$AI$780/($J$140-$I$140+1)/1000000),AK780)</f>
        <v>0</v>
      </c>
      <c r="AM780" s="272">
        <f t="shared" si="876"/>
        <v>0</v>
      </c>
      <c r="AN780" s="272">
        <f t="shared" si="876"/>
        <v>0</v>
      </c>
      <c r="AO780" s="272">
        <f t="shared" si="876"/>
        <v>0</v>
      </c>
      <c r="AP780" s="272">
        <f t="shared" si="876"/>
        <v>0</v>
      </c>
      <c r="AQ780" s="272">
        <f t="shared" si="876"/>
        <v>0</v>
      </c>
      <c r="AR780" s="272">
        <f t="shared" si="876"/>
        <v>0</v>
      </c>
      <c r="AS780" s="272">
        <f t="shared" si="876"/>
        <v>0</v>
      </c>
      <c r="AT780" s="272">
        <f t="shared" si="876"/>
        <v>0</v>
      </c>
      <c r="AU780" s="272">
        <f t="shared" si="876"/>
        <v>0</v>
      </c>
      <c r="AV780" s="272">
        <f t="shared" si="876"/>
        <v>0</v>
      </c>
      <c r="AW780" s="272">
        <f t="shared" si="876"/>
        <v>0</v>
      </c>
      <c r="AX780" s="272">
        <f t="shared" si="876"/>
        <v>0</v>
      </c>
      <c r="AY780" s="272">
        <f t="shared" si="876"/>
        <v>0</v>
      </c>
      <c r="AZ780" s="272">
        <f t="shared" si="876"/>
        <v>0</v>
      </c>
      <c r="BA780" s="272">
        <f t="shared" si="876"/>
        <v>0</v>
      </c>
      <c r="BB780" s="272">
        <f t="shared" si="876"/>
        <v>0</v>
      </c>
      <c r="BC780" s="272">
        <f t="shared" si="876"/>
        <v>0</v>
      </c>
      <c r="BD780" s="272">
        <f t="shared" si="876"/>
        <v>0</v>
      </c>
      <c r="BE780" s="272">
        <f t="shared" si="876"/>
        <v>0</v>
      </c>
      <c r="BF780" s="272">
        <f t="shared" si="876"/>
        <v>0</v>
      </c>
      <c r="BG780" s="272">
        <f t="shared" si="876"/>
        <v>0</v>
      </c>
      <c r="BH780" s="272">
        <f t="shared" si="876"/>
        <v>0</v>
      </c>
      <c r="BI780" s="272">
        <f t="shared" si="876"/>
        <v>0</v>
      </c>
      <c r="BJ780" s="272">
        <f t="shared" si="876"/>
        <v>0</v>
      </c>
      <c r="BK780" s="272">
        <f t="shared" si="876"/>
        <v>0</v>
      </c>
      <c r="BL780" s="272">
        <f t="shared" si="876"/>
        <v>0</v>
      </c>
      <c r="BM780" s="272">
        <f t="shared" si="876"/>
        <v>0</v>
      </c>
      <c r="BN780" s="324">
        <f t="shared" si="876"/>
        <v>0</v>
      </c>
      <c r="BP780" s="536" t="s">
        <v>1223</v>
      </c>
      <c r="BQ780" s="1471" t="str">
        <f t="shared" si="873"/>
        <v>GHG_Peata = GHG_Peata-1 + (E139 * BUI_COL (307 + ((A139 - 1) * 8) * BUI_COL4 / (J139-I139+1) / 1000000)</v>
      </c>
      <c r="BR780" s="1479"/>
      <c r="BS780" s="1479"/>
      <c r="BT780" s="1479"/>
      <c r="BU780" s="1479"/>
      <c r="BV780" s="1479"/>
      <c r="BW780" s="1479"/>
      <c r="BX780" s="1479"/>
      <c r="BY780" s="1479"/>
      <c r="BZ780" s="1479"/>
      <c r="CA780" s="1479"/>
      <c r="CB780" s="1479"/>
      <c r="CC780" s="1479"/>
      <c r="CD780" s="1479"/>
      <c r="CE780" s="1479"/>
      <c r="CF780" s="1479"/>
      <c r="CG780" s="1479"/>
      <c r="CH780" s="1472"/>
      <c r="CI780" s="917" t="s">
        <v>2613</v>
      </c>
      <c r="CJ780" s="536" t="s">
        <v>2614</v>
      </c>
      <c r="CK780" s="536" t="s">
        <v>1623</v>
      </c>
      <c r="CL780" s="919"/>
    </row>
    <row r="781" spans="7:90" ht="20.100000000000001" customHeight="1">
      <c r="AF781" s="355"/>
      <c r="AG781" s="251" t="s">
        <v>1224</v>
      </c>
      <c r="AH781" s="251">
        <f>INDEX('DEFAULT DATA'!$VE$9:$VK$41,START!$C$3,5)</f>
        <v>403</v>
      </c>
      <c r="AI781" s="660">
        <f>INDEX('DEFAULT DATA'!$AFS$9:$AIT$41,START!$C$3,(6+(($A$140-1)*8)))/IF($A$140&lt;5,INDEX('DEFAULT DATA'!$WT$9:$WW$41,START!$C$3,$A$140),1)</f>
        <v>0</v>
      </c>
      <c r="AJ781" s="262"/>
      <c r="AK781" s="345">
        <v>0</v>
      </c>
      <c r="AL781" s="272">
        <f t="shared" ref="AL781:BN781" si="877">IF(AND(AL$775&gt;($I$140+2020),AL$775&lt;($J$140+2022)),AK781+($AH$781*$E$140*$AI$781/($J$140-$I$140+1)/1000000),AK781)</f>
        <v>0</v>
      </c>
      <c r="AM781" s="272">
        <f t="shared" si="877"/>
        <v>0</v>
      </c>
      <c r="AN781" s="272">
        <f t="shared" si="877"/>
        <v>0</v>
      </c>
      <c r="AO781" s="272">
        <f t="shared" si="877"/>
        <v>0</v>
      </c>
      <c r="AP781" s="272">
        <f t="shared" si="877"/>
        <v>0</v>
      </c>
      <c r="AQ781" s="272">
        <f t="shared" si="877"/>
        <v>0</v>
      </c>
      <c r="AR781" s="272">
        <f t="shared" si="877"/>
        <v>0</v>
      </c>
      <c r="AS781" s="272">
        <f t="shared" si="877"/>
        <v>0</v>
      </c>
      <c r="AT781" s="272">
        <f t="shared" si="877"/>
        <v>0</v>
      </c>
      <c r="AU781" s="272">
        <f t="shared" si="877"/>
        <v>0</v>
      </c>
      <c r="AV781" s="272">
        <f t="shared" si="877"/>
        <v>0</v>
      </c>
      <c r="AW781" s="272">
        <f t="shared" si="877"/>
        <v>0</v>
      </c>
      <c r="AX781" s="272">
        <f t="shared" si="877"/>
        <v>0</v>
      </c>
      <c r="AY781" s="272">
        <f t="shared" si="877"/>
        <v>0</v>
      </c>
      <c r="AZ781" s="272">
        <f t="shared" si="877"/>
        <v>0</v>
      </c>
      <c r="BA781" s="272">
        <f t="shared" si="877"/>
        <v>0</v>
      </c>
      <c r="BB781" s="272">
        <f t="shared" si="877"/>
        <v>0</v>
      </c>
      <c r="BC781" s="272">
        <f t="shared" si="877"/>
        <v>0</v>
      </c>
      <c r="BD781" s="272">
        <f t="shared" si="877"/>
        <v>0</v>
      </c>
      <c r="BE781" s="272">
        <f t="shared" si="877"/>
        <v>0</v>
      </c>
      <c r="BF781" s="272">
        <f t="shared" si="877"/>
        <v>0</v>
      </c>
      <c r="BG781" s="272">
        <f t="shared" si="877"/>
        <v>0</v>
      </c>
      <c r="BH781" s="272">
        <f t="shared" si="877"/>
        <v>0</v>
      </c>
      <c r="BI781" s="272">
        <f t="shared" si="877"/>
        <v>0</v>
      </c>
      <c r="BJ781" s="272">
        <f t="shared" si="877"/>
        <v>0</v>
      </c>
      <c r="BK781" s="272">
        <f t="shared" si="877"/>
        <v>0</v>
      </c>
      <c r="BL781" s="272">
        <f t="shared" si="877"/>
        <v>0</v>
      </c>
      <c r="BM781" s="272">
        <f t="shared" si="877"/>
        <v>0</v>
      </c>
      <c r="BN781" s="324">
        <f t="shared" si="877"/>
        <v>0</v>
      </c>
      <c r="BP781" s="536" t="s">
        <v>1224</v>
      </c>
      <c r="BQ781" s="1471" t="str">
        <f t="shared" si="873"/>
        <v>GHG_Wooda = GHG_Wooda-1 + (E139 * BUI_COL (307 + ((A139 - 1) * 8) * BUI_COL5 / (J139-I139+1) / 1000000)</v>
      </c>
      <c r="BR781" s="1479"/>
      <c r="BS781" s="1479"/>
      <c r="BT781" s="1479"/>
      <c r="BU781" s="1479"/>
      <c r="BV781" s="1479"/>
      <c r="BW781" s="1479"/>
      <c r="BX781" s="1479"/>
      <c r="BY781" s="1479"/>
      <c r="BZ781" s="1479"/>
      <c r="CA781" s="1479"/>
      <c r="CB781" s="1479"/>
      <c r="CC781" s="1479"/>
      <c r="CD781" s="1479"/>
      <c r="CE781" s="1479"/>
      <c r="CF781" s="1479"/>
      <c r="CG781" s="1479"/>
      <c r="CH781" s="1472"/>
      <c r="CI781" s="917" t="s">
        <v>2613</v>
      </c>
      <c r="CJ781" s="536" t="s">
        <v>2614</v>
      </c>
      <c r="CK781" s="536" t="s">
        <v>1624</v>
      </c>
      <c r="CL781" s="919"/>
    </row>
    <row r="782" spans="7:90" ht="20.100000000000001" customHeight="1">
      <c r="AF782" s="355"/>
      <c r="AG782" s="251" t="s">
        <v>1225</v>
      </c>
      <c r="AH782" s="251">
        <f>INDEX('DEFAULT DATA'!$VE$9:$VK$41,START!$C$3,6)</f>
        <v>0</v>
      </c>
      <c r="AI782" s="660">
        <f>INDEX('DEFAULT DATA'!$AFS$9:$AIT$41,START!$C$3,(7+(($A$140-1)*8)))/IF($A$140&lt;5,INDEX('DEFAULT DATA'!$WT$9:$WW$41,START!$C$3,$A$140),1)</f>
        <v>52.32056626726331</v>
      </c>
      <c r="AJ782" s="262"/>
      <c r="AK782" s="345">
        <v>0</v>
      </c>
      <c r="AL782" s="272">
        <f t="shared" ref="AL782:BN782" si="878">IF(AND(AL$775&gt;($I$140+2020),AL$775&lt;($J$140+2022)),AK782+($AH$782*$E$140*$AI$782/($J$140-$I$140+1)/1000000),AK782)</f>
        <v>0</v>
      </c>
      <c r="AM782" s="272">
        <f t="shared" si="878"/>
        <v>0</v>
      </c>
      <c r="AN782" s="272">
        <f t="shared" si="878"/>
        <v>0</v>
      </c>
      <c r="AO782" s="272">
        <f t="shared" si="878"/>
        <v>0</v>
      </c>
      <c r="AP782" s="272">
        <f t="shared" si="878"/>
        <v>0</v>
      </c>
      <c r="AQ782" s="272">
        <f t="shared" si="878"/>
        <v>0</v>
      </c>
      <c r="AR782" s="272">
        <f t="shared" si="878"/>
        <v>0</v>
      </c>
      <c r="AS782" s="272">
        <f t="shared" si="878"/>
        <v>0</v>
      </c>
      <c r="AT782" s="272">
        <f t="shared" si="878"/>
        <v>0</v>
      </c>
      <c r="AU782" s="272">
        <f t="shared" si="878"/>
        <v>0</v>
      </c>
      <c r="AV782" s="272">
        <f t="shared" si="878"/>
        <v>0</v>
      </c>
      <c r="AW782" s="272">
        <f t="shared" si="878"/>
        <v>0</v>
      </c>
      <c r="AX782" s="272">
        <f t="shared" si="878"/>
        <v>0</v>
      </c>
      <c r="AY782" s="272">
        <f t="shared" si="878"/>
        <v>0</v>
      </c>
      <c r="AZ782" s="272">
        <f t="shared" si="878"/>
        <v>0</v>
      </c>
      <c r="BA782" s="272">
        <f t="shared" si="878"/>
        <v>0</v>
      </c>
      <c r="BB782" s="272">
        <f t="shared" si="878"/>
        <v>0</v>
      </c>
      <c r="BC782" s="272">
        <f t="shared" si="878"/>
        <v>0</v>
      </c>
      <c r="BD782" s="272">
        <f t="shared" si="878"/>
        <v>0</v>
      </c>
      <c r="BE782" s="272">
        <f t="shared" si="878"/>
        <v>0</v>
      </c>
      <c r="BF782" s="272">
        <f t="shared" si="878"/>
        <v>0</v>
      </c>
      <c r="BG782" s="272">
        <f t="shared" si="878"/>
        <v>0</v>
      </c>
      <c r="BH782" s="272">
        <f t="shared" si="878"/>
        <v>0</v>
      </c>
      <c r="BI782" s="272">
        <f t="shared" si="878"/>
        <v>0</v>
      </c>
      <c r="BJ782" s="272">
        <f t="shared" si="878"/>
        <v>0</v>
      </c>
      <c r="BK782" s="272">
        <f t="shared" si="878"/>
        <v>0</v>
      </c>
      <c r="BL782" s="272">
        <f t="shared" si="878"/>
        <v>0</v>
      </c>
      <c r="BM782" s="272">
        <f t="shared" si="878"/>
        <v>0</v>
      </c>
      <c r="BN782" s="324">
        <f t="shared" si="878"/>
        <v>0</v>
      </c>
      <c r="BP782" s="536" t="s">
        <v>1225</v>
      </c>
      <c r="BQ782" s="1471" t="str">
        <f t="shared" si="873"/>
        <v>GHG_Renewablea = GHG_Renewablea-1 + (E139 * BUI_COL (307 + ((A139 - 1) * 8) * BUI_COL6 / (J139-I139+1) / 1000000)</v>
      </c>
      <c r="BR782" s="1479"/>
      <c r="BS782" s="1479"/>
      <c r="BT782" s="1479"/>
      <c r="BU782" s="1479"/>
      <c r="BV782" s="1479"/>
      <c r="BW782" s="1479"/>
      <c r="BX782" s="1479"/>
      <c r="BY782" s="1479"/>
      <c r="BZ782" s="1479"/>
      <c r="CA782" s="1479"/>
      <c r="CB782" s="1479"/>
      <c r="CC782" s="1479"/>
      <c r="CD782" s="1479"/>
      <c r="CE782" s="1479"/>
      <c r="CF782" s="1479"/>
      <c r="CG782" s="1479"/>
      <c r="CH782" s="1472"/>
      <c r="CI782" s="917" t="s">
        <v>2613</v>
      </c>
      <c r="CJ782" s="536" t="s">
        <v>2614</v>
      </c>
      <c r="CK782" s="536" t="s">
        <v>1625</v>
      </c>
      <c r="CL782" s="919"/>
    </row>
    <row r="783" spans="7:90" ht="20.100000000000001" customHeight="1" thickBot="1">
      <c r="AF783" s="356"/>
      <c r="AG783" s="310" t="s">
        <v>1226</v>
      </c>
      <c r="AH783" s="310" t="s">
        <v>1497</v>
      </c>
      <c r="AI783" s="786">
        <f>INDEX('DEFAULT DATA'!$AFS$9:$AIT$41,START!$C$3,(8+(($A$140-1)*8)))/IF($A$140&lt;5,INDEX('DEFAULT DATA'!$WT$9:$WW$41,START!$C$3,$A$140),1)</f>
        <v>62.784679520715976</v>
      </c>
      <c r="AJ783" s="335"/>
      <c r="AK783" s="348">
        <v>0</v>
      </c>
      <c r="AL783" s="325">
        <f t="shared" ref="AL783:BN783" si="879">IF(AND(AL$775&gt;($I$140+2020),AL$775&lt;($J$140+2022)),AK783+(AL$6*$E$140*$AI$783/($J$140-$I$140+1)/1000000),AK783)</f>
        <v>0</v>
      </c>
      <c r="AM783" s="325">
        <f t="shared" si="879"/>
        <v>0</v>
      </c>
      <c r="AN783" s="325">
        <f t="shared" si="879"/>
        <v>0</v>
      </c>
      <c r="AO783" s="325">
        <f t="shared" si="879"/>
        <v>0</v>
      </c>
      <c r="AP783" s="325">
        <f t="shared" si="879"/>
        <v>0</v>
      </c>
      <c r="AQ783" s="325">
        <f t="shared" si="879"/>
        <v>0</v>
      </c>
      <c r="AR783" s="325">
        <f t="shared" si="879"/>
        <v>0</v>
      </c>
      <c r="AS783" s="325">
        <f t="shared" si="879"/>
        <v>0</v>
      </c>
      <c r="AT783" s="325">
        <f t="shared" si="879"/>
        <v>0</v>
      </c>
      <c r="AU783" s="325">
        <f t="shared" si="879"/>
        <v>0</v>
      </c>
      <c r="AV783" s="325">
        <f t="shared" si="879"/>
        <v>0</v>
      </c>
      <c r="AW783" s="325">
        <f t="shared" si="879"/>
        <v>0</v>
      </c>
      <c r="AX783" s="325">
        <f t="shared" si="879"/>
        <v>0</v>
      </c>
      <c r="AY783" s="325">
        <f t="shared" si="879"/>
        <v>0</v>
      </c>
      <c r="AZ783" s="325">
        <f t="shared" si="879"/>
        <v>0</v>
      </c>
      <c r="BA783" s="325">
        <f t="shared" si="879"/>
        <v>0</v>
      </c>
      <c r="BB783" s="325">
        <f t="shared" si="879"/>
        <v>0</v>
      </c>
      <c r="BC783" s="325">
        <f t="shared" si="879"/>
        <v>0</v>
      </c>
      <c r="BD783" s="325">
        <f t="shared" si="879"/>
        <v>0</v>
      </c>
      <c r="BE783" s="325">
        <f t="shared" si="879"/>
        <v>0</v>
      </c>
      <c r="BF783" s="325">
        <f t="shared" si="879"/>
        <v>0</v>
      </c>
      <c r="BG783" s="325">
        <f t="shared" si="879"/>
        <v>0</v>
      </c>
      <c r="BH783" s="325">
        <f t="shared" si="879"/>
        <v>0</v>
      </c>
      <c r="BI783" s="325">
        <f t="shared" si="879"/>
        <v>0</v>
      </c>
      <c r="BJ783" s="325">
        <f t="shared" si="879"/>
        <v>0</v>
      </c>
      <c r="BK783" s="325">
        <f t="shared" si="879"/>
        <v>0</v>
      </c>
      <c r="BL783" s="325">
        <f t="shared" si="879"/>
        <v>0</v>
      </c>
      <c r="BM783" s="325">
        <f t="shared" si="879"/>
        <v>0</v>
      </c>
      <c r="BN783" s="326">
        <f t="shared" si="879"/>
        <v>0</v>
      </c>
      <c r="BP783" s="536" t="s">
        <v>1226</v>
      </c>
      <c r="BQ783" s="1471" t="str">
        <f t="shared" si="873"/>
        <v>GHG_Heata = GHG_Heata-1 + (E139 * BUI_COL (307 + ((A139 - 1) * 8) * DISTRICT_HEATING_emission_factora (from row 5) / (J139-I139+1) / 1000000)</v>
      </c>
      <c r="BR783" s="1479"/>
      <c r="BS783" s="1479"/>
      <c r="BT783" s="1479"/>
      <c r="BU783" s="1479"/>
      <c r="BV783" s="1479"/>
      <c r="BW783" s="1479"/>
      <c r="BX783" s="1479"/>
      <c r="BY783" s="1479"/>
      <c r="BZ783" s="1479"/>
      <c r="CA783" s="1479"/>
      <c r="CB783" s="1479"/>
      <c r="CC783" s="1479"/>
      <c r="CD783" s="1479"/>
      <c r="CE783" s="1479"/>
      <c r="CF783" s="1479"/>
      <c r="CG783" s="1479"/>
      <c r="CH783" s="1472"/>
      <c r="CI783" s="917" t="s">
        <v>2613</v>
      </c>
      <c r="CJ783" s="536" t="s">
        <v>2614</v>
      </c>
      <c r="CK783" s="536" t="s">
        <v>2602</v>
      </c>
      <c r="CL783" s="919"/>
    </row>
    <row r="784" spans="7:90" ht="20.100000000000001" customHeight="1">
      <c r="AF784" s="332"/>
      <c r="AG784" s="308" t="s">
        <v>310</v>
      </c>
      <c r="AH784" s="309"/>
      <c r="AI784" s="309"/>
      <c r="AJ784" s="309"/>
      <c r="AK784" s="344">
        <v>0</v>
      </c>
      <c r="AL784" s="327">
        <f>SUM(AL776:AL783)</f>
        <v>0</v>
      </c>
      <c r="AM784" s="327">
        <f t="shared" ref="AM784:BN784" si="880">SUM(AM776:AM783)</f>
        <v>0</v>
      </c>
      <c r="AN784" s="327">
        <f t="shared" si="880"/>
        <v>0</v>
      </c>
      <c r="AO784" s="327">
        <f t="shared" si="880"/>
        <v>0</v>
      </c>
      <c r="AP784" s="327">
        <f t="shared" si="880"/>
        <v>0</v>
      </c>
      <c r="AQ784" s="327">
        <f t="shared" si="880"/>
        <v>0</v>
      </c>
      <c r="AR784" s="327">
        <f t="shared" si="880"/>
        <v>0</v>
      </c>
      <c r="AS784" s="327">
        <f t="shared" si="880"/>
        <v>0</v>
      </c>
      <c r="AT784" s="327">
        <f t="shared" si="880"/>
        <v>0</v>
      </c>
      <c r="AU784" s="327">
        <f t="shared" si="880"/>
        <v>0</v>
      </c>
      <c r="AV784" s="327">
        <f t="shared" si="880"/>
        <v>0</v>
      </c>
      <c r="AW784" s="327">
        <f t="shared" si="880"/>
        <v>0</v>
      </c>
      <c r="AX784" s="327">
        <f t="shared" si="880"/>
        <v>0</v>
      </c>
      <c r="AY784" s="327">
        <f t="shared" si="880"/>
        <v>0</v>
      </c>
      <c r="AZ784" s="327">
        <f t="shared" si="880"/>
        <v>0</v>
      </c>
      <c r="BA784" s="327">
        <f t="shared" si="880"/>
        <v>0</v>
      </c>
      <c r="BB784" s="327">
        <f t="shared" si="880"/>
        <v>0</v>
      </c>
      <c r="BC784" s="327">
        <f t="shared" si="880"/>
        <v>0</v>
      </c>
      <c r="BD784" s="327">
        <f t="shared" si="880"/>
        <v>0</v>
      </c>
      <c r="BE784" s="327">
        <f t="shared" si="880"/>
        <v>0</v>
      </c>
      <c r="BF784" s="327">
        <f t="shared" si="880"/>
        <v>0</v>
      </c>
      <c r="BG784" s="327">
        <f t="shared" si="880"/>
        <v>0</v>
      </c>
      <c r="BH784" s="327">
        <f t="shared" si="880"/>
        <v>0</v>
      </c>
      <c r="BI784" s="327">
        <f t="shared" si="880"/>
        <v>0</v>
      </c>
      <c r="BJ784" s="327">
        <f t="shared" si="880"/>
        <v>0</v>
      </c>
      <c r="BK784" s="327">
        <f t="shared" si="880"/>
        <v>0</v>
      </c>
      <c r="BL784" s="327">
        <f t="shared" si="880"/>
        <v>0</v>
      </c>
      <c r="BM784" s="327">
        <f t="shared" si="880"/>
        <v>0</v>
      </c>
      <c r="BN784" s="327">
        <f t="shared" si="880"/>
        <v>0</v>
      </c>
    </row>
    <row r="786" spans="11:90" ht="20.100000000000001" customHeight="1">
      <c r="AF786" s="290" t="s">
        <v>1513</v>
      </c>
      <c r="CI786" s="402" t="s">
        <v>2626</v>
      </c>
    </row>
    <row r="787" spans="11:90" ht="20.100000000000001" customHeight="1" thickBot="1">
      <c r="AF787" s="333" t="s">
        <v>1515</v>
      </c>
      <c r="AG787" s="333"/>
      <c r="AH787" s="334" t="s">
        <v>977</v>
      </c>
      <c r="AI787" s="1477" t="s">
        <v>2549</v>
      </c>
      <c r="AJ787" s="1478"/>
      <c r="AK787" s="346">
        <v>2021</v>
      </c>
      <c r="AL787" s="284">
        <v>2022</v>
      </c>
      <c r="AM787" s="284">
        <f>AL787+1</f>
        <v>2023</v>
      </c>
      <c r="AN787" s="284">
        <f t="shared" ref="AN787" si="881">AM787+1</f>
        <v>2024</v>
      </c>
      <c r="AO787" s="284">
        <f t="shared" ref="AO787" si="882">AN787+1</f>
        <v>2025</v>
      </c>
      <c r="AP787" s="284">
        <f t="shared" ref="AP787" si="883">AO787+1</f>
        <v>2026</v>
      </c>
      <c r="AQ787" s="284">
        <f t="shared" ref="AQ787" si="884">AP787+1</f>
        <v>2027</v>
      </c>
      <c r="AR787" s="284">
        <f t="shared" ref="AR787" si="885">AQ787+1</f>
        <v>2028</v>
      </c>
      <c r="AS787" s="284">
        <f t="shared" ref="AS787" si="886">AR787+1</f>
        <v>2029</v>
      </c>
      <c r="AT787" s="284">
        <f t="shared" ref="AT787" si="887">AS787+1</f>
        <v>2030</v>
      </c>
      <c r="AU787" s="284">
        <f t="shared" ref="AU787" si="888">AT787+1</f>
        <v>2031</v>
      </c>
      <c r="AV787" s="284">
        <f t="shared" ref="AV787" si="889">AU787+1</f>
        <v>2032</v>
      </c>
      <c r="AW787" s="284">
        <f t="shared" ref="AW787" si="890">AV787+1</f>
        <v>2033</v>
      </c>
      <c r="AX787" s="284">
        <f t="shared" ref="AX787" si="891">AW787+1</f>
        <v>2034</v>
      </c>
      <c r="AY787" s="284">
        <f t="shared" ref="AY787" si="892">AX787+1</f>
        <v>2035</v>
      </c>
      <c r="AZ787" s="284">
        <f t="shared" ref="AZ787" si="893">AY787+1</f>
        <v>2036</v>
      </c>
      <c r="BA787" s="284">
        <f t="shared" ref="BA787" si="894">AZ787+1</f>
        <v>2037</v>
      </c>
      <c r="BB787" s="284">
        <f t="shared" ref="BB787" si="895">BA787+1</f>
        <v>2038</v>
      </c>
      <c r="BC787" s="284">
        <f t="shared" ref="BC787" si="896">BB787+1</f>
        <v>2039</v>
      </c>
      <c r="BD787" s="284">
        <f t="shared" ref="BD787" si="897">BC787+1</f>
        <v>2040</v>
      </c>
      <c r="BE787" s="284">
        <f t="shared" ref="BE787" si="898">BD787+1</f>
        <v>2041</v>
      </c>
      <c r="BF787" s="284">
        <f t="shared" ref="BF787" si="899">BE787+1</f>
        <v>2042</v>
      </c>
      <c r="BG787" s="284">
        <f t="shared" ref="BG787" si="900">BF787+1</f>
        <v>2043</v>
      </c>
      <c r="BH787" s="284">
        <f t="shared" ref="BH787" si="901">BG787+1</f>
        <v>2044</v>
      </c>
      <c r="BI787" s="284">
        <f t="shared" ref="BI787" si="902">BH787+1</f>
        <v>2045</v>
      </c>
      <c r="BJ787" s="284">
        <f t="shared" ref="BJ787" si="903">BI787+1</f>
        <v>2046</v>
      </c>
      <c r="BK787" s="284">
        <f t="shared" ref="BK787" si="904">BJ787+1</f>
        <v>2047</v>
      </c>
      <c r="BL787" s="284">
        <f t="shared" ref="BL787" si="905">BK787+1</f>
        <v>2048</v>
      </c>
      <c r="BM787" s="284">
        <f t="shared" ref="BM787" si="906">BL787+1</f>
        <v>2049</v>
      </c>
      <c r="BN787" s="284">
        <f t="shared" ref="BN787" si="907">BM787+1</f>
        <v>2050</v>
      </c>
      <c r="BQ787" s="222" t="s">
        <v>2619</v>
      </c>
      <c r="BR787" s="417"/>
      <c r="BS787" s="417"/>
      <c r="BT787" s="417"/>
      <c r="BU787" s="417"/>
      <c r="BV787" s="417"/>
      <c r="BW787" s="417"/>
      <c r="BX787" s="417"/>
      <c r="BY787" s="417"/>
      <c r="BZ787" s="417"/>
      <c r="CA787" s="417"/>
      <c r="CB787" s="417"/>
      <c r="CC787" s="417"/>
      <c r="CD787" s="417"/>
      <c r="CE787" s="417"/>
      <c r="CF787" s="417"/>
      <c r="CG787" s="417"/>
      <c r="CH787" s="417"/>
      <c r="CI787" s="944" t="s">
        <v>1767</v>
      </c>
      <c r="CJ787" s="279" t="s">
        <v>2552</v>
      </c>
      <c r="CK787" s="945" t="s">
        <v>1598</v>
      </c>
    </row>
    <row r="788" spans="11:90" ht="20.100000000000001" customHeight="1">
      <c r="AF788" s="237" t="str">
        <f>CONCATENATE("conversion to ",INDEX('MENU OPTIONS'!$B$27:$B$36,$C$135,1))</f>
        <v>conversion to Apartment</v>
      </c>
      <c r="AG788" s="286" t="s">
        <v>933</v>
      </c>
      <c r="AH788" s="286" t="s">
        <v>1496</v>
      </c>
      <c r="AI788" s="330">
        <f>INDEX('DEFAULT DATA'!$AFS$9:$AIT$41,START!$C$3,(1+(($C$135-1)*8)))/IF($C$135&lt;5,INDEX('DEFAULT DATA'!$WT$9:$WW$41,START!$C$3,$C$135),1)</f>
        <v>75.341615424859171</v>
      </c>
      <c r="AJ788" s="330"/>
      <c r="AK788" s="343">
        <v>0</v>
      </c>
      <c r="AL788" s="322">
        <f>IF(AND(AL$787&gt;($I$135+2020),AL$787&lt;($J$135+2022)),AK788+(AL$5*$C$135*$AI$788*((100-$E$135)/100)*((100-$F$135)/100)/($J$135-$I$135+1)/1000000),AK788)</f>
        <v>0</v>
      </c>
      <c r="AM788" s="322">
        <f t="shared" ref="AM788:BN788" si="908">IF(AND(AM$614&gt;($I$124+2020),AM$614&lt;($J$124+2022)),AL788+(AM$5*$C$124*$AI$615*((100-$E$124)/100)*((100-$F$124)/100)/($J$124-$I$124+1)/1000000),AL788)</f>
        <v>0</v>
      </c>
      <c r="AN788" s="322">
        <f t="shared" si="908"/>
        <v>0</v>
      </c>
      <c r="AO788" s="322">
        <f t="shared" si="908"/>
        <v>0</v>
      </c>
      <c r="AP788" s="322">
        <f t="shared" si="908"/>
        <v>0</v>
      </c>
      <c r="AQ788" s="322">
        <f t="shared" si="908"/>
        <v>0</v>
      </c>
      <c r="AR788" s="322">
        <f t="shared" si="908"/>
        <v>0</v>
      </c>
      <c r="AS788" s="322">
        <f t="shared" si="908"/>
        <v>0</v>
      </c>
      <c r="AT788" s="322">
        <f t="shared" si="908"/>
        <v>0</v>
      </c>
      <c r="AU788" s="322">
        <f t="shared" si="908"/>
        <v>0</v>
      </c>
      <c r="AV788" s="322">
        <f t="shared" si="908"/>
        <v>0</v>
      </c>
      <c r="AW788" s="322">
        <f t="shared" si="908"/>
        <v>0</v>
      </c>
      <c r="AX788" s="322">
        <f t="shared" si="908"/>
        <v>0</v>
      </c>
      <c r="AY788" s="322">
        <f t="shared" si="908"/>
        <v>0</v>
      </c>
      <c r="AZ788" s="322">
        <f t="shared" si="908"/>
        <v>0</v>
      </c>
      <c r="BA788" s="322">
        <f t="shared" si="908"/>
        <v>0</v>
      </c>
      <c r="BB788" s="322">
        <f t="shared" si="908"/>
        <v>0</v>
      </c>
      <c r="BC788" s="322">
        <f t="shared" si="908"/>
        <v>0</v>
      </c>
      <c r="BD788" s="322">
        <f t="shared" si="908"/>
        <v>0</v>
      </c>
      <c r="BE788" s="322">
        <f t="shared" si="908"/>
        <v>0</v>
      </c>
      <c r="BF788" s="322">
        <f t="shared" si="908"/>
        <v>0</v>
      </c>
      <c r="BG788" s="322">
        <f t="shared" si="908"/>
        <v>0</v>
      </c>
      <c r="BH788" s="322">
        <f t="shared" si="908"/>
        <v>0</v>
      </c>
      <c r="BI788" s="322">
        <f t="shared" si="908"/>
        <v>0</v>
      </c>
      <c r="BJ788" s="322">
        <f t="shared" si="908"/>
        <v>0</v>
      </c>
      <c r="BK788" s="322">
        <f t="shared" si="908"/>
        <v>0</v>
      </c>
      <c r="BL788" s="322">
        <f t="shared" si="908"/>
        <v>0</v>
      </c>
      <c r="BM788" s="322">
        <f t="shared" si="908"/>
        <v>0</v>
      </c>
      <c r="BN788" s="323">
        <f t="shared" si="908"/>
        <v>0</v>
      </c>
      <c r="BP788" s="536" t="s">
        <v>933</v>
      </c>
      <c r="BQ788" s="1471" t="str">
        <f>CONCATENATE("GHG_",BP788,"a = GHG_",BP788,"a-1 + (E134 * ",CI788," * ",CK788," / (",CJ788,") / 1000000)")</f>
        <v>GHG_Electricitya = GHG_Electricitya-1 + (E134 * BUI_COL (307 + ((C134 - 1) * 8) * GRID_ELECTRICITY_emission_factora (from row4) / (J134-I134+1) / 1000000)</v>
      </c>
      <c r="BR788" s="1479"/>
      <c r="BS788" s="1479"/>
      <c r="BT788" s="1479"/>
      <c r="BU788" s="1479"/>
      <c r="BV788" s="1479"/>
      <c r="BW788" s="1479"/>
      <c r="BX788" s="1479"/>
      <c r="BY788" s="1479"/>
      <c r="BZ788" s="1479"/>
      <c r="CA788" s="1479"/>
      <c r="CB788" s="1479"/>
      <c r="CC788" s="1479"/>
      <c r="CD788" s="1479"/>
      <c r="CE788" s="1479"/>
      <c r="CF788" s="1479"/>
      <c r="CG788" s="1479"/>
      <c r="CH788" s="1472"/>
      <c r="CI788" s="917" t="s">
        <v>2615</v>
      </c>
      <c r="CJ788" s="536" t="s">
        <v>2604</v>
      </c>
      <c r="CK788" s="536" t="s">
        <v>2601</v>
      </c>
      <c r="CL788" s="919"/>
    </row>
    <row r="789" spans="11:90" ht="20.100000000000001" customHeight="1">
      <c r="AF789" s="355"/>
      <c r="AG789" s="251" t="s">
        <v>1220</v>
      </c>
      <c r="AH789" s="251">
        <f>INDEX('DEFAULT DATA'!$VE$9:$VK$41,START!$C$3,1)</f>
        <v>202</v>
      </c>
      <c r="AI789" s="262">
        <f>INDEX('DEFAULT DATA'!$AFS$9:$AIT$41,START!$C$3,(2+(($C$135-1)*8)))/IF($C$135&lt;5,INDEX('DEFAULT DATA'!$WT$9:$WW$41,START!$C$3,$C$135),1)</f>
        <v>2.0928226506905325</v>
      </c>
      <c r="AJ789" s="262"/>
      <c r="AK789" s="345">
        <v>0</v>
      </c>
      <c r="AL789" s="272">
        <f t="shared" ref="AL789:AL794" si="909">IF(AND(AL$787&gt;($I$135+2020),AL$787&lt;($J$135+2022)),AK789+(AH789*$C$135*AI789*((100-$E$135)/100)/($J$135-$I$135+1)/1000000),AK789)</f>
        <v>0</v>
      </c>
      <c r="AM789" s="272">
        <f t="shared" ref="AM789:BN789" si="910">IF(AND(AM$614&gt;($I$124+2020),AM$614&lt;($J$124+2022)),AL789+($AH$616*$C$124*$AI$616*((100-$E$124)/100)/($J$124-$I$124+1)/1000000),AL789)</f>
        <v>0</v>
      </c>
      <c r="AN789" s="272">
        <f t="shared" si="910"/>
        <v>0</v>
      </c>
      <c r="AO789" s="272">
        <f t="shared" si="910"/>
        <v>0</v>
      </c>
      <c r="AP789" s="272">
        <f t="shared" si="910"/>
        <v>0</v>
      </c>
      <c r="AQ789" s="272">
        <f t="shared" si="910"/>
        <v>0</v>
      </c>
      <c r="AR789" s="272">
        <f t="shared" si="910"/>
        <v>0</v>
      </c>
      <c r="AS789" s="272">
        <f t="shared" si="910"/>
        <v>0</v>
      </c>
      <c r="AT789" s="272">
        <f t="shared" si="910"/>
        <v>0</v>
      </c>
      <c r="AU789" s="272">
        <f t="shared" si="910"/>
        <v>0</v>
      </c>
      <c r="AV789" s="272">
        <f t="shared" si="910"/>
        <v>0</v>
      </c>
      <c r="AW789" s="272">
        <f t="shared" si="910"/>
        <v>0</v>
      </c>
      <c r="AX789" s="272">
        <f t="shared" si="910"/>
        <v>0</v>
      </c>
      <c r="AY789" s="272">
        <f t="shared" si="910"/>
        <v>0</v>
      </c>
      <c r="AZ789" s="272">
        <f t="shared" si="910"/>
        <v>0</v>
      </c>
      <c r="BA789" s="272">
        <f t="shared" si="910"/>
        <v>0</v>
      </c>
      <c r="BB789" s="272">
        <f t="shared" si="910"/>
        <v>0</v>
      </c>
      <c r="BC789" s="272">
        <f t="shared" si="910"/>
        <v>0</v>
      </c>
      <c r="BD789" s="272">
        <f t="shared" si="910"/>
        <v>0</v>
      </c>
      <c r="BE789" s="272">
        <f t="shared" si="910"/>
        <v>0</v>
      </c>
      <c r="BF789" s="272">
        <f t="shared" si="910"/>
        <v>0</v>
      </c>
      <c r="BG789" s="272">
        <f t="shared" si="910"/>
        <v>0</v>
      </c>
      <c r="BH789" s="272">
        <f t="shared" si="910"/>
        <v>0</v>
      </c>
      <c r="BI789" s="272">
        <f t="shared" si="910"/>
        <v>0</v>
      </c>
      <c r="BJ789" s="272">
        <f t="shared" si="910"/>
        <v>0</v>
      </c>
      <c r="BK789" s="272">
        <f t="shared" si="910"/>
        <v>0</v>
      </c>
      <c r="BL789" s="272">
        <f t="shared" si="910"/>
        <v>0</v>
      </c>
      <c r="BM789" s="272">
        <f t="shared" si="910"/>
        <v>0</v>
      </c>
      <c r="BN789" s="324">
        <f t="shared" si="910"/>
        <v>0</v>
      </c>
      <c r="BP789" s="536" t="s">
        <v>1220</v>
      </c>
      <c r="BQ789" s="1471" t="str">
        <f t="shared" ref="BQ789:BQ795" si="911">CONCATENATE("GHG_",BP789,"a = GHG_",BP789,"a-1 + (E134 * ",CI789," * ",CK789," / (",CJ789,") / 1000000)")</f>
        <v>GHG_Gasa = GHG_Gasa-1 + (E134 * BUI_COL (307 + ((C134 - 1) * 8) * BUI_COL1 / (J134-I134+1) / 1000000)</v>
      </c>
      <c r="BR789" s="1479"/>
      <c r="BS789" s="1479"/>
      <c r="BT789" s="1479"/>
      <c r="BU789" s="1479"/>
      <c r="BV789" s="1479"/>
      <c r="BW789" s="1479"/>
      <c r="BX789" s="1479"/>
      <c r="BY789" s="1479"/>
      <c r="BZ789" s="1479"/>
      <c r="CA789" s="1479"/>
      <c r="CB789" s="1479"/>
      <c r="CC789" s="1479"/>
      <c r="CD789" s="1479"/>
      <c r="CE789" s="1479"/>
      <c r="CF789" s="1479"/>
      <c r="CG789" s="1479"/>
      <c r="CH789" s="1472"/>
      <c r="CI789" s="917" t="s">
        <v>2615</v>
      </c>
      <c r="CJ789" s="536" t="s">
        <v>2604</v>
      </c>
      <c r="CK789" s="536" t="s">
        <v>1248</v>
      </c>
      <c r="CL789" s="919"/>
    </row>
    <row r="790" spans="11:90" ht="20.100000000000001" customHeight="1">
      <c r="AF790" s="355"/>
      <c r="AG790" s="251" t="s">
        <v>1221</v>
      </c>
      <c r="AH790" s="251">
        <f>INDEX('DEFAULT DATA'!$VE$9:$VK$41,START!$C$3,2)</f>
        <v>279</v>
      </c>
      <c r="AI790" s="262">
        <f>INDEX('DEFAULT DATA'!$AFS$9:$AIT$41,START!$C$3,(3+(($C$135-1)*8)))/IF($C$135&lt;5,INDEX('DEFAULT DATA'!$WT$9:$WW$41,START!$C$3,$C$135),1)</f>
        <v>16.74258120552426</v>
      </c>
      <c r="AJ790" s="262"/>
      <c r="AK790" s="345">
        <v>0</v>
      </c>
      <c r="AL790" s="272">
        <f t="shared" si="909"/>
        <v>0</v>
      </c>
      <c r="AM790" s="272">
        <f t="shared" ref="AM790:BN790" si="912">IF(AND(AM$614&gt;($I$124+2020),AM$614&lt;($J$124+2022)),AL790+($AH$617*$C$124*$AI$617*((100-$E$124)/100)/($J$124-$I$124+1)/1000000),AL790)</f>
        <v>0</v>
      </c>
      <c r="AN790" s="272">
        <f t="shared" si="912"/>
        <v>0</v>
      </c>
      <c r="AO790" s="272">
        <f t="shared" si="912"/>
        <v>0</v>
      </c>
      <c r="AP790" s="272">
        <f t="shared" si="912"/>
        <v>0</v>
      </c>
      <c r="AQ790" s="272">
        <f t="shared" si="912"/>
        <v>0</v>
      </c>
      <c r="AR790" s="272">
        <f t="shared" si="912"/>
        <v>0</v>
      </c>
      <c r="AS790" s="272">
        <f t="shared" si="912"/>
        <v>0</v>
      </c>
      <c r="AT790" s="272">
        <f t="shared" si="912"/>
        <v>0</v>
      </c>
      <c r="AU790" s="272">
        <f t="shared" si="912"/>
        <v>0</v>
      </c>
      <c r="AV790" s="272">
        <f t="shared" si="912"/>
        <v>0</v>
      </c>
      <c r="AW790" s="272">
        <f t="shared" si="912"/>
        <v>0</v>
      </c>
      <c r="AX790" s="272">
        <f t="shared" si="912"/>
        <v>0</v>
      </c>
      <c r="AY790" s="272">
        <f t="shared" si="912"/>
        <v>0</v>
      </c>
      <c r="AZ790" s="272">
        <f t="shared" si="912"/>
        <v>0</v>
      </c>
      <c r="BA790" s="272">
        <f t="shared" si="912"/>
        <v>0</v>
      </c>
      <c r="BB790" s="272">
        <f t="shared" si="912"/>
        <v>0</v>
      </c>
      <c r="BC790" s="272">
        <f t="shared" si="912"/>
        <v>0</v>
      </c>
      <c r="BD790" s="272">
        <f t="shared" si="912"/>
        <v>0</v>
      </c>
      <c r="BE790" s="272">
        <f t="shared" si="912"/>
        <v>0</v>
      </c>
      <c r="BF790" s="272">
        <f t="shared" si="912"/>
        <v>0</v>
      </c>
      <c r="BG790" s="272">
        <f t="shared" si="912"/>
        <v>0</v>
      </c>
      <c r="BH790" s="272">
        <f t="shared" si="912"/>
        <v>0</v>
      </c>
      <c r="BI790" s="272">
        <f t="shared" si="912"/>
        <v>0</v>
      </c>
      <c r="BJ790" s="272">
        <f t="shared" si="912"/>
        <v>0</v>
      </c>
      <c r="BK790" s="272">
        <f t="shared" si="912"/>
        <v>0</v>
      </c>
      <c r="BL790" s="272">
        <f t="shared" si="912"/>
        <v>0</v>
      </c>
      <c r="BM790" s="272">
        <f t="shared" si="912"/>
        <v>0</v>
      </c>
      <c r="BN790" s="324">
        <f t="shared" si="912"/>
        <v>0</v>
      </c>
      <c r="BP790" s="536" t="s">
        <v>1221</v>
      </c>
      <c r="BQ790" s="1471" t="str">
        <f t="shared" si="911"/>
        <v>GHG_Oila = GHG_Oila-1 + (E134 * BUI_COL (307 + ((C134 - 1) * 8) * BUI_COL2 / (J134-I134+1) / 1000000)</v>
      </c>
      <c r="BR790" s="1479"/>
      <c r="BS790" s="1479"/>
      <c r="BT790" s="1479"/>
      <c r="BU790" s="1479"/>
      <c r="BV790" s="1479"/>
      <c r="BW790" s="1479"/>
      <c r="BX790" s="1479"/>
      <c r="BY790" s="1479"/>
      <c r="BZ790" s="1479"/>
      <c r="CA790" s="1479"/>
      <c r="CB790" s="1479"/>
      <c r="CC790" s="1479"/>
      <c r="CD790" s="1479"/>
      <c r="CE790" s="1479"/>
      <c r="CF790" s="1479"/>
      <c r="CG790" s="1479"/>
      <c r="CH790" s="1472"/>
      <c r="CI790" s="917" t="s">
        <v>2615</v>
      </c>
      <c r="CJ790" s="536" t="s">
        <v>2604</v>
      </c>
      <c r="CK790" s="536" t="s">
        <v>1621</v>
      </c>
      <c r="CL790" s="919"/>
    </row>
    <row r="791" spans="11:90" ht="20.100000000000001" customHeight="1">
      <c r="K791" s="347"/>
      <c r="L791" s="347"/>
      <c r="M791" s="347"/>
      <c r="N791" s="347"/>
      <c r="O791" s="347"/>
      <c r="P791" s="347"/>
      <c r="Q791" s="347"/>
      <c r="R791" s="347"/>
      <c r="S791" s="347"/>
      <c r="T791" s="347"/>
      <c r="U791" s="347"/>
      <c r="V791" s="347"/>
      <c r="W791" s="347"/>
      <c r="X791" s="347"/>
      <c r="Y791" s="347"/>
      <c r="Z791" s="347"/>
      <c r="AA791" s="347"/>
      <c r="AB791" s="347"/>
      <c r="AC791" s="347"/>
      <c r="AD791" s="347"/>
      <c r="AE791" s="347"/>
      <c r="AF791" s="355"/>
      <c r="AG791" s="251" t="s">
        <v>1222</v>
      </c>
      <c r="AH791" s="251">
        <f>INDEX('DEFAULT DATA'!$VE$9:$VK$41,START!$C$3,3)</f>
        <v>354</v>
      </c>
      <c r="AI791" s="262">
        <f>INDEX('DEFAULT DATA'!$AFS$9:$AIT$41,START!$C$3,(4+(($C$135-1)*8)))/IF($C$135&lt;5,INDEX('DEFAULT DATA'!$WT$9:$WW$41,START!$C$3,$C$135),1)</f>
        <v>0</v>
      </c>
      <c r="AJ791" s="262"/>
      <c r="AK791" s="345">
        <v>0</v>
      </c>
      <c r="AL791" s="272">
        <f t="shared" si="909"/>
        <v>0</v>
      </c>
      <c r="AM791" s="272">
        <f t="shared" ref="AM791:BN791" si="913">IF(AND(AM$614&gt;($I$124+2020),AM$614&lt;($J$124+2022)),AL791+($AH$618*$C$124*$AI$618*((100-$E$124)/100)/($J$124-$I$124+1)/1000000),AL791)</f>
        <v>0</v>
      </c>
      <c r="AN791" s="272">
        <f t="shared" si="913"/>
        <v>0</v>
      </c>
      <c r="AO791" s="272">
        <f t="shared" si="913"/>
        <v>0</v>
      </c>
      <c r="AP791" s="272">
        <f t="shared" si="913"/>
        <v>0</v>
      </c>
      <c r="AQ791" s="272">
        <f t="shared" si="913"/>
        <v>0</v>
      </c>
      <c r="AR791" s="272">
        <f t="shared" si="913"/>
        <v>0</v>
      </c>
      <c r="AS791" s="272">
        <f t="shared" si="913"/>
        <v>0</v>
      </c>
      <c r="AT791" s="272">
        <f t="shared" si="913"/>
        <v>0</v>
      </c>
      <c r="AU791" s="272">
        <f t="shared" si="913"/>
        <v>0</v>
      </c>
      <c r="AV791" s="272">
        <f t="shared" si="913"/>
        <v>0</v>
      </c>
      <c r="AW791" s="272">
        <f t="shared" si="913"/>
        <v>0</v>
      </c>
      <c r="AX791" s="272">
        <f t="shared" si="913"/>
        <v>0</v>
      </c>
      <c r="AY791" s="272">
        <f t="shared" si="913"/>
        <v>0</v>
      </c>
      <c r="AZ791" s="272">
        <f t="shared" si="913"/>
        <v>0</v>
      </c>
      <c r="BA791" s="272">
        <f t="shared" si="913"/>
        <v>0</v>
      </c>
      <c r="BB791" s="272">
        <f t="shared" si="913"/>
        <v>0</v>
      </c>
      <c r="BC791" s="272">
        <f t="shared" si="913"/>
        <v>0</v>
      </c>
      <c r="BD791" s="272">
        <f t="shared" si="913"/>
        <v>0</v>
      </c>
      <c r="BE791" s="272">
        <f t="shared" si="913"/>
        <v>0</v>
      </c>
      <c r="BF791" s="272">
        <f t="shared" si="913"/>
        <v>0</v>
      </c>
      <c r="BG791" s="272">
        <f t="shared" si="913"/>
        <v>0</v>
      </c>
      <c r="BH791" s="272">
        <f t="shared" si="913"/>
        <v>0</v>
      </c>
      <c r="BI791" s="272">
        <f t="shared" si="913"/>
        <v>0</v>
      </c>
      <c r="BJ791" s="272">
        <f t="shared" si="913"/>
        <v>0</v>
      </c>
      <c r="BK791" s="272">
        <f t="shared" si="913"/>
        <v>0</v>
      </c>
      <c r="BL791" s="272">
        <f t="shared" si="913"/>
        <v>0</v>
      </c>
      <c r="BM791" s="272">
        <f t="shared" si="913"/>
        <v>0</v>
      </c>
      <c r="BN791" s="324">
        <f t="shared" si="913"/>
        <v>0</v>
      </c>
      <c r="BP791" s="536" t="s">
        <v>1222</v>
      </c>
      <c r="BQ791" s="1471" t="str">
        <f t="shared" si="911"/>
        <v>GHG_Coala = GHG_Coala-1 + (E134 * BUI_COL (307 + ((C134 - 1) * 8) * BUI_COL3 / (J134-I134+1) / 1000000)</v>
      </c>
      <c r="BR791" s="1479"/>
      <c r="BS791" s="1479"/>
      <c r="BT791" s="1479"/>
      <c r="BU791" s="1479"/>
      <c r="BV791" s="1479"/>
      <c r="BW791" s="1479"/>
      <c r="BX791" s="1479"/>
      <c r="BY791" s="1479"/>
      <c r="BZ791" s="1479"/>
      <c r="CA791" s="1479"/>
      <c r="CB791" s="1479"/>
      <c r="CC791" s="1479"/>
      <c r="CD791" s="1479"/>
      <c r="CE791" s="1479"/>
      <c r="CF791" s="1479"/>
      <c r="CG791" s="1479"/>
      <c r="CH791" s="1472"/>
      <c r="CI791" s="917" t="s">
        <v>2615</v>
      </c>
      <c r="CJ791" s="536" t="s">
        <v>2604</v>
      </c>
      <c r="CK791" s="536" t="s">
        <v>1622</v>
      </c>
      <c r="CL791" s="919"/>
    </row>
    <row r="792" spans="11:90" ht="20.100000000000001" customHeight="1">
      <c r="AF792" s="355"/>
      <c r="AG792" s="251" t="s">
        <v>1223</v>
      </c>
      <c r="AH792" s="251">
        <f>INDEX('DEFAULT DATA'!$VE$9:$VK$41,START!$C$3,4)</f>
        <v>0</v>
      </c>
      <c r="AI792" s="262">
        <f>INDEX('DEFAULT DATA'!$AFS$9:$AIT$41,START!$C$3,(5+(($C$135-1)*8)))/IF($C$135&lt;5,INDEX('DEFAULT DATA'!$WT$9:$WW$41,START!$C$3,$C$135),1)</f>
        <v>0</v>
      </c>
      <c r="AJ792" s="262"/>
      <c r="AK792" s="345">
        <v>0</v>
      </c>
      <c r="AL792" s="272">
        <f t="shared" si="909"/>
        <v>0</v>
      </c>
      <c r="AM792" s="272">
        <f t="shared" ref="AM792:BN792" si="914">IF(AND(AM$614&gt;($I$124+2020),AM$614&lt;($J$124+2022)),AL792+($AH$619*$C$124*$AI$619*((100-$E$124)/100)/($J$124-$I$124+1)/1000000),AL792)</f>
        <v>0</v>
      </c>
      <c r="AN792" s="272">
        <f t="shared" si="914"/>
        <v>0</v>
      </c>
      <c r="AO792" s="272">
        <f t="shared" si="914"/>
        <v>0</v>
      </c>
      <c r="AP792" s="272">
        <f t="shared" si="914"/>
        <v>0</v>
      </c>
      <c r="AQ792" s="272">
        <f t="shared" si="914"/>
        <v>0</v>
      </c>
      <c r="AR792" s="272">
        <f t="shared" si="914"/>
        <v>0</v>
      </c>
      <c r="AS792" s="272">
        <f t="shared" si="914"/>
        <v>0</v>
      </c>
      <c r="AT792" s="272">
        <f t="shared" si="914"/>
        <v>0</v>
      </c>
      <c r="AU792" s="272">
        <f t="shared" si="914"/>
        <v>0</v>
      </c>
      <c r="AV792" s="272">
        <f t="shared" si="914"/>
        <v>0</v>
      </c>
      <c r="AW792" s="272">
        <f t="shared" si="914"/>
        <v>0</v>
      </c>
      <c r="AX792" s="272">
        <f t="shared" si="914"/>
        <v>0</v>
      </c>
      <c r="AY792" s="272">
        <f t="shared" si="914"/>
        <v>0</v>
      </c>
      <c r="AZ792" s="272">
        <f t="shared" si="914"/>
        <v>0</v>
      </c>
      <c r="BA792" s="272">
        <f t="shared" si="914"/>
        <v>0</v>
      </c>
      <c r="BB792" s="272">
        <f t="shared" si="914"/>
        <v>0</v>
      </c>
      <c r="BC792" s="272">
        <f t="shared" si="914"/>
        <v>0</v>
      </c>
      <c r="BD792" s="272">
        <f t="shared" si="914"/>
        <v>0</v>
      </c>
      <c r="BE792" s="272">
        <f t="shared" si="914"/>
        <v>0</v>
      </c>
      <c r="BF792" s="272">
        <f t="shared" si="914"/>
        <v>0</v>
      </c>
      <c r="BG792" s="272">
        <f t="shared" si="914"/>
        <v>0</v>
      </c>
      <c r="BH792" s="272">
        <f t="shared" si="914"/>
        <v>0</v>
      </c>
      <c r="BI792" s="272">
        <f t="shared" si="914"/>
        <v>0</v>
      </c>
      <c r="BJ792" s="272">
        <f t="shared" si="914"/>
        <v>0</v>
      </c>
      <c r="BK792" s="272">
        <f t="shared" si="914"/>
        <v>0</v>
      </c>
      <c r="BL792" s="272">
        <f t="shared" si="914"/>
        <v>0</v>
      </c>
      <c r="BM792" s="272">
        <f t="shared" si="914"/>
        <v>0</v>
      </c>
      <c r="BN792" s="324">
        <f t="shared" si="914"/>
        <v>0</v>
      </c>
      <c r="BP792" s="536" t="s">
        <v>1223</v>
      </c>
      <c r="BQ792" s="1471" t="str">
        <f t="shared" si="911"/>
        <v>GHG_Peata = GHG_Peata-1 + (E134 * BUI_COL (307 + ((C134 - 1) * 8) * BUI_COL4 / (J134-I134+1) / 1000000)</v>
      </c>
      <c r="BR792" s="1479"/>
      <c r="BS792" s="1479"/>
      <c r="BT792" s="1479"/>
      <c r="BU792" s="1479"/>
      <c r="BV792" s="1479"/>
      <c r="BW792" s="1479"/>
      <c r="BX792" s="1479"/>
      <c r="BY792" s="1479"/>
      <c r="BZ792" s="1479"/>
      <c r="CA792" s="1479"/>
      <c r="CB792" s="1479"/>
      <c r="CC792" s="1479"/>
      <c r="CD792" s="1479"/>
      <c r="CE792" s="1479"/>
      <c r="CF792" s="1479"/>
      <c r="CG792" s="1479"/>
      <c r="CH792" s="1472"/>
      <c r="CI792" s="917" t="s">
        <v>2615</v>
      </c>
      <c r="CJ792" s="536" t="s">
        <v>2604</v>
      </c>
      <c r="CK792" s="536" t="s">
        <v>1623</v>
      </c>
      <c r="CL792" s="919"/>
    </row>
    <row r="793" spans="11:90" ht="20.100000000000001" customHeight="1">
      <c r="AF793" s="355"/>
      <c r="AG793" s="251" t="s">
        <v>1224</v>
      </c>
      <c r="AH793" s="251">
        <f>INDEX('DEFAULT DATA'!$VE$9:$VK$41,START!$C$3,5)</f>
        <v>403</v>
      </c>
      <c r="AI793" s="262">
        <f>INDEX('DEFAULT DATA'!$AFS$9:$AIT$41,START!$C$3,(6+(($C$135-1)*8)))/IF($C$135&lt;5,INDEX('DEFAULT DATA'!$WT$9:$WW$41,START!$C$3,$C$135),1)</f>
        <v>0</v>
      </c>
      <c r="AJ793" s="262"/>
      <c r="AK793" s="345">
        <v>0</v>
      </c>
      <c r="AL793" s="272">
        <f t="shared" si="909"/>
        <v>0</v>
      </c>
      <c r="AM793" s="272">
        <f t="shared" ref="AM793:BN793" si="915">IF(AND(AM$614&gt;($I$124+2020),AM$614&lt;($J$124+2022)),AL793+($AH$620*$C$124*$AI$620*((100-$E$124)/100)/($J$124-$I$124+1)/1000000),AL793)</f>
        <v>0</v>
      </c>
      <c r="AN793" s="272">
        <f t="shared" si="915"/>
        <v>0</v>
      </c>
      <c r="AO793" s="272">
        <f t="shared" si="915"/>
        <v>0</v>
      </c>
      <c r="AP793" s="272">
        <f t="shared" si="915"/>
        <v>0</v>
      </c>
      <c r="AQ793" s="272">
        <f t="shared" si="915"/>
        <v>0</v>
      </c>
      <c r="AR793" s="272">
        <f t="shared" si="915"/>
        <v>0</v>
      </c>
      <c r="AS793" s="272">
        <f t="shared" si="915"/>
        <v>0</v>
      </c>
      <c r="AT793" s="272">
        <f t="shared" si="915"/>
        <v>0</v>
      </c>
      <c r="AU793" s="272">
        <f t="shared" si="915"/>
        <v>0</v>
      </c>
      <c r="AV793" s="272">
        <f t="shared" si="915"/>
        <v>0</v>
      </c>
      <c r="AW793" s="272">
        <f t="shared" si="915"/>
        <v>0</v>
      </c>
      <c r="AX793" s="272">
        <f t="shared" si="915"/>
        <v>0</v>
      </c>
      <c r="AY793" s="272">
        <f t="shared" si="915"/>
        <v>0</v>
      </c>
      <c r="AZ793" s="272">
        <f t="shared" si="915"/>
        <v>0</v>
      </c>
      <c r="BA793" s="272">
        <f t="shared" si="915"/>
        <v>0</v>
      </c>
      <c r="BB793" s="272">
        <f t="shared" si="915"/>
        <v>0</v>
      </c>
      <c r="BC793" s="272">
        <f t="shared" si="915"/>
        <v>0</v>
      </c>
      <c r="BD793" s="272">
        <f t="shared" si="915"/>
        <v>0</v>
      </c>
      <c r="BE793" s="272">
        <f t="shared" si="915"/>
        <v>0</v>
      </c>
      <c r="BF793" s="272">
        <f t="shared" si="915"/>
        <v>0</v>
      </c>
      <c r="BG793" s="272">
        <f t="shared" si="915"/>
        <v>0</v>
      </c>
      <c r="BH793" s="272">
        <f t="shared" si="915"/>
        <v>0</v>
      </c>
      <c r="BI793" s="272">
        <f t="shared" si="915"/>
        <v>0</v>
      </c>
      <c r="BJ793" s="272">
        <f t="shared" si="915"/>
        <v>0</v>
      </c>
      <c r="BK793" s="272">
        <f t="shared" si="915"/>
        <v>0</v>
      </c>
      <c r="BL793" s="272">
        <f t="shared" si="915"/>
        <v>0</v>
      </c>
      <c r="BM793" s="272">
        <f t="shared" si="915"/>
        <v>0</v>
      </c>
      <c r="BN793" s="324">
        <f t="shared" si="915"/>
        <v>0</v>
      </c>
      <c r="BP793" s="536" t="s">
        <v>1224</v>
      </c>
      <c r="BQ793" s="1471" t="str">
        <f t="shared" si="911"/>
        <v>GHG_Wooda = GHG_Wooda-1 + (E134 * BUI_COL (307 + ((C134 - 1) * 8) * BUI_COL5 / (J134-I134+1) / 1000000)</v>
      </c>
      <c r="BR793" s="1479"/>
      <c r="BS793" s="1479"/>
      <c r="BT793" s="1479"/>
      <c r="BU793" s="1479"/>
      <c r="BV793" s="1479"/>
      <c r="BW793" s="1479"/>
      <c r="BX793" s="1479"/>
      <c r="BY793" s="1479"/>
      <c r="BZ793" s="1479"/>
      <c r="CA793" s="1479"/>
      <c r="CB793" s="1479"/>
      <c r="CC793" s="1479"/>
      <c r="CD793" s="1479"/>
      <c r="CE793" s="1479"/>
      <c r="CF793" s="1479"/>
      <c r="CG793" s="1479"/>
      <c r="CH793" s="1472"/>
      <c r="CI793" s="917" t="s">
        <v>2615</v>
      </c>
      <c r="CJ793" s="536" t="s">
        <v>2604</v>
      </c>
      <c r="CK793" s="536" t="s">
        <v>1624</v>
      </c>
      <c r="CL793" s="919"/>
    </row>
    <row r="794" spans="11:90" ht="20.100000000000001" customHeight="1">
      <c r="AF794" s="355"/>
      <c r="AG794" s="251" t="s">
        <v>1225</v>
      </c>
      <c r="AH794" s="251">
        <f>INDEX('DEFAULT DATA'!$VE$9:$VK$41,START!$C$3,6)</f>
        <v>0</v>
      </c>
      <c r="AI794" s="262">
        <f>INDEX('DEFAULT DATA'!$AFS$9:$AIT$41,START!$C$3,(7+(($C$135-1)*8)))/IF($C$135&lt;5,INDEX('DEFAULT DATA'!$WT$9:$WW$41,START!$C$3,$C$135),1)</f>
        <v>52.32056626726331</v>
      </c>
      <c r="AJ794" s="262"/>
      <c r="AK794" s="345">
        <v>0</v>
      </c>
      <c r="AL794" s="272">
        <f t="shared" si="909"/>
        <v>0</v>
      </c>
      <c r="AM794" s="272">
        <f t="shared" ref="AM794:BN794" si="916">IF(AND(AM$614&gt;($I$124+2020),AM$614&lt;($J$124+2022)),AL794+($AH$621*$C$124*$AI$621*((100-$E$124)/100)/($J$124-$I$124+1)/1000000),AL794)</f>
        <v>0</v>
      </c>
      <c r="AN794" s="272">
        <f t="shared" si="916"/>
        <v>0</v>
      </c>
      <c r="AO794" s="272">
        <f t="shared" si="916"/>
        <v>0</v>
      </c>
      <c r="AP794" s="272">
        <f t="shared" si="916"/>
        <v>0</v>
      </c>
      <c r="AQ794" s="272">
        <f t="shared" si="916"/>
        <v>0</v>
      </c>
      <c r="AR794" s="272">
        <f t="shared" si="916"/>
        <v>0</v>
      </c>
      <c r="AS794" s="272">
        <f t="shared" si="916"/>
        <v>0</v>
      </c>
      <c r="AT794" s="272">
        <f t="shared" si="916"/>
        <v>0</v>
      </c>
      <c r="AU794" s="272">
        <f t="shared" si="916"/>
        <v>0</v>
      </c>
      <c r="AV794" s="272">
        <f t="shared" si="916"/>
        <v>0</v>
      </c>
      <c r="AW794" s="272">
        <f t="shared" si="916"/>
        <v>0</v>
      </c>
      <c r="AX794" s="272">
        <f t="shared" si="916"/>
        <v>0</v>
      </c>
      <c r="AY794" s="272">
        <f t="shared" si="916"/>
        <v>0</v>
      </c>
      <c r="AZ794" s="272">
        <f t="shared" si="916"/>
        <v>0</v>
      </c>
      <c r="BA794" s="272">
        <f t="shared" si="916"/>
        <v>0</v>
      </c>
      <c r="BB794" s="272">
        <f t="shared" si="916"/>
        <v>0</v>
      </c>
      <c r="BC794" s="272">
        <f t="shared" si="916"/>
        <v>0</v>
      </c>
      <c r="BD794" s="272">
        <f t="shared" si="916"/>
        <v>0</v>
      </c>
      <c r="BE794" s="272">
        <f t="shared" si="916"/>
        <v>0</v>
      </c>
      <c r="BF794" s="272">
        <f t="shared" si="916"/>
        <v>0</v>
      </c>
      <c r="BG794" s="272">
        <f t="shared" si="916"/>
        <v>0</v>
      </c>
      <c r="BH794" s="272">
        <f t="shared" si="916"/>
        <v>0</v>
      </c>
      <c r="BI794" s="272">
        <f t="shared" si="916"/>
        <v>0</v>
      </c>
      <c r="BJ794" s="272">
        <f t="shared" si="916"/>
        <v>0</v>
      </c>
      <c r="BK794" s="272">
        <f t="shared" si="916"/>
        <v>0</v>
      </c>
      <c r="BL794" s="272">
        <f t="shared" si="916"/>
        <v>0</v>
      </c>
      <c r="BM794" s="272">
        <f t="shared" si="916"/>
        <v>0</v>
      </c>
      <c r="BN794" s="324">
        <f t="shared" si="916"/>
        <v>0</v>
      </c>
      <c r="BP794" s="536" t="s">
        <v>1225</v>
      </c>
      <c r="BQ794" s="1471" t="str">
        <f t="shared" si="911"/>
        <v>GHG_Renewablea = GHG_Renewablea-1 + (E134 * BUI_COL (307 + ((C134 - 1) * 8) * BUI_COL6 / (J134-I134+1) / 1000000)</v>
      </c>
      <c r="BR794" s="1479"/>
      <c r="BS794" s="1479"/>
      <c r="BT794" s="1479"/>
      <c r="BU794" s="1479"/>
      <c r="BV794" s="1479"/>
      <c r="BW794" s="1479"/>
      <c r="BX794" s="1479"/>
      <c r="BY794" s="1479"/>
      <c r="BZ794" s="1479"/>
      <c r="CA794" s="1479"/>
      <c r="CB794" s="1479"/>
      <c r="CC794" s="1479"/>
      <c r="CD794" s="1479"/>
      <c r="CE794" s="1479"/>
      <c r="CF794" s="1479"/>
      <c r="CG794" s="1479"/>
      <c r="CH794" s="1472"/>
      <c r="CI794" s="917" t="s">
        <v>2615</v>
      </c>
      <c r="CJ794" s="536" t="s">
        <v>2604</v>
      </c>
      <c r="CK794" s="536" t="s">
        <v>1625</v>
      </c>
      <c r="CL794" s="919"/>
    </row>
    <row r="795" spans="11:90" ht="20.100000000000001" customHeight="1" thickBot="1">
      <c r="AF795" s="356"/>
      <c r="AG795" s="310" t="s">
        <v>1226</v>
      </c>
      <c r="AH795" s="310" t="s">
        <v>1497</v>
      </c>
      <c r="AI795" s="335">
        <f>INDEX('DEFAULT DATA'!$AFS$9:$AIT$41,START!$C$3,(8+(($C$135-1)*8)))/IF($C$135&lt;5,INDEX('DEFAULT DATA'!$WT$9:$WW$41,START!$C$3,$C$135),1)</f>
        <v>62.784679520715976</v>
      </c>
      <c r="AJ795" s="335"/>
      <c r="AK795" s="348">
        <v>0</v>
      </c>
      <c r="AL795" s="272">
        <f>IF(AND(AL$787&gt;($I$135+2020),AL$787&lt;($J$135+2022)),AK795+(AL6*$C$135*AI795*((100-$E$135)/100)/($J$135-$I$135+1)/1000000),AK795)</f>
        <v>0</v>
      </c>
      <c r="AM795" s="325">
        <f t="shared" ref="AM795:BN795" si="917">IF(AND(AM$614&gt;($I$124+2020),AM$614&lt;($J$124+2022)),AL795+(AM$6*$C$124*$AI$622*((100-$E$124)/100)/($J$124-$I$124+1)/1000000),AL795)</f>
        <v>0</v>
      </c>
      <c r="AN795" s="325">
        <f t="shared" si="917"/>
        <v>0</v>
      </c>
      <c r="AO795" s="325">
        <f t="shared" si="917"/>
        <v>0</v>
      </c>
      <c r="AP795" s="325">
        <f t="shared" si="917"/>
        <v>0</v>
      </c>
      <c r="AQ795" s="325">
        <f t="shared" si="917"/>
        <v>0</v>
      </c>
      <c r="AR795" s="325">
        <f t="shared" si="917"/>
        <v>0</v>
      </c>
      <c r="AS795" s="325">
        <f t="shared" si="917"/>
        <v>0</v>
      </c>
      <c r="AT795" s="325">
        <f t="shared" si="917"/>
        <v>0</v>
      </c>
      <c r="AU795" s="325">
        <f t="shared" si="917"/>
        <v>0</v>
      </c>
      <c r="AV795" s="325">
        <f t="shared" si="917"/>
        <v>0</v>
      </c>
      <c r="AW795" s="325">
        <f t="shared" si="917"/>
        <v>0</v>
      </c>
      <c r="AX795" s="325">
        <f t="shared" si="917"/>
        <v>0</v>
      </c>
      <c r="AY795" s="325">
        <f t="shared" si="917"/>
        <v>0</v>
      </c>
      <c r="AZ795" s="325">
        <f t="shared" si="917"/>
        <v>0</v>
      </c>
      <c r="BA795" s="325">
        <f t="shared" si="917"/>
        <v>0</v>
      </c>
      <c r="BB795" s="325">
        <f t="shared" si="917"/>
        <v>0</v>
      </c>
      <c r="BC795" s="325">
        <f t="shared" si="917"/>
        <v>0</v>
      </c>
      <c r="BD795" s="325">
        <f t="shared" si="917"/>
        <v>0</v>
      </c>
      <c r="BE795" s="325">
        <f t="shared" si="917"/>
        <v>0</v>
      </c>
      <c r="BF795" s="325">
        <f t="shared" si="917"/>
        <v>0</v>
      </c>
      <c r="BG795" s="325">
        <f t="shared" si="917"/>
        <v>0</v>
      </c>
      <c r="BH795" s="325">
        <f t="shared" si="917"/>
        <v>0</v>
      </c>
      <c r="BI795" s="325">
        <f t="shared" si="917"/>
        <v>0</v>
      </c>
      <c r="BJ795" s="325">
        <f t="shared" si="917"/>
        <v>0</v>
      </c>
      <c r="BK795" s="325">
        <f t="shared" si="917"/>
        <v>0</v>
      </c>
      <c r="BL795" s="325">
        <f t="shared" si="917"/>
        <v>0</v>
      </c>
      <c r="BM795" s="325">
        <f t="shared" si="917"/>
        <v>0</v>
      </c>
      <c r="BN795" s="326">
        <f t="shared" si="917"/>
        <v>0</v>
      </c>
      <c r="BP795" s="536" t="s">
        <v>1226</v>
      </c>
      <c r="BQ795" s="1471" t="str">
        <f t="shared" si="911"/>
        <v>GHG_Heata = GHG_Heata-1 + (E134 * BUI_COL (307 + ((C134 - 1) * 8) * DISTRICT_HEATING_emission_factora (from row 5) / (J134-I134+1) / 1000000)</v>
      </c>
      <c r="BR795" s="1479"/>
      <c r="BS795" s="1479"/>
      <c r="BT795" s="1479"/>
      <c r="BU795" s="1479"/>
      <c r="BV795" s="1479"/>
      <c r="BW795" s="1479"/>
      <c r="BX795" s="1479"/>
      <c r="BY795" s="1479"/>
      <c r="BZ795" s="1479"/>
      <c r="CA795" s="1479"/>
      <c r="CB795" s="1479"/>
      <c r="CC795" s="1479"/>
      <c r="CD795" s="1479"/>
      <c r="CE795" s="1479"/>
      <c r="CF795" s="1479"/>
      <c r="CG795" s="1479"/>
      <c r="CH795" s="1472"/>
      <c r="CI795" s="917" t="s">
        <v>2615</v>
      </c>
      <c r="CJ795" s="536" t="s">
        <v>2604</v>
      </c>
      <c r="CK795" s="536" t="s">
        <v>2602</v>
      </c>
      <c r="CL795" s="919"/>
    </row>
    <row r="796" spans="11:90" ht="20.100000000000001" customHeight="1">
      <c r="AF796" s="332"/>
      <c r="AG796" s="308" t="s">
        <v>310</v>
      </c>
      <c r="AH796" s="309"/>
      <c r="AI796" s="363"/>
      <c r="AJ796" s="309"/>
      <c r="AK796" s="344">
        <v>0</v>
      </c>
      <c r="AL796" s="327">
        <f>SUM(AL788:AL795)</f>
        <v>0</v>
      </c>
      <c r="AM796" s="327">
        <f t="shared" ref="AM796:BN796" si="918">SUM(AM788:AM795)</f>
        <v>0</v>
      </c>
      <c r="AN796" s="327">
        <f t="shared" si="918"/>
        <v>0</v>
      </c>
      <c r="AO796" s="327">
        <f t="shared" si="918"/>
        <v>0</v>
      </c>
      <c r="AP796" s="327">
        <f t="shared" si="918"/>
        <v>0</v>
      </c>
      <c r="AQ796" s="327">
        <f t="shared" si="918"/>
        <v>0</v>
      </c>
      <c r="AR796" s="327">
        <f t="shared" si="918"/>
        <v>0</v>
      </c>
      <c r="AS796" s="327">
        <f t="shared" si="918"/>
        <v>0</v>
      </c>
      <c r="AT796" s="327">
        <f t="shared" si="918"/>
        <v>0</v>
      </c>
      <c r="AU796" s="327">
        <f t="shared" si="918"/>
        <v>0</v>
      </c>
      <c r="AV796" s="327">
        <f t="shared" si="918"/>
        <v>0</v>
      </c>
      <c r="AW796" s="327">
        <f t="shared" si="918"/>
        <v>0</v>
      </c>
      <c r="AX796" s="327">
        <f t="shared" si="918"/>
        <v>0</v>
      </c>
      <c r="AY796" s="327">
        <f t="shared" si="918"/>
        <v>0</v>
      </c>
      <c r="AZ796" s="327">
        <f t="shared" si="918"/>
        <v>0</v>
      </c>
      <c r="BA796" s="327">
        <f t="shared" si="918"/>
        <v>0</v>
      </c>
      <c r="BB796" s="327">
        <f t="shared" si="918"/>
        <v>0</v>
      </c>
      <c r="BC796" s="327">
        <f t="shared" si="918"/>
        <v>0</v>
      </c>
      <c r="BD796" s="327">
        <f t="shared" si="918"/>
        <v>0</v>
      </c>
      <c r="BE796" s="327">
        <f t="shared" si="918"/>
        <v>0</v>
      </c>
      <c r="BF796" s="327">
        <f t="shared" si="918"/>
        <v>0</v>
      </c>
      <c r="BG796" s="327">
        <f t="shared" si="918"/>
        <v>0</v>
      </c>
      <c r="BH796" s="327">
        <f t="shared" si="918"/>
        <v>0</v>
      </c>
      <c r="BI796" s="327">
        <f t="shared" si="918"/>
        <v>0</v>
      </c>
      <c r="BJ796" s="327">
        <f t="shared" si="918"/>
        <v>0</v>
      </c>
      <c r="BK796" s="327">
        <f t="shared" si="918"/>
        <v>0</v>
      </c>
      <c r="BL796" s="327">
        <f t="shared" si="918"/>
        <v>0</v>
      </c>
      <c r="BM796" s="327">
        <f t="shared" si="918"/>
        <v>0</v>
      </c>
      <c r="BN796" s="327">
        <f t="shared" si="918"/>
        <v>0</v>
      </c>
    </row>
    <row r="797" spans="11:90" ht="20.100000000000001" customHeight="1">
      <c r="AI797" s="364"/>
    </row>
    <row r="798" spans="11:90" ht="20.100000000000001" customHeight="1" thickBot="1">
      <c r="AF798" s="333" t="s">
        <v>1515</v>
      </c>
      <c r="AG798" s="333"/>
      <c r="AH798" s="334" t="s">
        <v>977</v>
      </c>
      <c r="AI798" s="1477" t="s">
        <v>2549</v>
      </c>
      <c r="AJ798" s="1478"/>
      <c r="AK798" s="346">
        <v>2021</v>
      </c>
      <c r="AL798" s="284">
        <v>2022</v>
      </c>
      <c r="AM798" s="284">
        <v>2023</v>
      </c>
      <c r="AN798" s="284">
        <v>2024</v>
      </c>
      <c r="AO798" s="284">
        <v>2025</v>
      </c>
      <c r="AP798" s="284">
        <v>2026</v>
      </c>
      <c r="AQ798" s="284">
        <v>2027</v>
      </c>
      <c r="AR798" s="284">
        <v>2028</v>
      </c>
      <c r="AS798" s="284">
        <v>2029</v>
      </c>
      <c r="AT798" s="284">
        <v>2030</v>
      </c>
      <c r="AU798" s="284">
        <v>2031</v>
      </c>
      <c r="AV798" s="284">
        <v>2032</v>
      </c>
      <c r="AW798" s="284">
        <v>2033</v>
      </c>
      <c r="AX798" s="284">
        <v>2034</v>
      </c>
      <c r="AY798" s="284">
        <v>2035</v>
      </c>
      <c r="AZ798" s="284">
        <v>2036</v>
      </c>
      <c r="BA798" s="284">
        <v>2037</v>
      </c>
      <c r="BB798" s="284">
        <v>2038</v>
      </c>
      <c r="BC798" s="284">
        <v>2039</v>
      </c>
      <c r="BD798" s="284">
        <v>2040</v>
      </c>
      <c r="BE798" s="284">
        <v>2041</v>
      </c>
      <c r="BF798" s="284">
        <v>2042</v>
      </c>
      <c r="BG798" s="284">
        <v>2043</v>
      </c>
      <c r="BH798" s="284">
        <v>2044</v>
      </c>
      <c r="BI798" s="284">
        <v>2045</v>
      </c>
      <c r="BJ798" s="284">
        <v>2046</v>
      </c>
      <c r="BK798" s="284">
        <v>2047</v>
      </c>
      <c r="BL798" s="284">
        <v>2048</v>
      </c>
      <c r="BM798" s="284">
        <v>2049</v>
      </c>
      <c r="BN798" s="284">
        <v>2050</v>
      </c>
      <c r="BQ798" s="222" t="s">
        <v>2620</v>
      </c>
      <c r="BR798" s="417"/>
      <c r="BS798" s="417"/>
      <c r="BT798" s="417"/>
      <c r="BU798" s="417"/>
      <c r="BV798" s="417"/>
      <c r="BW798" s="417"/>
      <c r="BX798" s="417"/>
      <c r="BY798" s="417"/>
      <c r="BZ798" s="417"/>
      <c r="CA798" s="417"/>
      <c r="CB798" s="417"/>
      <c r="CC798" s="417"/>
      <c r="CD798" s="417"/>
      <c r="CE798" s="417"/>
      <c r="CF798" s="417"/>
      <c r="CG798" s="417"/>
      <c r="CH798" s="417"/>
      <c r="CI798" s="944" t="s">
        <v>1767</v>
      </c>
      <c r="CJ798" s="279" t="s">
        <v>2552</v>
      </c>
      <c r="CK798" s="945" t="s">
        <v>1598</v>
      </c>
    </row>
    <row r="799" spans="11:90" ht="20.100000000000001" customHeight="1">
      <c r="AF799" s="237" t="str">
        <f>CONCATENATE("conversion to ",INDEX('MENU OPTIONS'!$B$27:$B$36,$C$136,1))</f>
        <v>conversion to Terraced</v>
      </c>
      <c r="AG799" s="286" t="s">
        <v>933</v>
      </c>
      <c r="AH799" s="286" t="s">
        <v>1496</v>
      </c>
      <c r="AI799" s="330">
        <f>INDEX('DEFAULT DATA'!$AFS$9:$AIT$41,START!$C$3,(1+(($C$136-1)*8)))/IF($C$136&lt;5,INDEX('DEFAULT DATA'!$WT$9:$WW$41,START!$C$3,$C$136),1)</f>
        <v>75.341615424859185</v>
      </c>
      <c r="AJ799" s="330"/>
      <c r="AK799" s="343">
        <v>0</v>
      </c>
      <c r="AL799" s="342">
        <f t="shared" ref="AL799:BN799" si="919">IF(AND(AL$798&gt;($I$136+2020),AL$798&lt;($J$136+2022)),AK799+(AL$5*$E$136*$AI$799/($J$136-$I$136+1)/1000000),AK799)</f>
        <v>0</v>
      </c>
      <c r="AM799" s="342">
        <f t="shared" si="919"/>
        <v>0</v>
      </c>
      <c r="AN799" s="342">
        <f t="shared" si="919"/>
        <v>0</v>
      </c>
      <c r="AO799" s="342">
        <f t="shared" si="919"/>
        <v>0</v>
      </c>
      <c r="AP799" s="342">
        <f t="shared" si="919"/>
        <v>0</v>
      </c>
      <c r="AQ799" s="342">
        <f t="shared" si="919"/>
        <v>0</v>
      </c>
      <c r="AR799" s="342">
        <f t="shared" si="919"/>
        <v>0</v>
      </c>
      <c r="AS799" s="342">
        <f t="shared" si="919"/>
        <v>0</v>
      </c>
      <c r="AT799" s="342">
        <f t="shared" si="919"/>
        <v>0</v>
      </c>
      <c r="AU799" s="342">
        <f t="shared" si="919"/>
        <v>0</v>
      </c>
      <c r="AV799" s="342">
        <f t="shared" si="919"/>
        <v>0</v>
      </c>
      <c r="AW799" s="342">
        <f t="shared" si="919"/>
        <v>0</v>
      </c>
      <c r="AX799" s="342">
        <f t="shared" si="919"/>
        <v>0</v>
      </c>
      <c r="AY799" s="342">
        <f t="shared" si="919"/>
        <v>0</v>
      </c>
      <c r="AZ799" s="342">
        <f t="shared" si="919"/>
        <v>0</v>
      </c>
      <c r="BA799" s="342">
        <f t="shared" si="919"/>
        <v>0</v>
      </c>
      <c r="BB799" s="342">
        <f t="shared" si="919"/>
        <v>0</v>
      </c>
      <c r="BC799" s="342">
        <f t="shared" si="919"/>
        <v>0</v>
      </c>
      <c r="BD799" s="342">
        <f t="shared" si="919"/>
        <v>0</v>
      </c>
      <c r="BE799" s="342">
        <f t="shared" si="919"/>
        <v>0</v>
      </c>
      <c r="BF799" s="342">
        <f t="shared" si="919"/>
        <v>0</v>
      </c>
      <c r="BG799" s="342">
        <f t="shared" si="919"/>
        <v>0</v>
      </c>
      <c r="BH799" s="342">
        <f t="shared" si="919"/>
        <v>0</v>
      </c>
      <c r="BI799" s="342">
        <f t="shared" si="919"/>
        <v>0</v>
      </c>
      <c r="BJ799" s="342">
        <f t="shared" si="919"/>
        <v>0</v>
      </c>
      <c r="BK799" s="342">
        <f t="shared" si="919"/>
        <v>0</v>
      </c>
      <c r="BL799" s="342">
        <f t="shared" si="919"/>
        <v>0</v>
      </c>
      <c r="BM799" s="342">
        <f t="shared" si="919"/>
        <v>0</v>
      </c>
      <c r="BN799" s="369">
        <f t="shared" si="919"/>
        <v>0</v>
      </c>
      <c r="BP799" s="536" t="s">
        <v>933</v>
      </c>
      <c r="BQ799" s="1471" t="str">
        <f>CONCATENATE("GHG_",BP799,"a = GHG_",BP799,"a-1 + (E135 * ",CI799," * ",CK799," / (",CJ799,") / 1000000)")</f>
        <v>GHG_Electricitya = GHG_Electricitya-1 + (E135 * BUI_COL (307 + ((C135 - 1) * 8) * GRID_ELECTRICITY_emission_factora (from row4) / (J135-I135+1) / 1000000)</v>
      </c>
      <c r="BR799" s="1479"/>
      <c r="BS799" s="1479"/>
      <c r="BT799" s="1479"/>
      <c r="BU799" s="1479"/>
      <c r="BV799" s="1479"/>
      <c r="BW799" s="1479"/>
      <c r="BX799" s="1479"/>
      <c r="BY799" s="1479"/>
      <c r="BZ799" s="1479"/>
      <c r="CA799" s="1479"/>
      <c r="CB799" s="1479"/>
      <c r="CC799" s="1479"/>
      <c r="CD799" s="1479"/>
      <c r="CE799" s="1479"/>
      <c r="CF799" s="1479"/>
      <c r="CG799" s="1479"/>
      <c r="CH799" s="1472"/>
      <c r="CI799" s="917" t="s">
        <v>2627</v>
      </c>
      <c r="CJ799" s="536" t="s">
        <v>2606</v>
      </c>
      <c r="CK799" s="536" t="s">
        <v>2601</v>
      </c>
      <c r="CL799" s="919"/>
    </row>
    <row r="800" spans="11:90" ht="20.100000000000001" customHeight="1">
      <c r="AF800" s="358"/>
      <c r="AG800" s="251" t="s">
        <v>1220</v>
      </c>
      <c r="AH800" s="251">
        <f>INDEX('DEFAULT DATA'!$VE$9:$VK$41,START!$C$3,1)</f>
        <v>202</v>
      </c>
      <c r="AI800" s="262">
        <f>INDEX('DEFAULT DATA'!$AFS$9:$AIT$41,START!$C$3,(2+(($C$136-1)*8)))/IF($C$136&lt;5,INDEX('DEFAULT DATA'!$WT$9:$WW$41,START!$C$3,$C$136),1)</f>
        <v>2.092822650690533</v>
      </c>
      <c r="AJ800" s="262"/>
      <c r="AK800" s="345">
        <v>0</v>
      </c>
      <c r="AL800" s="272">
        <f t="shared" ref="AL800:BN800" si="920">IF(AND(AL$798&gt;($I$136+2020),AL$798&lt;($J$136+2022)),AK800+($AH$800*$E$136*$AI$800/($J$136-$I$136+1)/1000000),AK800)</f>
        <v>0</v>
      </c>
      <c r="AM800" s="272">
        <f t="shared" si="920"/>
        <v>0</v>
      </c>
      <c r="AN800" s="272">
        <f t="shared" si="920"/>
        <v>0</v>
      </c>
      <c r="AO800" s="272">
        <f t="shared" si="920"/>
        <v>0</v>
      </c>
      <c r="AP800" s="272">
        <f t="shared" si="920"/>
        <v>0</v>
      </c>
      <c r="AQ800" s="272">
        <f t="shared" si="920"/>
        <v>0</v>
      </c>
      <c r="AR800" s="272">
        <f t="shared" si="920"/>
        <v>0</v>
      </c>
      <c r="AS800" s="272">
        <f t="shared" si="920"/>
        <v>0</v>
      </c>
      <c r="AT800" s="272">
        <f t="shared" si="920"/>
        <v>0</v>
      </c>
      <c r="AU800" s="272">
        <f t="shared" si="920"/>
        <v>0</v>
      </c>
      <c r="AV800" s="272">
        <f t="shared" si="920"/>
        <v>0</v>
      </c>
      <c r="AW800" s="272">
        <f t="shared" si="920"/>
        <v>0</v>
      </c>
      <c r="AX800" s="272">
        <f t="shared" si="920"/>
        <v>0</v>
      </c>
      <c r="AY800" s="272">
        <f t="shared" si="920"/>
        <v>0</v>
      </c>
      <c r="AZ800" s="272">
        <f t="shared" si="920"/>
        <v>0</v>
      </c>
      <c r="BA800" s="272">
        <f t="shared" si="920"/>
        <v>0</v>
      </c>
      <c r="BB800" s="272">
        <f t="shared" si="920"/>
        <v>0</v>
      </c>
      <c r="BC800" s="272">
        <f t="shared" si="920"/>
        <v>0</v>
      </c>
      <c r="BD800" s="272">
        <f t="shared" si="920"/>
        <v>0</v>
      </c>
      <c r="BE800" s="272">
        <f t="shared" si="920"/>
        <v>0</v>
      </c>
      <c r="BF800" s="272">
        <f t="shared" si="920"/>
        <v>0</v>
      </c>
      <c r="BG800" s="272">
        <f t="shared" si="920"/>
        <v>0</v>
      </c>
      <c r="BH800" s="272">
        <f t="shared" si="920"/>
        <v>0</v>
      </c>
      <c r="BI800" s="272">
        <f t="shared" si="920"/>
        <v>0</v>
      </c>
      <c r="BJ800" s="272">
        <f t="shared" si="920"/>
        <v>0</v>
      </c>
      <c r="BK800" s="272">
        <f t="shared" si="920"/>
        <v>0</v>
      </c>
      <c r="BL800" s="272">
        <f t="shared" si="920"/>
        <v>0</v>
      </c>
      <c r="BM800" s="272">
        <f t="shared" si="920"/>
        <v>0</v>
      </c>
      <c r="BN800" s="324">
        <f t="shared" si="920"/>
        <v>0</v>
      </c>
      <c r="BP800" s="536" t="s">
        <v>1220</v>
      </c>
      <c r="BQ800" s="1471" t="str">
        <f t="shared" ref="BQ800:BQ805" si="921">CONCATENATE("GHG_",BP800,"a = GHG_",BP800,"a-1 + (E135 * ",CI800," * ",CK800," / (",CJ800,") / 1000000)")</f>
        <v>GHG_Gasa = GHG_Gasa-1 + (E135 * BUI_COL (307 + ((C135 - 1) * 8) * BUI_COL1 / (J135-I135+1) / 1000000)</v>
      </c>
      <c r="BR800" s="1479"/>
      <c r="BS800" s="1479"/>
      <c r="BT800" s="1479"/>
      <c r="BU800" s="1479"/>
      <c r="BV800" s="1479"/>
      <c r="BW800" s="1479"/>
      <c r="BX800" s="1479"/>
      <c r="BY800" s="1479"/>
      <c r="BZ800" s="1479"/>
      <c r="CA800" s="1479"/>
      <c r="CB800" s="1479"/>
      <c r="CC800" s="1479"/>
      <c r="CD800" s="1479"/>
      <c r="CE800" s="1479"/>
      <c r="CF800" s="1479"/>
      <c r="CG800" s="1479"/>
      <c r="CH800" s="1472"/>
      <c r="CI800" s="917" t="s">
        <v>2627</v>
      </c>
      <c r="CJ800" s="536" t="s">
        <v>2606</v>
      </c>
      <c r="CK800" s="536" t="s">
        <v>1248</v>
      </c>
      <c r="CL800" s="919"/>
    </row>
    <row r="801" spans="32:90" ht="20.100000000000001" customHeight="1">
      <c r="AF801" s="358"/>
      <c r="AG801" s="251" t="s">
        <v>1221</v>
      </c>
      <c r="AH801" s="251">
        <f>INDEX('DEFAULT DATA'!$VE$9:$VK$41,START!$C$3,2)</f>
        <v>279</v>
      </c>
      <c r="AI801" s="262">
        <f>INDEX('DEFAULT DATA'!$AFS$9:$AIT$41,START!$C$3,(3+(($C$136-1)*8)))/IF($C$136&lt;5,INDEX('DEFAULT DATA'!$WT$9:$WW$41,START!$C$3,$C$136),1)</f>
        <v>16.742581205524264</v>
      </c>
      <c r="AJ801" s="262"/>
      <c r="AK801" s="345">
        <v>0</v>
      </c>
      <c r="AL801" s="272">
        <f t="shared" ref="AL801:BN801" si="922">IF(AND(AL$798&gt;($I$136+2020),AL$798&lt;($J$136+2022)),AK801+($AH$801*$E$136*$AI$801/($J$136-$I$136+1)/1000000),AK801)</f>
        <v>0</v>
      </c>
      <c r="AM801" s="272">
        <f t="shared" si="922"/>
        <v>0</v>
      </c>
      <c r="AN801" s="272">
        <f t="shared" si="922"/>
        <v>0</v>
      </c>
      <c r="AO801" s="272">
        <f t="shared" si="922"/>
        <v>0</v>
      </c>
      <c r="AP801" s="272">
        <f t="shared" si="922"/>
        <v>0</v>
      </c>
      <c r="AQ801" s="272">
        <f t="shared" si="922"/>
        <v>0</v>
      </c>
      <c r="AR801" s="272">
        <f t="shared" si="922"/>
        <v>0</v>
      </c>
      <c r="AS801" s="272">
        <f t="shared" si="922"/>
        <v>0</v>
      </c>
      <c r="AT801" s="272">
        <f t="shared" si="922"/>
        <v>0</v>
      </c>
      <c r="AU801" s="272">
        <f t="shared" si="922"/>
        <v>0</v>
      </c>
      <c r="AV801" s="272">
        <f t="shared" si="922"/>
        <v>0</v>
      </c>
      <c r="AW801" s="272">
        <f t="shared" si="922"/>
        <v>0</v>
      </c>
      <c r="AX801" s="272">
        <f t="shared" si="922"/>
        <v>0</v>
      </c>
      <c r="AY801" s="272">
        <f t="shared" si="922"/>
        <v>0</v>
      </c>
      <c r="AZ801" s="272">
        <f t="shared" si="922"/>
        <v>0</v>
      </c>
      <c r="BA801" s="272">
        <f t="shared" si="922"/>
        <v>0</v>
      </c>
      <c r="BB801" s="272">
        <f t="shared" si="922"/>
        <v>0</v>
      </c>
      <c r="BC801" s="272">
        <f t="shared" si="922"/>
        <v>0</v>
      </c>
      <c r="BD801" s="272">
        <f t="shared" si="922"/>
        <v>0</v>
      </c>
      <c r="BE801" s="272">
        <f t="shared" si="922"/>
        <v>0</v>
      </c>
      <c r="BF801" s="272">
        <f t="shared" si="922"/>
        <v>0</v>
      </c>
      <c r="BG801" s="272">
        <f t="shared" si="922"/>
        <v>0</v>
      </c>
      <c r="BH801" s="272">
        <f t="shared" si="922"/>
        <v>0</v>
      </c>
      <c r="BI801" s="272">
        <f t="shared" si="922"/>
        <v>0</v>
      </c>
      <c r="BJ801" s="272">
        <f t="shared" si="922"/>
        <v>0</v>
      </c>
      <c r="BK801" s="272">
        <f t="shared" si="922"/>
        <v>0</v>
      </c>
      <c r="BL801" s="272">
        <f t="shared" si="922"/>
        <v>0</v>
      </c>
      <c r="BM801" s="272">
        <f t="shared" si="922"/>
        <v>0</v>
      </c>
      <c r="BN801" s="324">
        <f t="shared" si="922"/>
        <v>0</v>
      </c>
      <c r="BP801" s="536" t="s">
        <v>1221</v>
      </c>
      <c r="BQ801" s="1471" t="str">
        <f t="shared" si="921"/>
        <v>GHG_Oila = GHG_Oila-1 + (E135 * BUI_COL (307 + ((C135 - 1) * 8) * BUI_COL2 / (J135-I135+1) / 1000000)</v>
      </c>
      <c r="BR801" s="1479"/>
      <c r="BS801" s="1479"/>
      <c r="BT801" s="1479"/>
      <c r="BU801" s="1479"/>
      <c r="BV801" s="1479"/>
      <c r="BW801" s="1479"/>
      <c r="BX801" s="1479"/>
      <c r="BY801" s="1479"/>
      <c r="BZ801" s="1479"/>
      <c r="CA801" s="1479"/>
      <c r="CB801" s="1479"/>
      <c r="CC801" s="1479"/>
      <c r="CD801" s="1479"/>
      <c r="CE801" s="1479"/>
      <c r="CF801" s="1479"/>
      <c r="CG801" s="1479"/>
      <c r="CH801" s="1472"/>
      <c r="CI801" s="917" t="s">
        <v>2627</v>
      </c>
      <c r="CJ801" s="536" t="s">
        <v>2606</v>
      </c>
      <c r="CK801" s="536" t="s">
        <v>1621</v>
      </c>
      <c r="CL801" s="919"/>
    </row>
    <row r="802" spans="32:90" ht="20.100000000000001" customHeight="1">
      <c r="AF802" s="358"/>
      <c r="AG802" s="251" t="s">
        <v>1222</v>
      </c>
      <c r="AH802" s="251">
        <f>INDEX('DEFAULT DATA'!$VE$9:$VK$41,START!$C$3,3)</f>
        <v>354</v>
      </c>
      <c r="AI802" s="262">
        <f>INDEX('DEFAULT DATA'!$AFS$9:$AIT$41,START!$C$3,(4+(($C$136-1)*8)))/IF($C$136&lt;5,INDEX('DEFAULT DATA'!$WT$9:$WW$41,START!$C$3,$C$136),1)</f>
        <v>0</v>
      </c>
      <c r="AJ802" s="262"/>
      <c r="AK802" s="345">
        <v>0</v>
      </c>
      <c r="AL802" s="272">
        <f t="shared" ref="AL802:BN802" si="923">IF(AND(AL$798&gt;($I$136+2020),AL$798&lt;($J$136+2022)),AK802+($AH$802*$E$136*$AI$802/($J$136-$I$136+1)/1000000),AK802)</f>
        <v>0</v>
      </c>
      <c r="AM802" s="272">
        <f t="shared" si="923"/>
        <v>0</v>
      </c>
      <c r="AN802" s="272">
        <f t="shared" si="923"/>
        <v>0</v>
      </c>
      <c r="AO802" s="272">
        <f t="shared" si="923"/>
        <v>0</v>
      </c>
      <c r="AP802" s="272">
        <f t="shared" si="923"/>
        <v>0</v>
      </c>
      <c r="AQ802" s="272">
        <f t="shared" si="923"/>
        <v>0</v>
      </c>
      <c r="AR802" s="272">
        <f t="shared" si="923"/>
        <v>0</v>
      </c>
      <c r="AS802" s="272">
        <f t="shared" si="923"/>
        <v>0</v>
      </c>
      <c r="AT802" s="272">
        <f t="shared" si="923"/>
        <v>0</v>
      </c>
      <c r="AU802" s="272">
        <f t="shared" si="923"/>
        <v>0</v>
      </c>
      <c r="AV802" s="272">
        <f t="shared" si="923"/>
        <v>0</v>
      </c>
      <c r="AW802" s="272">
        <f t="shared" si="923"/>
        <v>0</v>
      </c>
      <c r="AX802" s="272">
        <f t="shared" si="923"/>
        <v>0</v>
      </c>
      <c r="AY802" s="272">
        <f t="shared" si="923"/>
        <v>0</v>
      </c>
      <c r="AZ802" s="272">
        <f t="shared" si="923"/>
        <v>0</v>
      </c>
      <c r="BA802" s="272">
        <f t="shared" si="923"/>
        <v>0</v>
      </c>
      <c r="BB802" s="272">
        <f t="shared" si="923"/>
        <v>0</v>
      </c>
      <c r="BC802" s="272">
        <f t="shared" si="923"/>
        <v>0</v>
      </c>
      <c r="BD802" s="272">
        <f t="shared" si="923"/>
        <v>0</v>
      </c>
      <c r="BE802" s="272">
        <f t="shared" si="923"/>
        <v>0</v>
      </c>
      <c r="BF802" s="272">
        <f t="shared" si="923"/>
        <v>0</v>
      </c>
      <c r="BG802" s="272">
        <f t="shared" si="923"/>
        <v>0</v>
      </c>
      <c r="BH802" s="272">
        <f t="shared" si="923"/>
        <v>0</v>
      </c>
      <c r="BI802" s="272">
        <f t="shared" si="923"/>
        <v>0</v>
      </c>
      <c r="BJ802" s="272">
        <f t="shared" si="923"/>
        <v>0</v>
      </c>
      <c r="BK802" s="272">
        <f t="shared" si="923"/>
        <v>0</v>
      </c>
      <c r="BL802" s="272">
        <f t="shared" si="923"/>
        <v>0</v>
      </c>
      <c r="BM802" s="272">
        <f t="shared" si="923"/>
        <v>0</v>
      </c>
      <c r="BN802" s="324">
        <f t="shared" si="923"/>
        <v>0</v>
      </c>
      <c r="BP802" s="536" t="s">
        <v>1222</v>
      </c>
      <c r="BQ802" s="1471" t="str">
        <f t="shared" si="921"/>
        <v>GHG_Coala = GHG_Coala-1 + (E135 * BUI_COL (307 + ((C135 - 1) * 8) * BUI_COL3 / (J135-I135+1) / 1000000)</v>
      </c>
      <c r="BR802" s="1479"/>
      <c r="BS802" s="1479"/>
      <c r="BT802" s="1479"/>
      <c r="BU802" s="1479"/>
      <c r="BV802" s="1479"/>
      <c r="BW802" s="1479"/>
      <c r="BX802" s="1479"/>
      <c r="BY802" s="1479"/>
      <c r="BZ802" s="1479"/>
      <c r="CA802" s="1479"/>
      <c r="CB802" s="1479"/>
      <c r="CC802" s="1479"/>
      <c r="CD802" s="1479"/>
      <c r="CE802" s="1479"/>
      <c r="CF802" s="1479"/>
      <c r="CG802" s="1479"/>
      <c r="CH802" s="1472"/>
      <c r="CI802" s="917" t="s">
        <v>2627</v>
      </c>
      <c r="CJ802" s="536" t="s">
        <v>2606</v>
      </c>
      <c r="CK802" s="536" t="s">
        <v>1622</v>
      </c>
      <c r="CL802" s="919"/>
    </row>
    <row r="803" spans="32:90" ht="20.100000000000001" customHeight="1">
      <c r="AF803" s="358"/>
      <c r="AG803" s="251" t="s">
        <v>1223</v>
      </c>
      <c r="AH803" s="251">
        <f>INDEX('DEFAULT DATA'!$VE$9:$VK$41,START!$C$3,4)</f>
        <v>0</v>
      </c>
      <c r="AI803" s="262">
        <f>INDEX('DEFAULT DATA'!$AFS$9:$AIT$41,START!$C$3,(5+(($C$136-1)*8)))/IF($C$136&lt;5,INDEX('DEFAULT DATA'!$WT$9:$WW$41,START!$C$3,$C$136),1)</f>
        <v>0</v>
      </c>
      <c r="AJ803" s="262"/>
      <c r="AK803" s="345">
        <v>0</v>
      </c>
      <c r="AL803" s="272">
        <f t="shared" ref="AL803:BN803" si="924">IF(AND(AL$798&gt;($I$136+2020),AL$798&lt;($J$136+2022)),AK803+($AH$803*$E$136*$AI$803/($J$136-$I$136+1)/1000000),AK803)</f>
        <v>0</v>
      </c>
      <c r="AM803" s="272">
        <f t="shared" si="924"/>
        <v>0</v>
      </c>
      <c r="AN803" s="272">
        <f t="shared" si="924"/>
        <v>0</v>
      </c>
      <c r="AO803" s="272">
        <f t="shared" si="924"/>
        <v>0</v>
      </c>
      <c r="AP803" s="272">
        <f t="shared" si="924"/>
        <v>0</v>
      </c>
      <c r="AQ803" s="272">
        <f t="shared" si="924"/>
        <v>0</v>
      </c>
      <c r="AR803" s="272">
        <f t="shared" si="924"/>
        <v>0</v>
      </c>
      <c r="AS803" s="272">
        <f t="shared" si="924"/>
        <v>0</v>
      </c>
      <c r="AT803" s="272">
        <f t="shared" si="924"/>
        <v>0</v>
      </c>
      <c r="AU803" s="272">
        <f t="shared" si="924"/>
        <v>0</v>
      </c>
      <c r="AV803" s="272">
        <f t="shared" si="924"/>
        <v>0</v>
      </c>
      <c r="AW803" s="272">
        <f t="shared" si="924"/>
        <v>0</v>
      </c>
      <c r="AX803" s="272">
        <f t="shared" si="924"/>
        <v>0</v>
      </c>
      <c r="AY803" s="272">
        <f t="shared" si="924"/>
        <v>0</v>
      </c>
      <c r="AZ803" s="272">
        <f t="shared" si="924"/>
        <v>0</v>
      </c>
      <c r="BA803" s="272">
        <f t="shared" si="924"/>
        <v>0</v>
      </c>
      <c r="BB803" s="272">
        <f t="shared" si="924"/>
        <v>0</v>
      </c>
      <c r="BC803" s="272">
        <f t="shared" si="924"/>
        <v>0</v>
      </c>
      <c r="BD803" s="272">
        <f t="shared" si="924"/>
        <v>0</v>
      </c>
      <c r="BE803" s="272">
        <f t="shared" si="924"/>
        <v>0</v>
      </c>
      <c r="BF803" s="272">
        <f t="shared" si="924"/>
        <v>0</v>
      </c>
      <c r="BG803" s="272">
        <f t="shared" si="924"/>
        <v>0</v>
      </c>
      <c r="BH803" s="272">
        <f t="shared" si="924"/>
        <v>0</v>
      </c>
      <c r="BI803" s="272">
        <f t="shared" si="924"/>
        <v>0</v>
      </c>
      <c r="BJ803" s="272">
        <f t="shared" si="924"/>
        <v>0</v>
      </c>
      <c r="BK803" s="272">
        <f t="shared" si="924"/>
        <v>0</v>
      </c>
      <c r="BL803" s="272">
        <f t="shared" si="924"/>
        <v>0</v>
      </c>
      <c r="BM803" s="272">
        <f t="shared" si="924"/>
        <v>0</v>
      </c>
      <c r="BN803" s="324">
        <f t="shared" si="924"/>
        <v>0</v>
      </c>
      <c r="BP803" s="536" t="s">
        <v>1223</v>
      </c>
      <c r="BQ803" s="1471" t="str">
        <f t="shared" si="921"/>
        <v>GHG_Peata = GHG_Peata-1 + (E135 * BUI_COL (307 + ((C135 - 1) * 8) * BUI_COL4 / (J135-I135+1) / 1000000)</v>
      </c>
      <c r="BR803" s="1479"/>
      <c r="BS803" s="1479"/>
      <c r="BT803" s="1479"/>
      <c r="BU803" s="1479"/>
      <c r="BV803" s="1479"/>
      <c r="BW803" s="1479"/>
      <c r="BX803" s="1479"/>
      <c r="BY803" s="1479"/>
      <c r="BZ803" s="1479"/>
      <c r="CA803" s="1479"/>
      <c r="CB803" s="1479"/>
      <c r="CC803" s="1479"/>
      <c r="CD803" s="1479"/>
      <c r="CE803" s="1479"/>
      <c r="CF803" s="1479"/>
      <c r="CG803" s="1479"/>
      <c r="CH803" s="1472"/>
      <c r="CI803" s="917" t="s">
        <v>2627</v>
      </c>
      <c r="CJ803" s="536" t="s">
        <v>2606</v>
      </c>
      <c r="CK803" s="536" t="s">
        <v>1623</v>
      </c>
      <c r="CL803" s="919"/>
    </row>
    <row r="804" spans="32:90" ht="20.100000000000001" customHeight="1">
      <c r="AF804" s="358"/>
      <c r="AG804" s="251" t="s">
        <v>1224</v>
      </c>
      <c r="AH804" s="251">
        <f>INDEX('DEFAULT DATA'!$VE$9:$VK$41,START!$C$3,5)</f>
        <v>403</v>
      </c>
      <c r="AI804" s="262">
        <f>INDEX('DEFAULT DATA'!$AFS$9:$AIT$41,START!$C$3,(6+(($C$136-1)*8)))/IF($C$136&lt;5,INDEX('DEFAULT DATA'!$WT$9:$WW$41,START!$C$3,$C$136),1)</f>
        <v>0</v>
      </c>
      <c r="AJ804" s="262"/>
      <c r="AK804" s="345">
        <v>0</v>
      </c>
      <c r="AL804" s="272">
        <f t="shared" ref="AL804:BN804" si="925">IF(AND(AL$798&gt;($I$136+2020),AL$798&lt;($J$136+2022)),AK804+($AH$804*$E$136*$AI$804/($J$136-$I$136+1)/1000000),AK804)</f>
        <v>0</v>
      </c>
      <c r="AM804" s="272">
        <f t="shared" si="925"/>
        <v>0</v>
      </c>
      <c r="AN804" s="272">
        <f t="shared" si="925"/>
        <v>0</v>
      </c>
      <c r="AO804" s="272">
        <f t="shared" si="925"/>
        <v>0</v>
      </c>
      <c r="AP804" s="272">
        <f t="shared" si="925"/>
        <v>0</v>
      </c>
      <c r="AQ804" s="272">
        <f t="shared" si="925"/>
        <v>0</v>
      </c>
      <c r="AR804" s="272">
        <f t="shared" si="925"/>
        <v>0</v>
      </c>
      <c r="AS804" s="272">
        <f t="shared" si="925"/>
        <v>0</v>
      </c>
      <c r="AT804" s="272">
        <f t="shared" si="925"/>
        <v>0</v>
      </c>
      <c r="AU804" s="272">
        <f t="shared" si="925"/>
        <v>0</v>
      </c>
      <c r="AV804" s="272">
        <f t="shared" si="925"/>
        <v>0</v>
      </c>
      <c r="AW804" s="272">
        <f t="shared" si="925"/>
        <v>0</v>
      </c>
      <c r="AX804" s="272">
        <f t="shared" si="925"/>
        <v>0</v>
      </c>
      <c r="AY804" s="272">
        <f t="shared" si="925"/>
        <v>0</v>
      </c>
      <c r="AZ804" s="272">
        <f t="shared" si="925"/>
        <v>0</v>
      </c>
      <c r="BA804" s="272">
        <f t="shared" si="925"/>
        <v>0</v>
      </c>
      <c r="BB804" s="272">
        <f t="shared" si="925"/>
        <v>0</v>
      </c>
      <c r="BC804" s="272">
        <f t="shared" si="925"/>
        <v>0</v>
      </c>
      <c r="BD804" s="272">
        <f t="shared" si="925"/>
        <v>0</v>
      </c>
      <c r="BE804" s="272">
        <f t="shared" si="925"/>
        <v>0</v>
      </c>
      <c r="BF804" s="272">
        <f t="shared" si="925"/>
        <v>0</v>
      </c>
      <c r="BG804" s="272">
        <f t="shared" si="925"/>
        <v>0</v>
      </c>
      <c r="BH804" s="272">
        <f t="shared" si="925"/>
        <v>0</v>
      </c>
      <c r="BI804" s="272">
        <f t="shared" si="925"/>
        <v>0</v>
      </c>
      <c r="BJ804" s="272">
        <f t="shared" si="925"/>
        <v>0</v>
      </c>
      <c r="BK804" s="272">
        <f t="shared" si="925"/>
        <v>0</v>
      </c>
      <c r="BL804" s="272">
        <f t="shared" si="925"/>
        <v>0</v>
      </c>
      <c r="BM804" s="272">
        <f t="shared" si="925"/>
        <v>0</v>
      </c>
      <c r="BN804" s="324">
        <f t="shared" si="925"/>
        <v>0</v>
      </c>
      <c r="BP804" s="536" t="s">
        <v>1224</v>
      </c>
      <c r="BQ804" s="1471" t="str">
        <f t="shared" si="921"/>
        <v>GHG_Wooda = GHG_Wooda-1 + (E135 * BUI_COL (307 + ((C135 - 1) * 8) * BUI_COL5 / (J135-I135+1) / 1000000)</v>
      </c>
      <c r="BR804" s="1479"/>
      <c r="BS804" s="1479"/>
      <c r="BT804" s="1479"/>
      <c r="BU804" s="1479"/>
      <c r="BV804" s="1479"/>
      <c r="BW804" s="1479"/>
      <c r="BX804" s="1479"/>
      <c r="BY804" s="1479"/>
      <c r="BZ804" s="1479"/>
      <c r="CA804" s="1479"/>
      <c r="CB804" s="1479"/>
      <c r="CC804" s="1479"/>
      <c r="CD804" s="1479"/>
      <c r="CE804" s="1479"/>
      <c r="CF804" s="1479"/>
      <c r="CG804" s="1479"/>
      <c r="CH804" s="1472"/>
      <c r="CI804" s="917" t="s">
        <v>2627</v>
      </c>
      <c r="CJ804" s="536" t="s">
        <v>2606</v>
      </c>
      <c r="CK804" s="536" t="s">
        <v>1624</v>
      </c>
      <c r="CL804" s="919"/>
    </row>
    <row r="805" spans="32:90" ht="20.100000000000001" customHeight="1">
      <c r="AF805" s="358"/>
      <c r="AG805" s="251" t="s">
        <v>1225</v>
      </c>
      <c r="AH805" s="251">
        <f>INDEX('DEFAULT DATA'!$VE$9:$VK$41,START!$C$3,6)</f>
        <v>0</v>
      </c>
      <c r="AI805" s="262">
        <f>INDEX('DEFAULT DATA'!$AFS$9:$AIT$41,START!$C$3,(7+(($C$136-1)*8)))/IF($C$136&lt;5,INDEX('DEFAULT DATA'!$WT$9:$WW$41,START!$C$3,$C$136),1)</f>
        <v>52.320566267263324</v>
      </c>
      <c r="AJ805" s="262"/>
      <c r="AK805" s="345">
        <v>0</v>
      </c>
      <c r="AL805" s="272">
        <f t="shared" ref="AL805:BN805" si="926">IF(AND(AL$798&gt;($I$136+2020),AL$798&lt;($J$136+2022)),AK805+($AH$805*$E$136*$AI$805/($J$136-$I$136+1)/1000000),AK805)</f>
        <v>0</v>
      </c>
      <c r="AM805" s="272">
        <f t="shared" si="926"/>
        <v>0</v>
      </c>
      <c r="AN805" s="272">
        <f t="shared" si="926"/>
        <v>0</v>
      </c>
      <c r="AO805" s="272">
        <f t="shared" si="926"/>
        <v>0</v>
      </c>
      <c r="AP805" s="272">
        <f t="shared" si="926"/>
        <v>0</v>
      </c>
      <c r="AQ805" s="272">
        <f t="shared" si="926"/>
        <v>0</v>
      </c>
      <c r="AR805" s="272">
        <f t="shared" si="926"/>
        <v>0</v>
      </c>
      <c r="AS805" s="272">
        <f t="shared" si="926"/>
        <v>0</v>
      </c>
      <c r="AT805" s="272">
        <f t="shared" si="926"/>
        <v>0</v>
      </c>
      <c r="AU805" s="272">
        <f t="shared" si="926"/>
        <v>0</v>
      </c>
      <c r="AV805" s="272">
        <f t="shared" si="926"/>
        <v>0</v>
      </c>
      <c r="AW805" s="272">
        <f t="shared" si="926"/>
        <v>0</v>
      </c>
      <c r="AX805" s="272">
        <f t="shared" si="926"/>
        <v>0</v>
      </c>
      <c r="AY805" s="272">
        <f t="shared" si="926"/>
        <v>0</v>
      </c>
      <c r="AZ805" s="272">
        <f t="shared" si="926"/>
        <v>0</v>
      </c>
      <c r="BA805" s="272">
        <f t="shared" si="926"/>
        <v>0</v>
      </c>
      <c r="BB805" s="272">
        <f t="shared" si="926"/>
        <v>0</v>
      </c>
      <c r="BC805" s="272">
        <f t="shared" si="926"/>
        <v>0</v>
      </c>
      <c r="BD805" s="272">
        <f t="shared" si="926"/>
        <v>0</v>
      </c>
      <c r="BE805" s="272">
        <f t="shared" si="926"/>
        <v>0</v>
      </c>
      <c r="BF805" s="272">
        <f t="shared" si="926"/>
        <v>0</v>
      </c>
      <c r="BG805" s="272">
        <f t="shared" si="926"/>
        <v>0</v>
      </c>
      <c r="BH805" s="272">
        <f t="shared" si="926"/>
        <v>0</v>
      </c>
      <c r="BI805" s="272">
        <f t="shared" si="926"/>
        <v>0</v>
      </c>
      <c r="BJ805" s="272">
        <f t="shared" si="926"/>
        <v>0</v>
      </c>
      <c r="BK805" s="272">
        <f t="shared" si="926"/>
        <v>0</v>
      </c>
      <c r="BL805" s="272">
        <f t="shared" si="926"/>
        <v>0</v>
      </c>
      <c r="BM805" s="272">
        <f t="shared" si="926"/>
        <v>0</v>
      </c>
      <c r="BN805" s="324">
        <f t="shared" si="926"/>
        <v>0</v>
      </c>
      <c r="BP805" s="536" t="s">
        <v>1225</v>
      </c>
      <c r="BQ805" s="1471" t="str">
        <f t="shared" si="921"/>
        <v>GHG_Renewablea = GHG_Renewablea-1 + (E135 * BUI_COL (307 + ((C135 - 1) * 8) * BUI_COL6 / (J135-I135+1) / 1000000)</v>
      </c>
      <c r="BR805" s="1479"/>
      <c r="BS805" s="1479"/>
      <c r="BT805" s="1479"/>
      <c r="BU805" s="1479"/>
      <c r="BV805" s="1479"/>
      <c r="BW805" s="1479"/>
      <c r="BX805" s="1479"/>
      <c r="BY805" s="1479"/>
      <c r="BZ805" s="1479"/>
      <c r="CA805" s="1479"/>
      <c r="CB805" s="1479"/>
      <c r="CC805" s="1479"/>
      <c r="CD805" s="1479"/>
      <c r="CE805" s="1479"/>
      <c r="CF805" s="1479"/>
      <c r="CG805" s="1479"/>
      <c r="CH805" s="1472"/>
      <c r="CI805" s="917" t="s">
        <v>2627</v>
      </c>
      <c r="CJ805" s="536" t="s">
        <v>2606</v>
      </c>
      <c r="CK805" s="536" t="s">
        <v>1625</v>
      </c>
      <c r="CL805" s="919"/>
    </row>
    <row r="806" spans="32:90" ht="20.100000000000001" customHeight="1" thickBot="1">
      <c r="AF806" s="359"/>
      <c r="AG806" s="310" t="s">
        <v>1226</v>
      </c>
      <c r="AH806" s="310" t="s">
        <v>1497</v>
      </c>
      <c r="AI806" s="335">
        <f>INDEX('DEFAULT DATA'!$AFS$9:$AIT$41,START!$C$3,(8+(($C$136-1)*8)))/IF($C$136&lt;5,INDEX('DEFAULT DATA'!$WT$9:$WW$41,START!$C$3,$C$136),1)</f>
        <v>62.78467952071599</v>
      </c>
      <c r="AJ806" s="335"/>
      <c r="AK806" s="348">
        <v>0</v>
      </c>
      <c r="AL806" s="325">
        <f t="shared" ref="AL806:BN806" si="927">IF(AND(AL$798&gt;($I$136+2020),AL$798&lt;($J$136+2022)),AK806+(AL$6*$E$136*$AI$806/($J$136-$I$136+1)/1000000),AK806)</f>
        <v>0</v>
      </c>
      <c r="AM806" s="325">
        <f t="shared" si="927"/>
        <v>0</v>
      </c>
      <c r="AN806" s="325">
        <f t="shared" si="927"/>
        <v>0</v>
      </c>
      <c r="AO806" s="325">
        <f t="shared" si="927"/>
        <v>0</v>
      </c>
      <c r="AP806" s="325">
        <f t="shared" si="927"/>
        <v>0</v>
      </c>
      <c r="AQ806" s="325">
        <f t="shared" si="927"/>
        <v>0</v>
      </c>
      <c r="AR806" s="325">
        <f t="shared" si="927"/>
        <v>0</v>
      </c>
      <c r="AS806" s="325">
        <f t="shared" si="927"/>
        <v>0</v>
      </c>
      <c r="AT806" s="325">
        <f t="shared" si="927"/>
        <v>0</v>
      </c>
      <c r="AU806" s="325">
        <f t="shared" si="927"/>
        <v>0</v>
      </c>
      <c r="AV806" s="325">
        <f t="shared" si="927"/>
        <v>0</v>
      </c>
      <c r="AW806" s="325">
        <f t="shared" si="927"/>
        <v>0</v>
      </c>
      <c r="AX806" s="325">
        <f t="shared" si="927"/>
        <v>0</v>
      </c>
      <c r="AY806" s="325">
        <f t="shared" si="927"/>
        <v>0</v>
      </c>
      <c r="AZ806" s="325">
        <f t="shared" si="927"/>
        <v>0</v>
      </c>
      <c r="BA806" s="325">
        <f t="shared" si="927"/>
        <v>0</v>
      </c>
      <c r="BB806" s="325">
        <f t="shared" si="927"/>
        <v>0</v>
      </c>
      <c r="BC806" s="325">
        <f t="shared" si="927"/>
        <v>0</v>
      </c>
      <c r="BD806" s="325">
        <f t="shared" si="927"/>
        <v>0</v>
      </c>
      <c r="BE806" s="325">
        <f t="shared" si="927"/>
        <v>0</v>
      </c>
      <c r="BF806" s="325">
        <f t="shared" si="927"/>
        <v>0</v>
      </c>
      <c r="BG806" s="325">
        <f t="shared" si="927"/>
        <v>0</v>
      </c>
      <c r="BH806" s="325">
        <f t="shared" si="927"/>
        <v>0</v>
      </c>
      <c r="BI806" s="325">
        <f t="shared" si="927"/>
        <v>0</v>
      </c>
      <c r="BJ806" s="325">
        <f t="shared" si="927"/>
        <v>0</v>
      </c>
      <c r="BK806" s="325">
        <f t="shared" si="927"/>
        <v>0</v>
      </c>
      <c r="BL806" s="325">
        <f t="shared" si="927"/>
        <v>0</v>
      </c>
      <c r="BM806" s="325">
        <f t="shared" si="927"/>
        <v>0</v>
      </c>
      <c r="BN806" s="326">
        <f t="shared" si="927"/>
        <v>0</v>
      </c>
      <c r="BP806" s="536" t="s">
        <v>1226</v>
      </c>
      <c r="BQ806" s="1471" t="str">
        <f>CONCATENATE("GHG_",BP806,"a = GHG_",BP806,"a-1 + (E135 * ",CI806," * ",CK806," / (",CJ806,") / 1000000)")</f>
        <v>GHG_Heata = GHG_Heata-1 + (E135 * BUI_COL (307 + ((C135 - 1) * 8) * DISTRICT_HEATING_emission_factora (from row 5) / (J135-I135+1) / 1000000)</v>
      </c>
      <c r="BR806" s="1479"/>
      <c r="BS806" s="1479"/>
      <c r="BT806" s="1479"/>
      <c r="BU806" s="1479"/>
      <c r="BV806" s="1479"/>
      <c r="BW806" s="1479"/>
      <c r="BX806" s="1479"/>
      <c r="BY806" s="1479"/>
      <c r="BZ806" s="1479"/>
      <c r="CA806" s="1479"/>
      <c r="CB806" s="1479"/>
      <c r="CC806" s="1479"/>
      <c r="CD806" s="1479"/>
      <c r="CE806" s="1479"/>
      <c r="CF806" s="1479"/>
      <c r="CG806" s="1479"/>
      <c r="CH806" s="1472"/>
      <c r="CI806" s="917" t="s">
        <v>2627</v>
      </c>
      <c r="CJ806" s="536" t="s">
        <v>2606</v>
      </c>
      <c r="CK806" s="536" t="s">
        <v>2602</v>
      </c>
      <c r="CL806" s="919"/>
    </row>
    <row r="807" spans="32:90" ht="20.100000000000001" customHeight="1">
      <c r="AF807" s="332"/>
      <c r="AG807" s="308" t="s">
        <v>310</v>
      </c>
      <c r="AH807" s="309"/>
      <c r="AI807" s="363"/>
      <c r="AJ807" s="309"/>
      <c r="AK807" s="344">
        <v>0</v>
      </c>
      <c r="AL807" s="327">
        <f>SUM(AL799:AL806)</f>
        <v>0</v>
      </c>
      <c r="AM807" s="327">
        <f t="shared" ref="AM807:BN807" si="928">SUM(AM799:AM806)</f>
        <v>0</v>
      </c>
      <c r="AN807" s="327">
        <f t="shared" si="928"/>
        <v>0</v>
      </c>
      <c r="AO807" s="327">
        <f t="shared" si="928"/>
        <v>0</v>
      </c>
      <c r="AP807" s="327">
        <f t="shared" si="928"/>
        <v>0</v>
      </c>
      <c r="AQ807" s="327">
        <f t="shared" si="928"/>
        <v>0</v>
      </c>
      <c r="AR807" s="327">
        <f t="shared" si="928"/>
        <v>0</v>
      </c>
      <c r="AS807" s="327">
        <f t="shared" si="928"/>
        <v>0</v>
      </c>
      <c r="AT807" s="327">
        <f t="shared" si="928"/>
        <v>0</v>
      </c>
      <c r="AU807" s="327">
        <f t="shared" si="928"/>
        <v>0</v>
      </c>
      <c r="AV807" s="327">
        <f t="shared" si="928"/>
        <v>0</v>
      </c>
      <c r="AW807" s="327">
        <f t="shared" si="928"/>
        <v>0</v>
      </c>
      <c r="AX807" s="327">
        <f t="shared" si="928"/>
        <v>0</v>
      </c>
      <c r="AY807" s="327">
        <f t="shared" si="928"/>
        <v>0</v>
      </c>
      <c r="AZ807" s="327">
        <f t="shared" si="928"/>
        <v>0</v>
      </c>
      <c r="BA807" s="327">
        <f t="shared" si="928"/>
        <v>0</v>
      </c>
      <c r="BB807" s="327">
        <f t="shared" si="928"/>
        <v>0</v>
      </c>
      <c r="BC807" s="327">
        <f t="shared" si="928"/>
        <v>0</v>
      </c>
      <c r="BD807" s="327">
        <f t="shared" si="928"/>
        <v>0</v>
      </c>
      <c r="BE807" s="327">
        <f t="shared" si="928"/>
        <v>0</v>
      </c>
      <c r="BF807" s="327">
        <f t="shared" si="928"/>
        <v>0</v>
      </c>
      <c r="BG807" s="327">
        <f t="shared" si="928"/>
        <v>0</v>
      </c>
      <c r="BH807" s="327">
        <f t="shared" si="928"/>
        <v>0</v>
      </c>
      <c r="BI807" s="327">
        <f t="shared" si="928"/>
        <v>0</v>
      </c>
      <c r="BJ807" s="327">
        <f t="shared" si="928"/>
        <v>0</v>
      </c>
      <c r="BK807" s="327">
        <f t="shared" si="928"/>
        <v>0</v>
      </c>
      <c r="BL807" s="327">
        <f t="shared" si="928"/>
        <v>0</v>
      </c>
      <c r="BM807" s="327">
        <f t="shared" si="928"/>
        <v>0</v>
      </c>
      <c r="BN807" s="327">
        <f t="shared" si="928"/>
        <v>0</v>
      </c>
    </row>
    <row r="808" spans="32:90" ht="20.100000000000001" customHeight="1">
      <c r="AI808" s="364"/>
    </row>
    <row r="809" spans="32:90" ht="20.100000000000001" customHeight="1" thickBot="1">
      <c r="AF809" s="333" t="s">
        <v>1515</v>
      </c>
      <c r="AG809" s="333"/>
      <c r="AH809" s="334" t="s">
        <v>977</v>
      </c>
      <c r="AI809" s="1477" t="s">
        <v>2549</v>
      </c>
      <c r="AJ809" s="1478"/>
      <c r="AK809" s="346">
        <v>2021</v>
      </c>
      <c r="AL809" s="284">
        <v>2022</v>
      </c>
      <c r="AM809" s="284">
        <v>2023</v>
      </c>
      <c r="AN809" s="284">
        <v>2024</v>
      </c>
      <c r="AO809" s="284">
        <v>2025</v>
      </c>
      <c r="AP809" s="284">
        <v>2026</v>
      </c>
      <c r="AQ809" s="284">
        <v>2027</v>
      </c>
      <c r="AR809" s="284">
        <v>2028</v>
      </c>
      <c r="AS809" s="284">
        <v>2029</v>
      </c>
      <c r="AT809" s="284">
        <v>2030</v>
      </c>
      <c r="AU809" s="284">
        <v>2031</v>
      </c>
      <c r="AV809" s="284">
        <v>2032</v>
      </c>
      <c r="AW809" s="284">
        <v>2033</v>
      </c>
      <c r="AX809" s="284">
        <v>2034</v>
      </c>
      <c r="AY809" s="284">
        <v>2035</v>
      </c>
      <c r="AZ809" s="284">
        <v>2036</v>
      </c>
      <c r="BA809" s="284">
        <v>2037</v>
      </c>
      <c r="BB809" s="284">
        <v>2038</v>
      </c>
      <c r="BC809" s="284">
        <v>2039</v>
      </c>
      <c r="BD809" s="284">
        <v>2040</v>
      </c>
      <c r="BE809" s="284">
        <v>2041</v>
      </c>
      <c r="BF809" s="284">
        <v>2042</v>
      </c>
      <c r="BG809" s="284">
        <v>2043</v>
      </c>
      <c r="BH809" s="284">
        <v>2044</v>
      </c>
      <c r="BI809" s="284">
        <v>2045</v>
      </c>
      <c r="BJ809" s="284">
        <v>2046</v>
      </c>
      <c r="BK809" s="284">
        <v>2047</v>
      </c>
      <c r="BL809" s="284">
        <v>2048</v>
      </c>
      <c r="BM809" s="284">
        <v>2049</v>
      </c>
      <c r="BN809" s="284">
        <v>2050</v>
      </c>
      <c r="BQ809" s="222" t="s">
        <v>2621</v>
      </c>
      <c r="BR809" s="417"/>
      <c r="BS809" s="417"/>
      <c r="BT809" s="417"/>
      <c r="BU809" s="417"/>
      <c r="BV809" s="417"/>
      <c r="BW809" s="417"/>
      <c r="BX809" s="417"/>
      <c r="BY809" s="417"/>
      <c r="BZ809" s="417"/>
      <c r="CA809" s="417"/>
      <c r="CB809" s="417"/>
      <c r="CC809" s="417"/>
      <c r="CD809" s="417"/>
      <c r="CE809" s="417"/>
      <c r="CF809" s="417"/>
      <c r="CG809" s="417"/>
      <c r="CH809" s="417"/>
      <c r="CI809" s="944" t="s">
        <v>1767</v>
      </c>
      <c r="CJ809" s="279" t="s">
        <v>2552</v>
      </c>
      <c r="CK809" s="945" t="s">
        <v>1598</v>
      </c>
    </row>
    <row r="810" spans="32:90" ht="20.100000000000001" customHeight="1">
      <c r="AF810" s="357" t="str">
        <f>CONCATENATE("conversion to ",INDEX('MENU OPTIONS'!$B$27:$B$36,$C$137,1))</f>
        <v>conversion to Semi-detached</v>
      </c>
      <c r="AG810" s="286" t="s">
        <v>933</v>
      </c>
      <c r="AH810" s="286" t="s">
        <v>1496</v>
      </c>
      <c r="AI810" s="330">
        <f>INDEX('DEFAULT DATA'!$AFS$9:$AIT$41,START!$C$3,(1+(($C$137-1)*8)))/IF($C$137&lt;5,INDEX('DEFAULT DATA'!$WT$9:$WW$41,START!$C$3,$C$137),1)</f>
        <v>75.341615424859185</v>
      </c>
      <c r="AJ810" s="330"/>
      <c r="AK810" s="343">
        <v>0</v>
      </c>
      <c r="AL810" s="322">
        <f t="shared" ref="AL810:BN810" si="929">IF(AND(AL$809&gt;($I$137+2020),AL$809&lt;($J$137+2022)),AK810+(AL$5*$E$137*$AI$810/($J$137-$I$137+1)/1000000),AK810)</f>
        <v>0</v>
      </c>
      <c r="AM810" s="322">
        <f t="shared" si="929"/>
        <v>0</v>
      </c>
      <c r="AN810" s="322">
        <f t="shared" si="929"/>
        <v>0</v>
      </c>
      <c r="AO810" s="322">
        <f t="shared" si="929"/>
        <v>0</v>
      </c>
      <c r="AP810" s="322">
        <f t="shared" si="929"/>
        <v>0</v>
      </c>
      <c r="AQ810" s="322">
        <f t="shared" si="929"/>
        <v>0</v>
      </c>
      <c r="AR810" s="322">
        <f t="shared" si="929"/>
        <v>0</v>
      </c>
      <c r="AS810" s="322">
        <f t="shared" si="929"/>
        <v>0</v>
      </c>
      <c r="AT810" s="322">
        <f t="shared" si="929"/>
        <v>0</v>
      </c>
      <c r="AU810" s="322">
        <f t="shared" si="929"/>
        <v>0</v>
      </c>
      <c r="AV810" s="322">
        <f t="shared" si="929"/>
        <v>0</v>
      </c>
      <c r="AW810" s="322">
        <f t="shared" si="929"/>
        <v>0</v>
      </c>
      <c r="AX810" s="322">
        <f t="shared" si="929"/>
        <v>0</v>
      </c>
      <c r="AY810" s="322">
        <f t="shared" si="929"/>
        <v>0</v>
      </c>
      <c r="AZ810" s="322">
        <f t="shared" si="929"/>
        <v>0</v>
      </c>
      <c r="BA810" s="322">
        <f t="shared" si="929"/>
        <v>0</v>
      </c>
      <c r="BB810" s="322">
        <f t="shared" si="929"/>
        <v>0</v>
      </c>
      <c r="BC810" s="322">
        <f t="shared" si="929"/>
        <v>0</v>
      </c>
      <c r="BD810" s="322">
        <f t="shared" si="929"/>
        <v>0</v>
      </c>
      <c r="BE810" s="322">
        <f t="shared" si="929"/>
        <v>0</v>
      </c>
      <c r="BF810" s="322">
        <f t="shared" si="929"/>
        <v>0</v>
      </c>
      <c r="BG810" s="322">
        <f t="shared" si="929"/>
        <v>0</v>
      </c>
      <c r="BH810" s="322">
        <f t="shared" si="929"/>
        <v>0</v>
      </c>
      <c r="BI810" s="322">
        <f t="shared" si="929"/>
        <v>0</v>
      </c>
      <c r="BJ810" s="322">
        <f t="shared" si="929"/>
        <v>0</v>
      </c>
      <c r="BK810" s="322">
        <f t="shared" si="929"/>
        <v>0</v>
      </c>
      <c r="BL810" s="322">
        <f t="shared" si="929"/>
        <v>0</v>
      </c>
      <c r="BM810" s="322">
        <f t="shared" si="929"/>
        <v>0</v>
      </c>
      <c r="BN810" s="323">
        <f t="shared" si="929"/>
        <v>0</v>
      </c>
      <c r="BP810" s="536" t="s">
        <v>933</v>
      </c>
      <c r="BQ810" s="1471" t="str">
        <f>CONCATENATE("GHG_",BP810,"a = GHG_",BP810,"a-1 + (E136 * ",CI810," * ",CK810," / (",CJ810,") / 1000000)")</f>
        <v>GHG_Electricitya = GHG_Electricitya-1 + (E136 * BUI_COL (307 + ((C136 - 1) * 8) * GRID_ELECTRICITY_emission_factora (from row4) / (J136-I136+1) / 1000000)</v>
      </c>
      <c r="BR810" s="1479"/>
      <c r="BS810" s="1479"/>
      <c r="BT810" s="1479"/>
      <c r="BU810" s="1479"/>
      <c r="BV810" s="1479"/>
      <c r="BW810" s="1479"/>
      <c r="BX810" s="1479"/>
      <c r="BY810" s="1479"/>
      <c r="BZ810" s="1479"/>
      <c r="CA810" s="1479"/>
      <c r="CB810" s="1479"/>
      <c r="CC810" s="1479"/>
      <c r="CD810" s="1479"/>
      <c r="CE810" s="1479"/>
      <c r="CF810" s="1479"/>
      <c r="CG810" s="1479"/>
      <c r="CH810" s="1472"/>
      <c r="CI810" s="917" t="s">
        <v>2628</v>
      </c>
      <c r="CJ810" s="536" t="s">
        <v>2608</v>
      </c>
      <c r="CK810" s="536" t="s">
        <v>2601</v>
      </c>
      <c r="CL810" s="919"/>
    </row>
    <row r="811" spans="32:90" ht="20.100000000000001" customHeight="1">
      <c r="AF811" s="358"/>
      <c r="AG811" s="251" t="s">
        <v>1220</v>
      </c>
      <c r="AH811" s="251">
        <f>INDEX('DEFAULT DATA'!$VE$9:$VK$41,START!$C$3,1)</f>
        <v>202</v>
      </c>
      <c r="AI811" s="262">
        <f>INDEX('DEFAULT DATA'!$AFS$9:$AIT$41,START!$C$3,(2+(($C$137-1)*8)))/IF($C$137&lt;5,INDEX('DEFAULT DATA'!$WT$9:$WW$41,START!$C$3,$C$137),1)</f>
        <v>2.092822650690533</v>
      </c>
      <c r="AJ811" s="262"/>
      <c r="AK811" s="345">
        <v>0</v>
      </c>
      <c r="AL811" s="272">
        <f t="shared" ref="AL811:BN811" si="930">IF(AND(AL$809&gt;($I$137+2020),AL$809&lt;($J$137+2022)),AK811+($AH$811*$E$137*$AI$811/($J$137-$I$137+1)/1000000),AK811)</f>
        <v>0</v>
      </c>
      <c r="AM811" s="272">
        <f t="shared" si="930"/>
        <v>0</v>
      </c>
      <c r="AN811" s="272">
        <f t="shared" si="930"/>
        <v>0</v>
      </c>
      <c r="AO811" s="272">
        <f t="shared" si="930"/>
        <v>0</v>
      </c>
      <c r="AP811" s="272">
        <f t="shared" si="930"/>
        <v>0</v>
      </c>
      <c r="AQ811" s="272">
        <f t="shared" si="930"/>
        <v>0</v>
      </c>
      <c r="AR811" s="272">
        <f t="shared" si="930"/>
        <v>0</v>
      </c>
      <c r="AS811" s="272">
        <f t="shared" si="930"/>
        <v>0</v>
      </c>
      <c r="AT811" s="272">
        <f t="shared" si="930"/>
        <v>0</v>
      </c>
      <c r="AU811" s="272">
        <f t="shared" si="930"/>
        <v>0</v>
      </c>
      <c r="AV811" s="272">
        <f t="shared" si="930"/>
        <v>0</v>
      </c>
      <c r="AW811" s="272">
        <f t="shared" si="930"/>
        <v>0</v>
      </c>
      <c r="AX811" s="272">
        <f t="shared" si="930"/>
        <v>0</v>
      </c>
      <c r="AY811" s="272">
        <f t="shared" si="930"/>
        <v>0</v>
      </c>
      <c r="AZ811" s="272">
        <f t="shared" si="930"/>
        <v>0</v>
      </c>
      <c r="BA811" s="272">
        <f t="shared" si="930"/>
        <v>0</v>
      </c>
      <c r="BB811" s="272">
        <f t="shared" si="930"/>
        <v>0</v>
      </c>
      <c r="BC811" s="272">
        <f t="shared" si="930"/>
        <v>0</v>
      </c>
      <c r="BD811" s="272">
        <f t="shared" si="930"/>
        <v>0</v>
      </c>
      <c r="BE811" s="272">
        <f t="shared" si="930"/>
        <v>0</v>
      </c>
      <c r="BF811" s="272">
        <f t="shared" si="930"/>
        <v>0</v>
      </c>
      <c r="BG811" s="272">
        <f t="shared" si="930"/>
        <v>0</v>
      </c>
      <c r="BH811" s="272">
        <f t="shared" si="930"/>
        <v>0</v>
      </c>
      <c r="BI811" s="272">
        <f t="shared" si="930"/>
        <v>0</v>
      </c>
      <c r="BJ811" s="272">
        <f t="shared" si="930"/>
        <v>0</v>
      </c>
      <c r="BK811" s="272">
        <f t="shared" si="930"/>
        <v>0</v>
      </c>
      <c r="BL811" s="272">
        <f t="shared" si="930"/>
        <v>0</v>
      </c>
      <c r="BM811" s="272">
        <f t="shared" si="930"/>
        <v>0</v>
      </c>
      <c r="BN811" s="324">
        <f t="shared" si="930"/>
        <v>0</v>
      </c>
      <c r="BP811" s="536" t="s">
        <v>1220</v>
      </c>
      <c r="BQ811" s="1471" t="str">
        <f t="shared" ref="BQ811:BQ816" si="931">CONCATENATE("GHG_",BP811,"a = GHG_",BP811,"a-1 + (E136 * ",CI811," * ",CK811," / (",CJ811,") / 1000000)")</f>
        <v>GHG_Gasa = GHG_Gasa-1 + (E136 * BUI_COL (307 + ((C136 - 1) * 8) * BUI_COL1 / (J136-I136+1) / 1000000)</v>
      </c>
      <c r="BR811" s="1479"/>
      <c r="BS811" s="1479"/>
      <c r="BT811" s="1479"/>
      <c r="BU811" s="1479"/>
      <c r="BV811" s="1479"/>
      <c r="BW811" s="1479"/>
      <c r="BX811" s="1479"/>
      <c r="BY811" s="1479"/>
      <c r="BZ811" s="1479"/>
      <c r="CA811" s="1479"/>
      <c r="CB811" s="1479"/>
      <c r="CC811" s="1479"/>
      <c r="CD811" s="1479"/>
      <c r="CE811" s="1479"/>
      <c r="CF811" s="1479"/>
      <c r="CG811" s="1479"/>
      <c r="CH811" s="1472"/>
      <c r="CI811" s="917" t="s">
        <v>2628</v>
      </c>
      <c r="CJ811" s="536" t="s">
        <v>2608</v>
      </c>
      <c r="CK811" s="536" t="s">
        <v>1248</v>
      </c>
      <c r="CL811" s="919"/>
    </row>
    <row r="812" spans="32:90" ht="20.100000000000001" customHeight="1">
      <c r="AF812" s="358"/>
      <c r="AG812" s="251" t="s">
        <v>1221</v>
      </c>
      <c r="AH812" s="251">
        <f>INDEX('DEFAULT DATA'!$VE$9:$VK$41,START!$C$3,2)</f>
        <v>279</v>
      </c>
      <c r="AI812" s="262">
        <f>INDEX('DEFAULT DATA'!$AFS$9:$AIT$41,START!$C$3,(3+(($C$137-1)*8)))/IF($C$137&lt;5,INDEX('DEFAULT DATA'!$WT$9:$WW$41,START!$C$3,$C$137),1)</f>
        <v>16.742581205524264</v>
      </c>
      <c r="AJ812" s="262"/>
      <c r="AK812" s="345">
        <v>0</v>
      </c>
      <c r="AL812" s="272">
        <f t="shared" ref="AL812:BN812" si="932">IF(AND(AL$809&gt;($I$137+2020),AL$809&lt;($J$137+2022)),AK812+($AH$812*$E$137*$AI$812/($J$137-$I$137+1)/1000000),AK812)</f>
        <v>0</v>
      </c>
      <c r="AM812" s="272">
        <f t="shared" si="932"/>
        <v>0</v>
      </c>
      <c r="AN812" s="272">
        <f t="shared" si="932"/>
        <v>0</v>
      </c>
      <c r="AO812" s="272">
        <f t="shared" si="932"/>
        <v>0</v>
      </c>
      <c r="AP812" s="272">
        <f t="shared" si="932"/>
        <v>0</v>
      </c>
      <c r="AQ812" s="272">
        <f t="shared" si="932"/>
        <v>0</v>
      </c>
      <c r="AR812" s="272">
        <f t="shared" si="932"/>
        <v>0</v>
      </c>
      <c r="AS812" s="272">
        <f t="shared" si="932"/>
        <v>0</v>
      </c>
      <c r="AT812" s="272">
        <f t="shared" si="932"/>
        <v>0</v>
      </c>
      <c r="AU812" s="272">
        <f t="shared" si="932"/>
        <v>0</v>
      </c>
      <c r="AV812" s="272">
        <f t="shared" si="932"/>
        <v>0</v>
      </c>
      <c r="AW812" s="272">
        <f t="shared" si="932"/>
        <v>0</v>
      </c>
      <c r="AX812" s="272">
        <f t="shared" si="932"/>
        <v>0</v>
      </c>
      <c r="AY812" s="272">
        <f t="shared" si="932"/>
        <v>0</v>
      </c>
      <c r="AZ812" s="272">
        <f t="shared" si="932"/>
        <v>0</v>
      </c>
      <c r="BA812" s="272">
        <f t="shared" si="932"/>
        <v>0</v>
      </c>
      <c r="BB812" s="272">
        <f t="shared" si="932"/>
        <v>0</v>
      </c>
      <c r="BC812" s="272">
        <f t="shared" si="932"/>
        <v>0</v>
      </c>
      <c r="BD812" s="272">
        <f t="shared" si="932"/>
        <v>0</v>
      </c>
      <c r="BE812" s="272">
        <f t="shared" si="932"/>
        <v>0</v>
      </c>
      <c r="BF812" s="272">
        <f t="shared" si="932"/>
        <v>0</v>
      </c>
      <c r="BG812" s="272">
        <f t="shared" si="932"/>
        <v>0</v>
      </c>
      <c r="BH812" s="272">
        <f t="shared" si="932"/>
        <v>0</v>
      </c>
      <c r="BI812" s="272">
        <f t="shared" si="932"/>
        <v>0</v>
      </c>
      <c r="BJ812" s="272">
        <f t="shared" si="932"/>
        <v>0</v>
      </c>
      <c r="BK812" s="272">
        <f t="shared" si="932"/>
        <v>0</v>
      </c>
      <c r="BL812" s="272">
        <f t="shared" si="932"/>
        <v>0</v>
      </c>
      <c r="BM812" s="272">
        <f t="shared" si="932"/>
        <v>0</v>
      </c>
      <c r="BN812" s="324">
        <f t="shared" si="932"/>
        <v>0</v>
      </c>
      <c r="BP812" s="536" t="s">
        <v>1221</v>
      </c>
      <c r="BQ812" s="1471" t="str">
        <f t="shared" si="931"/>
        <v>GHG_Oila = GHG_Oila-1 + (E136 * BUI_COL (307 + ((C136 - 1) * 8) * BUI_COL2 / (J136-I136+1) / 1000000)</v>
      </c>
      <c r="BR812" s="1479"/>
      <c r="BS812" s="1479"/>
      <c r="BT812" s="1479"/>
      <c r="BU812" s="1479"/>
      <c r="BV812" s="1479"/>
      <c r="BW812" s="1479"/>
      <c r="BX812" s="1479"/>
      <c r="BY812" s="1479"/>
      <c r="BZ812" s="1479"/>
      <c r="CA812" s="1479"/>
      <c r="CB812" s="1479"/>
      <c r="CC812" s="1479"/>
      <c r="CD812" s="1479"/>
      <c r="CE812" s="1479"/>
      <c r="CF812" s="1479"/>
      <c r="CG812" s="1479"/>
      <c r="CH812" s="1472"/>
      <c r="CI812" s="917" t="s">
        <v>2628</v>
      </c>
      <c r="CJ812" s="536" t="s">
        <v>2608</v>
      </c>
      <c r="CK812" s="536" t="s">
        <v>1621</v>
      </c>
      <c r="CL812" s="919"/>
    </row>
    <row r="813" spans="32:90" ht="20.100000000000001" customHeight="1">
      <c r="AF813" s="358"/>
      <c r="AG813" s="251" t="s">
        <v>1222</v>
      </c>
      <c r="AH813" s="251">
        <f>INDEX('DEFAULT DATA'!$VE$9:$VK$41,START!$C$3,3)</f>
        <v>354</v>
      </c>
      <c r="AI813" s="262">
        <f>INDEX('DEFAULT DATA'!$AFS$9:$AIT$41,START!$C$3,(4+(($C$137-1)*8)))/IF($C$137&lt;5,INDEX('DEFAULT DATA'!$WT$9:$WW$41,START!$C$3,$C$137),1)</f>
        <v>0</v>
      </c>
      <c r="AJ813" s="262"/>
      <c r="AK813" s="345">
        <v>0</v>
      </c>
      <c r="AL813" s="272">
        <f t="shared" ref="AL813:BN813" si="933">IF(AND(AL$809&gt;($I$137+2020),AL$809&lt;($J$137+2022)),AK813+($AH$813*$E$137*$AI$813/($J$137-$I$137+1)/1000000),AK813)</f>
        <v>0</v>
      </c>
      <c r="AM813" s="272">
        <f t="shared" si="933"/>
        <v>0</v>
      </c>
      <c r="AN813" s="272">
        <f t="shared" si="933"/>
        <v>0</v>
      </c>
      <c r="AO813" s="272">
        <f t="shared" si="933"/>
        <v>0</v>
      </c>
      <c r="AP813" s="272">
        <f t="shared" si="933"/>
        <v>0</v>
      </c>
      <c r="AQ813" s="272">
        <f t="shared" si="933"/>
        <v>0</v>
      </c>
      <c r="AR813" s="272">
        <f t="shared" si="933"/>
        <v>0</v>
      </c>
      <c r="AS813" s="272">
        <f t="shared" si="933"/>
        <v>0</v>
      </c>
      <c r="AT813" s="272">
        <f t="shared" si="933"/>
        <v>0</v>
      </c>
      <c r="AU813" s="272">
        <f t="shared" si="933"/>
        <v>0</v>
      </c>
      <c r="AV813" s="272">
        <f t="shared" si="933"/>
        <v>0</v>
      </c>
      <c r="AW813" s="272">
        <f t="shared" si="933"/>
        <v>0</v>
      </c>
      <c r="AX813" s="272">
        <f t="shared" si="933"/>
        <v>0</v>
      </c>
      <c r="AY813" s="272">
        <f t="shared" si="933"/>
        <v>0</v>
      </c>
      <c r="AZ813" s="272">
        <f t="shared" si="933"/>
        <v>0</v>
      </c>
      <c r="BA813" s="272">
        <f t="shared" si="933"/>
        <v>0</v>
      </c>
      <c r="BB813" s="272">
        <f t="shared" si="933"/>
        <v>0</v>
      </c>
      <c r="BC813" s="272">
        <f t="shared" si="933"/>
        <v>0</v>
      </c>
      <c r="BD813" s="272">
        <f t="shared" si="933"/>
        <v>0</v>
      </c>
      <c r="BE813" s="272">
        <f t="shared" si="933"/>
        <v>0</v>
      </c>
      <c r="BF813" s="272">
        <f t="shared" si="933"/>
        <v>0</v>
      </c>
      <c r="BG813" s="272">
        <f t="shared" si="933"/>
        <v>0</v>
      </c>
      <c r="BH813" s="272">
        <f t="shared" si="933"/>
        <v>0</v>
      </c>
      <c r="BI813" s="272">
        <f t="shared" si="933"/>
        <v>0</v>
      </c>
      <c r="BJ813" s="272">
        <f t="shared" si="933"/>
        <v>0</v>
      </c>
      <c r="BK813" s="272">
        <f t="shared" si="933"/>
        <v>0</v>
      </c>
      <c r="BL813" s="272">
        <f t="shared" si="933"/>
        <v>0</v>
      </c>
      <c r="BM813" s="272">
        <f t="shared" si="933"/>
        <v>0</v>
      </c>
      <c r="BN813" s="324">
        <f t="shared" si="933"/>
        <v>0</v>
      </c>
      <c r="BP813" s="536" t="s">
        <v>1222</v>
      </c>
      <c r="BQ813" s="1471" t="str">
        <f t="shared" si="931"/>
        <v>GHG_Coala = GHG_Coala-1 + (E136 * BUI_COL (307 + ((C136 - 1) * 8) * BUI_COL3 / (J136-I136+1) / 1000000)</v>
      </c>
      <c r="BR813" s="1479"/>
      <c r="BS813" s="1479"/>
      <c r="BT813" s="1479"/>
      <c r="BU813" s="1479"/>
      <c r="BV813" s="1479"/>
      <c r="BW813" s="1479"/>
      <c r="BX813" s="1479"/>
      <c r="BY813" s="1479"/>
      <c r="BZ813" s="1479"/>
      <c r="CA813" s="1479"/>
      <c r="CB813" s="1479"/>
      <c r="CC813" s="1479"/>
      <c r="CD813" s="1479"/>
      <c r="CE813" s="1479"/>
      <c r="CF813" s="1479"/>
      <c r="CG813" s="1479"/>
      <c r="CH813" s="1472"/>
      <c r="CI813" s="917" t="s">
        <v>2628</v>
      </c>
      <c r="CJ813" s="536" t="s">
        <v>2608</v>
      </c>
      <c r="CK813" s="536" t="s">
        <v>1622</v>
      </c>
      <c r="CL813" s="919"/>
    </row>
    <row r="814" spans="32:90" ht="20.100000000000001" customHeight="1">
      <c r="AF814" s="358"/>
      <c r="AG814" s="251" t="s">
        <v>1223</v>
      </c>
      <c r="AH814" s="251">
        <f>INDEX('DEFAULT DATA'!$VE$9:$VK$41,START!$C$3,4)</f>
        <v>0</v>
      </c>
      <c r="AI814" s="262">
        <f>INDEX('DEFAULT DATA'!$AFS$9:$AIT$41,START!$C$3,(5+(($C$137-1)*8)))/IF($C$137&lt;5,INDEX('DEFAULT DATA'!$WT$9:$WW$41,START!$C$3,$C$137),1)</f>
        <v>0</v>
      </c>
      <c r="AJ814" s="262"/>
      <c r="AK814" s="345">
        <v>0</v>
      </c>
      <c r="AL814" s="272">
        <f t="shared" ref="AL814:BN814" si="934">IF(AND(AL$809&gt;($I$137+2020),AL$809&lt;($J$137+2022)),AK814+($AH$814*$E$137*$AI$814/($J$137-$I$137+1)/1000000),AK814)</f>
        <v>0</v>
      </c>
      <c r="AM814" s="272">
        <f t="shared" si="934"/>
        <v>0</v>
      </c>
      <c r="AN814" s="272">
        <f t="shared" si="934"/>
        <v>0</v>
      </c>
      <c r="AO814" s="272">
        <f t="shared" si="934"/>
        <v>0</v>
      </c>
      <c r="AP814" s="272">
        <f t="shared" si="934"/>
        <v>0</v>
      </c>
      <c r="AQ814" s="272">
        <f t="shared" si="934"/>
        <v>0</v>
      </c>
      <c r="AR814" s="272">
        <f t="shared" si="934"/>
        <v>0</v>
      </c>
      <c r="AS814" s="272">
        <f t="shared" si="934"/>
        <v>0</v>
      </c>
      <c r="AT814" s="272">
        <f t="shared" si="934"/>
        <v>0</v>
      </c>
      <c r="AU814" s="272">
        <f t="shared" si="934"/>
        <v>0</v>
      </c>
      <c r="AV814" s="272">
        <f t="shared" si="934"/>
        <v>0</v>
      </c>
      <c r="AW814" s="272">
        <f t="shared" si="934"/>
        <v>0</v>
      </c>
      <c r="AX814" s="272">
        <f t="shared" si="934"/>
        <v>0</v>
      </c>
      <c r="AY814" s="272">
        <f t="shared" si="934"/>
        <v>0</v>
      </c>
      <c r="AZ814" s="272">
        <f t="shared" si="934"/>
        <v>0</v>
      </c>
      <c r="BA814" s="272">
        <f t="shared" si="934"/>
        <v>0</v>
      </c>
      <c r="BB814" s="272">
        <f t="shared" si="934"/>
        <v>0</v>
      </c>
      <c r="BC814" s="272">
        <f t="shared" si="934"/>
        <v>0</v>
      </c>
      <c r="BD814" s="272">
        <f t="shared" si="934"/>
        <v>0</v>
      </c>
      <c r="BE814" s="272">
        <f t="shared" si="934"/>
        <v>0</v>
      </c>
      <c r="BF814" s="272">
        <f t="shared" si="934"/>
        <v>0</v>
      </c>
      <c r="BG814" s="272">
        <f t="shared" si="934"/>
        <v>0</v>
      </c>
      <c r="BH814" s="272">
        <f t="shared" si="934"/>
        <v>0</v>
      </c>
      <c r="BI814" s="272">
        <f t="shared" si="934"/>
        <v>0</v>
      </c>
      <c r="BJ814" s="272">
        <f t="shared" si="934"/>
        <v>0</v>
      </c>
      <c r="BK814" s="272">
        <f t="shared" si="934"/>
        <v>0</v>
      </c>
      <c r="BL814" s="272">
        <f t="shared" si="934"/>
        <v>0</v>
      </c>
      <c r="BM814" s="272">
        <f t="shared" si="934"/>
        <v>0</v>
      </c>
      <c r="BN814" s="324">
        <f t="shared" si="934"/>
        <v>0</v>
      </c>
      <c r="BP814" s="536" t="s">
        <v>1223</v>
      </c>
      <c r="BQ814" s="1471" t="str">
        <f t="shared" si="931"/>
        <v>GHG_Peata = GHG_Peata-1 + (E136 * BUI_COL (307 + ((C136 - 1) * 8) * BUI_COL4 / (J136-I136+1) / 1000000)</v>
      </c>
      <c r="BR814" s="1479"/>
      <c r="BS814" s="1479"/>
      <c r="BT814" s="1479"/>
      <c r="BU814" s="1479"/>
      <c r="BV814" s="1479"/>
      <c r="BW814" s="1479"/>
      <c r="BX814" s="1479"/>
      <c r="BY814" s="1479"/>
      <c r="BZ814" s="1479"/>
      <c r="CA814" s="1479"/>
      <c r="CB814" s="1479"/>
      <c r="CC814" s="1479"/>
      <c r="CD814" s="1479"/>
      <c r="CE814" s="1479"/>
      <c r="CF814" s="1479"/>
      <c r="CG814" s="1479"/>
      <c r="CH814" s="1472"/>
      <c r="CI814" s="917" t="s">
        <v>2628</v>
      </c>
      <c r="CJ814" s="536" t="s">
        <v>2608</v>
      </c>
      <c r="CK814" s="536" t="s">
        <v>1623</v>
      </c>
      <c r="CL814" s="919"/>
    </row>
    <row r="815" spans="32:90" ht="20.100000000000001" customHeight="1">
      <c r="AF815" s="358"/>
      <c r="AG815" s="251" t="s">
        <v>1224</v>
      </c>
      <c r="AH815" s="251">
        <f>INDEX('DEFAULT DATA'!$VE$9:$VK$41,START!$C$3,5)</f>
        <v>403</v>
      </c>
      <c r="AI815" s="262">
        <f>INDEX('DEFAULT DATA'!$AFS$9:$AIT$41,START!$C$3,(6+(($C$137-1)*8)))/IF($C$137&lt;5,INDEX('DEFAULT DATA'!$WT$9:$WW$41,START!$C$3,$C$137),1)</f>
        <v>0</v>
      </c>
      <c r="AJ815" s="262"/>
      <c r="AK815" s="345">
        <v>0</v>
      </c>
      <c r="AL815" s="272">
        <f t="shared" ref="AL815:BN815" si="935">IF(AND(AL$809&gt;($I$137+2020),AL$809&lt;($J$137+2022)),AK815+($AH$815*$E$137*$AI$815/($J$137-$I$137+1)/1000000),AK815)</f>
        <v>0</v>
      </c>
      <c r="AM815" s="272">
        <f t="shared" si="935"/>
        <v>0</v>
      </c>
      <c r="AN815" s="272">
        <f t="shared" si="935"/>
        <v>0</v>
      </c>
      <c r="AO815" s="272">
        <f t="shared" si="935"/>
        <v>0</v>
      </c>
      <c r="AP815" s="272">
        <f t="shared" si="935"/>
        <v>0</v>
      </c>
      <c r="AQ815" s="272">
        <f t="shared" si="935"/>
        <v>0</v>
      </c>
      <c r="AR815" s="272">
        <f t="shared" si="935"/>
        <v>0</v>
      </c>
      <c r="AS815" s="272">
        <f t="shared" si="935"/>
        <v>0</v>
      </c>
      <c r="AT815" s="272">
        <f t="shared" si="935"/>
        <v>0</v>
      </c>
      <c r="AU815" s="272">
        <f t="shared" si="935"/>
        <v>0</v>
      </c>
      <c r="AV815" s="272">
        <f t="shared" si="935"/>
        <v>0</v>
      </c>
      <c r="AW815" s="272">
        <f t="shared" si="935"/>
        <v>0</v>
      </c>
      <c r="AX815" s="272">
        <f t="shared" si="935"/>
        <v>0</v>
      </c>
      <c r="AY815" s="272">
        <f t="shared" si="935"/>
        <v>0</v>
      </c>
      <c r="AZ815" s="272">
        <f t="shared" si="935"/>
        <v>0</v>
      </c>
      <c r="BA815" s="272">
        <f t="shared" si="935"/>
        <v>0</v>
      </c>
      <c r="BB815" s="272">
        <f t="shared" si="935"/>
        <v>0</v>
      </c>
      <c r="BC815" s="272">
        <f t="shared" si="935"/>
        <v>0</v>
      </c>
      <c r="BD815" s="272">
        <f t="shared" si="935"/>
        <v>0</v>
      </c>
      <c r="BE815" s="272">
        <f t="shared" si="935"/>
        <v>0</v>
      </c>
      <c r="BF815" s="272">
        <f t="shared" si="935"/>
        <v>0</v>
      </c>
      <c r="BG815" s="272">
        <f t="shared" si="935"/>
        <v>0</v>
      </c>
      <c r="BH815" s="272">
        <f t="shared" si="935"/>
        <v>0</v>
      </c>
      <c r="BI815" s="272">
        <f t="shared" si="935"/>
        <v>0</v>
      </c>
      <c r="BJ815" s="272">
        <f t="shared" si="935"/>
        <v>0</v>
      </c>
      <c r="BK815" s="272">
        <f t="shared" si="935"/>
        <v>0</v>
      </c>
      <c r="BL815" s="272">
        <f t="shared" si="935"/>
        <v>0</v>
      </c>
      <c r="BM815" s="272">
        <f t="shared" si="935"/>
        <v>0</v>
      </c>
      <c r="BN815" s="324">
        <f t="shared" si="935"/>
        <v>0</v>
      </c>
      <c r="BP815" s="536" t="s">
        <v>1224</v>
      </c>
      <c r="BQ815" s="1471" t="str">
        <f t="shared" si="931"/>
        <v>GHG_Wooda = GHG_Wooda-1 + (E136 * BUI_COL (307 + ((C136 - 1) * 8) * BUI_COL5 / (J136-I136+1) / 1000000)</v>
      </c>
      <c r="BR815" s="1479"/>
      <c r="BS815" s="1479"/>
      <c r="BT815" s="1479"/>
      <c r="BU815" s="1479"/>
      <c r="BV815" s="1479"/>
      <c r="BW815" s="1479"/>
      <c r="BX815" s="1479"/>
      <c r="BY815" s="1479"/>
      <c r="BZ815" s="1479"/>
      <c r="CA815" s="1479"/>
      <c r="CB815" s="1479"/>
      <c r="CC815" s="1479"/>
      <c r="CD815" s="1479"/>
      <c r="CE815" s="1479"/>
      <c r="CF815" s="1479"/>
      <c r="CG815" s="1479"/>
      <c r="CH815" s="1472"/>
      <c r="CI815" s="917" t="s">
        <v>2628</v>
      </c>
      <c r="CJ815" s="536" t="s">
        <v>2608</v>
      </c>
      <c r="CK815" s="536" t="s">
        <v>1624</v>
      </c>
      <c r="CL815" s="919"/>
    </row>
    <row r="816" spans="32:90" ht="20.100000000000001" customHeight="1">
      <c r="AF816" s="358"/>
      <c r="AG816" s="251" t="s">
        <v>1225</v>
      </c>
      <c r="AH816" s="251">
        <f>INDEX('DEFAULT DATA'!$VE$9:$VK$41,START!$C$3,6)</f>
        <v>0</v>
      </c>
      <c r="AI816" s="262">
        <f>INDEX('DEFAULT DATA'!$AFS$9:$AIT$41,START!$C$3,(7+(($C$137-1)*8)))/IF($C$137&lt;5,INDEX('DEFAULT DATA'!$WT$9:$WW$41,START!$C$3,$C$137),1)</f>
        <v>52.320566267263324</v>
      </c>
      <c r="AJ816" s="262"/>
      <c r="AK816" s="345">
        <v>0</v>
      </c>
      <c r="AL816" s="272">
        <f t="shared" ref="AL816:BN816" si="936">IF(AND(AL$809&gt;($I$137+2020),AL$809&lt;($J$137+2022)),AK816+($AH$816*$E$137*$AI$816/($J$137-$I$137+1)/1000000),AK816)</f>
        <v>0</v>
      </c>
      <c r="AM816" s="272">
        <f t="shared" si="936"/>
        <v>0</v>
      </c>
      <c r="AN816" s="272">
        <f t="shared" si="936"/>
        <v>0</v>
      </c>
      <c r="AO816" s="272">
        <f t="shared" si="936"/>
        <v>0</v>
      </c>
      <c r="AP816" s="272">
        <f t="shared" si="936"/>
        <v>0</v>
      </c>
      <c r="AQ816" s="272">
        <f t="shared" si="936"/>
        <v>0</v>
      </c>
      <c r="AR816" s="272">
        <f t="shared" si="936"/>
        <v>0</v>
      </c>
      <c r="AS816" s="272">
        <f t="shared" si="936"/>
        <v>0</v>
      </c>
      <c r="AT816" s="272">
        <f t="shared" si="936"/>
        <v>0</v>
      </c>
      <c r="AU816" s="272">
        <f t="shared" si="936"/>
        <v>0</v>
      </c>
      <c r="AV816" s="272">
        <f t="shared" si="936"/>
        <v>0</v>
      </c>
      <c r="AW816" s="272">
        <f t="shared" si="936"/>
        <v>0</v>
      </c>
      <c r="AX816" s="272">
        <f t="shared" si="936"/>
        <v>0</v>
      </c>
      <c r="AY816" s="272">
        <f t="shared" si="936"/>
        <v>0</v>
      </c>
      <c r="AZ816" s="272">
        <f t="shared" si="936"/>
        <v>0</v>
      </c>
      <c r="BA816" s="272">
        <f t="shared" si="936"/>
        <v>0</v>
      </c>
      <c r="BB816" s="272">
        <f t="shared" si="936"/>
        <v>0</v>
      </c>
      <c r="BC816" s="272">
        <f t="shared" si="936"/>
        <v>0</v>
      </c>
      <c r="BD816" s="272">
        <f t="shared" si="936"/>
        <v>0</v>
      </c>
      <c r="BE816" s="272">
        <f t="shared" si="936"/>
        <v>0</v>
      </c>
      <c r="BF816" s="272">
        <f t="shared" si="936"/>
        <v>0</v>
      </c>
      <c r="BG816" s="272">
        <f t="shared" si="936"/>
        <v>0</v>
      </c>
      <c r="BH816" s="272">
        <f t="shared" si="936"/>
        <v>0</v>
      </c>
      <c r="BI816" s="272">
        <f t="shared" si="936"/>
        <v>0</v>
      </c>
      <c r="BJ816" s="272">
        <f t="shared" si="936"/>
        <v>0</v>
      </c>
      <c r="BK816" s="272">
        <f t="shared" si="936"/>
        <v>0</v>
      </c>
      <c r="BL816" s="272">
        <f t="shared" si="936"/>
        <v>0</v>
      </c>
      <c r="BM816" s="272">
        <f t="shared" si="936"/>
        <v>0</v>
      </c>
      <c r="BN816" s="324">
        <f t="shared" si="936"/>
        <v>0</v>
      </c>
      <c r="BP816" s="536" t="s">
        <v>1225</v>
      </c>
      <c r="BQ816" s="1471" t="str">
        <f t="shared" si="931"/>
        <v>GHG_Renewablea = GHG_Renewablea-1 + (E136 * BUI_COL (307 + ((C136 - 1) * 8) * BUI_COL6 / (J136-I136+1) / 1000000)</v>
      </c>
      <c r="BR816" s="1479"/>
      <c r="BS816" s="1479"/>
      <c r="BT816" s="1479"/>
      <c r="BU816" s="1479"/>
      <c r="BV816" s="1479"/>
      <c r="BW816" s="1479"/>
      <c r="BX816" s="1479"/>
      <c r="BY816" s="1479"/>
      <c r="BZ816" s="1479"/>
      <c r="CA816" s="1479"/>
      <c r="CB816" s="1479"/>
      <c r="CC816" s="1479"/>
      <c r="CD816" s="1479"/>
      <c r="CE816" s="1479"/>
      <c r="CF816" s="1479"/>
      <c r="CG816" s="1479"/>
      <c r="CH816" s="1472"/>
      <c r="CI816" s="917" t="s">
        <v>2628</v>
      </c>
      <c r="CJ816" s="536" t="s">
        <v>2608</v>
      </c>
      <c r="CK816" s="536" t="s">
        <v>1625</v>
      </c>
      <c r="CL816" s="919"/>
    </row>
    <row r="817" spans="32:90" ht="20.100000000000001" customHeight="1" thickBot="1">
      <c r="AF817" s="359"/>
      <c r="AG817" s="310" t="s">
        <v>1226</v>
      </c>
      <c r="AH817" s="310" t="s">
        <v>1497</v>
      </c>
      <c r="AI817" s="335">
        <f>INDEX('DEFAULT DATA'!$AFS$9:$AIT$41,START!$C$3,(8+(($C$137-1)*8)))/IF($C$137&lt;5,INDEX('DEFAULT DATA'!$WT$9:$WW$41,START!$C$3,$C$137),1)</f>
        <v>62.78467952071599</v>
      </c>
      <c r="AJ817" s="335"/>
      <c r="AK817" s="348">
        <v>0</v>
      </c>
      <c r="AL817" s="325">
        <f t="shared" ref="AL817:BN817" si="937">IF(AND(AL$809&gt;($I$137+2020),AL$809&lt;($J$137+2022)),AK817+(AL$6*$E$137*$AI$817/($J$137-$I$137+1)/1000000),AK817)</f>
        <v>0</v>
      </c>
      <c r="AM817" s="325">
        <f t="shared" si="937"/>
        <v>0</v>
      </c>
      <c r="AN817" s="325">
        <f t="shared" si="937"/>
        <v>0</v>
      </c>
      <c r="AO817" s="325">
        <f t="shared" si="937"/>
        <v>0</v>
      </c>
      <c r="AP817" s="325">
        <f t="shared" si="937"/>
        <v>0</v>
      </c>
      <c r="AQ817" s="325">
        <f t="shared" si="937"/>
        <v>0</v>
      </c>
      <c r="AR817" s="325">
        <f t="shared" si="937"/>
        <v>0</v>
      </c>
      <c r="AS817" s="325">
        <f t="shared" si="937"/>
        <v>0</v>
      </c>
      <c r="AT817" s="325">
        <f t="shared" si="937"/>
        <v>0</v>
      </c>
      <c r="AU817" s="325">
        <f t="shared" si="937"/>
        <v>0</v>
      </c>
      <c r="AV817" s="325">
        <f t="shared" si="937"/>
        <v>0</v>
      </c>
      <c r="AW817" s="325">
        <f t="shared" si="937"/>
        <v>0</v>
      </c>
      <c r="AX817" s="325">
        <f t="shared" si="937"/>
        <v>0</v>
      </c>
      <c r="AY817" s="325">
        <f t="shared" si="937"/>
        <v>0</v>
      </c>
      <c r="AZ817" s="325">
        <f t="shared" si="937"/>
        <v>0</v>
      </c>
      <c r="BA817" s="325">
        <f t="shared" si="937"/>
        <v>0</v>
      </c>
      <c r="BB817" s="325">
        <f t="shared" si="937"/>
        <v>0</v>
      </c>
      <c r="BC817" s="325">
        <f t="shared" si="937"/>
        <v>0</v>
      </c>
      <c r="BD817" s="325">
        <f t="shared" si="937"/>
        <v>0</v>
      </c>
      <c r="BE817" s="325">
        <f t="shared" si="937"/>
        <v>0</v>
      </c>
      <c r="BF817" s="325">
        <f t="shared" si="937"/>
        <v>0</v>
      </c>
      <c r="BG817" s="325">
        <f t="shared" si="937"/>
        <v>0</v>
      </c>
      <c r="BH817" s="325">
        <f t="shared" si="937"/>
        <v>0</v>
      </c>
      <c r="BI817" s="325">
        <f t="shared" si="937"/>
        <v>0</v>
      </c>
      <c r="BJ817" s="325">
        <f t="shared" si="937"/>
        <v>0</v>
      </c>
      <c r="BK817" s="325">
        <f t="shared" si="937"/>
        <v>0</v>
      </c>
      <c r="BL817" s="325">
        <f t="shared" si="937"/>
        <v>0</v>
      </c>
      <c r="BM817" s="325">
        <f t="shared" si="937"/>
        <v>0</v>
      </c>
      <c r="BN817" s="326">
        <f t="shared" si="937"/>
        <v>0</v>
      </c>
      <c r="BP817" s="536" t="s">
        <v>1226</v>
      </c>
      <c r="BQ817" s="1471" t="str">
        <f>CONCATENATE("GHG_",BP817,"a = GHG_",BP817,"a-1 + (E136 * ",CI817," * ",CK817," / (",CJ817,") / 1000000)")</f>
        <v>GHG_Heata = GHG_Heata-1 + (E136 * BUI_COL (307 + ((C136 - 1) * 8) * DISTRICT_HEATING_emission_factora (from row 5) / (J136-I136+1) / 1000000)</v>
      </c>
      <c r="BR817" s="1479"/>
      <c r="BS817" s="1479"/>
      <c r="BT817" s="1479"/>
      <c r="BU817" s="1479"/>
      <c r="BV817" s="1479"/>
      <c r="BW817" s="1479"/>
      <c r="BX817" s="1479"/>
      <c r="BY817" s="1479"/>
      <c r="BZ817" s="1479"/>
      <c r="CA817" s="1479"/>
      <c r="CB817" s="1479"/>
      <c r="CC817" s="1479"/>
      <c r="CD817" s="1479"/>
      <c r="CE817" s="1479"/>
      <c r="CF817" s="1479"/>
      <c r="CG817" s="1479"/>
      <c r="CH817" s="1472"/>
      <c r="CI817" s="917" t="s">
        <v>2628</v>
      </c>
      <c r="CJ817" s="536" t="s">
        <v>2608</v>
      </c>
      <c r="CK817" s="536" t="s">
        <v>2602</v>
      </c>
      <c r="CL817" s="919"/>
    </row>
    <row r="818" spans="32:90" ht="20.100000000000001" customHeight="1">
      <c r="AF818" s="332"/>
      <c r="AG818" s="308" t="s">
        <v>310</v>
      </c>
      <c r="AH818" s="309"/>
      <c r="AI818" s="363"/>
      <c r="AJ818" s="309"/>
      <c r="AK818" s="344">
        <v>0</v>
      </c>
      <c r="AL818" s="327">
        <f>SUM(AL810:AL817)</f>
        <v>0</v>
      </c>
      <c r="AM818" s="327">
        <f t="shared" ref="AM818:BN818" si="938">SUM(AM810:AM817)</f>
        <v>0</v>
      </c>
      <c r="AN818" s="327">
        <f t="shared" si="938"/>
        <v>0</v>
      </c>
      <c r="AO818" s="327">
        <f t="shared" si="938"/>
        <v>0</v>
      </c>
      <c r="AP818" s="327">
        <f t="shared" si="938"/>
        <v>0</v>
      </c>
      <c r="AQ818" s="327">
        <f t="shared" si="938"/>
        <v>0</v>
      </c>
      <c r="AR818" s="327">
        <f t="shared" si="938"/>
        <v>0</v>
      </c>
      <c r="AS818" s="327">
        <f t="shared" si="938"/>
        <v>0</v>
      </c>
      <c r="AT818" s="327">
        <f t="shared" si="938"/>
        <v>0</v>
      </c>
      <c r="AU818" s="327">
        <f t="shared" si="938"/>
        <v>0</v>
      </c>
      <c r="AV818" s="327">
        <f t="shared" si="938"/>
        <v>0</v>
      </c>
      <c r="AW818" s="327">
        <f t="shared" si="938"/>
        <v>0</v>
      </c>
      <c r="AX818" s="327">
        <f t="shared" si="938"/>
        <v>0</v>
      </c>
      <c r="AY818" s="327">
        <f t="shared" si="938"/>
        <v>0</v>
      </c>
      <c r="AZ818" s="327">
        <f t="shared" si="938"/>
        <v>0</v>
      </c>
      <c r="BA818" s="327">
        <f t="shared" si="938"/>
        <v>0</v>
      </c>
      <c r="BB818" s="327">
        <f t="shared" si="938"/>
        <v>0</v>
      </c>
      <c r="BC818" s="327">
        <f t="shared" si="938"/>
        <v>0</v>
      </c>
      <c r="BD818" s="327">
        <f t="shared" si="938"/>
        <v>0</v>
      </c>
      <c r="BE818" s="327">
        <f t="shared" si="938"/>
        <v>0</v>
      </c>
      <c r="BF818" s="327">
        <f t="shared" si="938"/>
        <v>0</v>
      </c>
      <c r="BG818" s="327">
        <f t="shared" si="938"/>
        <v>0</v>
      </c>
      <c r="BH818" s="327">
        <f t="shared" si="938"/>
        <v>0</v>
      </c>
      <c r="BI818" s="327">
        <f t="shared" si="938"/>
        <v>0</v>
      </c>
      <c r="BJ818" s="327">
        <f t="shared" si="938"/>
        <v>0</v>
      </c>
      <c r="BK818" s="327">
        <f t="shared" si="938"/>
        <v>0</v>
      </c>
      <c r="BL818" s="327">
        <f t="shared" si="938"/>
        <v>0</v>
      </c>
      <c r="BM818" s="327">
        <f t="shared" si="938"/>
        <v>0</v>
      </c>
      <c r="BN818" s="327">
        <f t="shared" si="938"/>
        <v>0</v>
      </c>
    </row>
    <row r="819" spans="32:90" ht="20.100000000000001" customHeight="1">
      <c r="AI819" s="364"/>
    </row>
    <row r="820" spans="32:90" ht="20.100000000000001" customHeight="1" thickBot="1">
      <c r="AF820" s="333" t="s">
        <v>1515</v>
      </c>
      <c r="AG820" s="333"/>
      <c r="AH820" s="334" t="s">
        <v>977</v>
      </c>
      <c r="AI820" s="1477" t="s">
        <v>2549</v>
      </c>
      <c r="AJ820" s="1478"/>
      <c r="AK820" s="346">
        <v>2021</v>
      </c>
      <c r="AL820" s="284">
        <v>2022</v>
      </c>
      <c r="AM820" s="284">
        <v>2023</v>
      </c>
      <c r="AN820" s="284">
        <v>2024</v>
      </c>
      <c r="AO820" s="284">
        <v>2025</v>
      </c>
      <c r="AP820" s="284">
        <v>2026</v>
      </c>
      <c r="AQ820" s="284">
        <v>2027</v>
      </c>
      <c r="AR820" s="284">
        <v>2028</v>
      </c>
      <c r="AS820" s="284">
        <v>2029</v>
      </c>
      <c r="AT820" s="284">
        <v>2030</v>
      </c>
      <c r="AU820" s="284">
        <v>2031</v>
      </c>
      <c r="AV820" s="284">
        <v>2032</v>
      </c>
      <c r="AW820" s="284">
        <v>2033</v>
      </c>
      <c r="AX820" s="284">
        <v>2034</v>
      </c>
      <c r="AY820" s="284">
        <v>2035</v>
      </c>
      <c r="AZ820" s="284">
        <v>2036</v>
      </c>
      <c r="BA820" s="284">
        <v>2037</v>
      </c>
      <c r="BB820" s="284">
        <v>2038</v>
      </c>
      <c r="BC820" s="284">
        <v>2039</v>
      </c>
      <c r="BD820" s="284">
        <v>2040</v>
      </c>
      <c r="BE820" s="284">
        <v>2041</v>
      </c>
      <c r="BF820" s="284">
        <v>2042</v>
      </c>
      <c r="BG820" s="284">
        <v>2043</v>
      </c>
      <c r="BH820" s="284">
        <v>2044</v>
      </c>
      <c r="BI820" s="284">
        <v>2045</v>
      </c>
      <c r="BJ820" s="284">
        <v>2046</v>
      </c>
      <c r="BK820" s="284">
        <v>2047</v>
      </c>
      <c r="BL820" s="284">
        <v>2048</v>
      </c>
      <c r="BM820" s="284">
        <v>2049</v>
      </c>
      <c r="BN820" s="284">
        <v>2050</v>
      </c>
      <c r="BQ820" s="222" t="s">
        <v>2622</v>
      </c>
      <c r="BR820" s="417"/>
      <c r="BS820" s="417"/>
      <c r="BT820" s="417"/>
      <c r="BU820" s="417"/>
      <c r="BV820" s="417"/>
      <c r="BW820" s="417"/>
      <c r="BX820" s="417"/>
      <c r="BY820" s="417"/>
      <c r="BZ820" s="417"/>
      <c r="CA820" s="417"/>
      <c r="CB820" s="417"/>
      <c r="CC820" s="417"/>
      <c r="CD820" s="417"/>
      <c r="CE820" s="417"/>
      <c r="CF820" s="417"/>
      <c r="CG820" s="417"/>
      <c r="CH820" s="417"/>
      <c r="CI820" s="944" t="s">
        <v>1767</v>
      </c>
      <c r="CJ820" s="279" t="s">
        <v>2552</v>
      </c>
      <c r="CK820" s="945" t="s">
        <v>1598</v>
      </c>
    </row>
    <row r="821" spans="32:90" ht="20.100000000000001" customHeight="1">
      <c r="AF821" s="357" t="str">
        <f>CONCATENATE("conversion to ",INDEX('MENU OPTIONS'!$B$27:$B$36,$C$139,1))</f>
        <v>conversion to Retail</v>
      </c>
      <c r="AG821" s="286" t="s">
        <v>933</v>
      </c>
      <c r="AH821" s="286" t="s">
        <v>1496</v>
      </c>
      <c r="AI821" s="330">
        <f>INDEX('DEFAULT DATA'!$AFS$9:$AIT$41,START!$C$3,(1+(($C$138-1)*8)))/IF($C$138&lt;5,INDEX('DEFAULT DATA'!$WT$9:$WW$41,START!$C$3,$C$138),1)</f>
        <v>75.341615424859171</v>
      </c>
      <c r="AJ821" s="330"/>
      <c r="AK821" s="343">
        <v>0</v>
      </c>
      <c r="AL821" s="322">
        <f t="shared" ref="AL821:BN821" si="939">IF(AND(AL$820&gt;($I$138+2020),AL$820&lt;($J$138+2022)),AK821+(AL$5*$E$138*$AI$821/($J$138-$I$138+1)/1000000),AK821)</f>
        <v>0</v>
      </c>
      <c r="AM821" s="322">
        <f t="shared" si="939"/>
        <v>0</v>
      </c>
      <c r="AN821" s="322">
        <f t="shared" si="939"/>
        <v>0</v>
      </c>
      <c r="AO821" s="322">
        <f t="shared" si="939"/>
        <v>0</v>
      </c>
      <c r="AP821" s="322">
        <f t="shared" si="939"/>
        <v>0</v>
      </c>
      <c r="AQ821" s="322">
        <f t="shared" si="939"/>
        <v>0</v>
      </c>
      <c r="AR821" s="322">
        <f t="shared" si="939"/>
        <v>0</v>
      </c>
      <c r="AS821" s="322">
        <f t="shared" si="939"/>
        <v>0</v>
      </c>
      <c r="AT821" s="322">
        <f t="shared" si="939"/>
        <v>0</v>
      </c>
      <c r="AU821" s="322">
        <f t="shared" si="939"/>
        <v>0</v>
      </c>
      <c r="AV821" s="322">
        <f t="shared" si="939"/>
        <v>0</v>
      </c>
      <c r="AW821" s="322">
        <f t="shared" si="939"/>
        <v>0</v>
      </c>
      <c r="AX821" s="322">
        <f t="shared" si="939"/>
        <v>0</v>
      </c>
      <c r="AY821" s="322">
        <f t="shared" si="939"/>
        <v>0</v>
      </c>
      <c r="AZ821" s="322">
        <f t="shared" si="939"/>
        <v>0</v>
      </c>
      <c r="BA821" s="322">
        <f t="shared" si="939"/>
        <v>0</v>
      </c>
      <c r="BB821" s="322">
        <f t="shared" si="939"/>
        <v>0</v>
      </c>
      <c r="BC821" s="322">
        <f t="shared" si="939"/>
        <v>0</v>
      </c>
      <c r="BD821" s="322">
        <f t="shared" si="939"/>
        <v>0</v>
      </c>
      <c r="BE821" s="322">
        <f t="shared" si="939"/>
        <v>0</v>
      </c>
      <c r="BF821" s="322">
        <f t="shared" si="939"/>
        <v>0</v>
      </c>
      <c r="BG821" s="322">
        <f t="shared" si="939"/>
        <v>0</v>
      </c>
      <c r="BH821" s="322">
        <f t="shared" si="939"/>
        <v>0</v>
      </c>
      <c r="BI821" s="322">
        <f t="shared" si="939"/>
        <v>0</v>
      </c>
      <c r="BJ821" s="322">
        <f t="shared" si="939"/>
        <v>0</v>
      </c>
      <c r="BK821" s="322">
        <f t="shared" si="939"/>
        <v>0</v>
      </c>
      <c r="BL821" s="322">
        <f t="shared" si="939"/>
        <v>0</v>
      </c>
      <c r="BM821" s="322">
        <f t="shared" si="939"/>
        <v>0</v>
      </c>
      <c r="BN821" s="323">
        <f t="shared" si="939"/>
        <v>0</v>
      </c>
      <c r="BP821" s="536" t="s">
        <v>933</v>
      </c>
      <c r="BQ821" s="1471" t="str">
        <f>CONCATENATE("GHG_",BP821,"a = GHG_",BP821,"a-1 + (E137 * ",CI821," * ",CK821," / (",CJ821,") / 1000000)")</f>
        <v>GHG_Electricitya = GHG_Electricitya-1 + (E137 * BUI_COL (307 + ((C137 - 1) * 8) * GRID_ELECTRICITY_emission_factora (from row4) / (J137-I137+1) / 1000000)</v>
      </c>
      <c r="BR821" s="1479"/>
      <c r="BS821" s="1479"/>
      <c r="BT821" s="1479"/>
      <c r="BU821" s="1479"/>
      <c r="BV821" s="1479"/>
      <c r="BW821" s="1479"/>
      <c r="BX821" s="1479"/>
      <c r="BY821" s="1479"/>
      <c r="BZ821" s="1479"/>
      <c r="CA821" s="1479"/>
      <c r="CB821" s="1479"/>
      <c r="CC821" s="1479"/>
      <c r="CD821" s="1479"/>
      <c r="CE821" s="1479"/>
      <c r="CF821" s="1479"/>
      <c r="CG821" s="1479"/>
      <c r="CH821" s="1472"/>
      <c r="CI821" s="917" t="s">
        <v>2629</v>
      </c>
      <c r="CJ821" s="536" t="s">
        <v>2610</v>
      </c>
      <c r="CK821" s="536" t="s">
        <v>2601</v>
      </c>
      <c r="CL821" s="919"/>
    </row>
    <row r="822" spans="32:90" ht="20.100000000000001" customHeight="1">
      <c r="AF822" s="358"/>
      <c r="AG822" s="251" t="s">
        <v>1220</v>
      </c>
      <c r="AH822" s="251">
        <f>INDEX('DEFAULT DATA'!$VE$9:$VK$41,START!$C$3,1)</f>
        <v>202</v>
      </c>
      <c r="AI822" s="262">
        <f>INDEX('DEFAULT DATA'!$AFS$9:$AIT$41,START!$C$3,(2+(($C$138-1)*8)))/IF($C$138&lt;5,INDEX('DEFAULT DATA'!$WT$9:$WW$41,START!$C$3,$C$138),1)</f>
        <v>2.0928226506905325</v>
      </c>
      <c r="AJ822" s="262"/>
      <c r="AK822" s="345">
        <v>0</v>
      </c>
      <c r="AL822" s="272">
        <f t="shared" ref="AL822:BN822" si="940">IF(AND(AL$820&gt;($I$138+2020),AL$820&lt;($J$138+2022)),AK822+($AH$822*$E$138*$AI$822/($J$138-$I$138+1)/1000000),AK822)</f>
        <v>0</v>
      </c>
      <c r="AM822" s="272">
        <f t="shared" si="940"/>
        <v>0</v>
      </c>
      <c r="AN822" s="272">
        <f t="shared" si="940"/>
        <v>0</v>
      </c>
      <c r="AO822" s="272">
        <f t="shared" si="940"/>
        <v>0</v>
      </c>
      <c r="AP822" s="272">
        <f t="shared" si="940"/>
        <v>0</v>
      </c>
      <c r="AQ822" s="272">
        <f t="shared" si="940"/>
        <v>0</v>
      </c>
      <c r="AR822" s="272">
        <f t="shared" si="940"/>
        <v>0</v>
      </c>
      <c r="AS822" s="272">
        <f t="shared" si="940"/>
        <v>0</v>
      </c>
      <c r="AT822" s="272">
        <f t="shared" si="940"/>
        <v>0</v>
      </c>
      <c r="AU822" s="272">
        <f t="shared" si="940"/>
        <v>0</v>
      </c>
      <c r="AV822" s="272">
        <f t="shared" si="940"/>
        <v>0</v>
      </c>
      <c r="AW822" s="272">
        <f t="shared" si="940"/>
        <v>0</v>
      </c>
      <c r="AX822" s="272">
        <f t="shared" si="940"/>
        <v>0</v>
      </c>
      <c r="AY822" s="272">
        <f t="shared" si="940"/>
        <v>0</v>
      </c>
      <c r="AZ822" s="272">
        <f t="shared" si="940"/>
        <v>0</v>
      </c>
      <c r="BA822" s="272">
        <f t="shared" si="940"/>
        <v>0</v>
      </c>
      <c r="BB822" s="272">
        <f t="shared" si="940"/>
        <v>0</v>
      </c>
      <c r="BC822" s="272">
        <f t="shared" si="940"/>
        <v>0</v>
      </c>
      <c r="BD822" s="272">
        <f t="shared" si="940"/>
        <v>0</v>
      </c>
      <c r="BE822" s="272">
        <f t="shared" si="940"/>
        <v>0</v>
      </c>
      <c r="BF822" s="272">
        <f t="shared" si="940"/>
        <v>0</v>
      </c>
      <c r="BG822" s="272">
        <f t="shared" si="940"/>
        <v>0</v>
      </c>
      <c r="BH822" s="272">
        <f t="shared" si="940"/>
        <v>0</v>
      </c>
      <c r="BI822" s="272">
        <f t="shared" si="940"/>
        <v>0</v>
      </c>
      <c r="BJ822" s="272">
        <f t="shared" si="940"/>
        <v>0</v>
      </c>
      <c r="BK822" s="272">
        <f t="shared" si="940"/>
        <v>0</v>
      </c>
      <c r="BL822" s="272">
        <f t="shared" si="940"/>
        <v>0</v>
      </c>
      <c r="BM822" s="272">
        <f t="shared" si="940"/>
        <v>0</v>
      </c>
      <c r="BN822" s="324">
        <f t="shared" si="940"/>
        <v>0</v>
      </c>
      <c r="BP822" s="536" t="s">
        <v>1220</v>
      </c>
      <c r="BQ822" s="1471" t="str">
        <f t="shared" ref="BQ822:BQ828" si="941">CONCATENATE("GHG_",BP822,"a = GHG_",BP822,"a-1 + (E137 * ",CI822," * ",CK822," / (",CJ822,") / 1000000)")</f>
        <v>GHG_Gasa = GHG_Gasa-1 + (E137 * BUI_COL (307 + ((C137 - 1) * 8) * BUI_COL1 / (J137-I137+1) / 1000000)</v>
      </c>
      <c r="BR822" s="1479"/>
      <c r="BS822" s="1479"/>
      <c r="BT822" s="1479"/>
      <c r="BU822" s="1479"/>
      <c r="BV822" s="1479"/>
      <c r="BW822" s="1479"/>
      <c r="BX822" s="1479"/>
      <c r="BY822" s="1479"/>
      <c r="BZ822" s="1479"/>
      <c r="CA822" s="1479"/>
      <c r="CB822" s="1479"/>
      <c r="CC822" s="1479"/>
      <c r="CD822" s="1479"/>
      <c r="CE822" s="1479"/>
      <c r="CF822" s="1479"/>
      <c r="CG822" s="1479"/>
      <c r="CH822" s="1472"/>
      <c r="CI822" s="917" t="s">
        <v>2629</v>
      </c>
      <c r="CJ822" s="536" t="s">
        <v>2610</v>
      </c>
      <c r="CK822" s="536" t="s">
        <v>1248</v>
      </c>
      <c r="CL822" s="919"/>
    </row>
    <row r="823" spans="32:90" ht="20.100000000000001" customHeight="1">
      <c r="AF823" s="358"/>
      <c r="AG823" s="251" t="s">
        <v>1221</v>
      </c>
      <c r="AH823" s="251">
        <f>INDEX('DEFAULT DATA'!$VE$9:$VK$41,START!$C$3,2)</f>
        <v>279</v>
      </c>
      <c r="AI823" s="262">
        <f>INDEX('DEFAULT DATA'!$AFS$9:$AIT$41,START!$C$3,(3+(($C$138-1)*8)))/IF($C$138&lt;5,INDEX('DEFAULT DATA'!$WT$9:$WW$41,START!$C$3,$C$138),1)</f>
        <v>16.74258120552426</v>
      </c>
      <c r="AJ823" s="262"/>
      <c r="AK823" s="345">
        <v>0</v>
      </c>
      <c r="AL823" s="272">
        <f t="shared" ref="AL823:BN823" si="942">IF(AND(AL$820&gt;($I$138+2020),AL$820&lt;($J$138+2022)),AK823+($AH$823*$E$138*$AI$823/($J$138-$I$138+1)/1000000),AK823)</f>
        <v>0</v>
      </c>
      <c r="AM823" s="272">
        <f t="shared" si="942"/>
        <v>0</v>
      </c>
      <c r="AN823" s="272">
        <f t="shared" si="942"/>
        <v>0</v>
      </c>
      <c r="AO823" s="272">
        <f t="shared" si="942"/>
        <v>0</v>
      </c>
      <c r="AP823" s="272">
        <f t="shared" si="942"/>
        <v>0</v>
      </c>
      <c r="AQ823" s="272">
        <f t="shared" si="942"/>
        <v>0</v>
      </c>
      <c r="AR823" s="272">
        <f t="shared" si="942"/>
        <v>0</v>
      </c>
      <c r="AS823" s="272">
        <f t="shared" si="942"/>
        <v>0</v>
      </c>
      <c r="AT823" s="272">
        <f t="shared" si="942"/>
        <v>0</v>
      </c>
      <c r="AU823" s="272">
        <f t="shared" si="942"/>
        <v>0</v>
      </c>
      <c r="AV823" s="272">
        <f t="shared" si="942"/>
        <v>0</v>
      </c>
      <c r="AW823" s="272">
        <f t="shared" si="942"/>
        <v>0</v>
      </c>
      <c r="AX823" s="272">
        <f t="shared" si="942"/>
        <v>0</v>
      </c>
      <c r="AY823" s="272">
        <f t="shared" si="942"/>
        <v>0</v>
      </c>
      <c r="AZ823" s="272">
        <f t="shared" si="942"/>
        <v>0</v>
      </c>
      <c r="BA823" s="272">
        <f t="shared" si="942"/>
        <v>0</v>
      </c>
      <c r="BB823" s="272">
        <f t="shared" si="942"/>
        <v>0</v>
      </c>
      <c r="BC823" s="272">
        <f t="shared" si="942"/>
        <v>0</v>
      </c>
      <c r="BD823" s="272">
        <f t="shared" si="942"/>
        <v>0</v>
      </c>
      <c r="BE823" s="272">
        <f t="shared" si="942"/>
        <v>0</v>
      </c>
      <c r="BF823" s="272">
        <f t="shared" si="942"/>
        <v>0</v>
      </c>
      <c r="BG823" s="272">
        <f t="shared" si="942"/>
        <v>0</v>
      </c>
      <c r="BH823" s="272">
        <f t="shared" si="942"/>
        <v>0</v>
      </c>
      <c r="BI823" s="272">
        <f t="shared" si="942"/>
        <v>0</v>
      </c>
      <c r="BJ823" s="272">
        <f t="shared" si="942"/>
        <v>0</v>
      </c>
      <c r="BK823" s="272">
        <f t="shared" si="942"/>
        <v>0</v>
      </c>
      <c r="BL823" s="272">
        <f t="shared" si="942"/>
        <v>0</v>
      </c>
      <c r="BM823" s="272">
        <f t="shared" si="942"/>
        <v>0</v>
      </c>
      <c r="BN823" s="324">
        <f t="shared" si="942"/>
        <v>0</v>
      </c>
      <c r="BP823" s="536" t="s">
        <v>1221</v>
      </c>
      <c r="BQ823" s="1471" t="str">
        <f t="shared" si="941"/>
        <v>GHG_Oila = GHG_Oila-1 + (E137 * BUI_COL (307 + ((C137 - 1) * 8) * BUI_COL2 / (J137-I137+1) / 1000000)</v>
      </c>
      <c r="BR823" s="1479"/>
      <c r="BS823" s="1479"/>
      <c r="BT823" s="1479"/>
      <c r="BU823" s="1479"/>
      <c r="BV823" s="1479"/>
      <c r="BW823" s="1479"/>
      <c r="BX823" s="1479"/>
      <c r="BY823" s="1479"/>
      <c r="BZ823" s="1479"/>
      <c r="CA823" s="1479"/>
      <c r="CB823" s="1479"/>
      <c r="CC823" s="1479"/>
      <c r="CD823" s="1479"/>
      <c r="CE823" s="1479"/>
      <c r="CF823" s="1479"/>
      <c r="CG823" s="1479"/>
      <c r="CH823" s="1472"/>
      <c r="CI823" s="917" t="s">
        <v>2629</v>
      </c>
      <c r="CJ823" s="536" t="s">
        <v>2610</v>
      </c>
      <c r="CK823" s="536" t="s">
        <v>1621</v>
      </c>
      <c r="CL823" s="919"/>
    </row>
    <row r="824" spans="32:90" ht="20.100000000000001" customHeight="1">
      <c r="AF824" s="358"/>
      <c r="AG824" s="251" t="s">
        <v>1222</v>
      </c>
      <c r="AH824" s="251">
        <f>INDEX('DEFAULT DATA'!$VE$9:$VK$41,START!$C$3,3)</f>
        <v>354</v>
      </c>
      <c r="AI824" s="262">
        <f>INDEX('DEFAULT DATA'!$AFS$9:$AIT$41,START!$C$3,(4+(($C$138-1)*8)))/IF($C$138&lt;5,INDEX('DEFAULT DATA'!$WT$9:$WW$41,START!$C$3,$C$138),1)</f>
        <v>0</v>
      </c>
      <c r="AJ824" s="262"/>
      <c r="AK824" s="345">
        <v>0</v>
      </c>
      <c r="AL824" s="272">
        <f t="shared" ref="AL824:BN824" si="943">IF(AND(AL$820&gt;($I$138+2020),AL$820&lt;($J$138+2022)),AK824+($AH$824*$E$138*$AI$824/($J$138-$I$138+1)/1000000),AK824)</f>
        <v>0</v>
      </c>
      <c r="AM824" s="272">
        <f t="shared" si="943"/>
        <v>0</v>
      </c>
      <c r="AN824" s="272">
        <f t="shared" si="943"/>
        <v>0</v>
      </c>
      <c r="AO824" s="272">
        <f t="shared" si="943"/>
        <v>0</v>
      </c>
      <c r="AP824" s="272">
        <f t="shared" si="943"/>
        <v>0</v>
      </c>
      <c r="AQ824" s="272">
        <f t="shared" si="943"/>
        <v>0</v>
      </c>
      <c r="AR824" s="272">
        <f t="shared" si="943"/>
        <v>0</v>
      </c>
      <c r="AS824" s="272">
        <f t="shared" si="943"/>
        <v>0</v>
      </c>
      <c r="AT824" s="272">
        <f t="shared" si="943"/>
        <v>0</v>
      </c>
      <c r="AU824" s="272">
        <f t="shared" si="943"/>
        <v>0</v>
      </c>
      <c r="AV824" s="272">
        <f t="shared" si="943"/>
        <v>0</v>
      </c>
      <c r="AW824" s="272">
        <f t="shared" si="943"/>
        <v>0</v>
      </c>
      <c r="AX824" s="272">
        <f t="shared" si="943"/>
        <v>0</v>
      </c>
      <c r="AY824" s="272">
        <f t="shared" si="943"/>
        <v>0</v>
      </c>
      <c r="AZ824" s="272">
        <f t="shared" si="943"/>
        <v>0</v>
      </c>
      <c r="BA824" s="272">
        <f t="shared" si="943"/>
        <v>0</v>
      </c>
      <c r="BB824" s="272">
        <f t="shared" si="943"/>
        <v>0</v>
      </c>
      <c r="BC824" s="272">
        <f t="shared" si="943"/>
        <v>0</v>
      </c>
      <c r="BD824" s="272">
        <f t="shared" si="943"/>
        <v>0</v>
      </c>
      <c r="BE824" s="272">
        <f t="shared" si="943"/>
        <v>0</v>
      </c>
      <c r="BF824" s="272">
        <f t="shared" si="943"/>
        <v>0</v>
      </c>
      <c r="BG824" s="272">
        <f t="shared" si="943"/>
        <v>0</v>
      </c>
      <c r="BH824" s="272">
        <f t="shared" si="943"/>
        <v>0</v>
      </c>
      <c r="BI824" s="272">
        <f t="shared" si="943"/>
        <v>0</v>
      </c>
      <c r="BJ824" s="272">
        <f t="shared" si="943"/>
        <v>0</v>
      </c>
      <c r="BK824" s="272">
        <f t="shared" si="943"/>
        <v>0</v>
      </c>
      <c r="BL824" s="272">
        <f t="shared" si="943"/>
        <v>0</v>
      </c>
      <c r="BM824" s="272">
        <f t="shared" si="943"/>
        <v>0</v>
      </c>
      <c r="BN824" s="324">
        <f t="shared" si="943"/>
        <v>0</v>
      </c>
      <c r="BP824" s="536" t="s">
        <v>1222</v>
      </c>
      <c r="BQ824" s="1471" t="str">
        <f t="shared" si="941"/>
        <v>GHG_Coala = GHG_Coala-1 + (E137 * BUI_COL (307 + ((C137 - 1) * 8) * BUI_COL3 / (J137-I137+1) / 1000000)</v>
      </c>
      <c r="BR824" s="1479"/>
      <c r="BS824" s="1479"/>
      <c r="BT824" s="1479"/>
      <c r="BU824" s="1479"/>
      <c r="BV824" s="1479"/>
      <c r="BW824" s="1479"/>
      <c r="BX824" s="1479"/>
      <c r="BY824" s="1479"/>
      <c r="BZ824" s="1479"/>
      <c r="CA824" s="1479"/>
      <c r="CB824" s="1479"/>
      <c r="CC824" s="1479"/>
      <c r="CD824" s="1479"/>
      <c r="CE824" s="1479"/>
      <c r="CF824" s="1479"/>
      <c r="CG824" s="1479"/>
      <c r="CH824" s="1472"/>
      <c r="CI824" s="917" t="s">
        <v>2629</v>
      </c>
      <c r="CJ824" s="536" t="s">
        <v>2610</v>
      </c>
      <c r="CK824" s="536" t="s">
        <v>1622</v>
      </c>
      <c r="CL824" s="919"/>
    </row>
    <row r="825" spans="32:90" ht="20.100000000000001" customHeight="1">
      <c r="AF825" s="358"/>
      <c r="AG825" s="251" t="s">
        <v>1223</v>
      </c>
      <c r="AH825" s="251">
        <f>INDEX('DEFAULT DATA'!$VE$9:$VK$41,START!$C$3,4)</f>
        <v>0</v>
      </c>
      <c r="AI825" s="262">
        <f>INDEX('DEFAULT DATA'!$AFS$9:$AIT$41,START!$C$3,(5+(($C$138-1)*8)))/IF($C$138&lt;5,INDEX('DEFAULT DATA'!$WT$9:$WW$41,START!$C$3,$C$138),1)</f>
        <v>0</v>
      </c>
      <c r="AJ825" s="262"/>
      <c r="AK825" s="345">
        <v>0</v>
      </c>
      <c r="AL825" s="272">
        <f t="shared" ref="AL825:BN825" si="944">IF(AND(AL$820&gt;($I$138+2020),AL$820&lt;($J$138+2022)),AK825+($AH$825*$E$138*$AI$825/($J$138-$I$138+1)/1000000),AK825)</f>
        <v>0</v>
      </c>
      <c r="AM825" s="272">
        <f t="shared" si="944"/>
        <v>0</v>
      </c>
      <c r="AN825" s="272">
        <f t="shared" si="944"/>
        <v>0</v>
      </c>
      <c r="AO825" s="272">
        <f t="shared" si="944"/>
        <v>0</v>
      </c>
      <c r="AP825" s="272">
        <f t="shared" si="944"/>
        <v>0</v>
      </c>
      <c r="AQ825" s="272">
        <f t="shared" si="944"/>
        <v>0</v>
      </c>
      <c r="AR825" s="272">
        <f t="shared" si="944"/>
        <v>0</v>
      </c>
      <c r="AS825" s="272">
        <f t="shared" si="944"/>
        <v>0</v>
      </c>
      <c r="AT825" s="272">
        <f t="shared" si="944"/>
        <v>0</v>
      </c>
      <c r="AU825" s="272">
        <f t="shared" si="944"/>
        <v>0</v>
      </c>
      <c r="AV825" s="272">
        <f t="shared" si="944"/>
        <v>0</v>
      </c>
      <c r="AW825" s="272">
        <f t="shared" si="944"/>
        <v>0</v>
      </c>
      <c r="AX825" s="272">
        <f t="shared" si="944"/>
        <v>0</v>
      </c>
      <c r="AY825" s="272">
        <f t="shared" si="944"/>
        <v>0</v>
      </c>
      <c r="AZ825" s="272">
        <f t="shared" si="944"/>
        <v>0</v>
      </c>
      <c r="BA825" s="272">
        <f t="shared" si="944"/>
        <v>0</v>
      </c>
      <c r="BB825" s="272">
        <f t="shared" si="944"/>
        <v>0</v>
      </c>
      <c r="BC825" s="272">
        <f t="shared" si="944"/>
        <v>0</v>
      </c>
      <c r="BD825" s="272">
        <f t="shared" si="944"/>
        <v>0</v>
      </c>
      <c r="BE825" s="272">
        <f t="shared" si="944"/>
        <v>0</v>
      </c>
      <c r="BF825" s="272">
        <f t="shared" si="944"/>
        <v>0</v>
      </c>
      <c r="BG825" s="272">
        <f t="shared" si="944"/>
        <v>0</v>
      </c>
      <c r="BH825" s="272">
        <f t="shared" si="944"/>
        <v>0</v>
      </c>
      <c r="BI825" s="272">
        <f t="shared" si="944"/>
        <v>0</v>
      </c>
      <c r="BJ825" s="272">
        <f t="shared" si="944"/>
        <v>0</v>
      </c>
      <c r="BK825" s="272">
        <f t="shared" si="944"/>
        <v>0</v>
      </c>
      <c r="BL825" s="272">
        <f t="shared" si="944"/>
        <v>0</v>
      </c>
      <c r="BM825" s="272">
        <f t="shared" si="944"/>
        <v>0</v>
      </c>
      <c r="BN825" s="324">
        <f t="shared" si="944"/>
        <v>0</v>
      </c>
      <c r="BP825" s="536" t="s">
        <v>1223</v>
      </c>
      <c r="BQ825" s="1471" t="str">
        <f t="shared" si="941"/>
        <v>GHG_Peata = GHG_Peata-1 + (E137 * BUI_COL (307 + ((C137 - 1) * 8) * BUI_COL4 / (J137-I137+1) / 1000000)</v>
      </c>
      <c r="BR825" s="1479"/>
      <c r="BS825" s="1479"/>
      <c r="BT825" s="1479"/>
      <c r="BU825" s="1479"/>
      <c r="BV825" s="1479"/>
      <c r="BW825" s="1479"/>
      <c r="BX825" s="1479"/>
      <c r="BY825" s="1479"/>
      <c r="BZ825" s="1479"/>
      <c r="CA825" s="1479"/>
      <c r="CB825" s="1479"/>
      <c r="CC825" s="1479"/>
      <c r="CD825" s="1479"/>
      <c r="CE825" s="1479"/>
      <c r="CF825" s="1479"/>
      <c r="CG825" s="1479"/>
      <c r="CH825" s="1472"/>
      <c r="CI825" s="917" t="s">
        <v>2629</v>
      </c>
      <c r="CJ825" s="536" t="s">
        <v>2610</v>
      </c>
      <c r="CK825" s="536" t="s">
        <v>1623</v>
      </c>
      <c r="CL825" s="919"/>
    </row>
    <row r="826" spans="32:90" ht="20.100000000000001" customHeight="1">
      <c r="AF826" s="358"/>
      <c r="AG826" s="251" t="s">
        <v>1224</v>
      </c>
      <c r="AH826" s="251">
        <f>INDEX('DEFAULT DATA'!$VE$9:$VK$41,START!$C$3,5)</f>
        <v>403</v>
      </c>
      <c r="AI826" s="262">
        <f>INDEX('DEFAULT DATA'!$AFS$9:$AIT$41,START!$C$3,(6+(($C$138-1)*8)))/IF($C$138&lt;5,INDEX('DEFAULT DATA'!$WT$9:$WW$41,START!$C$3,$C$138),1)</f>
        <v>0</v>
      </c>
      <c r="AJ826" s="262"/>
      <c r="AK826" s="345">
        <v>0</v>
      </c>
      <c r="AL826" s="272">
        <f t="shared" ref="AL826:BN826" si="945">IF(AND(AL$820&gt;($I$138+2020),AL$820&lt;($J$138+2022)),AK826+($AH$826*$E$138*$AI$826/($J$138-$I$138+1)/1000000),AK826)</f>
        <v>0</v>
      </c>
      <c r="AM826" s="272">
        <f t="shared" si="945"/>
        <v>0</v>
      </c>
      <c r="AN826" s="272">
        <f t="shared" si="945"/>
        <v>0</v>
      </c>
      <c r="AO826" s="272">
        <f t="shared" si="945"/>
        <v>0</v>
      </c>
      <c r="AP826" s="272">
        <f t="shared" si="945"/>
        <v>0</v>
      </c>
      <c r="AQ826" s="272">
        <f t="shared" si="945"/>
        <v>0</v>
      </c>
      <c r="AR826" s="272">
        <f t="shared" si="945"/>
        <v>0</v>
      </c>
      <c r="AS826" s="272">
        <f t="shared" si="945"/>
        <v>0</v>
      </c>
      <c r="AT826" s="272">
        <f t="shared" si="945"/>
        <v>0</v>
      </c>
      <c r="AU826" s="272">
        <f t="shared" si="945"/>
        <v>0</v>
      </c>
      <c r="AV826" s="272">
        <f t="shared" si="945"/>
        <v>0</v>
      </c>
      <c r="AW826" s="272">
        <f t="shared" si="945"/>
        <v>0</v>
      </c>
      <c r="AX826" s="272">
        <f t="shared" si="945"/>
        <v>0</v>
      </c>
      <c r="AY826" s="272">
        <f t="shared" si="945"/>
        <v>0</v>
      </c>
      <c r="AZ826" s="272">
        <f t="shared" si="945"/>
        <v>0</v>
      </c>
      <c r="BA826" s="272">
        <f t="shared" si="945"/>
        <v>0</v>
      </c>
      <c r="BB826" s="272">
        <f t="shared" si="945"/>
        <v>0</v>
      </c>
      <c r="BC826" s="272">
        <f t="shared" si="945"/>
        <v>0</v>
      </c>
      <c r="BD826" s="272">
        <f t="shared" si="945"/>
        <v>0</v>
      </c>
      <c r="BE826" s="272">
        <f t="shared" si="945"/>
        <v>0</v>
      </c>
      <c r="BF826" s="272">
        <f t="shared" si="945"/>
        <v>0</v>
      </c>
      <c r="BG826" s="272">
        <f t="shared" si="945"/>
        <v>0</v>
      </c>
      <c r="BH826" s="272">
        <f t="shared" si="945"/>
        <v>0</v>
      </c>
      <c r="BI826" s="272">
        <f t="shared" si="945"/>
        <v>0</v>
      </c>
      <c r="BJ826" s="272">
        <f t="shared" si="945"/>
        <v>0</v>
      </c>
      <c r="BK826" s="272">
        <f t="shared" si="945"/>
        <v>0</v>
      </c>
      <c r="BL826" s="272">
        <f t="shared" si="945"/>
        <v>0</v>
      </c>
      <c r="BM826" s="272">
        <f t="shared" si="945"/>
        <v>0</v>
      </c>
      <c r="BN826" s="324">
        <f t="shared" si="945"/>
        <v>0</v>
      </c>
      <c r="BP826" s="536" t="s">
        <v>1224</v>
      </c>
      <c r="BQ826" s="1471" t="str">
        <f t="shared" si="941"/>
        <v>GHG_Wooda = GHG_Wooda-1 + (E137 * BUI_COL (307 + ((C137 - 1) * 8) * BUI_COL5 / (J137-I137+1) / 1000000)</v>
      </c>
      <c r="BR826" s="1479"/>
      <c r="BS826" s="1479"/>
      <c r="BT826" s="1479"/>
      <c r="BU826" s="1479"/>
      <c r="BV826" s="1479"/>
      <c r="BW826" s="1479"/>
      <c r="BX826" s="1479"/>
      <c r="BY826" s="1479"/>
      <c r="BZ826" s="1479"/>
      <c r="CA826" s="1479"/>
      <c r="CB826" s="1479"/>
      <c r="CC826" s="1479"/>
      <c r="CD826" s="1479"/>
      <c r="CE826" s="1479"/>
      <c r="CF826" s="1479"/>
      <c r="CG826" s="1479"/>
      <c r="CH826" s="1472"/>
      <c r="CI826" s="917" t="s">
        <v>2629</v>
      </c>
      <c r="CJ826" s="536" t="s">
        <v>2610</v>
      </c>
      <c r="CK826" s="536" t="s">
        <v>1624</v>
      </c>
      <c r="CL826" s="919"/>
    </row>
    <row r="827" spans="32:90" ht="20.100000000000001" customHeight="1">
      <c r="AF827" s="358"/>
      <c r="AG827" s="251" t="s">
        <v>1225</v>
      </c>
      <c r="AH827" s="251">
        <f>INDEX('DEFAULT DATA'!$VE$9:$VK$41,START!$C$3,6)</f>
        <v>0</v>
      </c>
      <c r="AI827" s="262">
        <f>INDEX('DEFAULT DATA'!$AFS$9:$AIT$41,START!$C$3,(7+(($C$138-1)*8)))/IF($C$138&lt;5,INDEX('DEFAULT DATA'!$WT$9:$WW$41,START!$C$3,$C$138),1)</f>
        <v>52.320566267263317</v>
      </c>
      <c r="AJ827" s="262"/>
      <c r="AK827" s="345">
        <v>0</v>
      </c>
      <c r="AL827" s="272">
        <f t="shared" ref="AL827:BN827" si="946">IF(AND(AL$820&gt;($I$138+2020),AL$820&lt;($J$138+2022)),AK827+($AH$827*$E$138*$AI$827/($J$138-$I$138+1)/1000000),AK827)</f>
        <v>0</v>
      </c>
      <c r="AM827" s="272">
        <f t="shared" si="946"/>
        <v>0</v>
      </c>
      <c r="AN827" s="272">
        <f t="shared" si="946"/>
        <v>0</v>
      </c>
      <c r="AO827" s="272">
        <f t="shared" si="946"/>
        <v>0</v>
      </c>
      <c r="AP827" s="272">
        <f t="shared" si="946"/>
        <v>0</v>
      </c>
      <c r="AQ827" s="272">
        <f t="shared" si="946"/>
        <v>0</v>
      </c>
      <c r="AR827" s="272">
        <f t="shared" si="946"/>
        <v>0</v>
      </c>
      <c r="AS827" s="272">
        <f t="shared" si="946"/>
        <v>0</v>
      </c>
      <c r="AT827" s="272">
        <f t="shared" si="946"/>
        <v>0</v>
      </c>
      <c r="AU827" s="272">
        <f t="shared" si="946"/>
        <v>0</v>
      </c>
      <c r="AV827" s="272">
        <f t="shared" si="946"/>
        <v>0</v>
      </c>
      <c r="AW827" s="272">
        <f t="shared" si="946"/>
        <v>0</v>
      </c>
      <c r="AX827" s="272">
        <f t="shared" si="946"/>
        <v>0</v>
      </c>
      <c r="AY827" s="272">
        <f t="shared" si="946"/>
        <v>0</v>
      </c>
      <c r="AZ827" s="272">
        <f t="shared" si="946"/>
        <v>0</v>
      </c>
      <c r="BA827" s="272">
        <f t="shared" si="946"/>
        <v>0</v>
      </c>
      <c r="BB827" s="272">
        <f t="shared" si="946"/>
        <v>0</v>
      </c>
      <c r="BC827" s="272">
        <f t="shared" si="946"/>
        <v>0</v>
      </c>
      <c r="BD827" s="272">
        <f t="shared" si="946"/>
        <v>0</v>
      </c>
      <c r="BE827" s="272">
        <f t="shared" si="946"/>
        <v>0</v>
      </c>
      <c r="BF827" s="272">
        <f t="shared" si="946"/>
        <v>0</v>
      </c>
      <c r="BG827" s="272">
        <f t="shared" si="946"/>
        <v>0</v>
      </c>
      <c r="BH827" s="272">
        <f t="shared" si="946"/>
        <v>0</v>
      </c>
      <c r="BI827" s="272">
        <f t="shared" si="946"/>
        <v>0</v>
      </c>
      <c r="BJ827" s="272">
        <f t="shared" si="946"/>
        <v>0</v>
      </c>
      <c r="BK827" s="272">
        <f t="shared" si="946"/>
        <v>0</v>
      </c>
      <c r="BL827" s="272">
        <f t="shared" si="946"/>
        <v>0</v>
      </c>
      <c r="BM827" s="272">
        <f t="shared" si="946"/>
        <v>0</v>
      </c>
      <c r="BN827" s="324">
        <f t="shared" si="946"/>
        <v>0</v>
      </c>
      <c r="BP827" s="536" t="s">
        <v>1225</v>
      </c>
      <c r="BQ827" s="1471" t="str">
        <f t="shared" si="941"/>
        <v>GHG_Renewablea = GHG_Renewablea-1 + (E137 * BUI_COL (307 + ((C137 - 1) * 8) * BUI_COL6 / (J137-I137+1) / 1000000)</v>
      </c>
      <c r="BR827" s="1479"/>
      <c r="BS827" s="1479"/>
      <c r="BT827" s="1479"/>
      <c r="BU827" s="1479"/>
      <c r="BV827" s="1479"/>
      <c r="BW827" s="1479"/>
      <c r="BX827" s="1479"/>
      <c r="BY827" s="1479"/>
      <c r="BZ827" s="1479"/>
      <c r="CA827" s="1479"/>
      <c r="CB827" s="1479"/>
      <c r="CC827" s="1479"/>
      <c r="CD827" s="1479"/>
      <c r="CE827" s="1479"/>
      <c r="CF827" s="1479"/>
      <c r="CG827" s="1479"/>
      <c r="CH827" s="1472"/>
      <c r="CI827" s="917" t="s">
        <v>2629</v>
      </c>
      <c r="CJ827" s="536" t="s">
        <v>2610</v>
      </c>
      <c r="CK827" s="536" t="s">
        <v>1625</v>
      </c>
      <c r="CL827" s="919"/>
    </row>
    <row r="828" spans="32:90" ht="20.100000000000001" customHeight="1" thickBot="1">
      <c r="AF828" s="359"/>
      <c r="AG828" s="310" t="s">
        <v>1226</v>
      </c>
      <c r="AH828" s="310" t="s">
        <v>1497</v>
      </c>
      <c r="AI828" s="335">
        <f>INDEX('DEFAULT DATA'!$AFS$9:$AIT$41,START!$C$3,(8+(($C$138-1)*8)))/IF($C$138&lt;5,INDEX('DEFAULT DATA'!$WT$9:$WW$41,START!$C$3,$C$138),1)</f>
        <v>62.784679520715976</v>
      </c>
      <c r="AJ828" s="335"/>
      <c r="AK828" s="348">
        <v>0</v>
      </c>
      <c r="AL828" s="325">
        <f t="shared" ref="AL828:BN828" si="947">IF(AND(AL$820&gt;($I$138+2020),AL$820&lt;($J$138+2022)),AK828+(AL$6*$E$138*$AI$828/($J$138-$I$138+1)/1000000),AK828)</f>
        <v>0</v>
      </c>
      <c r="AM828" s="325">
        <f t="shared" si="947"/>
        <v>0</v>
      </c>
      <c r="AN828" s="325">
        <f t="shared" si="947"/>
        <v>0</v>
      </c>
      <c r="AO828" s="325">
        <f t="shared" si="947"/>
        <v>0</v>
      </c>
      <c r="AP828" s="325">
        <f t="shared" si="947"/>
        <v>0</v>
      </c>
      <c r="AQ828" s="325">
        <f t="shared" si="947"/>
        <v>0</v>
      </c>
      <c r="AR828" s="325">
        <f t="shared" si="947"/>
        <v>0</v>
      </c>
      <c r="AS828" s="325">
        <f t="shared" si="947"/>
        <v>0</v>
      </c>
      <c r="AT828" s="325">
        <f t="shared" si="947"/>
        <v>0</v>
      </c>
      <c r="AU828" s="325">
        <f t="shared" si="947"/>
        <v>0</v>
      </c>
      <c r="AV828" s="325">
        <f t="shared" si="947"/>
        <v>0</v>
      </c>
      <c r="AW828" s="325">
        <f t="shared" si="947"/>
        <v>0</v>
      </c>
      <c r="AX828" s="325">
        <f t="shared" si="947"/>
        <v>0</v>
      </c>
      <c r="AY828" s="325">
        <f t="shared" si="947"/>
        <v>0</v>
      </c>
      <c r="AZ828" s="325">
        <f t="shared" si="947"/>
        <v>0</v>
      </c>
      <c r="BA828" s="325">
        <f t="shared" si="947"/>
        <v>0</v>
      </c>
      <c r="BB828" s="325">
        <f t="shared" si="947"/>
        <v>0</v>
      </c>
      <c r="BC828" s="325">
        <f t="shared" si="947"/>
        <v>0</v>
      </c>
      <c r="BD828" s="325">
        <f t="shared" si="947"/>
        <v>0</v>
      </c>
      <c r="BE828" s="325">
        <f t="shared" si="947"/>
        <v>0</v>
      </c>
      <c r="BF828" s="325">
        <f t="shared" si="947"/>
        <v>0</v>
      </c>
      <c r="BG828" s="325">
        <f t="shared" si="947"/>
        <v>0</v>
      </c>
      <c r="BH828" s="325">
        <f t="shared" si="947"/>
        <v>0</v>
      </c>
      <c r="BI828" s="325">
        <f t="shared" si="947"/>
        <v>0</v>
      </c>
      <c r="BJ828" s="325">
        <f t="shared" si="947"/>
        <v>0</v>
      </c>
      <c r="BK828" s="325">
        <f t="shared" si="947"/>
        <v>0</v>
      </c>
      <c r="BL828" s="325">
        <f t="shared" si="947"/>
        <v>0</v>
      </c>
      <c r="BM828" s="325">
        <f t="shared" si="947"/>
        <v>0</v>
      </c>
      <c r="BN828" s="326">
        <f t="shared" si="947"/>
        <v>0</v>
      </c>
      <c r="BP828" s="536" t="s">
        <v>1226</v>
      </c>
      <c r="BQ828" s="1471" t="str">
        <f t="shared" si="941"/>
        <v>GHG_Heata = GHG_Heata-1 + (E137 * BUI_COL (307 + ((C137 - 1) * 8) * DISTRICT_HEATING_emission_factora (from row 5) / (J137-I137+1) / 1000000)</v>
      </c>
      <c r="BR828" s="1479"/>
      <c r="BS828" s="1479"/>
      <c r="BT828" s="1479"/>
      <c r="BU828" s="1479"/>
      <c r="BV828" s="1479"/>
      <c r="BW828" s="1479"/>
      <c r="BX828" s="1479"/>
      <c r="BY828" s="1479"/>
      <c r="BZ828" s="1479"/>
      <c r="CA828" s="1479"/>
      <c r="CB828" s="1479"/>
      <c r="CC828" s="1479"/>
      <c r="CD828" s="1479"/>
      <c r="CE828" s="1479"/>
      <c r="CF828" s="1479"/>
      <c r="CG828" s="1479"/>
      <c r="CH828" s="1472"/>
      <c r="CI828" s="917" t="s">
        <v>2629</v>
      </c>
      <c r="CJ828" s="536" t="s">
        <v>2610</v>
      </c>
      <c r="CK828" s="536" t="s">
        <v>2602</v>
      </c>
      <c r="CL828" s="919"/>
    </row>
    <row r="829" spans="32:90" ht="20.100000000000001" customHeight="1">
      <c r="AF829" s="332"/>
      <c r="AG829" s="308" t="s">
        <v>310</v>
      </c>
      <c r="AH829" s="309"/>
      <c r="AI829" s="363"/>
      <c r="AJ829" s="309"/>
      <c r="AK829" s="344">
        <v>0</v>
      </c>
      <c r="AL829" s="327">
        <f>SUM(AL821:AL828)</f>
        <v>0</v>
      </c>
      <c r="AM829" s="327">
        <f t="shared" ref="AM829:BN829" si="948">SUM(AM821:AM828)</f>
        <v>0</v>
      </c>
      <c r="AN829" s="327">
        <f t="shared" si="948"/>
        <v>0</v>
      </c>
      <c r="AO829" s="327">
        <f t="shared" si="948"/>
        <v>0</v>
      </c>
      <c r="AP829" s="327">
        <f t="shared" si="948"/>
        <v>0</v>
      </c>
      <c r="AQ829" s="327">
        <f t="shared" si="948"/>
        <v>0</v>
      </c>
      <c r="AR829" s="327">
        <f t="shared" si="948"/>
        <v>0</v>
      </c>
      <c r="AS829" s="327">
        <f t="shared" si="948"/>
        <v>0</v>
      </c>
      <c r="AT829" s="327">
        <f t="shared" si="948"/>
        <v>0</v>
      </c>
      <c r="AU829" s="327">
        <f t="shared" si="948"/>
        <v>0</v>
      </c>
      <c r="AV829" s="327">
        <f t="shared" si="948"/>
        <v>0</v>
      </c>
      <c r="AW829" s="327">
        <f t="shared" si="948"/>
        <v>0</v>
      </c>
      <c r="AX829" s="327">
        <f t="shared" si="948"/>
        <v>0</v>
      </c>
      <c r="AY829" s="327">
        <f t="shared" si="948"/>
        <v>0</v>
      </c>
      <c r="AZ829" s="327">
        <f t="shared" si="948"/>
        <v>0</v>
      </c>
      <c r="BA829" s="327">
        <f t="shared" si="948"/>
        <v>0</v>
      </c>
      <c r="BB829" s="327">
        <f t="shared" si="948"/>
        <v>0</v>
      </c>
      <c r="BC829" s="327">
        <f t="shared" si="948"/>
        <v>0</v>
      </c>
      <c r="BD829" s="327">
        <f t="shared" si="948"/>
        <v>0</v>
      </c>
      <c r="BE829" s="327">
        <f t="shared" si="948"/>
        <v>0</v>
      </c>
      <c r="BF829" s="327">
        <f t="shared" si="948"/>
        <v>0</v>
      </c>
      <c r="BG829" s="327">
        <f t="shared" si="948"/>
        <v>0</v>
      </c>
      <c r="BH829" s="327">
        <f t="shared" si="948"/>
        <v>0</v>
      </c>
      <c r="BI829" s="327">
        <f t="shared" si="948"/>
        <v>0</v>
      </c>
      <c r="BJ829" s="327">
        <f t="shared" si="948"/>
        <v>0</v>
      </c>
      <c r="BK829" s="327">
        <f t="shared" si="948"/>
        <v>0</v>
      </c>
      <c r="BL829" s="327">
        <f t="shared" si="948"/>
        <v>0</v>
      </c>
      <c r="BM829" s="327">
        <f t="shared" si="948"/>
        <v>0</v>
      </c>
      <c r="BN829" s="327">
        <f t="shared" si="948"/>
        <v>0</v>
      </c>
    </row>
    <row r="830" spans="32:90" ht="20.100000000000001" customHeight="1">
      <c r="AI830" s="364"/>
    </row>
    <row r="831" spans="32:90" ht="20.100000000000001" customHeight="1" thickBot="1">
      <c r="AF831" s="333" t="s">
        <v>1515</v>
      </c>
      <c r="AG831" s="333"/>
      <c r="AH831" s="334" t="s">
        <v>977</v>
      </c>
      <c r="AI831" s="1477" t="s">
        <v>2549</v>
      </c>
      <c r="AJ831" s="1478"/>
      <c r="AK831" s="346">
        <v>2021</v>
      </c>
      <c r="AL831" s="284">
        <v>2022</v>
      </c>
      <c r="AM831" s="284">
        <v>2023</v>
      </c>
      <c r="AN831" s="284">
        <v>2024</v>
      </c>
      <c r="AO831" s="284">
        <v>2025</v>
      </c>
      <c r="AP831" s="284">
        <v>2026</v>
      </c>
      <c r="AQ831" s="284">
        <v>2027</v>
      </c>
      <c r="AR831" s="284">
        <v>2028</v>
      </c>
      <c r="AS831" s="284">
        <v>2029</v>
      </c>
      <c r="AT831" s="284">
        <v>2030</v>
      </c>
      <c r="AU831" s="284">
        <v>2031</v>
      </c>
      <c r="AV831" s="284">
        <v>2032</v>
      </c>
      <c r="AW831" s="284">
        <v>2033</v>
      </c>
      <c r="AX831" s="284">
        <v>2034</v>
      </c>
      <c r="AY831" s="284">
        <v>2035</v>
      </c>
      <c r="AZ831" s="284">
        <v>2036</v>
      </c>
      <c r="BA831" s="284">
        <v>2037</v>
      </c>
      <c r="BB831" s="284">
        <v>2038</v>
      </c>
      <c r="BC831" s="284">
        <v>2039</v>
      </c>
      <c r="BD831" s="284">
        <v>2040</v>
      </c>
      <c r="BE831" s="284">
        <v>2041</v>
      </c>
      <c r="BF831" s="284">
        <v>2042</v>
      </c>
      <c r="BG831" s="284">
        <v>2043</v>
      </c>
      <c r="BH831" s="284">
        <v>2044</v>
      </c>
      <c r="BI831" s="284">
        <v>2045</v>
      </c>
      <c r="BJ831" s="284">
        <v>2046</v>
      </c>
      <c r="BK831" s="284">
        <v>2047</v>
      </c>
      <c r="BL831" s="284">
        <v>2048</v>
      </c>
      <c r="BM831" s="284">
        <v>2049</v>
      </c>
      <c r="BN831" s="284">
        <v>2050</v>
      </c>
      <c r="BQ831" s="222" t="s">
        <v>2623</v>
      </c>
      <c r="BR831" s="417"/>
      <c r="BS831" s="417"/>
      <c r="BT831" s="417"/>
      <c r="BU831" s="417"/>
      <c r="BV831" s="417"/>
      <c r="BW831" s="417"/>
      <c r="BX831" s="417"/>
      <c r="BY831" s="417"/>
      <c r="BZ831" s="417"/>
      <c r="CA831" s="417"/>
      <c r="CB831" s="417"/>
      <c r="CC831" s="417"/>
      <c r="CD831" s="417"/>
      <c r="CE831" s="417"/>
      <c r="CF831" s="417"/>
      <c r="CG831" s="417"/>
      <c r="CH831" s="417"/>
      <c r="CI831" s="944" t="s">
        <v>1767</v>
      </c>
      <c r="CJ831" s="279" t="s">
        <v>2552</v>
      </c>
      <c r="CK831" s="945" t="s">
        <v>1598</v>
      </c>
    </row>
    <row r="832" spans="32:90" ht="20.100000000000001" customHeight="1">
      <c r="AF832" s="357" t="str">
        <f>CONCATENATE("conversion to ",INDEX('MENU OPTIONS'!$B$27:$B$36,$C$139,1))</f>
        <v>conversion to Retail</v>
      </c>
      <c r="AG832" s="286" t="s">
        <v>933</v>
      </c>
      <c r="AH832" s="286" t="s">
        <v>1496</v>
      </c>
      <c r="AI832" s="330">
        <f>INDEX('DEFAULT DATA'!$AFS$9:$AIT$41,START!$C$3,(1+(($C$139-1)*8)))/IF($C$139&lt;5,INDEX('DEFAULT DATA'!$WT$9:$WW$41,START!$C$3,$C$139),1)</f>
        <v>0</v>
      </c>
      <c r="AJ832" s="330"/>
      <c r="AK832" s="343">
        <v>0</v>
      </c>
      <c r="AL832" s="322">
        <f t="shared" ref="AL832:BN832" si="949">IF(AND(AL$831&gt;($I$139+2020),AL$831&lt;($J$139+2022)),AK832+(AL$5*$E$139*$AI$832/($J$139-$I$139+1)/1000000),AK832)</f>
        <v>0</v>
      </c>
      <c r="AM832" s="322">
        <f t="shared" si="949"/>
        <v>0</v>
      </c>
      <c r="AN832" s="322">
        <f t="shared" si="949"/>
        <v>0</v>
      </c>
      <c r="AO832" s="322">
        <f t="shared" si="949"/>
        <v>0</v>
      </c>
      <c r="AP832" s="322">
        <f t="shared" si="949"/>
        <v>0</v>
      </c>
      <c r="AQ832" s="322">
        <f t="shared" si="949"/>
        <v>0</v>
      </c>
      <c r="AR832" s="322">
        <f t="shared" si="949"/>
        <v>0</v>
      </c>
      <c r="AS832" s="322">
        <f t="shared" si="949"/>
        <v>0</v>
      </c>
      <c r="AT832" s="322">
        <f t="shared" si="949"/>
        <v>0</v>
      </c>
      <c r="AU832" s="322">
        <f t="shared" si="949"/>
        <v>0</v>
      </c>
      <c r="AV832" s="322">
        <f t="shared" si="949"/>
        <v>0</v>
      </c>
      <c r="AW832" s="322">
        <f t="shared" si="949"/>
        <v>0</v>
      </c>
      <c r="AX832" s="322">
        <f t="shared" si="949"/>
        <v>0</v>
      </c>
      <c r="AY832" s="322">
        <f t="shared" si="949"/>
        <v>0</v>
      </c>
      <c r="AZ832" s="322">
        <f t="shared" si="949"/>
        <v>0</v>
      </c>
      <c r="BA832" s="322">
        <f t="shared" si="949"/>
        <v>0</v>
      </c>
      <c r="BB832" s="322">
        <f t="shared" si="949"/>
        <v>0</v>
      </c>
      <c r="BC832" s="322">
        <f t="shared" si="949"/>
        <v>0</v>
      </c>
      <c r="BD832" s="322">
        <f t="shared" si="949"/>
        <v>0</v>
      </c>
      <c r="BE832" s="322">
        <f t="shared" si="949"/>
        <v>0</v>
      </c>
      <c r="BF832" s="322">
        <f t="shared" si="949"/>
        <v>0</v>
      </c>
      <c r="BG832" s="322">
        <f t="shared" si="949"/>
        <v>0</v>
      </c>
      <c r="BH832" s="322">
        <f t="shared" si="949"/>
        <v>0</v>
      </c>
      <c r="BI832" s="322">
        <f t="shared" si="949"/>
        <v>0</v>
      </c>
      <c r="BJ832" s="322">
        <f t="shared" si="949"/>
        <v>0</v>
      </c>
      <c r="BK832" s="322">
        <f t="shared" si="949"/>
        <v>0</v>
      </c>
      <c r="BL832" s="322">
        <f t="shared" si="949"/>
        <v>0</v>
      </c>
      <c r="BM832" s="322">
        <f t="shared" si="949"/>
        <v>0</v>
      </c>
      <c r="BN832" s="323">
        <f t="shared" si="949"/>
        <v>0</v>
      </c>
      <c r="BP832" s="536" t="s">
        <v>933</v>
      </c>
      <c r="BQ832" s="1471" t="str">
        <f>CONCATENATE("GHG_",BP832,"a = GHG_",BP832,"a-1 + (E138 * ",CI832," * ",CK832," / (",CJ832,") / 1000000)")</f>
        <v>GHG_Electricitya = GHG_Electricitya-1 + (E138 * BUI_COL (307 + ((C138 - 1) * 8) * GRID_ELECTRICITY_emission_factora (from row4) / (J138-I138+1) / 1000000)</v>
      </c>
      <c r="BR832" s="1479"/>
      <c r="BS832" s="1479"/>
      <c r="BT832" s="1479"/>
      <c r="BU832" s="1479"/>
      <c r="BV832" s="1479"/>
      <c r="BW832" s="1479"/>
      <c r="BX832" s="1479"/>
      <c r="BY832" s="1479"/>
      <c r="BZ832" s="1479"/>
      <c r="CA832" s="1479"/>
      <c r="CB832" s="1479"/>
      <c r="CC832" s="1479"/>
      <c r="CD832" s="1479"/>
      <c r="CE832" s="1479"/>
      <c r="CF832" s="1479"/>
      <c r="CG832" s="1479"/>
      <c r="CH832" s="1472"/>
      <c r="CI832" s="917" t="s">
        <v>2630</v>
      </c>
      <c r="CJ832" s="536" t="s">
        <v>2612</v>
      </c>
      <c r="CK832" s="536" t="s">
        <v>2601</v>
      </c>
      <c r="CL832" s="919"/>
    </row>
    <row r="833" spans="32:90" ht="20.100000000000001" customHeight="1">
      <c r="AF833" s="358"/>
      <c r="AG833" s="251" t="s">
        <v>1220</v>
      </c>
      <c r="AH833" s="251">
        <f>INDEX('DEFAULT DATA'!$VE$9:$VK$41,START!$C$3,1)</f>
        <v>202</v>
      </c>
      <c r="AI833" s="262">
        <f>INDEX('DEFAULT DATA'!$AFS$9:$AIT$41,START!$C$3,(2+(($C$139-1)*8)))/IF($C$139&lt;5,INDEX('DEFAULT DATA'!$WT$9:$WW$41,START!$C$3,$C$139),1)</f>
        <v>0</v>
      </c>
      <c r="AJ833" s="262"/>
      <c r="AK833" s="345">
        <v>0</v>
      </c>
      <c r="AL833" s="272">
        <f t="shared" ref="AL833:BN833" si="950">IF(AND(AL$831&gt;($I$139+2020),AL$831&lt;($J$139+2022)),AK833+($AH$833*$E$139*$AI$833/($J$139-$I$139+1)/1000000),AK833)</f>
        <v>0</v>
      </c>
      <c r="AM833" s="272">
        <f t="shared" si="950"/>
        <v>0</v>
      </c>
      <c r="AN833" s="272">
        <f t="shared" si="950"/>
        <v>0</v>
      </c>
      <c r="AO833" s="272">
        <f t="shared" si="950"/>
        <v>0</v>
      </c>
      <c r="AP833" s="272">
        <f t="shared" si="950"/>
        <v>0</v>
      </c>
      <c r="AQ833" s="272">
        <f t="shared" si="950"/>
        <v>0</v>
      </c>
      <c r="AR833" s="272">
        <f t="shared" si="950"/>
        <v>0</v>
      </c>
      <c r="AS833" s="272">
        <f t="shared" si="950"/>
        <v>0</v>
      </c>
      <c r="AT833" s="272">
        <f t="shared" si="950"/>
        <v>0</v>
      </c>
      <c r="AU833" s="272">
        <f t="shared" si="950"/>
        <v>0</v>
      </c>
      <c r="AV833" s="272">
        <f t="shared" si="950"/>
        <v>0</v>
      </c>
      <c r="AW833" s="272">
        <f t="shared" si="950"/>
        <v>0</v>
      </c>
      <c r="AX833" s="272">
        <f t="shared" si="950"/>
        <v>0</v>
      </c>
      <c r="AY833" s="272">
        <f t="shared" si="950"/>
        <v>0</v>
      </c>
      <c r="AZ833" s="272">
        <f t="shared" si="950"/>
        <v>0</v>
      </c>
      <c r="BA833" s="272">
        <f t="shared" si="950"/>
        <v>0</v>
      </c>
      <c r="BB833" s="272">
        <f t="shared" si="950"/>
        <v>0</v>
      </c>
      <c r="BC833" s="272">
        <f t="shared" si="950"/>
        <v>0</v>
      </c>
      <c r="BD833" s="272">
        <f t="shared" si="950"/>
        <v>0</v>
      </c>
      <c r="BE833" s="272">
        <f t="shared" si="950"/>
        <v>0</v>
      </c>
      <c r="BF833" s="272">
        <f t="shared" si="950"/>
        <v>0</v>
      </c>
      <c r="BG833" s="272">
        <f t="shared" si="950"/>
        <v>0</v>
      </c>
      <c r="BH833" s="272">
        <f t="shared" si="950"/>
        <v>0</v>
      </c>
      <c r="BI833" s="272">
        <f t="shared" si="950"/>
        <v>0</v>
      </c>
      <c r="BJ833" s="272">
        <f t="shared" si="950"/>
        <v>0</v>
      </c>
      <c r="BK833" s="272">
        <f t="shared" si="950"/>
        <v>0</v>
      </c>
      <c r="BL833" s="272">
        <f t="shared" si="950"/>
        <v>0</v>
      </c>
      <c r="BM833" s="272">
        <f t="shared" si="950"/>
        <v>0</v>
      </c>
      <c r="BN833" s="324">
        <f t="shared" si="950"/>
        <v>0</v>
      </c>
      <c r="BP833" s="536" t="s">
        <v>1220</v>
      </c>
      <c r="BQ833" s="1471" t="str">
        <f t="shared" ref="BQ833:BQ839" si="951">CONCATENATE("GHG_",BP833,"a = GHG_",BP833,"a-1 + (E138 * ",CI833," * ",CK833," / (",CJ833,") / 1000000)")</f>
        <v>GHG_Gasa = GHG_Gasa-1 + (E138 * BUI_COL (307 + ((C138 - 1) * 8) * BUI_COL1 / (J138-I138+1) / 1000000)</v>
      </c>
      <c r="BR833" s="1479"/>
      <c r="BS833" s="1479"/>
      <c r="BT833" s="1479"/>
      <c r="BU833" s="1479"/>
      <c r="BV833" s="1479"/>
      <c r="BW833" s="1479"/>
      <c r="BX833" s="1479"/>
      <c r="BY833" s="1479"/>
      <c r="BZ833" s="1479"/>
      <c r="CA833" s="1479"/>
      <c r="CB833" s="1479"/>
      <c r="CC833" s="1479"/>
      <c r="CD833" s="1479"/>
      <c r="CE833" s="1479"/>
      <c r="CF833" s="1479"/>
      <c r="CG833" s="1479"/>
      <c r="CH833" s="1472"/>
      <c r="CI833" s="917" t="s">
        <v>2630</v>
      </c>
      <c r="CJ833" s="536" t="s">
        <v>2612</v>
      </c>
      <c r="CK833" s="536" t="s">
        <v>1248</v>
      </c>
      <c r="CL833" s="919"/>
    </row>
    <row r="834" spans="32:90" ht="20.100000000000001" customHeight="1">
      <c r="AF834" s="358"/>
      <c r="AG834" s="251" t="s">
        <v>1221</v>
      </c>
      <c r="AH834" s="251">
        <f>INDEX('DEFAULT DATA'!$VE$9:$VK$41,START!$C$3,2)</f>
        <v>279</v>
      </c>
      <c r="AI834" s="262">
        <f>INDEX('DEFAULT DATA'!$AFS$9:$AIT$41,START!$C$3,(3+(($C$139-1)*8)))/IF($C$139&lt;5,INDEX('DEFAULT DATA'!$WT$9:$WW$41,START!$C$3,$C$139),1)</f>
        <v>0</v>
      </c>
      <c r="AJ834" s="262"/>
      <c r="AK834" s="345">
        <v>0</v>
      </c>
      <c r="AL834" s="272">
        <f t="shared" ref="AL834:BN834" si="952">IF(AND(AL$831&gt;($I$139+2020),AL$831&lt;($J$139+2022)),AK834+($AH$834*$E$139*$AI$834/($J$139-$I$139+1)/1000000),AK834)</f>
        <v>0</v>
      </c>
      <c r="AM834" s="272">
        <f t="shared" si="952"/>
        <v>0</v>
      </c>
      <c r="AN834" s="272">
        <f t="shared" si="952"/>
        <v>0</v>
      </c>
      <c r="AO834" s="272">
        <f t="shared" si="952"/>
        <v>0</v>
      </c>
      <c r="AP834" s="272">
        <f t="shared" si="952"/>
        <v>0</v>
      </c>
      <c r="AQ834" s="272">
        <f t="shared" si="952"/>
        <v>0</v>
      </c>
      <c r="AR834" s="272">
        <f t="shared" si="952"/>
        <v>0</v>
      </c>
      <c r="AS834" s="272">
        <f t="shared" si="952"/>
        <v>0</v>
      </c>
      <c r="AT834" s="272">
        <f t="shared" si="952"/>
        <v>0</v>
      </c>
      <c r="AU834" s="272">
        <f t="shared" si="952"/>
        <v>0</v>
      </c>
      <c r="AV834" s="272">
        <f t="shared" si="952"/>
        <v>0</v>
      </c>
      <c r="AW834" s="272">
        <f t="shared" si="952"/>
        <v>0</v>
      </c>
      <c r="AX834" s="272">
        <f t="shared" si="952"/>
        <v>0</v>
      </c>
      <c r="AY834" s="272">
        <f t="shared" si="952"/>
        <v>0</v>
      </c>
      <c r="AZ834" s="272">
        <f t="shared" si="952"/>
        <v>0</v>
      </c>
      <c r="BA834" s="272">
        <f t="shared" si="952"/>
        <v>0</v>
      </c>
      <c r="BB834" s="272">
        <f t="shared" si="952"/>
        <v>0</v>
      </c>
      <c r="BC834" s="272">
        <f t="shared" si="952"/>
        <v>0</v>
      </c>
      <c r="BD834" s="272">
        <f t="shared" si="952"/>
        <v>0</v>
      </c>
      <c r="BE834" s="272">
        <f t="shared" si="952"/>
        <v>0</v>
      </c>
      <c r="BF834" s="272">
        <f t="shared" si="952"/>
        <v>0</v>
      </c>
      <c r="BG834" s="272">
        <f t="shared" si="952"/>
        <v>0</v>
      </c>
      <c r="BH834" s="272">
        <f t="shared" si="952"/>
        <v>0</v>
      </c>
      <c r="BI834" s="272">
        <f t="shared" si="952"/>
        <v>0</v>
      </c>
      <c r="BJ834" s="272">
        <f t="shared" si="952"/>
        <v>0</v>
      </c>
      <c r="BK834" s="272">
        <f t="shared" si="952"/>
        <v>0</v>
      </c>
      <c r="BL834" s="272">
        <f t="shared" si="952"/>
        <v>0</v>
      </c>
      <c r="BM834" s="272">
        <f t="shared" si="952"/>
        <v>0</v>
      </c>
      <c r="BN834" s="324">
        <f t="shared" si="952"/>
        <v>0</v>
      </c>
      <c r="BP834" s="536" t="s">
        <v>1221</v>
      </c>
      <c r="BQ834" s="1471" t="str">
        <f t="shared" si="951"/>
        <v>GHG_Oila = GHG_Oila-1 + (E138 * BUI_COL (307 + ((C138 - 1) * 8) * BUI_COL2 / (J138-I138+1) / 1000000)</v>
      </c>
      <c r="BR834" s="1479"/>
      <c r="BS834" s="1479"/>
      <c r="BT834" s="1479"/>
      <c r="BU834" s="1479"/>
      <c r="BV834" s="1479"/>
      <c r="BW834" s="1479"/>
      <c r="BX834" s="1479"/>
      <c r="BY834" s="1479"/>
      <c r="BZ834" s="1479"/>
      <c r="CA834" s="1479"/>
      <c r="CB834" s="1479"/>
      <c r="CC834" s="1479"/>
      <c r="CD834" s="1479"/>
      <c r="CE834" s="1479"/>
      <c r="CF834" s="1479"/>
      <c r="CG834" s="1479"/>
      <c r="CH834" s="1472"/>
      <c r="CI834" s="917" t="s">
        <v>2630</v>
      </c>
      <c r="CJ834" s="536" t="s">
        <v>2612</v>
      </c>
      <c r="CK834" s="536" t="s">
        <v>1621</v>
      </c>
      <c r="CL834" s="919"/>
    </row>
    <row r="835" spans="32:90" ht="20.100000000000001" customHeight="1">
      <c r="AF835" s="358"/>
      <c r="AG835" s="251" t="s">
        <v>1222</v>
      </c>
      <c r="AH835" s="251">
        <f>INDEX('DEFAULT DATA'!$VE$9:$VK$41,START!$C$3,3)</f>
        <v>354</v>
      </c>
      <c r="AI835" s="262">
        <f>INDEX('DEFAULT DATA'!$AFS$9:$AIT$41,START!$C$3,(4+(($C$139-1)*8)))/IF($C$139&lt;5,INDEX('DEFAULT DATA'!$WT$9:$WW$41,START!$C$3,$C$139),1)</f>
        <v>0</v>
      </c>
      <c r="AJ835" s="262"/>
      <c r="AK835" s="345">
        <v>0</v>
      </c>
      <c r="AL835" s="272">
        <f t="shared" ref="AL835:BN835" si="953">IF(AND(AL$831&gt;($I$139+2020),AL$831&lt;($J$139+2022)),AK835+($AH$835*$E$139*$AI$835/($J$139-$I$139+1)/1000000),AK835)</f>
        <v>0</v>
      </c>
      <c r="AM835" s="272">
        <f t="shared" si="953"/>
        <v>0</v>
      </c>
      <c r="AN835" s="272">
        <f t="shared" si="953"/>
        <v>0</v>
      </c>
      <c r="AO835" s="272">
        <f t="shared" si="953"/>
        <v>0</v>
      </c>
      <c r="AP835" s="272">
        <f t="shared" si="953"/>
        <v>0</v>
      </c>
      <c r="AQ835" s="272">
        <f t="shared" si="953"/>
        <v>0</v>
      </c>
      <c r="AR835" s="272">
        <f t="shared" si="953"/>
        <v>0</v>
      </c>
      <c r="AS835" s="272">
        <f t="shared" si="953"/>
        <v>0</v>
      </c>
      <c r="AT835" s="272">
        <f t="shared" si="953"/>
        <v>0</v>
      </c>
      <c r="AU835" s="272">
        <f t="shared" si="953"/>
        <v>0</v>
      </c>
      <c r="AV835" s="272">
        <f t="shared" si="953"/>
        <v>0</v>
      </c>
      <c r="AW835" s="272">
        <f t="shared" si="953"/>
        <v>0</v>
      </c>
      <c r="AX835" s="272">
        <f t="shared" si="953"/>
        <v>0</v>
      </c>
      <c r="AY835" s="272">
        <f t="shared" si="953"/>
        <v>0</v>
      </c>
      <c r="AZ835" s="272">
        <f t="shared" si="953"/>
        <v>0</v>
      </c>
      <c r="BA835" s="272">
        <f t="shared" si="953"/>
        <v>0</v>
      </c>
      <c r="BB835" s="272">
        <f t="shared" si="953"/>
        <v>0</v>
      </c>
      <c r="BC835" s="272">
        <f t="shared" si="953"/>
        <v>0</v>
      </c>
      <c r="BD835" s="272">
        <f t="shared" si="953"/>
        <v>0</v>
      </c>
      <c r="BE835" s="272">
        <f t="shared" si="953"/>
        <v>0</v>
      </c>
      <c r="BF835" s="272">
        <f t="shared" si="953"/>
        <v>0</v>
      </c>
      <c r="BG835" s="272">
        <f t="shared" si="953"/>
        <v>0</v>
      </c>
      <c r="BH835" s="272">
        <f t="shared" si="953"/>
        <v>0</v>
      </c>
      <c r="BI835" s="272">
        <f t="shared" si="953"/>
        <v>0</v>
      </c>
      <c r="BJ835" s="272">
        <f t="shared" si="953"/>
        <v>0</v>
      </c>
      <c r="BK835" s="272">
        <f t="shared" si="953"/>
        <v>0</v>
      </c>
      <c r="BL835" s="272">
        <f t="shared" si="953"/>
        <v>0</v>
      </c>
      <c r="BM835" s="272">
        <f t="shared" si="953"/>
        <v>0</v>
      </c>
      <c r="BN835" s="324">
        <f t="shared" si="953"/>
        <v>0</v>
      </c>
      <c r="BP835" s="536" t="s">
        <v>1222</v>
      </c>
      <c r="BQ835" s="1471" t="str">
        <f t="shared" si="951"/>
        <v>GHG_Coala = GHG_Coala-1 + (E138 * BUI_COL (307 + ((C138 - 1) * 8) * BUI_COL3 / (J138-I138+1) / 1000000)</v>
      </c>
      <c r="BR835" s="1479"/>
      <c r="BS835" s="1479"/>
      <c r="BT835" s="1479"/>
      <c r="BU835" s="1479"/>
      <c r="BV835" s="1479"/>
      <c r="BW835" s="1479"/>
      <c r="BX835" s="1479"/>
      <c r="BY835" s="1479"/>
      <c r="BZ835" s="1479"/>
      <c r="CA835" s="1479"/>
      <c r="CB835" s="1479"/>
      <c r="CC835" s="1479"/>
      <c r="CD835" s="1479"/>
      <c r="CE835" s="1479"/>
      <c r="CF835" s="1479"/>
      <c r="CG835" s="1479"/>
      <c r="CH835" s="1472"/>
      <c r="CI835" s="917" t="s">
        <v>2630</v>
      </c>
      <c r="CJ835" s="536" t="s">
        <v>2612</v>
      </c>
      <c r="CK835" s="536" t="s">
        <v>1622</v>
      </c>
      <c r="CL835" s="919"/>
    </row>
    <row r="836" spans="32:90" ht="20.100000000000001" customHeight="1">
      <c r="AF836" s="358"/>
      <c r="AG836" s="251" t="s">
        <v>1223</v>
      </c>
      <c r="AH836" s="251">
        <f>INDEX('DEFAULT DATA'!$VE$9:$VK$41,START!$C$3,4)</f>
        <v>0</v>
      </c>
      <c r="AI836" s="262">
        <f>INDEX('DEFAULT DATA'!$AFS$9:$AIT$41,START!$C$3,(5+(($C$139-1)*8)))/IF($C$139&lt;5,INDEX('DEFAULT DATA'!$WT$9:$WW$41,START!$C$3,$C$139),1)</f>
        <v>0</v>
      </c>
      <c r="AJ836" s="262"/>
      <c r="AK836" s="345">
        <v>0</v>
      </c>
      <c r="AL836" s="272">
        <f t="shared" ref="AL836:BN836" si="954">IF(AND(AL$831&gt;($I$139+2020),AL$831&lt;($J$139+2022)),AK836+($AH$836*$E$139*$AI$836/($J$139-$I$139+1)/1000000),AK836)</f>
        <v>0</v>
      </c>
      <c r="AM836" s="272">
        <f t="shared" si="954"/>
        <v>0</v>
      </c>
      <c r="AN836" s="272">
        <f t="shared" si="954"/>
        <v>0</v>
      </c>
      <c r="AO836" s="272">
        <f t="shared" si="954"/>
        <v>0</v>
      </c>
      <c r="AP836" s="272">
        <f t="shared" si="954"/>
        <v>0</v>
      </c>
      <c r="AQ836" s="272">
        <f t="shared" si="954"/>
        <v>0</v>
      </c>
      <c r="AR836" s="272">
        <f t="shared" si="954"/>
        <v>0</v>
      </c>
      <c r="AS836" s="272">
        <f t="shared" si="954"/>
        <v>0</v>
      </c>
      <c r="AT836" s="272">
        <f t="shared" si="954"/>
        <v>0</v>
      </c>
      <c r="AU836" s="272">
        <f t="shared" si="954"/>
        <v>0</v>
      </c>
      <c r="AV836" s="272">
        <f t="shared" si="954"/>
        <v>0</v>
      </c>
      <c r="AW836" s="272">
        <f t="shared" si="954"/>
        <v>0</v>
      </c>
      <c r="AX836" s="272">
        <f t="shared" si="954"/>
        <v>0</v>
      </c>
      <c r="AY836" s="272">
        <f t="shared" si="954"/>
        <v>0</v>
      </c>
      <c r="AZ836" s="272">
        <f t="shared" si="954"/>
        <v>0</v>
      </c>
      <c r="BA836" s="272">
        <f t="shared" si="954"/>
        <v>0</v>
      </c>
      <c r="BB836" s="272">
        <f t="shared" si="954"/>
        <v>0</v>
      </c>
      <c r="BC836" s="272">
        <f t="shared" si="954"/>
        <v>0</v>
      </c>
      <c r="BD836" s="272">
        <f t="shared" si="954"/>
        <v>0</v>
      </c>
      <c r="BE836" s="272">
        <f t="shared" si="954"/>
        <v>0</v>
      </c>
      <c r="BF836" s="272">
        <f t="shared" si="954"/>
        <v>0</v>
      </c>
      <c r="BG836" s="272">
        <f t="shared" si="954"/>
        <v>0</v>
      </c>
      <c r="BH836" s="272">
        <f t="shared" si="954"/>
        <v>0</v>
      </c>
      <c r="BI836" s="272">
        <f t="shared" si="954"/>
        <v>0</v>
      </c>
      <c r="BJ836" s="272">
        <f t="shared" si="954"/>
        <v>0</v>
      </c>
      <c r="BK836" s="272">
        <f t="shared" si="954"/>
        <v>0</v>
      </c>
      <c r="BL836" s="272">
        <f t="shared" si="954"/>
        <v>0</v>
      </c>
      <c r="BM836" s="272">
        <f t="shared" si="954"/>
        <v>0</v>
      </c>
      <c r="BN836" s="324">
        <f t="shared" si="954"/>
        <v>0</v>
      </c>
      <c r="BP836" s="536" t="s">
        <v>1223</v>
      </c>
      <c r="BQ836" s="1471" t="str">
        <f t="shared" si="951"/>
        <v>GHG_Peata = GHG_Peata-1 + (E138 * BUI_COL (307 + ((C138 - 1) * 8) * BUI_COL4 / (J138-I138+1) / 1000000)</v>
      </c>
      <c r="BR836" s="1479"/>
      <c r="BS836" s="1479"/>
      <c r="BT836" s="1479"/>
      <c r="BU836" s="1479"/>
      <c r="BV836" s="1479"/>
      <c r="BW836" s="1479"/>
      <c r="BX836" s="1479"/>
      <c r="BY836" s="1479"/>
      <c r="BZ836" s="1479"/>
      <c r="CA836" s="1479"/>
      <c r="CB836" s="1479"/>
      <c r="CC836" s="1479"/>
      <c r="CD836" s="1479"/>
      <c r="CE836" s="1479"/>
      <c r="CF836" s="1479"/>
      <c r="CG836" s="1479"/>
      <c r="CH836" s="1472"/>
      <c r="CI836" s="917" t="s">
        <v>2630</v>
      </c>
      <c r="CJ836" s="536" t="s">
        <v>2612</v>
      </c>
      <c r="CK836" s="536" t="s">
        <v>1623</v>
      </c>
      <c r="CL836" s="919"/>
    </row>
    <row r="837" spans="32:90" ht="20.100000000000001" customHeight="1">
      <c r="AF837" s="358"/>
      <c r="AG837" s="251" t="s">
        <v>1224</v>
      </c>
      <c r="AH837" s="251">
        <f>INDEX('DEFAULT DATA'!$VE$9:$VK$41,START!$C$3,5)</f>
        <v>403</v>
      </c>
      <c r="AI837" s="262">
        <f>INDEX('DEFAULT DATA'!$AFS$9:$AIT$41,START!$C$3,(6+(($C$139-1)*8)))/IF($C$139&lt;5,INDEX('DEFAULT DATA'!$WT$9:$WW$41,START!$C$3,$C$139),1)</f>
        <v>0</v>
      </c>
      <c r="AJ837" s="262"/>
      <c r="AK837" s="345">
        <v>0</v>
      </c>
      <c r="AL837" s="272">
        <f t="shared" ref="AL837:BN837" si="955">IF(AND(AL$831&gt;($I$139+2020),AL$831&lt;($J$139+2022)),AK837+($AH$837*$E$139*$AI$837/($J$139-$I$139+1)/1000000),AK837)</f>
        <v>0</v>
      </c>
      <c r="AM837" s="272">
        <f t="shared" si="955"/>
        <v>0</v>
      </c>
      <c r="AN837" s="272">
        <f t="shared" si="955"/>
        <v>0</v>
      </c>
      <c r="AO837" s="272">
        <f t="shared" si="955"/>
        <v>0</v>
      </c>
      <c r="AP837" s="272">
        <f t="shared" si="955"/>
        <v>0</v>
      </c>
      <c r="AQ837" s="272">
        <f t="shared" si="955"/>
        <v>0</v>
      </c>
      <c r="AR837" s="272">
        <f t="shared" si="955"/>
        <v>0</v>
      </c>
      <c r="AS837" s="272">
        <f t="shared" si="955"/>
        <v>0</v>
      </c>
      <c r="AT837" s="272">
        <f t="shared" si="955"/>
        <v>0</v>
      </c>
      <c r="AU837" s="272">
        <f t="shared" si="955"/>
        <v>0</v>
      </c>
      <c r="AV837" s="272">
        <f t="shared" si="955"/>
        <v>0</v>
      </c>
      <c r="AW837" s="272">
        <f t="shared" si="955"/>
        <v>0</v>
      </c>
      <c r="AX837" s="272">
        <f t="shared" si="955"/>
        <v>0</v>
      </c>
      <c r="AY837" s="272">
        <f t="shared" si="955"/>
        <v>0</v>
      </c>
      <c r="AZ837" s="272">
        <f t="shared" si="955"/>
        <v>0</v>
      </c>
      <c r="BA837" s="272">
        <f t="shared" si="955"/>
        <v>0</v>
      </c>
      <c r="BB837" s="272">
        <f t="shared" si="955"/>
        <v>0</v>
      </c>
      <c r="BC837" s="272">
        <f t="shared" si="955"/>
        <v>0</v>
      </c>
      <c r="BD837" s="272">
        <f t="shared" si="955"/>
        <v>0</v>
      </c>
      <c r="BE837" s="272">
        <f t="shared" si="955"/>
        <v>0</v>
      </c>
      <c r="BF837" s="272">
        <f t="shared" si="955"/>
        <v>0</v>
      </c>
      <c r="BG837" s="272">
        <f t="shared" si="955"/>
        <v>0</v>
      </c>
      <c r="BH837" s="272">
        <f t="shared" si="955"/>
        <v>0</v>
      </c>
      <c r="BI837" s="272">
        <f t="shared" si="955"/>
        <v>0</v>
      </c>
      <c r="BJ837" s="272">
        <f t="shared" si="955"/>
        <v>0</v>
      </c>
      <c r="BK837" s="272">
        <f t="shared" si="955"/>
        <v>0</v>
      </c>
      <c r="BL837" s="272">
        <f t="shared" si="955"/>
        <v>0</v>
      </c>
      <c r="BM837" s="272">
        <f t="shared" si="955"/>
        <v>0</v>
      </c>
      <c r="BN837" s="324">
        <f t="shared" si="955"/>
        <v>0</v>
      </c>
      <c r="BP837" s="536" t="s">
        <v>1224</v>
      </c>
      <c r="BQ837" s="1471" t="str">
        <f t="shared" si="951"/>
        <v>GHG_Wooda = GHG_Wooda-1 + (E138 * BUI_COL (307 + ((C138 - 1) * 8) * BUI_COL5 / (J138-I138+1) / 1000000)</v>
      </c>
      <c r="BR837" s="1479"/>
      <c r="BS837" s="1479"/>
      <c r="BT837" s="1479"/>
      <c r="BU837" s="1479"/>
      <c r="BV837" s="1479"/>
      <c r="BW837" s="1479"/>
      <c r="BX837" s="1479"/>
      <c r="BY837" s="1479"/>
      <c r="BZ837" s="1479"/>
      <c r="CA837" s="1479"/>
      <c r="CB837" s="1479"/>
      <c r="CC837" s="1479"/>
      <c r="CD837" s="1479"/>
      <c r="CE837" s="1479"/>
      <c r="CF837" s="1479"/>
      <c r="CG837" s="1479"/>
      <c r="CH837" s="1472"/>
      <c r="CI837" s="917" t="s">
        <v>2630</v>
      </c>
      <c r="CJ837" s="536" t="s">
        <v>2612</v>
      </c>
      <c r="CK837" s="536" t="s">
        <v>1624</v>
      </c>
      <c r="CL837" s="919"/>
    </row>
    <row r="838" spans="32:90" ht="20.100000000000001" customHeight="1">
      <c r="AF838" s="358"/>
      <c r="AG838" s="251" t="s">
        <v>1225</v>
      </c>
      <c r="AH838" s="251">
        <f>INDEX('DEFAULT DATA'!$VE$9:$VK$41,START!$C$3,6)</f>
        <v>0</v>
      </c>
      <c r="AI838" s="262">
        <f>INDEX('DEFAULT DATA'!$AFS$9:$AIT$41,START!$C$3,(7+(($C$139-1)*8)))/IF($C$139&lt;5,INDEX('DEFAULT DATA'!$WT$9:$WW$41,START!$C$3,$C$139),1)</f>
        <v>0</v>
      </c>
      <c r="AJ838" s="262"/>
      <c r="AK838" s="345">
        <v>0</v>
      </c>
      <c r="AL838" s="272">
        <f t="shared" ref="AL838:BN838" si="956">IF(AND(AL$831&gt;($I$139+2020),AL$831&lt;($J$139+2022)),AK838+($AH$838*$E$139*$AI$838/($J$139-$I$139+1)/1000000),AK838)</f>
        <v>0</v>
      </c>
      <c r="AM838" s="272">
        <f t="shared" si="956"/>
        <v>0</v>
      </c>
      <c r="AN838" s="272">
        <f t="shared" si="956"/>
        <v>0</v>
      </c>
      <c r="AO838" s="272">
        <f t="shared" si="956"/>
        <v>0</v>
      </c>
      <c r="AP838" s="272">
        <f t="shared" si="956"/>
        <v>0</v>
      </c>
      <c r="AQ838" s="272">
        <f t="shared" si="956"/>
        <v>0</v>
      </c>
      <c r="AR838" s="272">
        <f t="shared" si="956"/>
        <v>0</v>
      </c>
      <c r="AS838" s="272">
        <f t="shared" si="956"/>
        <v>0</v>
      </c>
      <c r="AT838" s="272">
        <f t="shared" si="956"/>
        <v>0</v>
      </c>
      <c r="AU838" s="272">
        <f t="shared" si="956"/>
        <v>0</v>
      </c>
      <c r="AV838" s="272">
        <f t="shared" si="956"/>
        <v>0</v>
      </c>
      <c r="AW838" s="272">
        <f t="shared" si="956"/>
        <v>0</v>
      </c>
      <c r="AX838" s="272">
        <f t="shared" si="956"/>
        <v>0</v>
      </c>
      <c r="AY838" s="272">
        <f t="shared" si="956"/>
        <v>0</v>
      </c>
      <c r="AZ838" s="272">
        <f t="shared" si="956"/>
        <v>0</v>
      </c>
      <c r="BA838" s="272">
        <f t="shared" si="956"/>
        <v>0</v>
      </c>
      <c r="BB838" s="272">
        <f t="shared" si="956"/>
        <v>0</v>
      </c>
      <c r="BC838" s="272">
        <f t="shared" si="956"/>
        <v>0</v>
      </c>
      <c r="BD838" s="272">
        <f t="shared" si="956"/>
        <v>0</v>
      </c>
      <c r="BE838" s="272">
        <f t="shared" si="956"/>
        <v>0</v>
      </c>
      <c r="BF838" s="272">
        <f t="shared" si="956"/>
        <v>0</v>
      </c>
      <c r="BG838" s="272">
        <f t="shared" si="956"/>
        <v>0</v>
      </c>
      <c r="BH838" s="272">
        <f t="shared" si="956"/>
        <v>0</v>
      </c>
      <c r="BI838" s="272">
        <f t="shared" si="956"/>
        <v>0</v>
      </c>
      <c r="BJ838" s="272">
        <f t="shared" si="956"/>
        <v>0</v>
      </c>
      <c r="BK838" s="272">
        <f t="shared" si="956"/>
        <v>0</v>
      </c>
      <c r="BL838" s="272">
        <f t="shared" si="956"/>
        <v>0</v>
      </c>
      <c r="BM838" s="272">
        <f t="shared" si="956"/>
        <v>0</v>
      </c>
      <c r="BN838" s="324">
        <f t="shared" si="956"/>
        <v>0</v>
      </c>
      <c r="BP838" s="536" t="s">
        <v>1225</v>
      </c>
      <c r="BQ838" s="1471" t="str">
        <f t="shared" si="951"/>
        <v>GHG_Renewablea = GHG_Renewablea-1 + (E138 * BUI_COL (307 + ((C138 - 1) * 8) * BUI_COL6 / (J138-I138+1) / 1000000)</v>
      </c>
      <c r="BR838" s="1479"/>
      <c r="BS838" s="1479"/>
      <c r="BT838" s="1479"/>
      <c r="BU838" s="1479"/>
      <c r="BV838" s="1479"/>
      <c r="BW838" s="1479"/>
      <c r="BX838" s="1479"/>
      <c r="BY838" s="1479"/>
      <c r="BZ838" s="1479"/>
      <c r="CA838" s="1479"/>
      <c r="CB838" s="1479"/>
      <c r="CC838" s="1479"/>
      <c r="CD838" s="1479"/>
      <c r="CE838" s="1479"/>
      <c r="CF838" s="1479"/>
      <c r="CG838" s="1479"/>
      <c r="CH838" s="1472"/>
      <c r="CI838" s="917" t="s">
        <v>2630</v>
      </c>
      <c r="CJ838" s="536" t="s">
        <v>2612</v>
      </c>
      <c r="CK838" s="536" t="s">
        <v>1625</v>
      </c>
      <c r="CL838" s="919"/>
    </row>
    <row r="839" spans="32:90" ht="20.100000000000001" customHeight="1" thickBot="1">
      <c r="AF839" s="359"/>
      <c r="AG839" s="310" t="s">
        <v>1226</v>
      </c>
      <c r="AH839" s="310" t="s">
        <v>1497</v>
      </c>
      <c r="AI839" s="335">
        <f>INDEX('DEFAULT DATA'!$AFS$9:$AIT$41,START!$C$3,(8+(($C$139-1)*8)))/IF($C$139&lt;5,INDEX('DEFAULT DATA'!$WT$9:$WW$41,START!$C$3,$C$139),1)</f>
        <v>0</v>
      </c>
      <c r="AJ839" s="335"/>
      <c r="AK839" s="348">
        <v>0</v>
      </c>
      <c r="AL839" s="325">
        <f t="shared" ref="AL839:BN839" si="957">IF(AND(AL$831&gt;($I$139+2020),AL$831&lt;($J$139+2022)),AK839+(AL$6*$E$139*$AI$839/($J$139-$I$139+1)/1000000),AK839)</f>
        <v>0</v>
      </c>
      <c r="AM839" s="325">
        <f t="shared" si="957"/>
        <v>0</v>
      </c>
      <c r="AN839" s="325">
        <f t="shared" si="957"/>
        <v>0</v>
      </c>
      <c r="AO839" s="325">
        <f t="shared" si="957"/>
        <v>0</v>
      </c>
      <c r="AP839" s="325">
        <f t="shared" si="957"/>
        <v>0</v>
      </c>
      <c r="AQ839" s="325">
        <f t="shared" si="957"/>
        <v>0</v>
      </c>
      <c r="AR839" s="325">
        <f t="shared" si="957"/>
        <v>0</v>
      </c>
      <c r="AS839" s="325">
        <f t="shared" si="957"/>
        <v>0</v>
      </c>
      <c r="AT839" s="325">
        <f t="shared" si="957"/>
        <v>0</v>
      </c>
      <c r="AU839" s="325">
        <f t="shared" si="957"/>
        <v>0</v>
      </c>
      <c r="AV839" s="325">
        <f t="shared" si="957"/>
        <v>0</v>
      </c>
      <c r="AW839" s="325">
        <f t="shared" si="957"/>
        <v>0</v>
      </c>
      <c r="AX839" s="325">
        <f t="shared" si="957"/>
        <v>0</v>
      </c>
      <c r="AY839" s="325">
        <f t="shared" si="957"/>
        <v>0</v>
      </c>
      <c r="AZ839" s="325">
        <f t="shared" si="957"/>
        <v>0</v>
      </c>
      <c r="BA839" s="325">
        <f t="shared" si="957"/>
        <v>0</v>
      </c>
      <c r="BB839" s="325">
        <f t="shared" si="957"/>
        <v>0</v>
      </c>
      <c r="BC839" s="325">
        <f t="shared" si="957"/>
        <v>0</v>
      </c>
      <c r="BD839" s="325">
        <f t="shared" si="957"/>
        <v>0</v>
      </c>
      <c r="BE839" s="325">
        <f t="shared" si="957"/>
        <v>0</v>
      </c>
      <c r="BF839" s="325">
        <f t="shared" si="957"/>
        <v>0</v>
      </c>
      <c r="BG839" s="325">
        <f t="shared" si="957"/>
        <v>0</v>
      </c>
      <c r="BH839" s="325">
        <f t="shared" si="957"/>
        <v>0</v>
      </c>
      <c r="BI839" s="325">
        <f t="shared" si="957"/>
        <v>0</v>
      </c>
      <c r="BJ839" s="325">
        <f t="shared" si="957"/>
        <v>0</v>
      </c>
      <c r="BK839" s="325">
        <f t="shared" si="957"/>
        <v>0</v>
      </c>
      <c r="BL839" s="325">
        <f t="shared" si="957"/>
        <v>0</v>
      </c>
      <c r="BM839" s="325">
        <f t="shared" si="957"/>
        <v>0</v>
      </c>
      <c r="BN839" s="326">
        <f t="shared" si="957"/>
        <v>0</v>
      </c>
      <c r="BP839" s="536" t="s">
        <v>1226</v>
      </c>
      <c r="BQ839" s="1471" t="str">
        <f t="shared" si="951"/>
        <v>GHG_Heata = GHG_Heata-1 + (E138 * BUI_COL (307 + ((C138 - 1) * 8) * DISTRICT_HEATING_emission_factora (from row 5) / (J138-I138+1) / 1000000)</v>
      </c>
      <c r="BR839" s="1479"/>
      <c r="BS839" s="1479"/>
      <c r="BT839" s="1479"/>
      <c r="BU839" s="1479"/>
      <c r="BV839" s="1479"/>
      <c r="BW839" s="1479"/>
      <c r="BX839" s="1479"/>
      <c r="BY839" s="1479"/>
      <c r="BZ839" s="1479"/>
      <c r="CA839" s="1479"/>
      <c r="CB839" s="1479"/>
      <c r="CC839" s="1479"/>
      <c r="CD839" s="1479"/>
      <c r="CE839" s="1479"/>
      <c r="CF839" s="1479"/>
      <c r="CG839" s="1479"/>
      <c r="CH839" s="1472"/>
      <c r="CI839" s="917" t="s">
        <v>2630</v>
      </c>
      <c r="CJ839" s="536" t="s">
        <v>2612</v>
      </c>
      <c r="CK839" s="536" t="s">
        <v>2602</v>
      </c>
      <c r="CL839" s="919"/>
    </row>
    <row r="840" spans="32:90" ht="20.100000000000001" customHeight="1">
      <c r="AF840" s="332"/>
      <c r="AG840" s="308" t="s">
        <v>310</v>
      </c>
      <c r="AH840" s="309"/>
      <c r="AI840" s="363"/>
      <c r="AJ840" s="309"/>
      <c r="AK840" s="344">
        <v>0</v>
      </c>
      <c r="AL840" s="327">
        <f>SUM(AL832:AL839)</f>
        <v>0</v>
      </c>
      <c r="AM840" s="327">
        <f t="shared" ref="AM840:BN840" si="958">SUM(AM832:AM839)</f>
        <v>0</v>
      </c>
      <c r="AN840" s="327">
        <f t="shared" si="958"/>
        <v>0</v>
      </c>
      <c r="AO840" s="327">
        <f t="shared" si="958"/>
        <v>0</v>
      </c>
      <c r="AP840" s="327">
        <f t="shared" si="958"/>
        <v>0</v>
      </c>
      <c r="AQ840" s="327">
        <f t="shared" si="958"/>
        <v>0</v>
      </c>
      <c r="AR840" s="327">
        <f t="shared" si="958"/>
        <v>0</v>
      </c>
      <c r="AS840" s="327">
        <f t="shared" si="958"/>
        <v>0</v>
      </c>
      <c r="AT840" s="327">
        <f t="shared" si="958"/>
        <v>0</v>
      </c>
      <c r="AU840" s="327">
        <f t="shared" si="958"/>
        <v>0</v>
      </c>
      <c r="AV840" s="327">
        <f t="shared" si="958"/>
        <v>0</v>
      </c>
      <c r="AW840" s="327">
        <f t="shared" si="958"/>
        <v>0</v>
      </c>
      <c r="AX840" s="327">
        <f t="shared" si="958"/>
        <v>0</v>
      </c>
      <c r="AY840" s="327">
        <f t="shared" si="958"/>
        <v>0</v>
      </c>
      <c r="AZ840" s="327">
        <f t="shared" si="958"/>
        <v>0</v>
      </c>
      <c r="BA840" s="327">
        <f t="shared" si="958"/>
        <v>0</v>
      </c>
      <c r="BB840" s="327">
        <f t="shared" si="958"/>
        <v>0</v>
      </c>
      <c r="BC840" s="327">
        <f t="shared" si="958"/>
        <v>0</v>
      </c>
      <c r="BD840" s="327">
        <f t="shared" si="958"/>
        <v>0</v>
      </c>
      <c r="BE840" s="327">
        <f t="shared" si="958"/>
        <v>0</v>
      </c>
      <c r="BF840" s="327">
        <f t="shared" si="958"/>
        <v>0</v>
      </c>
      <c r="BG840" s="327">
        <f t="shared" si="958"/>
        <v>0</v>
      </c>
      <c r="BH840" s="327">
        <f t="shared" si="958"/>
        <v>0</v>
      </c>
      <c r="BI840" s="327">
        <f t="shared" si="958"/>
        <v>0</v>
      </c>
      <c r="BJ840" s="327">
        <f t="shared" si="958"/>
        <v>0</v>
      </c>
      <c r="BK840" s="327">
        <f t="shared" si="958"/>
        <v>0</v>
      </c>
      <c r="BL840" s="327">
        <f t="shared" si="958"/>
        <v>0</v>
      </c>
      <c r="BM840" s="327">
        <f t="shared" si="958"/>
        <v>0</v>
      </c>
      <c r="BN840" s="327">
        <f t="shared" si="958"/>
        <v>0</v>
      </c>
    </row>
    <row r="841" spans="32:90" ht="20.100000000000001" customHeight="1">
      <c r="AI841" s="364"/>
    </row>
    <row r="842" spans="32:90" ht="20.100000000000001" customHeight="1" thickBot="1">
      <c r="AF842" s="333" t="s">
        <v>1515</v>
      </c>
      <c r="AG842" s="333"/>
      <c r="AH842" s="334" t="s">
        <v>977</v>
      </c>
      <c r="AI842" s="1477" t="s">
        <v>2549</v>
      </c>
      <c r="AJ842" s="1478"/>
      <c r="AK842" s="346">
        <v>2021</v>
      </c>
      <c r="AL842" s="284">
        <v>2022</v>
      </c>
      <c r="AM842" s="284">
        <v>2023</v>
      </c>
      <c r="AN842" s="284">
        <v>2024</v>
      </c>
      <c r="AO842" s="284">
        <v>2025</v>
      </c>
      <c r="AP842" s="284">
        <v>2026</v>
      </c>
      <c r="AQ842" s="284">
        <v>2027</v>
      </c>
      <c r="AR842" s="284">
        <v>2028</v>
      </c>
      <c r="AS842" s="284">
        <v>2029</v>
      </c>
      <c r="AT842" s="284">
        <v>2030</v>
      </c>
      <c r="AU842" s="284">
        <v>2031</v>
      </c>
      <c r="AV842" s="284">
        <v>2032</v>
      </c>
      <c r="AW842" s="284">
        <v>2033</v>
      </c>
      <c r="AX842" s="284">
        <v>2034</v>
      </c>
      <c r="AY842" s="284">
        <v>2035</v>
      </c>
      <c r="AZ842" s="284">
        <v>2036</v>
      </c>
      <c r="BA842" s="284">
        <v>2037</v>
      </c>
      <c r="BB842" s="284">
        <v>2038</v>
      </c>
      <c r="BC842" s="284">
        <v>2039</v>
      </c>
      <c r="BD842" s="284">
        <v>2040</v>
      </c>
      <c r="BE842" s="284">
        <v>2041</v>
      </c>
      <c r="BF842" s="284">
        <v>2042</v>
      </c>
      <c r="BG842" s="284">
        <v>2043</v>
      </c>
      <c r="BH842" s="284">
        <v>2044</v>
      </c>
      <c r="BI842" s="284">
        <v>2045</v>
      </c>
      <c r="BJ842" s="284">
        <v>2046</v>
      </c>
      <c r="BK842" s="284">
        <v>2047</v>
      </c>
      <c r="BL842" s="284">
        <v>2048</v>
      </c>
      <c r="BM842" s="284">
        <v>2049</v>
      </c>
      <c r="BN842" s="284">
        <v>2050</v>
      </c>
      <c r="BQ842" s="222" t="s">
        <v>2624</v>
      </c>
      <c r="BR842" s="417"/>
      <c r="BS842" s="417"/>
      <c r="BT842" s="417"/>
      <c r="BU842" s="417"/>
      <c r="BV842" s="417"/>
      <c r="BW842" s="417"/>
      <c r="BX842" s="417"/>
      <c r="BY842" s="417"/>
      <c r="BZ842" s="417"/>
      <c r="CA842" s="417"/>
      <c r="CB842" s="417"/>
      <c r="CC842" s="417"/>
      <c r="CD842" s="417"/>
      <c r="CE842" s="417"/>
      <c r="CF842" s="417"/>
      <c r="CG842" s="417"/>
      <c r="CH842" s="417"/>
      <c r="CI842" s="944" t="s">
        <v>1767</v>
      </c>
      <c r="CJ842" s="279" t="s">
        <v>2552</v>
      </c>
      <c r="CK842" s="945" t="s">
        <v>1598</v>
      </c>
    </row>
    <row r="843" spans="32:90" ht="20.100000000000001" customHeight="1">
      <c r="AF843" s="357" t="str">
        <f>CONCATENATE("conversion to ",INDEX('MENU OPTIONS'!$B$27:$B$36,$C$140,1))</f>
        <v>conversion to Health</v>
      </c>
      <c r="AG843" s="286" t="s">
        <v>933</v>
      </c>
      <c r="AH843" s="286" t="s">
        <v>1496</v>
      </c>
      <c r="AI843" s="330">
        <f>INDEX('DEFAULT DATA'!$AFS$9:$AIT$41,START!$C$3,(1+(($C$140-1)*8)))/IF($C$140&lt;5,INDEX('DEFAULT DATA'!$WT$9:$WW$41,START!$C$3,$C$140),1)</f>
        <v>0</v>
      </c>
      <c r="AJ843" s="330"/>
      <c r="AK843" s="343">
        <v>0</v>
      </c>
      <c r="AL843" s="322">
        <f t="shared" ref="AL843:BN843" si="959">IF(AND(AL$842&gt;($I$140+2020),AL$842&lt;($J$140+2022)),AK843+(AL$5*$E$140*$AI$843/($J$140-$I$140+1)/1000000),AK843)</f>
        <v>0</v>
      </c>
      <c r="AM843" s="322">
        <f t="shared" si="959"/>
        <v>0</v>
      </c>
      <c r="AN843" s="322">
        <f t="shared" si="959"/>
        <v>0</v>
      </c>
      <c r="AO843" s="322">
        <f t="shared" si="959"/>
        <v>0</v>
      </c>
      <c r="AP843" s="322">
        <f t="shared" si="959"/>
        <v>0</v>
      </c>
      <c r="AQ843" s="322">
        <f t="shared" si="959"/>
        <v>0</v>
      </c>
      <c r="AR843" s="322">
        <f t="shared" si="959"/>
        <v>0</v>
      </c>
      <c r="AS843" s="322">
        <f t="shared" si="959"/>
        <v>0</v>
      </c>
      <c r="AT843" s="322">
        <f t="shared" si="959"/>
        <v>0</v>
      </c>
      <c r="AU843" s="322">
        <f t="shared" si="959"/>
        <v>0</v>
      </c>
      <c r="AV843" s="322">
        <f t="shared" si="959"/>
        <v>0</v>
      </c>
      <c r="AW843" s="322">
        <f t="shared" si="959"/>
        <v>0</v>
      </c>
      <c r="AX843" s="322">
        <f t="shared" si="959"/>
        <v>0</v>
      </c>
      <c r="AY843" s="322">
        <f t="shared" si="959"/>
        <v>0</v>
      </c>
      <c r="AZ843" s="322">
        <f t="shared" si="959"/>
        <v>0</v>
      </c>
      <c r="BA843" s="322">
        <f t="shared" si="959"/>
        <v>0</v>
      </c>
      <c r="BB843" s="322">
        <f t="shared" si="959"/>
        <v>0</v>
      </c>
      <c r="BC843" s="322">
        <f t="shared" si="959"/>
        <v>0</v>
      </c>
      <c r="BD843" s="322">
        <f t="shared" si="959"/>
        <v>0</v>
      </c>
      <c r="BE843" s="322">
        <f t="shared" si="959"/>
        <v>0</v>
      </c>
      <c r="BF843" s="322">
        <f t="shared" si="959"/>
        <v>0</v>
      </c>
      <c r="BG843" s="322">
        <f t="shared" si="959"/>
        <v>0</v>
      </c>
      <c r="BH843" s="322">
        <f t="shared" si="959"/>
        <v>0</v>
      </c>
      <c r="BI843" s="322">
        <f t="shared" si="959"/>
        <v>0</v>
      </c>
      <c r="BJ843" s="322">
        <f t="shared" si="959"/>
        <v>0</v>
      </c>
      <c r="BK843" s="322">
        <f t="shared" si="959"/>
        <v>0</v>
      </c>
      <c r="BL843" s="322">
        <f t="shared" si="959"/>
        <v>0</v>
      </c>
      <c r="BM843" s="322">
        <f t="shared" si="959"/>
        <v>0</v>
      </c>
      <c r="BN843" s="323">
        <f t="shared" si="959"/>
        <v>0</v>
      </c>
      <c r="BP843" s="536" t="s">
        <v>933</v>
      </c>
      <c r="BQ843" s="1471" t="str">
        <f>CONCATENATE("GHG_",BP843,"a = GHG_",BP843,"a-1 + (E139 * ",CI843," * ",CK843," / (",CJ843,") / 1000000)")</f>
        <v>GHG_Electricitya = GHG_Electricitya-1 + (E139 * BUI_COL (307 + ((C139 - 1) * 8) * GRID_ELECTRICITY_emission_factora (from row4) / (J139-I139+1) / 1000000)</v>
      </c>
      <c r="BR843" s="1479"/>
      <c r="BS843" s="1479"/>
      <c r="BT843" s="1479"/>
      <c r="BU843" s="1479"/>
      <c r="BV843" s="1479"/>
      <c r="BW843" s="1479"/>
      <c r="BX843" s="1479"/>
      <c r="BY843" s="1479"/>
      <c r="BZ843" s="1479"/>
      <c r="CA843" s="1479"/>
      <c r="CB843" s="1479"/>
      <c r="CC843" s="1479"/>
      <c r="CD843" s="1479"/>
      <c r="CE843" s="1479"/>
      <c r="CF843" s="1479"/>
      <c r="CG843" s="1479"/>
      <c r="CH843" s="1472"/>
      <c r="CI843" s="917" t="s">
        <v>2631</v>
      </c>
      <c r="CJ843" s="536" t="s">
        <v>2614</v>
      </c>
      <c r="CK843" s="536" t="s">
        <v>2601</v>
      </c>
      <c r="CL843" s="919"/>
    </row>
    <row r="844" spans="32:90" ht="20.100000000000001" customHeight="1">
      <c r="AF844" s="358"/>
      <c r="AG844" s="251" t="s">
        <v>1220</v>
      </c>
      <c r="AH844" s="251">
        <f>INDEX('DEFAULT DATA'!$VE$9:$VK$41,START!$C$3,1)</f>
        <v>202</v>
      </c>
      <c r="AI844" s="262">
        <f>INDEX('DEFAULT DATA'!$AFS$9:$AIT$41,START!$C$3,(2+(($C$140-1)*8)))/IF($C$140&lt;5,INDEX('DEFAULT DATA'!$WT$9:$WW$41,START!$C$3,$C$140),1)</f>
        <v>0</v>
      </c>
      <c r="AJ844" s="262"/>
      <c r="AK844" s="345">
        <v>0</v>
      </c>
      <c r="AL844" s="272">
        <f t="shared" ref="AL844:BN844" si="960">IF(AND(AL$842&gt;($I$140+2020),AL$842&lt;($J$140+2022)),AK844+($AH$844*$E$140*$AI$844/($J$140-$I$140+1)/1000000),AK844)</f>
        <v>0</v>
      </c>
      <c r="AM844" s="272">
        <f t="shared" si="960"/>
        <v>0</v>
      </c>
      <c r="AN844" s="272">
        <f t="shared" si="960"/>
        <v>0</v>
      </c>
      <c r="AO844" s="272">
        <f t="shared" si="960"/>
        <v>0</v>
      </c>
      <c r="AP844" s="272">
        <f t="shared" si="960"/>
        <v>0</v>
      </c>
      <c r="AQ844" s="272">
        <f t="shared" si="960"/>
        <v>0</v>
      </c>
      <c r="AR844" s="272">
        <f t="shared" si="960"/>
        <v>0</v>
      </c>
      <c r="AS844" s="272">
        <f t="shared" si="960"/>
        <v>0</v>
      </c>
      <c r="AT844" s="272">
        <f t="shared" si="960"/>
        <v>0</v>
      </c>
      <c r="AU844" s="272">
        <f t="shared" si="960"/>
        <v>0</v>
      </c>
      <c r="AV844" s="272">
        <f t="shared" si="960"/>
        <v>0</v>
      </c>
      <c r="AW844" s="272">
        <f t="shared" si="960"/>
        <v>0</v>
      </c>
      <c r="AX844" s="272">
        <f t="shared" si="960"/>
        <v>0</v>
      </c>
      <c r="AY844" s="272">
        <f t="shared" si="960"/>
        <v>0</v>
      </c>
      <c r="AZ844" s="272">
        <f t="shared" si="960"/>
        <v>0</v>
      </c>
      <c r="BA844" s="272">
        <f t="shared" si="960"/>
        <v>0</v>
      </c>
      <c r="BB844" s="272">
        <f t="shared" si="960"/>
        <v>0</v>
      </c>
      <c r="BC844" s="272">
        <f t="shared" si="960"/>
        <v>0</v>
      </c>
      <c r="BD844" s="272">
        <f t="shared" si="960"/>
        <v>0</v>
      </c>
      <c r="BE844" s="272">
        <f t="shared" si="960"/>
        <v>0</v>
      </c>
      <c r="BF844" s="272">
        <f t="shared" si="960"/>
        <v>0</v>
      </c>
      <c r="BG844" s="272">
        <f t="shared" si="960"/>
        <v>0</v>
      </c>
      <c r="BH844" s="272">
        <f t="shared" si="960"/>
        <v>0</v>
      </c>
      <c r="BI844" s="272">
        <f t="shared" si="960"/>
        <v>0</v>
      </c>
      <c r="BJ844" s="272">
        <f t="shared" si="960"/>
        <v>0</v>
      </c>
      <c r="BK844" s="272">
        <f t="shared" si="960"/>
        <v>0</v>
      </c>
      <c r="BL844" s="272">
        <f t="shared" si="960"/>
        <v>0</v>
      </c>
      <c r="BM844" s="272">
        <f t="shared" si="960"/>
        <v>0</v>
      </c>
      <c r="BN844" s="324">
        <f t="shared" si="960"/>
        <v>0</v>
      </c>
      <c r="BP844" s="536" t="s">
        <v>1220</v>
      </c>
      <c r="BQ844" s="1471" t="str">
        <f t="shared" ref="BQ844:BQ850" si="961">CONCATENATE("GHG_",BP844,"a = GHG_",BP844,"a-1 + (E139 * ",CI844," * ",CK844," / (",CJ844,") / 1000000)")</f>
        <v>GHG_Gasa = GHG_Gasa-1 + (E139 * BUI_COL (307 + ((C139 - 1) * 8) * BUI_COL1 / (J139-I139+1) / 1000000)</v>
      </c>
      <c r="BR844" s="1479"/>
      <c r="BS844" s="1479"/>
      <c r="BT844" s="1479"/>
      <c r="BU844" s="1479"/>
      <c r="BV844" s="1479"/>
      <c r="BW844" s="1479"/>
      <c r="BX844" s="1479"/>
      <c r="BY844" s="1479"/>
      <c r="BZ844" s="1479"/>
      <c r="CA844" s="1479"/>
      <c r="CB844" s="1479"/>
      <c r="CC844" s="1479"/>
      <c r="CD844" s="1479"/>
      <c r="CE844" s="1479"/>
      <c r="CF844" s="1479"/>
      <c r="CG844" s="1479"/>
      <c r="CH844" s="1472"/>
      <c r="CI844" s="917" t="s">
        <v>2631</v>
      </c>
      <c r="CJ844" s="536" t="s">
        <v>2614</v>
      </c>
      <c r="CK844" s="536" t="s">
        <v>1248</v>
      </c>
      <c r="CL844" s="919"/>
    </row>
    <row r="845" spans="32:90" ht="20.100000000000001" customHeight="1">
      <c r="AF845" s="358"/>
      <c r="AG845" s="251" t="s">
        <v>1221</v>
      </c>
      <c r="AH845" s="251">
        <f>INDEX('DEFAULT DATA'!$VE$9:$VK$41,START!$C$3,2)</f>
        <v>279</v>
      </c>
      <c r="AI845" s="262">
        <f>INDEX('DEFAULT DATA'!$AFS$9:$AIT$41,START!$C$3,(3+(($C$140-1)*8)))/IF($C$140&lt;5,INDEX('DEFAULT DATA'!$WT$9:$WW$41,START!$C$3,$C$140),1)</f>
        <v>0</v>
      </c>
      <c r="AJ845" s="262"/>
      <c r="AK845" s="345">
        <v>0</v>
      </c>
      <c r="AL845" s="272">
        <f t="shared" ref="AL845:BN845" si="962">IF(AND(AL$842&gt;($I$140+2020),AL$842&lt;($J$140+2022)),AK845+($AH$845*$E$140*$AI$845/($J$140-$I$140+1)/1000000),AK845)</f>
        <v>0</v>
      </c>
      <c r="AM845" s="272">
        <f t="shared" si="962"/>
        <v>0</v>
      </c>
      <c r="AN845" s="272">
        <f t="shared" si="962"/>
        <v>0</v>
      </c>
      <c r="AO845" s="272">
        <f t="shared" si="962"/>
        <v>0</v>
      </c>
      <c r="AP845" s="272">
        <f t="shared" si="962"/>
        <v>0</v>
      </c>
      <c r="AQ845" s="272">
        <f t="shared" si="962"/>
        <v>0</v>
      </c>
      <c r="AR845" s="272">
        <f t="shared" si="962"/>
        <v>0</v>
      </c>
      <c r="AS845" s="272">
        <f t="shared" si="962"/>
        <v>0</v>
      </c>
      <c r="AT845" s="272">
        <f t="shared" si="962"/>
        <v>0</v>
      </c>
      <c r="AU845" s="272">
        <f t="shared" si="962"/>
        <v>0</v>
      </c>
      <c r="AV845" s="272">
        <f t="shared" si="962"/>
        <v>0</v>
      </c>
      <c r="AW845" s="272">
        <f t="shared" si="962"/>
        <v>0</v>
      </c>
      <c r="AX845" s="272">
        <f t="shared" si="962"/>
        <v>0</v>
      </c>
      <c r="AY845" s="272">
        <f t="shared" si="962"/>
        <v>0</v>
      </c>
      <c r="AZ845" s="272">
        <f t="shared" si="962"/>
        <v>0</v>
      </c>
      <c r="BA845" s="272">
        <f t="shared" si="962"/>
        <v>0</v>
      </c>
      <c r="BB845" s="272">
        <f t="shared" si="962"/>
        <v>0</v>
      </c>
      <c r="BC845" s="272">
        <f t="shared" si="962"/>
        <v>0</v>
      </c>
      <c r="BD845" s="272">
        <f t="shared" si="962"/>
        <v>0</v>
      </c>
      <c r="BE845" s="272">
        <f t="shared" si="962"/>
        <v>0</v>
      </c>
      <c r="BF845" s="272">
        <f t="shared" si="962"/>
        <v>0</v>
      </c>
      <c r="BG845" s="272">
        <f t="shared" si="962"/>
        <v>0</v>
      </c>
      <c r="BH845" s="272">
        <f t="shared" si="962"/>
        <v>0</v>
      </c>
      <c r="BI845" s="272">
        <f t="shared" si="962"/>
        <v>0</v>
      </c>
      <c r="BJ845" s="272">
        <f t="shared" si="962"/>
        <v>0</v>
      </c>
      <c r="BK845" s="272">
        <f t="shared" si="962"/>
        <v>0</v>
      </c>
      <c r="BL845" s="272">
        <f t="shared" si="962"/>
        <v>0</v>
      </c>
      <c r="BM845" s="272">
        <f t="shared" si="962"/>
        <v>0</v>
      </c>
      <c r="BN845" s="324">
        <f t="shared" si="962"/>
        <v>0</v>
      </c>
      <c r="BP845" s="536" t="s">
        <v>1221</v>
      </c>
      <c r="BQ845" s="1471" t="str">
        <f t="shared" si="961"/>
        <v>GHG_Oila = GHG_Oila-1 + (E139 * BUI_COL (307 + ((C139 - 1) * 8) * BUI_COL2 / (J139-I139+1) / 1000000)</v>
      </c>
      <c r="BR845" s="1479"/>
      <c r="BS845" s="1479"/>
      <c r="BT845" s="1479"/>
      <c r="BU845" s="1479"/>
      <c r="BV845" s="1479"/>
      <c r="BW845" s="1479"/>
      <c r="BX845" s="1479"/>
      <c r="BY845" s="1479"/>
      <c r="BZ845" s="1479"/>
      <c r="CA845" s="1479"/>
      <c r="CB845" s="1479"/>
      <c r="CC845" s="1479"/>
      <c r="CD845" s="1479"/>
      <c r="CE845" s="1479"/>
      <c r="CF845" s="1479"/>
      <c r="CG845" s="1479"/>
      <c r="CH845" s="1472"/>
      <c r="CI845" s="917" t="s">
        <v>2631</v>
      </c>
      <c r="CJ845" s="536" t="s">
        <v>2614</v>
      </c>
      <c r="CK845" s="536" t="s">
        <v>1621</v>
      </c>
      <c r="CL845" s="919"/>
    </row>
    <row r="846" spans="32:90" ht="20.100000000000001" customHeight="1">
      <c r="AF846" s="358"/>
      <c r="AG846" s="251" t="s">
        <v>1222</v>
      </c>
      <c r="AH846" s="251">
        <f>INDEX('DEFAULT DATA'!$VE$9:$VK$41,START!$C$3,3)</f>
        <v>354</v>
      </c>
      <c r="AI846" s="262">
        <f>INDEX('DEFAULT DATA'!$AFS$9:$AIT$41,START!$C$3,(4+(($C$140-1)*8)))/IF($C$140&lt;5,INDEX('DEFAULT DATA'!$WT$9:$WW$41,START!$C$3,$C$140),1)</f>
        <v>0</v>
      </c>
      <c r="AJ846" s="262"/>
      <c r="AK846" s="345">
        <v>0</v>
      </c>
      <c r="AL846" s="272">
        <f t="shared" ref="AL846:BN846" si="963">IF(AND(AL$842&gt;($I$140+2020),AL$842&lt;($J$140+2022)),AK846+($AH$846*$E$140*$AI$846/($J$140-$I$140+1)/1000000),AK846)</f>
        <v>0</v>
      </c>
      <c r="AM846" s="272">
        <f t="shared" si="963"/>
        <v>0</v>
      </c>
      <c r="AN846" s="272">
        <f t="shared" si="963"/>
        <v>0</v>
      </c>
      <c r="AO846" s="272">
        <f t="shared" si="963"/>
        <v>0</v>
      </c>
      <c r="AP846" s="272">
        <f t="shared" si="963"/>
        <v>0</v>
      </c>
      <c r="AQ846" s="272">
        <f t="shared" si="963"/>
        <v>0</v>
      </c>
      <c r="AR846" s="272">
        <f t="shared" si="963"/>
        <v>0</v>
      </c>
      <c r="AS846" s="272">
        <f t="shared" si="963"/>
        <v>0</v>
      </c>
      <c r="AT846" s="272">
        <f t="shared" si="963"/>
        <v>0</v>
      </c>
      <c r="AU846" s="272">
        <f t="shared" si="963"/>
        <v>0</v>
      </c>
      <c r="AV846" s="272">
        <f t="shared" si="963"/>
        <v>0</v>
      </c>
      <c r="AW846" s="272">
        <f t="shared" si="963"/>
        <v>0</v>
      </c>
      <c r="AX846" s="272">
        <f t="shared" si="963"/>
        <v>0</v>
      </c>
      <c r="AY846" s="272">
        <f t="shared" si="963"/>
        <v>0</v>
      </c>
      <c r="AZ846" s="272">
        <f t="shared" si="963"/>
        <v>0</v>
      </c>
      <c r="BA846" s="272">
        <f t="shared" si="963"/>
        <v>0</v>
      </c>
      <c r="BB846" s="272">
        <f t="shared" si="963"/>
        <v>0</v>
      </c>
      <c r="BC846" s="272">
        <f t="shared" si="963"/>
        <v>0</v>
      </c>
      <c r="BD846" s="272">
        <f t="shared" si="963"/>
        <v>0</v>
      </c>
      <c r="BE846" s="272">
        <f t="shared" si="963"/>
        <v>0</v>
      </c>
      <c r="BF846" s="272">
        <f t="shared" si="963"/>
        <v>0</v>
      </c>
      <c r="BG846" s="272">
        <f t="shared" si="963"/>
        <v>0</v>
      </c>
      <c r="BH846" s="272">
        <f t="shared" si="963"/>
        <v>0</v>
      </c>
      <c r="BI846" s="272">
        <f t="shared" si="963"/>
        <v>0</v>
      </c>
      <c r="BJ846" s="272">
        <f t="shared" si="963"/>
        <v>0</v>
      </c>
      <c r="BK846" s="272">
        <f t="shared" si="963"/>
        <v>0</v>
      </c>
      <c r="BL846" s="272">
        <f t="shared" si="963"/>
        <v>0</v>
      </c>
      <c r="BM846" s="272">
        <f t="shared" si="963"/>
        <v>0</v>
      </c>
      <c r="BN846" s="324">
        <f t="shared" si="963"/>
        <v>0</v>
      </c>
      <c r="BP846" s="536" t="s">
        <v>1222</v>
      </c>
      <c r="BQ846" s="1471" t="str">
        <f t="shared" si="961"/>
        <v>GHG_Coala = GHG_Coala-1 + (E139 * BUI_COL (307 + ((C139 - 1) * 8) * BUI_COL3 / (J139-I139+1) / 1000000)</v>
      </c>
      <c r="BR846" s="1479"/>
      <c r="BS846" s="1479"/>
      <c r="BT846" s="1479"/>
      <c r="BU846" s="1479"/>
      <c r="BV846" s="1479"/>
      <c r="BW846" s="1479"/>
      <c r="BX846" s="1479"/>
      <c r="BY846" s="1479"/>
      <c r="BZ846" s="1479"/>
      <c r="CA846" s="1479"/>
      <c r="CB846" s="1479"/>
      <c r="CC846" s="1479"/>
      <c r="CD846" s="1479"/>
      <c r="CE846" s="1479"/>
      <c r="CF846" s="1479"/>
      <c r="CG846" s="1479"/>
      <c r="CH846" s="1472"/>
      <c r="CI846" s="917" t="s">
        <v>2631</v>
      </c>
      <c r="CJ846" s="536" t="s">
        <v>2614</v>
      </c>
      <c r="CK846" s="536" t="s">
        <v>1622</v>
      </c>
      <c r="CL846" s="919"/>
    </row>
    <row r="847" spans="32:90" ht="20.100000000000001" customHeight="1">
      <c r="AF847" s="358"/>
      <c r="AG847" s="251" t="s">
        <v>1223</v>
      </c>
      <c r="AH847" s="251">
        <f>INDEX('DEFAULT DATA'!$VE$9:$VK$41,START!$C$3,4)</f>
        <v>0</v>
      </c>
      <c r="AI847" s="262">
        <f>INDEX('DEFAULT DATA'!$AFS$9:$AIT$41,START!$C$3,(5+(($C$140-1)*8)))/IF($C$140&lt;5,INDEX('DEFAULT DATA'!$WT$9:$WW$41,START!$C$3,$C$140),1)</f>
        <v>0</v>
      </c>
      <c r="AJ847" s="262"/>
      <c r="AK847" s="345">
        <v>0</v>
      </c>
      <c r="AL847" s="272">
        <f t="shared" ref="AL847:BN847" si="964">IF(AND(AL$842&gt;($I$140+2020),AL$842&lt;($J$140+2022)),AK847+($AH$847*$E$140*$AI$847/($J$140-$I$140+1)/1000000),AK847)</f>
        <v>0</v>
      </c>
      <c r="AM847" s="272">
        <f t="shared" si="964"/>
        <v>0</v>
      </c>
      <c r="AN847" s="272">
        <f t="shared" si="964"/>
        <v>0</v>
      </c>
      <c r="AO847" s="272">
        <f t="shared" si="964"/>
        <v>0</v>
      </c>
      <c r="AP847" s="272">
        <f t="shared" si="964"/>
        <v>0</v>
      </c>
      <c r="AQ847" s="272">
        <f t="shared" si="964"/>
        <v>0</v>
      </c>
      <c r="AR847" s="272">
        <f t="shared" si="964"/>
        <v>0</v>
      </c>
      <c r="AS847" s="272">
        <f t="shared" si="964"/>
        <v>0</v>
      </c>
      <c r="AT847" s="272">
        <f t="shared" si="964"/>
        <v>0</v>
      </c>
      <c r="AU847" s="272">
        <f t="shared" si="964"/>
        <v>0</v>
      </c>
      <c r="AV847" s="272">
        <f t="shared" si="964"/>
        <v>0</v>
      </c>
      <c r="AW847" s="272">
        <f t="shared" si="964"/>
        <v>0</v>
      </c>
      <c r="AX847" s="272">
        <f t="shared" si="964"/>
        <v>0</v>
      </c>
      <c r="AY847" s="272">
        <f t="shared" si="964"/>
        <v>0</v>
      </c>
      <c r="AZ847" s="272">
        <f t="shared" si="964"/>
        <v>0</v>
      </c>
      <c r="BA847" s="272">
        <f t="shared" si="964"/>
        <v>0</v>
      </c>
      <c r="BB847" s="272">
        <f t="shared" si="964"/>
        <v>0</v>
      </c>
      <c r="BC847" s="272">
        <f t="shared" si="964"/>
        <v>0</v>
      </c>
      <c r="BD847" s="272">
        <f t="shared" si="964"/>
        <v>0</v>
      </c>
      <c r="BE847" s="272">
        <f t="shared" si="964"/>
        <v>0</v>
      </c>
      <c r="BF847" s="272">
        <f t="shared" si="964"/>
        <v>0</v>
      </c>
      <c r="BG847" s="272">
        <f t="shared" si="964"/>
        <v>0</v>
      </c>
      <c r="BH847" s="272">
        <f t="shared" si="964"/>
        <v>0</v>
      </c>
      <c r="BI847" s="272">
        <f t="shared" si="964"/>
        <v>0</v>
      </c>
      <c r="BJ847" s="272">
        <f t="shared" si="964"/>
        <v>0</v>
      </c>
      <c r="BK847" s="272">
        <f t="shared" si="964"/>
        <v>0</v>
      </c>
      <c r="BL847" s="272">
        <f t="shared" si="964"/>
        <v>0</v>
      </c>
      <c r="BM847" s="272">
        <f t="shared" si="964"/>
        <v>0</v>
      </c>
      <c r="BN847" s="324">
        <f t="shared" si="964"/>
        <v>0</v>
      </c>
      <c r="BP847" s="536" t="s">
        <v>1223</v>
      </c>
      <c r="BQ847" s="1471" t="str">
        <f t="shared" si="961"/>
        <v>GHG_Peata = GHG_Peata-1 + (E139 * BUI_COL (307 + ((C139 - 1) * 8) * BUI_COL4 / (J139-I139+1) / 1000000)</v>
      </c>
      <c r="BR847" s="1479"/>
      <c r="BS847" s="1479"/>
      <c r="BT847" s="1479"/>
      <c r="BU847" s="1479"/>
      <c r="BV847" s="1479"/>
      <c r="BW847" s="1479"/>
      <c r="BX847" s="1479"/>
      <c r="BY847" s="1479"/>
      <c r="BZ847" s="1479"/>
      <c r="CA847" s="1479"/>
      <c r="CB847" s="1479"/>
      <c r="CC847" s="1479"/>
      <c r="CD847" s="1479"/>
      <c r="CE847" s="1479"/>
      <c r="CF847" s="1479"/>
      <c r="CG847" s="1479"/>
      <c r="CH847" s="1472"/>
      <c r="CI847" s="917" t="s">
        <v>2631</v>
      </c>
      <c r="CJ847" s="536" t="s">
        <v>2614</v>
      </c>
      <c r="CK847" s="536" t="s">
        <v>1623</v>
      </c>
      <c r="CL847" s="919"/>
    </row>
    <row r="848" spans="32:90" ht="20.100000000000001" customHeight="1">
      <c r="AF848" s="358"/>
      <c r="AG848" s="251" t="s">
        <v>1224</v>
      </c>
      <c r="AH848" s="251">
        <f>INDEX('DEFAULT DATA'!$VE$9:$VK$41,START!$C$3,5)</f>
        <v>403</v>
      </c>
      <c r="AI848" s="262">
        <f>INDEX('DEFAULT DATA'!$AFS$9:$AIT$41,START!$C$3,(6+(($C$140-1)*8)))/IF($C$140&lt;5,INDEX('DEFAULT DATA'!$WT$9:$WW$41,START!$C$3,$C$140),1)</f>
        <v>0</v>
      </c>
      <c r="AJ848" s="262"/>
      <c r="AK848" s="345">
        <v>0</v>
      </c>
      <c r="AL848" s="272">
        <f t="shared" ref="AL848:BN848" si="965">IF(AND(AL$842&gt;($I$140+2020),AL$842&lt;($J$140+2022)),AK848+($AH$848*$E$140*$AI$848/($J$140-$I$140+1)/1000000),AK848)</f>
        <v>0</v>
      </c>
      <c r="AM848" s="272">
        <f t="shared" si="965"/>
        <v>0</v>
      </c>
      <c r="AN848" s="272">
        <f t="shared" si="965"/>
        <v>0</v>
      </c>
      <c r="AO848" s="272">
        <f t="shared" si="965"/>
        <v>0</v>
      </c>
      <c r="AP848" s="272">
        <f t="shared" si="965"/>
        <v>0</v>
      </c>
      <c r="AQ848" s="272">
        <f t="shared" si="965"/>
        <v>0</v>
      </c>
      <c r="AR848" s="272">
        <f t="shared" si="965"/>
        <v>0</v>
      </c>
      <c r="AS848" s="272">
        <f t="shared" si="965"/>
        <v>0</v>
      </c>
      <c r="AT848" s="272">
        <f t="shared" si="965"/>
        <v>0</v>
      </c>
      <c r="AU848" s="272">
        <f t="shared" si="965"/>
        <v>0</v>
      </c>
      <c r="AV848" s="272">
        <f t="shared" si="965"/>
        <v>0</v>
      </c>
      <c r="AW848" s="272">
        <f t="shared" si="965"/>
        <v>0</v>
      </c>
      <c r="AX848" s="272">
        <f t="shared" si="965"/>
        <v>0</v>
      </c>
      <c r="AY848" s="272">
        <f t="shared" si="965"/>
        <v>0</v>
      </c>
      <c r="AZ848" s="272">
        <f t="shared" si="965"/>
        <v>0</v>
      </c>
      <c r="BA848" s="272">
        <f t="shared" si="965"/>
        <v>0</v>
      </c>
      <c r="BB848" s="272">
        <f t="shared" si="965"/>
        <v>0</v>
      </c>
      <c r="BC848" s="272">
        <f t="shared" si="965"/>
        <v>0</v>
      </c>
      <c r="BD848" s="272">
        <f t="shared" si="965"/>
        <v>0</v>
      </c>
      <c r="BE848" s="272">
        <f t="shared" si="965"/>
        <v>0</v>
      </c>
      <c r="BF848" s="272">
        <f t="shared" si="965"/>
        <v>0</v>
      </c>
      <c r="BG848" s="272">
        <f t="shared" si="965"/>
        <v>0</v>
      </c>
      <c r="BH848" s="272">
        <f t="shared" si="965"/>
        <v>0</v>
      </c>
      <c r="BI848" s="272">
        <f t="shared" si="965"/>
        <v>0</v>
      </c>
      <c r="BJ848" s="272">
        <f t="shared" si="965"/>
        <v>0</v>
      </c>
      <c r="BK848" s="272">
        <f t="shared" si="965"/>
        <v>0</v>
      </c>
      <c r="BL848" s="272">
        <f t="shared" si="965"/>
        <v>0</v>
      </c>
      <c r="BM848" s="272">
        <f t="shared" si="965"/>
        <v>0</v>
      </c>
      <c r="BN848" s="324">
        <f t="shared" si="965"/>
        <v>0</v>
      </c>
      <c r="BP848" s="536" t="s">
        <v>1224</v>
      </c>
      <c r="BQ848" s="1471" t="str">
        <f t="shared" si="961"/>
        <v>GHG_Wooda = GHG_Wooda-1 + (E139 * BUI_COL (307 + ((C139 - 1) * 8) * BUI_COL5 / (J139-I139+1) / 1000000)</v>
      </c>
      <c r="BR848" s="1479"/>
      <c r="BS848" s="1479"/>
      <c r="BT848" s="1479"/>
      <c r="BU848" s="1479"/>
      <c r="BV848" s="1479"/>
      <c r="BW848" s="1479"/>
      <c r="BX848" s="1479"/>
      <c r="BY848" s="1479"/>
      <c r="BZ848" s="1479"/>
      <c r="CA848" s="1479"/>
      <c r="CB848" s="1479"/>
      <c r="CC848" s="1479"/>
      <c r="CD848" s="1479"/>
      <c r="CE848" s="1479"/>
      <c r="CF848" s="1479"/>
      <c r="CG848" s="1479"/>
      <c r="CH848" s="1472"/>
      <c r="CI848" s="917" t="s">
        <v>2631</v>
      </c>
      <c r="CJ848" s="536" t="s">
        <v>2614</v>
      </c>
      <c r="CK848" s="536" t="s">
        <v>1624</v>
      </c>
      <c r="CL848" s="919"/>
    </row>
    <row r="849" spans="32:90" ht="20.100000000000001" customHeight="1">
      <c r="AF849" s="358"/>
      <c r="AG849" s="251" t="s">
        <v>1225</v>
      </c>
      <c r="AH849" s="251">
        <f>INDEX('DEFAULT DATA'!$VE$9:$VK$41,START!$C$3,6)</f>
        <v>0</v>
      </c>
      <c r="AI849" s="262">
        <f>INDEX('DEFAULT DATA'!$AFS$9:$AIT$41,START!$C$3,(7+(($C$140-1)*8)))/IF($C$140&lt;5,INDEX('DEFAULT DATA'!$WT$9:$WW$41,START!$C$3,$C$140),1)</f>
        <v>0</v>
      </c>
      <c r="AJ849" s="262"/>
      <c r="AK849" s="345">
        <v>0</v>
      </c>
      <c r="AL849" s="272">
        <f t="shared" ref="AL849:BN849" si="966">IF(AND(AL$842&gt;($I$140+2020),AL$842&lt;($J$140+2022)),AK849+($AH$849*$E$140*$AI$849/($J$140-$I$140+1)/1000000),AK849)</f>
        <v>0</v>
      </c>
      <c r="AM849" s="272">
        <f t="shared" si="966"/>
        <v>0</v>
      </c>
      <c r="AN849" s="272">
        <f t="shared" si="966"/>
        <v>0</v>
      </c>
      <c r="AO849" s="272">
        <f t="shared" si="966"/>
        <v>0</v>
      </c>
      <c r="AP849" s="272">
        <f t="shared" si="966"/>
        <v>0</v>
      </c>
      <c r="AQ849" s="272">
        <f t="shared" si="966"/>
        <v>0</v>
      </c>
      <c r="AR849" s="272">
        <f t="shared" si="966"/>
        <v>0</v>
      </c>
      <c r="AS849" s="272">
        <f t="shared" si="966"/>
        <v>0</v>
      </c>
      <c r="AT849" s="272">
        <f t="shared" si="966"/>
        <v>0</v>
      </c>
      <c r="AU849" s="272">
        <f t="shared" si="966"/>
        <v>0</v>
      </c>
      <c r="AV849" s="272">
        <f t="shared" si="966"/>
        <v>0</v>
      </c>
      <c r="AW849" s="272">
        <f t="shared" si="966"/>
        <v>0</v>
      </c>
      <c r="AX849" s="272">
        <f t="shared" si="966"/>
        <v>0</v>
      </c>
      <c r="AY849" s="272">
        <f t="shared" si="966"/>
        <v>0</v>
      </c>
      <c r="AZ849" s="272">
        <f t="shared" si="966"/>
        <v>0</v>
      </c>
      <c r="BA849" s="272">
        <f t="shared" si="966"/>
        <v>0</v>
      </c>
      <c r="BB849" s="272">
        <f t="shared" si="966"/>
        <v>0</v>
      </c>
      <c r="BC849" s="272">
        <f t="shared" si="966"/>
        <v>0</v>
      </c>
      <c r="BD849" s="272">
        <f t="shared" si="966"/>
        <v>0</v>
      </c>
      <c r="BE849" s="272">
        <f t="shared" si="966"/>
        <v>0</v>
      </c>
      <c r="BF849" s="272">
        <f t="shared" si="966"/>
        <v>0</v>
      </c>
      <c r="BG849" s="272">
        <f t="shared" si="966"/>
        <v>0</v>
      </c>
      <c r="BH849" s="272">
        <f t="shared" si="966"/>
        <v>0</v>
      </c>
      <c r="BI849" s="272">
        <f t="shared" si="966"/>
        <v>0</v>
      </c>
      <c r="BJ849" s="272">
        <f t="shared" si="966"/>
        <v>0</v>
      </c>
      <c r="BK849" s="272">
        <f t="shared" si="966"/>
        <v>0</v>
      </c>
      <c r="BL849" s="272">
        <f t="shared" si="966"/>
        <v>0</v>
      </c>
      <c r="BM849" s="272">
        <f t="shared" si="966"/>
        <v>0</v>
      </c>
      <c r="BN849" s="324">
        <f t="shared" si="966"/>
        <v>0</v>
      </c>
      <c r="BP849" s="536" t="s">
        <v>1225</v>
      </c>
      <c r="BQ849" s="1471" t="str">
        <f t="shared" si="961"/>
        <v>GHG_Renewablea = GHG_Renewablea-1 + (E139 * BUI_COL (307 + ((C139 - 1) * 8) * BUI_COL6 / (J139-I139+1) / 1000000)</v>
      </c>
      <c r="BR849" s="1479"/>
      <c r="BS849" s="1479"/>
      <c r="BT849" s="1479"/>
      <c r="BU849" s="1479"/>
      <c r="BV849" s="1479"/>
      <c r="BW849" s="1479"/>
      <c r="BX849" s="1479"/>
      <c r="BY849" s="1479"/>
      <c r="BZ849" s="1479"/>
      <c r="CA849" s="1479"/>
      <c r="CB849" s="1479"/>
      <c r="CC849" s="1479"/>
      <c r="CD849" s="1479"/>
      <c r="CE849" s="1479"/>
      <c r="CF849" s="1479"/>
      <c r="CG849" s="1479"/>
      <c r="CH849" s="1472"/>
      <c r="CI849" s="917" t="s">
        <v>2631</v>
      </c>
      <c r="CJ849" s="536" t="s">
        <v>2614</v>
      </c>
      <c r="CK849" s="536" t="s">
        <v>1625</v>
      </c>
      <c r="CL849" s="919"/>
    </row>
    <row r="850" spans="32:90" ht="20.100000000000001" customHeight="1" thickBot="1">
      <c r="AF850" s="359"/>
      <c r="AG850" s="310" t="s">
        <v>1226</v>
      </c>
      <c r="AH850" s="310" t="s">
        <v>1497</v>
      </c>
      <c r="AI850" s="335">
        <f>INDEX('DEFAULT DATA'!$AFS$9:$AIT$41,START!$C$3,(8+(($C$140-1)*8)))/IF($C$140&lt;5,INDEX('DEFAULT DATA'!$WT$9:$WW$41,START!$C$3,$C$140),1)</f>
        <v>0</v>
      </c>
      <c r="AJ850" s="335"/>
      <c r="AK850" s="348">
        <v>0</v>
      </c>
      <c r="AL850" s="325">
        <f t="shared" ref="AL850:BN850" si="967">IF(AND(AL$842&gt;($I$140+2020),AL$842&lt;($J$140+2022)),AK850+(AL$6*$E$140*$AI$850/($J$140-$I$140+1)/1000000),AK850)</f>
        <v>0</v>
      </c>
      <c r="AM850" s="325">
        <f t="shared" si="967"/>
        <v>0</v>
      </c>
      <c r="AN850" s="325">
        <f t="shared" si="967"/>
        <v>0</v>
      </c>
      <c r="AO850" s="325">
        <f t="shared" si="967"/>
        <v>0</v>
      </c>
      <c r="AP850" s="325">
        <f t="shared" si="967"/>
        <v>0</v>
      </c>
      <c r="AQ850" s="325">
        <f t="shared" si="967"/>
        <v>0</v>
      </c>
      <c r="AR850" s="325">
        <f t="shared" si="967"/>
        <v>0</v>
      </c>
      <c r="AS850" s="325">
        <f t="shared" si="967"/>
        <v>0</v>
      </c>
      <c r="AT850" s="325">
        <f t="shared" si="967"/>
        <v>0</v>
      </c>
      <c r="AU850" s="325">
        <f t="shared" si="967"/>
        <v>0</v>
      </c>
      <c r="AV850" s="325">
        <f t="shared" si="967"/>
        <v>0</v>
      </c>
      <c r="AW850" s="325">
        <f t="shared" si="967"/>
        <v>0</v>
      </c>
      <c r="AX850" s="325">
        <f t="shared" si="967"/>
        <v>0</v>
      </c>
      <c r="AY850" s="325">
        <f t="shared" si="967"/>
        <v>0</v>
      </c>
      <c r="AZ850" s="325">
        <f t="shared" si="967"/>
        <v>0</v>
      </c>
      <c r="BA850" s="325">
        <f t="shared" si="967"/>
        <v>0</v>
      </c>
      <c r="BB850" s="325">
        <f t="shared" si="967"/>
        <v>0</v>
      </c>
      <c r="BC850" s="325">
        <f t="shared" si="967"/>
        <v>0</v>
      </c>
      <c r="BD850" s="325">
        <f t="shared" si="967"/>
        <v>0</v>
      </c>
      <c r="BE850" s="325">
        <f t="shared" si="967"/>
        <v>0</v>
      </c>
      <c r="BF850" s="325">
        <f t="shared" si="967"/>
        <v>0</v>
      </c>
      <c r="BG850" s="325">
        <f t="shared" si="967"/>
        <v>0</v>
      </c>
      <c r="BH850" s="325">
        <f t="shared" si="967"/>
        <v>0</v>
      </c>
      <c r="BI850" s="325">
        <f t="shared" si="967"/>
        <v>0</v>
      </c>
      <c r="BJ850" s="325">
        <f t="shared" si="967"/>
        <v>0</v>
      </c>
      <c r="BK850" s="325">
        <f t="shared" si="967"/>
        <v>0</v>
      </c>
      <c r="BL850" s="325">
        <f t="shared" si="967"/>
        <v>0</v>
      </c>
      <c r="BM850" s="325">
        <f t="shared" si="967"/>
        <v>0</v>
      </c>
      <c r="BN850" s="326">
        <f t="shared" si="967"/>
        <v>0</v>
      </c>
      <c r="BP850" s="536" t="s">
        <v>1226</v>
      </c>
      <c r="BQ850" s="1471" t="str">
        <f t="shared" si="961"/>
        <v>GHG_Heata = GHG_Heata-1 + (E139 * BUI_COL (307 + ((C139 - 1) * 8) * DISTRICT_HEATING_emission_factora (from row 5) / (J139-I139+1) / 1000000)</v>
      </c>
      <c r="BR850" s="1479"/>
      <c r="BS850" s="1479"/>
      <c r="BT850" s="1479"/>
      <c r="BU850" s="1479"/>
      <c r="BV850" s="1479"/>
      <c r="BW850" s="1479"/>
      <c r="BX850" s="1479"/>
      <c r="BY850" s="1479"/>
      <c r="BZ850" s="1479"/>
      <c r="CA850" s="1479"/>
      <c r="CB850" s="1479"/>
      <c r="CC850" s="1479"/>
      <c r="CD850" s="1479"/>
      <c r="CE850" s="1479"/>
      <c r="CF850" s="1479"/>
      <c r="CG850" s="1479"/>
      <c r="CH850" s="1472"/>
      <c r="CI850" s="917" t="s">
        <v>2631</v>
      </c>
      <c r="CJ850" s="536" t="s">
        <v>2614</v>
      </c>
      <c r="CK850" s="536" t="s">
        <v>2602</v>
      </c>
      <c r="CL850" s="919"/>
    </row>
    <row r="851" spans="32:90" ht="20.100000000000001" customHeight="1">
      <c r="AF851" s="332"/>
      <c r="AG851" s="308" t="s">
        <v>310</v>
      </c>
      <c r="AH851" s="309"/>
      <c r="AI851" s="309"/>
      <c r="AJ851" s="309"/>
      <c r="AK851" s="344">
        <v>0</v>
      </c>
      <c r="AL851" s="327">
        <f>SUM(AL843:AL850)</f>
        <v>0</v>
      </c>
      <c r="AM851" s="327">
        <f t="shared" ref="AM851:BN851" si="968">SUM(AM843:AM850)</f>
        <v>0</v>
      </c>
      <c r="AN851" s="327">
        <f t="shared" si="968"/>
        <v>0</v>
      </c>
      <c r="AO851" s="327">
        <f t="shared" si="968"/>
        <v>0</v>
      </c>
      <c r="AP851" s="327">
        <f t="shared" si="968"/>
        <v>0</v>
      </c>
      <c r="AQ851" s="327">
        <f t="shared" si="968"/>
        <v>0</v>
      </c>
      <c r="AR851" s="327">
        <f t="shared" si="968"/>
        <v>0</v>
      </c>
      <c r="AS851" s="327">
        <f t="shared" si="968"/>
        <v>0</v>
      </c>
      <c r="AT851" s="327">
        <f t="shared" si="968"/>
        <v>0</v>
      </c>
      <c r="AU851" s="327">
        <f t="shared" si="968"/>
        <v>0</v>
      </c>
      <c r="AV851" s="327">
        <f t="shared" si="968"/>
        <v>0</v>
      </c>
      <c r="AW851" s="327">
        <f t="shared" si="968"/>
        <v>0</v>
      </c>
      <c r="AX851" s="327">
        <f t="shared" si="968"/>
        <v>0</v>
      </c>
      <c r="AY851" s="327">
        <f t="shared" si="968"/>
        <v>0</v>
      </c>
      <c r="AZ851" s="327">
        <f t="shared" si="968"/>
        <v>0</v>
      </c>
      <c r="BA851" s="327">
        <f t="shared" si="968"/>
        <v>0</v>
      </c>
      <c r="BB851" s="327">
        <f t="shared" si="968"/>
        <v>0</v>
      </c>
      <c r="BC851" s="327">
        <f t="shared" si="968"/>
        <v>0</v>
      </c>
      <c r="BD851" s="327">
        <f t="shared" si="968"/>
        <v>0</v>
      </c>
      <c r="BE851" s="327">
        <f t="shared" si="968"/>
        <v>0</v>
      </c>
      <c r="BF851" s="327">
        <f t="shared" si="968"/>
        <v>0</v>
      </c>
      <c r="BG851" s="327">
        <f t="shared" si="968"/>
        <v>0</v>
      </c>
      <c r="BH851" s="327">
        <f t="shared" si="968"/>
        <v>0</v>
      </c>
      <c r="BI851" s="327">
        <f t="shared" si="968"/>
        <v>0</v>
      </c>
      <c r="BJ851" s="327">
        <f t="shared" si="968"/>
        <v>0</v>
      </c>
      <c r="BK851" s="327">
        <f t="shared" si="968"/>
        <v>0</v>
      </c>
      <c r="BL851" s="327">
        <f t="shared" si="968"/>
        <v>0</v>
      </c>
      <c r="BM851" s="327">
        <f t="shared" si="968"/>
        <v>0</v>
      </c>
      <c r="BN851" s="327">
        <f t="shared" si="968"/>
        <v>0</v>
      </c>
      <c r="BP851" s="279"/>
      <c r="BQ851" s="279"/>
      <c r="BR851" s="279"/>
      <c r="BS851" s="279"/>
      <c r="BT851" s="279"/>
      <c r="BU851" s="279"/>
      <c r="BV851" s="279"/>
      <c r="BW851" s="279"/>
      <c r="BX851" s="279"/>
      <c r="BY851" s="279"/>
      <c r="BZ851" s="279"/>
      <c r="CA851" s="279"/>
      <c r="CB851" s="279"/>
      <c r="CC851" s="279"/>
      <c r="CD851" s="279"/>
      <c r="CE851" s="279"/>
      <c r="CF851" s="279"/>
      <c r="CG851" s="279"/>
      <c r="CH851" s="279"/>
      <c r="CI851" s="279"/>
      <c r="CJ851" s="279"/>
      <c r="CK851" s="279"/>
      <c r="CL851" s="279"/>
    </row>
    <row r="853" spans="32:90" ht="20.100000000000001" customHeight="1">
      <c r="AF853" s="290" t="s">
        <v>1559</v>
      </c>
      <c r="AG853" s="279"/>
      <c r="AH853" s="279"/>
      <c r="AI853" s="279"/>
      <c r="AJ853" s="279"/>
      <c r="AK853" s="279"/>
      <c r="AL853" s="279"/>
      <c r="AM853" s="279"/>
    </row>
    <row r="854" spans="32:90" ht="20.100000000000001" customHeight="1" thickBot="1">
      <c r="AF854" s="306" t="s">
        <v>1561</v>
      </c>
      <c r="AG854" s="307"/>
      <c r="AH854" s="307"/>
      <c r="AI854" s="314"/>
      <c r="AJ854" s="340"/>
      <c r="AK854" s="341">
        <v>2021</v>
      </c>
      <c r="AL854" s="284">
        <v>2022</v>
      </c>
      <c r="AM854" s="284">
        <f>AL854+1</f>
        <v>2023</v>
      </c>
      <c r="AN854" s="284">
        <f t="shared" ref="AN854" si="969">AM854+1</f>
        <v>2024</v>
      </c>
      <c r="AO854" s="284">
        <f t="shared" ref="AO854" si="970">AN854+1</f>
        <v>2025</v>
      </c>
      <c r="AP854" s="284">
        <f t="shared" ref="AP854" si="971">AO854+1</f>
        <v>2026</v>
      </c>
      <c r="AQ854" s="284">
        <f t="shared" ref="AQ854" si="972">AP854+1</f>
        <v>2027</v>
      </c>
      <c r="AR854" s="284">
        <f t="shared" ref="AR854" si="973">AQ854+1</f>
        <v>2028</v>
      </c>
      <c r="AS854" s="284">
        <f t="shared" ref="AS854" si="974">AR854+1</f>
        <v>2029</v>
      </c>
      <c r="AT854" s="284">
        <f t="shared" ref="AT854" si="975">AS854+1</f>
        <v>2030</v>
      </c>
      <c r="AU854" s="284">
        <f t="shared" ref="AU854" si="976">AT854+1</f>
        <v>2031</v>
      </c>
      <c r="AV854" s="284">
        <f t="shared" ref="AV854" si="977">AU854+1</f>
        <v>2032</v>
      </c>
      <c r="AW854" s="284">
        <f t="shared" ref="AW854" si="978">AV854+1</f>
        <v>2033</v>
      </c>
      <c r="AX854" s="284">
        <f t="shared" ref="AX854" si="979">AW854+1</f>
        <v>2034</v>
      </c>
      <c r="AY854" s="284">
        <f t="shared" ref="AY854" si="980">AX854+1</f>
        <v>2035</v>
      </c>
      <c r="AZ854" s="284">
        <f t="shared" ref="AZ854" si="981">AY854+1</f>
        <v>2036</v>
      </c>
      <c r="BA854" s="284">
        <f t="shared" ref="BA854" si="982">AZ854+1</f>
        <v>2037</v>
      </c>
      <c r="BB854" s="284">
        <f t="shared" ref="BB854" si="983">BA854+1</f>
        <v>2038</v>
      </c>
      <c r="BC854" s="284">
        <f t="shared" ref="BC854" si="984">BB854+1</f>
        <v>2039</v>
      </c>
      <c r="BD854" s="284">
        <f t="shared" ref="BD854" si="985">BC854+1</f>
        <v>2040</v>
      </c>
      <c r="BE854" s="284">
        <f t="shared" ref="BE854" si="986">BD854+1</f>
        <v>2041</v>
      </c>
      <c r="BF854" s="284">
        <f t="shared" ref="BF854" si="987">BE854+1</f>
        <v>2042</v>
      </c>
      <c r="BG854" s="284">
        <f t="shared" ref="BG854" si="988">BF854+1</f>
        <v>2043</v>
      </c>
      <c r="BH854" s="284">
        <f t="shared" ref="BH854" si="989">BG854+1</f>
        <v>2044</v>
      </c>
      <c r="BI854" s="284">
        <f t="shared" ref="BI854" si="990">BH854+1</f>
        <v>2045</v>
      </c>
      <c r="BJ854" s="284">
        <f t="shared" ref="BJ854" si="991">BI854+1</f>
        <v>2046</v>
      </c>
      <c r="BK854" s="284">
        <f t="shared" ref="BK854" si="992">BJ854+1</f>
        <v>2047</v>
      </c>
      <c r="BL854" s="284">
        <f t="shared" ref="BL854" si="993">BK854+1</f>
        <v>2048</v>
      </c>
      <c r="BM854" s="284">
        <f t="shared" ref="BM854" si="994">BL854+1</f>
        <v>2049</v>
      </c>
      <c r="BN854" s="284">
        <f t="shared" ref="BN854" si="995">BM854+1</f>
        <v>2050</v>
      </c>
    </row>
    <row r="855" spans="32:90" ht="20.100000000000001" customHeight="1">
      <c r="AF855" s="1491" t="s">
        <v>1216</v>
      </c>
      <c r="AG855" s="286" t="s">
        <v>1560</v>
      </c>
      <c r="AH855" s="1494" t="s">
        <v>1587</v>
      </c>
      <c r="AI855" s="1495"/>
      <c r="AJ855" s="1496"/>
      <c r="AK855" s="343">
        <v>0</v>
      </c>
      <c r="AL855" s="328">
        <f t="shared" ref="AL855:BN855" si="996">AL220</f>
        <v>0</v>
      </c>
      <c r="AM855" s="328">
        <f t="shared" si="996"/>
        <v>11952.759374890931</v>
      </c>
      <c r="AN855" s="328">
        <f t="shared" si="996"/>
        <v>11927.129903599831</v>
      </c>
      <c r="AO855" s="328">
        <f t="shared" si="996"/>
        <v>11901.756727021642</v>
      </c>
      <c r="AP855" s="328">
        <f t="shared" si="996"/>
        <v>11876.637282209234</v>
      </c>
      <c r="AQ855" s="328">
        <f t="shared" si="996"/>
        <v>11851.769031844949</v>
      </c>
      <c r="AR855" s="328">
        <f t="shared" si="996"/>
        <v>11827.149463984308</v>
      </c>
      <c r="AS855" s="328">
        <f t="shared" si="996"/>
        <v>11802.776091802274</v>
      </c>
      <c r="AT855" s="328">
        <f t="shared" si="996"/>
        <v>11778.64645334206</v>
      </c>
      <c r="AU855" s="328">
        <f t="shared" si="996"/>
        <v>11647.260571926194</v>
      </c>
      <c r="AV855" s="328">
        <f t="shared" si="996"/>
        <v>11523.100913988201</v>
      </c>
      <c r="AW855" s="328">
        <f t="shared" si="996"/>
        <v>11405.770037236798</v>
      </c>
      <c r="AX855" s="328">
        <f t="shared" si="996"/>
        <v>11294.89235870672</v>
      </c>
      <c r="AY855" s="328">
        <f t="shared" si="996"/>
        <v>11190.112952495798</v>
      </c>
      <c r="AZ855" s="328">
        <f t="shared" si="996"/>
        <v>11091.096413626477</v>
      </c>
      <c r="BA855" s="328">
        <f t="shared" si="996"/>
        <v>10997.525784394968</v>
      </c>
      <c r="BB855" s="328">
        <f t="shared" si="996"/>
        <v>10909.101539771191</v>
      </c>
      <c r="BC855" s="328">
        <f t="shared" si="996"/>
        <v>10825.540628601724</v>
      </c>
      <c r="BD855" s="328">
        <f t="shared" si="996"/>
        <v>10746.575567546575</v>
      </c>
      <c r="BE855" s="328">
        <f t="shared" si="996"/>
        <v>10671.95358484946</v>
      </c>
      <c r="BF855" s="328">
        <f t="shared" si="996"/>
        <v>10601.435811200688</v>
      </c>
      <c r="BG855" s="328">
        <f t="shared" si="996"/>
        <v>10534.796515102596</v>
      </c>
      <c r="BH855" s="328">
        <f t="shared" si="996"/>
        <v>10471.822380289901</v>
      </c>
      <c r="BI855" s="328">
        <f t="shared" si="996"/>
        <v>10412.311822891905</v>
      </c>
      <c r="BJ855" s="328">
        <f t="shared" si="996"/>
        <v>10356.074346150795</v>
      </c>
      <c r="BK855" s="328">
        <f t="shared" si="996"/>
        <v>10302.929930630449</v>
      </c>
      <c r="BL855" s="328">
        <f t="shared" si="996"/>
        <v>10252.708457963723</v>
      </c>
      <c r="BM855" s="328">
        <f t="shared" si="996"/>
        <v>10205.249166293665</v>
      </c>
      <c r="BN855" s="329">
        <f t="shared" si="996"/>
        <v>10160.400135665461</v>
      </c>
    </row>
    <row r="856" spans="32:90" ht="20.100000000000001" customHeight="1">
      <c r="AF856" s="1492"/>
      <c r="AG856" s="389" t="s">
        <v>1562</v>
      </c>
      <c r="AH856" s="1497" t="s">
        <v>1567</v>
      </c>
      <c r="AI856" s="1498"/>
      <c r="AJ856" s="1499"/>
      <c r="AK856" s="345">
        <v>0</v>
      </c>
      <c r="AL856" s="272">
        <f t="shared" ref="AL856:BN856" si="997">AL263</f>
        <v>0</v>
      </c>
      <c r="AM856" s="272">
        <f t="shared" si="997"/>
        <v>0</v>
      </c>
      <c r="AN856" s="272">
        <f t="shared" si="997"/>
        <v>0</v>
      </c>
      <c r="AO856" s="272">
        <f t="shared" si="997"/>
        <v>0</v>
      </c>
      <c r="AP856" s="272">
        <f t="shared" si="997"/>
        <v>0</v>
      </c>
      <c r="AQ856" s="272">
        <f t="shared" si="997"/>
        <v>0</v>
      </c>
      <c r="AR856" s="272">
        <f t="shared" si="997"/>
        <v>0</v>
      </c>
      <c r="AS856" s="272">
        <f t="shared" si="997"/>
        <v>0</v>
      </c>
      <c r="AT856" s="272">
        <f t="shared" si="997"/>
        <v>0</v>
      </c>
      <c r="AU856" s="272">
        <f t="shared" si="997"/>
        <v>0</v>
      </c>
      <c r="AV856" s="272">
        <f t="shared" si="997"/>
        <v>0</v>
      </c>
      <c r="AW856" s="272">
        <f t="shared" si="997"/>
        <v>0</v>
      </c>
      <c r="AX856" s="272">
        <f t="shared" si="997"/>
        <v>0</v>
      </c>
      <c r="AY856" s="272">
        <f t="shared" si="997"/>
        <v>0</v>
      </c>
      <c r="AZ856" s="272">
        <f t="shared" si="997"/>
        <v>0</v>
      </c>
      <c r="BA856" s="272">
        <f t="shared" si="997"/>
        <v>0</v>
      </c>
      <c r="BB856" s="272">
        <f t="shared" si="997"/>
        <v>0</v>
      </c>
      <c r="BC856" s="272">
        <f t="shared" si="997"/>
        <v>0</v>
      </c>
      <c r="BD856" s="272">
        <f t="shared" si="997"/>
        <v>0</v>
      </c>
      <c r="BE856" s="272">
        <f t="shared" si="997"/>
        <v>0</v>
      </c>
      <c r="BF856" s="272">
        <f t="shared" si="997"/>
        <v>0</v>
      </c>
      <c r="BG856" s="272">
        <f t="shared" si="997"/>
        <v>0</v>
      </c>
      <c r="BH856" s="272">
        <f t="shared" si="997"/>
        <v>0</v>
      </c>
      <c r="BI856" s="272">
        <f t="shared" si="997"/>
        <v>0</v>
      </c>
      <c r="BJ856" s="272">
        <f t="shared" si="997"/>
        <v>0</v>
      </c>
      <c r="BK856" s="272">
        <f t="shared" si="997"/>
        <v>0</v>
      </c>
      <c r="BL856" s="272">
        <f t="shared" si="997"/>
        <v>0</v>
      </c>
      <c r="BM856" s="272">
        <f t="shared" si="997"/>
        <v>0</v>
      </c>
      <c r="BN856" s="324">
        <f t="shared" si="997"/>
        <v>0</v>
      </c>
    </row>
    <row r="857" spans="32:90" ht="20.100000000000001" customHeight="1">
      <c r="AF857" s="1492"/>
      <c r="AG857" s="389" t="s">
        <v>1563</v>
      </c>
      <c r="AH857" s="1497" t="s">
        <v>1568</v>
      </c>
      <c r="AI857" s="1498"/>
      <c r="AJ857" s="1499"/>
      <c r="AK857" s="345">
        <v>0</v>
      </c>
      <c r="AL857" s="272">
        <f t="shared" ref="AL857:BN857" si="998">AL382</f>
        <v>0</v>
      </c>
      <c r="AM857" s="272">
        <f t="shared" si="998"/>
        <v>0</v>
      </c>
      <c r="AN857" s="272">
        <f t="shared" si="998"/>
        <v>0</v>
      </c>
      <c r="AO857" s="272">
        <f t="shared" si="998"/>
        <v>0</v>
      </c>
      <c r="AP857" s="272">
        <f t="shared" si="998"/>
        <v>0</v>
      </c>
      <c r="AQ857" s="272">
        <f t="shared" si="998"/>
        <v>0</v>
      </c>
      <c r="AR857" s="272">
        <f t="shared" si="998"/>
        <v>0</v>
      </c>
      <c r="AS857" s="272">
        <f t="shared" si="998"/>
        <v>0</v>
      </c>
      <c r="AT857" s="272">
        <f t="shared" si="998"/>
        <v>0</v>
      </c>
      <c r="AU857" s="272">
        <f t="shared" si="998"/>
        <v>0</v>
      </c>
      <c r="AV857" s="272">
        <f t="shared" si="998"/>
        <v>0</v>
      </c>
      <c r="AW857" s="272">
        <f t="shared" si="998"/>
        <v>0</v>
      </c>
      <c r="AX857" s="272">
        <f t="shared" si="998"/>
        <v>0</v>
      </c>
      <c r="AY857" s="272">
        <f t="shared" si="998"/>
        <v>0</v>
      </c>
      <c r="AZ857" s="272">
        <f t="shared" si="998"/>
        <v>0</v>
      </c>
      <c r="BA857" s="272">
        <f t="shared" si="998"/>
        <v>0</v>
      </c>
      <c r="BB857" s="272">
        <f t="shared" si="998"/>
        <v>0</v>
      </c>
      <c r="BC857" s="272">
        <f t="shared" si="998"/>
        <v>0</v>
      </c>
      <c r="BD857" s="272">
        <f t="shared" si="998"/>
        <v>0</v>
      </c>
      <c r="BE857" s="272">
        <f t="shared" si="998"/>
        <v>0</v>
      </c>
      <c r="BF857" s="272">
        <f t="shared" si="998"/>
        <v>0</v>
      </c>
      <c r="BG857" s="272">
        <f t="shared" si="998"/>
        <v>0</v>
      </c>
      <c r="BH857" s="272">
        <f t="shared" si="998"/>
        <v>0</v>
      </c>
      <c r="BI857" s="272">
        <f t="shared" si="998"/>
        <v>0</v>
      </c>
      <c r="BJ857" s="272">
        <f t="shared" si="998"/>
        <v>0</v>
      </c>
      <c r="BK857" s="272">
        <f t="shared" si="998"/>
        <v>0</v>
      </c>
      <c r="BL857" s="272">
        <f t="shared" si="998"/>
        <v>0</v>
      </c>
      <c r="BM857" s="272">
        <f t="shared" si="998"/>
        <v>0</v>
      </c>
      <c r="BN857" s="324">
        <f t="shared" si="998"/>
        <v>0</v>
      </c>
    </row>
    <row r="858" spans="32:90" ht="20.100000000000001" customHeight="1">
      <c r="AF858" s="1492"/>
      <c r="AG858" s="389" t="s">
        <v>1564</v>
      </c>
      <c r="AH858" s="1497" t="s">
        <v>1569</v>
      </c>
      <c r="AI858" s="1498"/>
      <c r="AJ858" s="1499"/>
      <c r="AK858" s="345">
        <v>0</v>
      </c>
      <c r="AL858" s="272">
        <f t="shared" ref="AL858:BN858" si="999">IF($A$114=1,-AL523,0)</f>
        <v>0</v>
      </c>
      <c r="AM858" s="272">
        <f t="shared" si="999"/>
        <v>0</v>
      </c>
      <c r="AN858" s="272">
        <f t="shared" si="999"/>
        <v>0</v>
      </c>
      <c r="AO858" s="272">
        <f t="shared" si="999"/>
        <v>0</v>
      </c>
      <c r="AP858" s="272">
        <f t="shared" si="999"/>
        <v>0</v>
      </c>
      <c r="AQ858" s="272">
        <f t="shared" si="999"/>
        <v>0</v>
      </c>
      <c r="AR858" s="272">
        <f t="shared" si="999"/>
        <v>0</v>
      </c>
      <c r="AS858" s="272">
        <f t="shared" si="999"/>
        <v>0</v>
      </c>
      <c r="AT858" s="272">
        <f t="shared" si="999"/>
        <v>-7296.0657768372075</v>
      </c>
      <c r="AU858" s="272">
        <f t="shared" si="999"/>
        <v>-7296.0657768372075</v>
      </c>
      <c r="AV858" s="272">
        <f t="shared" si="999"/>
        <v>-7296.0657768372075</v>
      </c>
      <c r="AW858" s="272">
        <f t="shared" si="999"/>
        <v>-7296.0657768372075</v>
      </c>
      <c r="AX858" s="272">
        <f t="shared" si="999"/>
        <v>-7296.0657768372075</v>
      </c>
      <c r="AY858" s="272">
        <f t="shared" si="999"/>
        <v>-7296.0657768372075</v>
      </c>
      <c r="AZ858" s="272">
        <f t="shared" si="999"/>
        <v>-7296.0657768372075</v>
      </c>
      <c r="BA858" s="272">
        <f t="shared" si="999"/>
        <v>-7296.0657768372075</v>
      </c>
      <c r="BB858" s="272">
        <f t="shared" si="999"/>
        <v>-7296.0657768372075</v>
      </c>
      <c r="BC858" s="272">
        <f t="shared" si="999"/>
        <v>-7296.0657768372075</v>
      </c>
      <c r="BD858" s="272">
        <f t="shared" si="999"/>
        <v>-7296.0657768372075</v>
      </c>
      <c r="BE858" s="272">
        <f t="shared" si="999"/>
        <v>-7296.0657768372075</v>
      </c>
      <c r="BF858" s="272">
        <f t="shared" si="999"/>
        <v>-7296.0657768372075</v>
      </c>
      <c r="BG858" s="272">
        <f t="shared" si="999"/>
        <v>-7296.0657768372075</v>
      </c>
      <c r="BH858" s="272">
        <f t="shared" si="999"/>
        <v>-7296.0657768372075</v>
      </c>
      <c r="BI858" s="272">
        <f t="shared" si="999"/>
        <v>-7296.0657768372075</v>
      </c>
      <c r="BJ858" s="272">
        <f t="shared" si="999"/>
        <v>-7296.0657768372075</v>
      </c>
      <c r="BK858" s="272">
        <f t="shared" si="999"/>
        <v>-7296.0657768372075</v>
      </c>
      <c r="BL858" s="272">
        <f t="shared" si="999"/>
        <v>-7296.0657768372075</v>
      </c>
      <c r="BM858" s="272">
        <f t="shared" si="999"/>
        <v>-7296.0657768372075</v>
      </c>
      <c r="BN858" s="324">
        <f t="shared" si="999"/>
        <v>-7296.0657768372075</v>
      </c>
    </row>
    <row r="859" spans="32:90" ht="20.100000000000001" customHeight="1">
      <c r="AF859" s="1492"/>
      <c r="AG859" s="389" t="s">
        <v>1564</v>
      </c>
      <c r="AH859" s="1497" t="s">
        <v>1570</v>
      </c>
      <c r="AI859" s="1498"/>
      <c r="AJ859" s="1499"/>
      <c r="AK859" s="345">
        <v>0</v>
      </c>
      <c r="AL859" s="272">
        <f t="shared" ref="AL859:BN859" si="1000">IF($A$115=1,-AL534,0)</f>
        <v>0</v>
      </c>
      <c r="AM859" s="272">
        <f t="shared" si="1000"/>
        <v>0</v>
      </c>
      <c r="AN859" s="272">
        <f t="shared" si="1000"/>
        <v>0</v>
      </c>
      <c r="AO859" s="272">
        <f t="shared" si="1000"/>
        <v>0</v>
      </c>
      <c r="AP859" s="272">
        <f t="shared" si="1000"/>
        <v>0</v>
      </c>
      <c r="AQ859" s="272">
        <f t="shared" si="1000"/>
        <v>0</v>
      </c>
      <c r="AR859" s="272">
        <f t="shared" si="1000"/>
        <v>0</v>
      </c>
      <c r="AS859" s="272">
        <f t="shared" si="1000"/>
        <v>0</v>
      </c>
      <c r="AT859" s="272">
        <f t="shared" si="1000"/>
        <v>0</v>
      </c>
      <c r="AU859" s="272">
        <f t="shared" si="1000"/>
        <v>0</v>
      </c>
      <c r="AV859" s="272">
        <f t="shared" si="1000"/>
        <v>0</v>
      </c>
      <c r="AW859" s="272">
        <f t="shared" si="1000"/>
        <v>0</v>
      </c>
      <c r="AX859" s="272">
        <f t="shared" si="1000"/>
        <v>0</v>
      </c>
      <c r="AY859" s="272">
        <f t="shared" si="1000"/>
        <v>0</v>
      </c>
      <c r="AZ859" s="272">
        <f t="shared" si="1000"/>
        <v>0</v>
      </c>
      <c r="BA859" s="272">
        <f t="shared" si="1000"/>
        <v>0</v>
      </c>
      <c r="BB859" s="272">
        <f t="shared" si="1000"/>
        <v>0</v>
      </c>
      <c r="BC859" s="272">
        <f t="shared" si="1000"/>
        <v>0</v>
      </c>
      <c r="BD859" s="272">
        <f t="shared" si="1000"/>
        <v>0</v>
      </c>
      <c r="BE859" s="272">
        <f t="shared" si="1000"/>
        <v>0</v>
      </c>
      <c r="BF859" s="272">
        <f t="shared" si="1000"/>
        <v>0</v>
      </c>
      <c r="BG859" s="272">
        <f t="shared" si="1000"/>
        <v>0</v>
      </c>
      <c r="BH859" s="272">
        <f t="shared" si="1000"/>
        <v>0</v>
      </c>
      <c r="BI859" s="272">
        <f t="shared" si="1000"/>
        <v>0</v>
      </c>
      <c r="BJ859" s="272">
        <f t="shared" si="1000"/>
        <v>0</v>
      </c>
      <c r="BK859" s="272">
        <f t="shared" si="1000"/>
        <v>0</v>
      </c>
      <c r="BL859" s="272">
        <f t="shared" si="1000"/>
        <v>0</v>
      </c>
      <c r="BM859" s="272">
        <f t="shared" si="1000"/>
        <v>0</v>
      </c>
      <c r="BN859" s="324">
        <f t="shared" si="1000"/>
        <v>0</v>
      </c>
    </row>
    <row r="860" spans="32:90" ht="20.100000000000001" customHeight="1">
      <c r="AF860" s="1492"/>
      <c r="AG860" s="389" t="s">
        <v>1564</v>
      </c>
      <c r="AH860" s="1497" t="s">
        <v>1571</v>
      </c>
      <c r="AI860" s="1498"/>
      <c r="AJ860" s="1499"/>
      <c r="AK860" s="345">
        <v>0</v>
      </c>
      <c r="AL860" s="272">
        <f t="shared" ref="AL860:BN860" si="1001">IF($A$116=1,-AL545,0)</f>
        <v>0</v>
      </c>
      <c r="AM860" s="272">
        <f t="shared" si="1001"/>
        <v>0</v>
      </c>
      <c r="AN860" s="272">
        <f t="shared" si="1001"/>
        <v>0</v>
      </c>
      <c r="AO860" s="272">
        <f t="shared" si="1001"/>
        <v>0</v>
      </c>
      <c r="AP860" s="272">
        <f t="shared" si="1001"/>
        <v>0</v>
      </c>
      <c r="AQ860" s="272">
        <f t="shared" si="1001"/>
        <v>0</v>
      </c>
      <c r="AR860" s="272">
        <f t="shared" si="1001"/>
        <v>0</v>
      </c>
      <c r="AS860" s="272">
        <f t="shared" si="1001"/>
        <v>0</v>
      </c>
      <c r="AT860" s="272">
        <f t="shared" si="1001"/>
        <v>0</v>
      </c>
      <c r="AU860" s="272">
        <f t="shared" si="1001"/>
        <v>0</v>
      </c>
      <c r="AV860" s="272">
        <f t="shared" si="1001"/>
        <v>0</v>
      </c>
      <c r="AW860" s="272">
        <f t="shared" si="1001"/>
        <v>0</v>
      </c>
      <c r="AX860" s="272">
        <f t="shared" si="1001"/>
        <v>0</v>
      </c>
      <c r="AY860" s="272">
        <f t="shared" si="1001"/>
        <v>0</v>
      </c>
      <c r="AZ860" s="272">
        <f t="shared" si="1001"/>
        <v>0</v>
      </c>
      <c r="BA860" s="272">
        <f t="shared" si="1001"/>
        <v>0</v>
      </c>
      <c r="BB860" s="272">
        <f t="shared" si="1001"/>
        <v>0</v>
      </c>
      <c r="BC860" s="272">
        <f t="shared" si="1001"/>
        <v>0</v>
      </c>
      <c r="BD860" s="272">
        <f t="shared" si="1001"/>
        <v>0</v>
      </c>
      <c r="BE860" s="272">
        <f t="shared" si="1001"/>
        <v>0</v>
      </c>
      <c r="BF860" s="272">
        <f t="shared" si="1001"/>
        <v>0</v>
      </c>
      <c r="BG860" s="272">
        <f t="shared" si="1001"/>
        <v>0</v>
      </c>
      <c r="BH860" s="272">
        <f t="shared" si="1001"/>
        <v>0</v>
      </c>
      <c r="BI860" s="272">
        <f t="shared" si="1001"/>
        <v>0</v>
      </c>
      <c r="BJ860" s="272">
        <f t="shared" si="1001"/>
        <v>0</v>
      </c>
      <c r="BK860" s="272">
        <f t="shared" si="1001"/>
        <v>0</v>
      </c>
      <c r="BL860" s="272">
        <f t="shared" si="1001"/>
        <v>0</v>
      </c>
      <c r="BM860" s="272">
        <f t="shared" si="1001"/>
        <v>0</v>
      </c>
      <c r="BN860" s="324">
        <f t="shared" si="1001"/>
        <v>0</v>
      </c>
    </row>
    <row r="861" spans="32:90" ht="20.100000000000001" customHeight="1">
      <c r="AF861" s="1492"/>
      <c r="AG861" s="389" t="s">
        <v>1564</v>
      </c>
      <c r="AH861" s="1497" t="s">
        <v>1572</v>
      </c>
      <c r="AI861" s="1498"/>
      <c r="AJ861" s="1499"/>
      <c r="AK861" s="345">
        <v>0</v>
      </c>
      <c r="AL861" s="272">
        <f t="shared" ref="AL861:BN861" si="1002">IF($A$117=1,-AL556,0)</f>
        <v>0</v>
      </c>
      <c r="AM861" s="272">
        <f t="shared" si="1002"/>
        <v>0</v>
      </c>
      <c r="AN861" s="272">
        <f t="shared" si="1002"/>
        <v>0</v>
      </c>
      <c r="AO861" s="272">
        <f t="shared" si="1002"/>
        <v>0</v>
      </c>
      <c r="AP861" s="272">
        <f t="shared" si="1002"/>
        <v>0</v>
      </c>
      <c r="AQ861" s="272">
        <f t="shared" si="1002"/>
        <v>0</v>
      </c>
      <c r="AR861" s="272">
        <f t="shared" si="1002"/>
        <v>0</v>
      </c>
      <c r="AS861" s="272">
        <f t="shared" si="1002"/>
        <v>0</v>
      </c>
      <c r="AT861" s="272">
        <f t="shared" si="1002"/>
        <v>0</v>
      </c>
      <c r="AU861" s="272">
        <f t="shared" si="1002"/>
        <v>0</v>
      </c>
      <c r="AV861" s="272">
        <f t="shared" si="1002"/>
        <v>0</v>
      </c>
      <c r="AW861" s="272">
        <f t="shared" si="1002"/>
        <v>0</v>
      </c>
      <c r="AX861" s="272">
        <f t="shared" si="1002"/>
        <v>0</v>
      </c>
      <c r="AY861" s="272">
        <f t="shared" si="1002"/>
        <v>0</v>
      </c>
      <c r="AZ861" s="272">
        <f t="shared" si="1002"/>
        <v>0</v>
      </c>
      <c r="BA861" s="272">
        <f t="shared" si="1002"/>
        <v>0</v>
      </c>
      <c r="BB861" s="272">
        <f t="shared" si="1002"/>
        <v>0</v>
      </c>
      <c r="BC861" s="272">
        <f t="shared" si="1002"/>
        <v>0</v>
      </c>
      <c r="BD861" s="272">
        <f t="shared" si="1002"/>
        <v>0</v>
      </c>
      <c r="BE861" s="272">
        <f t="shared" si="1002"/>
        <v>0</v>
      </c>
      <c r="BF861" s="272">
        <f t="shared" si="1002"/>
        <v>0</v>
      </c>
      <c r="BG861" s="272">
        <f t="shared" si="1002"/>
        <v>0</v>
      </c>
      <c r="BH861" s="272">
        <f t="shared" si="1002"/>
        <v>0</v>
      </c>
      <c r="BI861" s="272">
        <f t="shared" si="1002"/>
        <v>0</v>
      </c>
      <c r="BJ861" s="272">
        <f t="shared" si="1002"/>
        <v>0</v>
      </c>
      <c r="BK861" s="272">
        <f t="shared" si="1002"/>
        <v>0</v>
      </c>
      <c r="BL861" s="272">
        <f t="shared" si="1002"/>
        <v>0</v>
      </c>
      <c r="BM861" s="272">
        <f t="shared" si="1002"/>
        <v>0</v>
      </c>
      <c r="BN861" s="324">
        <f t="shared" si="1002"/>
        <v>0</v>
      </c>
    </row>
    <row r="862" spans="32:90" ht="20.100000000000001" customHeight="1">
      <c r="AF862" s="1492"/>
      <c r="AG862" s="389" t="s">
        <v>1564</v>
      </c>
      <c r="AH862" s="1497" t="s">
        <v>1573</v>
      </c>
      <c r="AI862" s="1498"/>
      <c r="AJ862" s="1499"/>
      <c r="AK862" s="345">
        <v>0</v>
      </c>
      <c r="AL862" s="272">
        <f t="shared" ref="AL862:BN862" si="1003">IF($A$118=1,-AL567,0)</f>
        <v>0</v>
      </c>
      <c r="AM862" s="272">
        <f t="shared" si="1003"/>
        <v>0</v>
      </c>
      <c r="AN862" s="272">
        <f t="shared" si="1003"/>
        <v>0</v>
      </c>
      <c r="AO862" s="272">
        <f t="shared" si="1003"/>
        <v>0</v>
      </c>
      <c r="AP862" s="272">
        <f t="shared" si="1003"/>
        <v>0</v>
      </c>
      <c r="AQ862" s="272">
        <f t="shared" si="1003"/>
        <v>0</v>
      </c>
      <c r="AR862" s="272">
        <f t="shared" si="1003"/>
        <v>0</v>
      </c>
      <c r="AS862" s="272">
        <f t="shared" si="1003"/>
        <v>0</v>
      </c>
      <c r="AT862" s="272">
        <f t="shared" si="1003"/>
        <v>0</v>
      </c>
      <c r="AU862" s="272">
        <f t="shared" si="1003"/>
        <v>0</v>
      </c>
      <c r="AV862" s="272">
        <f t="shared" si="1003"/>
        <v>0</v>
      </c>
      <c r="AW862" s="272">
        <f t="shared" si="1003"/>
        <v>0</v>
      </c>
      <c r="AX862" s="272">
        <f t="shared" si="1003"/>
        <v>0</v>
      </c>
      <c r="AY862" s="272">
        <f t="shared" si="1003"/>
        <v>0</v>
      </c>
      <c r="AZ862" s="272">
        <f t="shared" si="1003"/>
        <v>0</v>
      </c>
      <c r="BA862" s="272">
        <f t="shared" si="1003"/>
        <v>0</v>
      </c>
      <c r="BB862" s="272">
        <f t="shared" si="1003"/>
        <v>0</v>
      </c>
      <c r="BC862" s="272">
        <f t="shared" si="1003"/>
        <v>0</v>
      </c>
      <c r="BD862" s="272">
        <f t="shared" si="1003"/>
        <v>0</v>
      </c>
      <c r="BE862" s="272">
        <f t="shared" si="1003"/>
        <v>0</v>
      </c>
      <c r="BF862" s="272">
        <f t="shared" si="1003"/>
        <v>0</v>
      </c>
      <c r="BG862" s="272">
        <f t="shared" si="1003"/>
        <v>0</v>
      </c>
      <c r="BH862" s="272">
        <f t="shared" si="1003"/>
        <v>0</v>
      </c>
      <c r="BI862" s="272">
        <f t="shared" si="1003"/>
        <v>0</v>
      </c>
      <c r="BJ862" s="272">
        <f t="shared" si="1003"/>
        <v>0</v>
      </c>
      <c r="BK862" s="272">
        <f t="shared" si="1003"/>
        <v>0</v>
      </c>
      <c r="BL862" s="272">
        <f t="shared" si="1003"/>
        <v>0</v>
      </c>
      <c r="BM862" s="272">
        <f t="shared" si="1003"/>
        <v>0</v>
      </c>
      <c r="BN862" s="324">
        <f t="shared" si="1003"/>
        <v>0</v>
      </c>
    </row>
    <row r="863" spans="32:90" ht="20.100000000000001" customHeight="1">
      <c r="AF863" s="1492"/>
      <c r="AG863" s="389" t="s">
        <v>1564</v>
      </c>
      <c r="AH863" s="1497" t="s">
        <v>1574</v>
      </c>
      <c r="AI863" s="1498"/>
      <c r="AJ863" s="1499"/>
      <c r="AK863" s="345">
        <v>0</v>
      </c>
      <c r="AL863" s="272">
        <f t="shared" ref="AL863:BN863" si="1004">IF($A$119=1,-AL578,0)</f>
        <v>0</v>
      </c>
      <c r="AM863" s="272">
        <f t="shared" si="1004"/>
        <v>0</v>
      </c>
      <c r="AN863" s="272">
        <f t="shared" si="1004"/>
        <v>0</v>
      </c>
      <c r="AO863" s="272">
        <f t="shared" si="1004"/>
        <v>0</v>
      </c>
      <c r="AP863" s="272">
        <f t="shared" si="1004"/>
        <v>0</v>
      </c>
      <c r="AQ863" s="272">
        <f t="shared" si="1004"/>
        <v>0</v>
      </c>
      <c r="AR863" s="272">
        <f t="shared" si="1004"/>
        <v>0</v>
      </c>
      <c r="AS863" s="272">
        <f t="shared" si="1004"/>
        <v>0</v>
      </c>
      <c r="AT863" s="272">
        <f t="shared" si="1004"/>
        <v>0</v>
      </c>
      <c r="AU863" s="272">
        <f t="shared" si="1004"/>
        <v>0</v>
      </c>
      <c r="AV863" s="272">
        <f t="shared" si="1004"/>
        <v>0</v>
      </c>
      <c r="AW863" s="272">
        <f t="shared" si="1004"/>
        <v>0</v>
      </c>
      <c r="AX863" s="272">
        <f t="shared" si="1004"/>
        <v>0</v>
      </c>
      <c r="AY863" s="272">
        <f t="shared" si="1004"/>
        <v>0</v>
      </c>
      <c r="AZ863" s="272">
        <f t="shared" si="1004"/>
        <v>0</v>
      </c>
      <c r="BA863" s="272">
        <f t="shared" si="1004"/>
        <v>0</v>
      </c>
      <c r="BB863" s="272">
        <f t="shared" si="1004"/>
        <v>0</v>
      </c>
      <c r="BC863" s="272">
        <f t="shared" si="1004"/>
        <v>0</v>
      </c>
      <c r="BD863" s="272">
        <f t="shared" si="1004"/>
        <v>0</v>
      </c>
      <c r="BE863" s="272">
        <f t="shared" si="1004"/>
        <v>0</v>
      </c>
      <c r="BF863" s="272">
        <f t="shared" si="1004"/>
        <v>0</v>
      </c>
      <c r="BG863" s="272">
        <f t="shared" si="1004"/>
        <v>0</v>
      </c>
      <c r="BH863" s="272">
        <f t="shared" si="1004"/>
        <v>0</v>
      </c>
      <c r="BI863" s="272">
        <f t="shared" si="1004"/>
        <v>0</v>
      </c>
      <c r="BJ863" s="272">
        <f t="shared" si="1004"/>
        <v>0</v>
      </c>
      <c r="BK863" s="272">
        <f t="shared" si="1004"/>
        <v>0</v>
      </c>
      <c r="BL863" s="272">
        <f t="shared" si="1004"/>
        <v>0</v>
      </c>
      <c r="BM863" s="272">
        <f t="shared" si="1004"/>
        <v>0</v>
      </c>
      <c r="BN863" s="324">
        <f t="shared" si="1004"/>
        <v>0</v>
      </c>
    </row>
    <row r="864" spans="32:90" ht="20.100000000000001" customHeight="1">
      <c r="AF864" s="1492"/>
      <c r="AG864" s="389" t="s">
        <v>1565</v>
      </c>
      <c r="AH864" s="1497" t="s">
        <v>1575</v>
      </c>
      <c r="AI864" s="1498"/>
      <c r="AJ864" s="1499"/>
      <c r="AK864" s="345">
        <v>0</v>
      </c>
      <c r="AL864" s="272">
        <f>IF($A$135=1,-AL729,0)</f>
        <v>0</v>
      </c>
      <c r="AM864" s="272">
        <f t="shared" ref="AM864:BN864" si="1005">IF($A$135=1,-AM729,0)</f>
        <v>0</v>
      </c>
      <c r="AN864" s="272">
        <f t="shared" si="1005"/>
        <v>0</v>
      </c>
      <c r="AO864" s="272">
        <f t="shared" si="1005"/>
        <v>0</v>
      </c>
      <c r="AP864" s="272">
        <f t="shared" si="1005"/>
        <v>0</v>
      </c>
      <c r="AQ864" s="272">
        <f t="shared" si="1005"/>
        <v>0</v>
      </c>
      <c r="AR864" s="272">
        <f t="shared" si="1005"/>
        <v>0</v>
      </c>
      <c r="AS864" s="272">
        <f t="shared" si="1005"/>
        <v>0</v>
      </c>
      <c r="AT864" s="272">
        <f t="shared" si="1005"/>
        <v>0</v>
      </c>
      <c r="AU864" s="272">
        <f t="shared" si="1005"/>
        <v>0</v>
      </c>
      <c r="AV864" s="272">
        <f t="shared" si="1005"/>
        <v>0</v>
      </c>
      <c r="AW864" s="272">
        <f t="shared" si="1005"/>
        <v>0</v>
      </c>
      <c r="AX864" s="272">
        <f t="shared" si="1005"/>
        <v>0</v>
      </c>
      <c r="AY864" s="272">
        <f t="shared" si="1005"/>
        <v>0</v>
      </c>
      <c r="AZ864" s="272">
        <f t="shared" si="1005"/>
        <v>0</v>
      </c>
      <c r="BA864" s="272">
        <f t="shared" si="1005"/>
        <v>0</v>
      </c>
      <c r="BB864" s="272">
        <f t="shared" si="1005"/>
        <v>0</v>
      </c>
      <c r="BC864" s="272">
        <f t="shared" si="1005"/>
        <v>0</v>
      </c>
      <c r="BD864" s="272">
        <f t="shared" si="1005"/>
        <v>0</v>
      </c>
      <c r="BE864" s="272">
        <f t="shared" si="1005"/>
        <v>0</v>
      </c>
      <c r="BF864" s="272">
        <f t="shared" si="1005"/>
        <v>0</v>
      </c>
      <c r="BG864" s="272">
        <f t="shared" si="1005"/>
        <v>0</v>
      </c>
      <c r="BH864" s="272">
        <f t="shared" si="1005"/>
        <v>0</v>
      </c>
      <c r="BI864" s="272">
        <f t="shared" si="1005"/>
        <v>0</v>
      </c>
      <c r="BJ864" s="272">
        <f t="shared" si="1005"/>
        <v>0</v>
      </c>
      <c r="BK864" s="272">
        <f t="shared" si="1005"/>
        <v>0</v>
      </c>
      <c r="BL864" s="272">
        <f t="shared" si="1005"/>
        <v>0</v>
      </c>
      <c r="BM864" s="272">
        <f t="shared" si="1005"/>
        <v>0</v>
      </c>
      <c r="BN864" s="324">
        <f t="shared" si="1005"/>
        <v>0</v>
      </c>
    </row>
    <row r="865" spans="32:66" ht="20.100000000000001" customHeight="1">
      <c r="AF865" s="1492"/>
      <c r="AG865" s="389" t="s">
        <v>1565</v>
      </c>
      <c r="AH865" s="1497" t="s">
        <v>1576</v>
      </c>
      <c r="AI865" s="1498"/>
      <c r="AJ865" s="1499"/>
      <c r="AK865" s="345">
        <v>0</v>
      </c>
      <c r="AL865" s="272">
        <f>IF($A$136=1,-AL740,0)</f>
        <v>0</v>
      </c>
      <c r="AM865" s="272">
        <f t="shared" ref="AM865:BN865" si="1006">IF($A$136=1,-AM740,0)</f>
        <v>0</v>
      </c>
      <c r="AN865" s="272">
        <f t="shared" si="1006"/>
        <v>0</v>
      </c>
      <c r="AO865" s="272">
        <f t="shared" si="1006"/>
        <v>0</v>
      </c>
      <c r="AP865" s="272">
        <f t="shared" si="1006"/>
        <v>0</v>
      </c>
      <c r="AQ865" s="272">
        <f t="shared" si="1006"/>
        <v>0</v>
      </c>
      <c r="AR865" s="272">
        <f t="shared" si="1006"/>
        <v>0</v>
      </c>
      <c r="AS865" s="272">
        <f t="shared" si="1006"/>
        <v>0</v>
      </c>
      <c r="AT865" s="272">
        <f t="shared" si="1006"/>
        <v>0</v>
      </c>
      <c r="AU865" s="272">
        <f t="shared" si="1006"/>
        <v>0</v>
      </c>
      <c r="AV865" s="272">
        <f t="shared" si="1006"/>
        <v>0</v>
      </c>
      <c r="AW865" s="272">
        <f t="shared" si="1006"/>
        <v>0</v>
      </c>
      <c r="AX865" s="272">
        <f t="shared" si="1006"/>
        <v>0</v>
      </c>
      <c r="AY865" s="272">
        <f t="shared" si="1006"/>
        <v>0</v>
      </c>
      <c r="AZ865" s="272">
        <f t="shared" si="1006"/>
        <v>0</v>
      </c>
      <c r="BA865" s="272">
        <f t="shared" si="1006"/>
        <v>0</v>
      </c>
      <c r="BB865" s="272">
        <f t="shared" si="1006"/>
        <v>0</v>
      </c>
      <c r="BC865" s="272">
        <f t="shared" si="1006"/>
        <v>0</v>
      </c>
      <c r="BD865" s="272">
        <f t="shared" si="1006"/>
        <v>0</v>
      </c>
      <c r="BE865" s="272">
        <f t="shared" si="1006"/>
        <v>0</v>
      </c>
      <c r="BF865" s="272">
        <f t="shared" si="1006"/>
        <v>0</v>
      </c>
      <c r="BG865" s="272">
        <f t="shared" si="1006"/>
        <v>0</v>
      </c>
      <c r="BH865" s="272">
        <f t="shared" si="1006"/>
        <v>0</v>
      </c>
      <c r="BI865" s="272">
        <f t="shared" si="1006"/>
        <v>0</v>
      </c>
      <c r="BJ865" s="272">
        <f t="shared" si="1006"/>
        <v>0</v>
      </c>
      <c r="BK865" s="272">
        <f t="shared" si="1006"/>
        <v>0</v>
      </c>
      <c r="BL865" s="272">
        <f t="shared" si="1006"/>
        <v>0</v>
      </c>
      <c r="BM865" s="272">
        <f t="shared" si="1006"/>
        <v>0</v>
      </c>
      <c r="BN865" s="324">
        <f t="shared" si="1006"/>
        <v>0</v>
      </c>
    </row>
    <row r="866" spans="32:66" ht="20.100000000000001" customHeight="1">
      <c r="AF866" s="1492"/>
      <c r="AG866" s="389" t="s">
        <v>1565</v>
      </c>
      <c r="AH866" s="1497" t="s">
        <v>1577</v>
      </c>
      <c r="AI866" s="1498"/>
      <c r="AJ866" s="1499"/>
      <c r="AK866" s="345">
        <v>0</v>
      </c>
      <c r="AL866" s="272">
        <f>IF($A$137=1,-AL751,0)</f>
        <v>0</v>
      </c>
      <c r="AM866" s="272">
        <f t="shared" ref="AM866:BN866" si="1007">IF($A$137=1,-AM751,0)</f>
        <v>0</v>
      </c>
      <c r="AN866" s="272">
        <f t="shared" si="1007"/>
        <v>0</v>
      </c>
      <c r="AO866" s="272">
        <f t="shared" si="1007"/>
        <v>0</v>
      </c>
      <c r="AP866" s="272">
        <f t="shared" si="1007"/>
        <v>0</v>
      </c>
      <c r="AQ866" s="272">
        <f t="shared" si="1007"/>
        <v>0</v>
      </c>
      <c r="AR866" s="272">
        <f t="shared" si="1007"/>
        <v>0</v>
      </c>
      <c r="AS866" s="272">
        <f t="shared" si="1007"/>
        <v>0</v>
      </c>
      <c r="AT866" s="272">
        <f t="shared" si="1007"/>
        <v>0</v>
      </c>
      <c r="AU866" s="272">
        <f t="shared" si="1007"/>
        <v>0</v>
      </c>
      <c r="AV866" s="272">
        <f t="shared" si="1007"/>
        <v>0</v>
      </c>
      <c r="AW866" s="272">
        <f t="shared" si="1007"/>
        <v>0</v>
      </c>
      <c r="AX866" s="272">
        <f t="shared" si="1007"/>
        <v>0</v>
      </c>
      <c r="AY866" s="272">
        <f t="shared" si="1007"/>
        <v>0</v>
      </c>
      <c r="AZ866" s="272">
        <f t="shared" si="1007"/>
        <v>0</v>
      </c>
      <c r="BA866" s="272">
        <f t="shared" si="1007"/>
        <v>0</v>
      </c>
      <c r="BB866" s="272">
        <f t="shared" si="1007"/>
        <v>0</v>
      </c>
      <c r="BC866" s="272">
        <f t="shared" si="1007"/>
        <v>0</v>
      </c>
      <c r="BD866" s="272">
        <f t="shared" si="1007"/>
        <v>0</v>
      </c>
      <c r="BE866" s="272">
        <f t="shared" si="1007"/>
        <v>0</v>
      </c>
      <c r="BF866" s="272">
        <f t="shared" si="1007"/>
        <v>0</v>
      </c>
      <c r="BG866" s="272">
        <f t="shared" si="1007"/>
        <v>0</v>
      </c>
      <c r="BH866" s="272">
        <f t="shared" si="1007"/>
        <v>0</v>
      </c>
      <c r="BI866" s="272">
        <f t="shared" si="1007"/>
        <v>0</v>
      </c>
      <c r="BJ866" s="272">
        <f t="shared" si="1007"/>
        <v>0</v>
      </c>
      <c r="BK866" s="272">
        <f t="shared" si="1007"/>
        <v>0</v>
      </c>
      <c r="BL866" s="272">
        <f t="shared" si="1007"/>
        <v>0</v>
      </c>
      <c r="BM866" s="272">
        <f t="shared" si="1007"/>
        <v>0</v>
      </c>
      <c r="BN866" s="324">
        <f t="shared" si="1007"/>
        <v>0</v>
      </c>
    </row>
    <row r="867" spans="32:66" ht="20.100000000000001" customHeight="1">
      <c r="AF867" s="1492"/>
      <c r="AG867" s="389" t="s">
        <v>1565</v>
      </c>
      <c r="AH867" s="1497" t="s">
        <v>1578</v>
      </c>
      <c r="AI867" s="1498"/>
      <c r="AJ867" s="1499"/>
      <c r="AK867" s="345">
        <v>0</v>
      </c>
      <c r="AL867" s="272">
        <f>IF($A$138=1,-AL762,0)</f>
        <v>0</v>
      </c>
      <c r="AM867" s="272">
        <f t="shared" ref="AM867:BN867" si="1008">IF($A$138=1,-AM762,0)</f>
        <v>0</v>
      </c>
      <c r="AN867" s="272">
        <f t="shared" si="1008"/>
        <v>0</v>
      </c>
      <c r="AO867" s="272">
        <f t="shared" si="1008"/>
        <v>0</v>
      </c>
      <c r="AP867" s="272">
        <f t="shared" si="1008"/>
        <v>0</v>
      </c>
      <c r="AQ867" s="272">
        <f t="shared" si="1008"/>
        <v>0</v>
      </c>
      <c r="AR867" s="272">
        <f t="shared" si="1008"/>
        <v>0</v>
      </c>
      <c r="AS867" s="272">
        <f t="shared" si="1008"/>
        <v>0</v>
      </c>
      <c r="AT867" s="272">
        <f t="shared" si="1008"/>
        <v>0</v>
      </c>
      <c r="AU867" s="272">
        <f t="shared" si="1008"/>
        <v>0</v>
      </c>
      <c r="AV867" s="272">
        <f t="shared" si="1008"/>
        <v>0</v>
      </c>
      <c r="AW867" s="272">
        <f t="shared" si="1008"/>
        <v>0</v>
      </c>
      <c r="AX867" s="272">
        <f t="shared" si="1008"/>
        <v>0</v>
      </c>
      <c r="AY867" s="272">
        <f t="shared" si="1008"/>
        <v>0</v>
      </c>
      <c r="AZ867" s="272">
        <f t="shared" si="1008"/>
        <v>0</v>
      </c>
      <c r="BA867" s="272">
        <f t="shared" si="1008"/>
        <v>0</v>
      </c>
      <c r="BB867" s="272">
        <f t="shared" si="1008"/>
        <v>0</v>
      </c>
      <c r="BC867" s="272">
        <f t="shared" si="1008"/>
        <v>0</v>
      </c>
      <c r="BD867" s="272">
        <f t="shared" si="1008"/>
        <v>0</v>
      </c>
      <c r="BE867" s="272">
        <f t="shared" si="1008"/>
        <v>0</v>
      </c>
      <c r="BF867" s="272">
        <f t="shared" si="1008"/>
        <v>0</v>
      </c>
      <c r="BG867" s="272">
        <f t="shared" si="1008"/>
        <v>0</v>
      </c>
      <c r="BH867" s="272">
        <f t="shared" si="1008"/>
        <v>0</v>
      </c>
      <c r="BI867" s="272">
        <f t="shared" si="1008"/>
        <v>0</v>
      </c>
      <c r="BJ867" s="272">
        <f t="shared" si="1008"/>
        <v>0</v>
      </c>
      <c r="BK867" s="272">
        <f t="shared" si="1008"/>
        <v>0</v>
      </c>
      <c r="BL867" s="272">
        <f t="shared" si="1008"/>
        <v>0</v>
      </c>
      <c r="BM867" s="272">
        <f t="shared" si="1008"/>
        <v>0</v>
      </c>
      <c r="BN867" s="324">
        <f t="shared" si="1008"/>
        <v>0</v>
      </c>
    </row>
    <row r="868" spans="32:66" ht="20.100000000000001" customHeight="1">
      <c r="AF868" s="1492"/>
      <c r="AG868" s="389" t="s">
        <v>1565</v>
      </c>
      <c r="AH868" s="1497" t="s">
        <v>1579</v>
      </c>
      <c r="AI868" s="1498"/>
      <c r="AJ868" s="1499"/>
      <c r="AK868" s="345">
        <v>0</v>
      </c>
      <c r="AL868" s="272">
        <f>IF($A$139=1,-AL773,0)</f>
        <v>0</v>
      </c>
      <c r="AM868" s="272">
        <f t="shared" ref="AM868:BN868" si="1009">IF($A$139=1,-AM773,0)</f>
        <v>0</v>
      </c>
      <c r="AN868" s="272">
        <f t="shared" si="1009"/>
        <v>0</v>
      </c>
      <c r="AO868" s="272">
        <f t="shared" si="1009"/>
        <v>0</v>
      </c>
      <c r="AP868" s="272">
        <f t="shared" si="1009"/>
        <v>0</v>
      </c>
      <c r="AQ868" s="272">
        <f t="shared" si="1009"/>
        <v>0</v>
      </c>
      <c r="AR868" s="272">
        <f t="shared" si="1009"/>
        <v>0</v>
      </c>
      <c r="AS868" s="272">
        <f t="shared" si="1009"/>
        <v>0</v>
      </c>
      <c r="AT868" s="272">
        <f t="shared" si="1009"/>
        <v>0</v>
      </c>
      <c r="AU868" s="272">
        <f t="shared" si="1009"/>
        <v>0</v>
      </c>
      <c r="AV868" s="272">
        <f t="shared" si="1009"/>
        <v>0</v>
      </c>
      <c r="AW868" s="272">
        <f t="shared" si="1009"/>
        <v>0</v>
      </c>
      <c r="AX868" s="272">
        <f t="shared" si="1009"/>
        <v>0</v>
      </c>
      <c r="AY868" s="272">
        <f t="shared" si="1009"/>
        <v>0</v>
      </c>
      <c r="AZ868" s="272">
        <f t="shared" si="1009"/>
        <v>0</v>
      </c>
      <c r="BA868" s="272">
        <f t="shared" si="1009"/>
        <v>0</v>
      </c>
      <c r="BB868" s="272">
        <f t="shared" si="1009"/>
        <v>0</v>
      </c>
      <c r="BC868" s="272">
        <f t="shared" si="1009"/>
        <v>0</v>
      </c>
      <c r="BD868" s="272">
        <f t="shared" si="1009"/>
        <v>0</v>
      </c>
      <c r="BE868" s="272">
        <f t="shared" si="1009"/>
        <v>0</v>
      </c>
      <c r="BF868" s="272">
        <f t="shared" si="1009"/>
        <v>0</v>
      </c>
      <c r="BG868" s="272">
        <f t="shared" si="1009"/>
        <v>0</v>
      </c>
      <c r="BH868" s="272">
        <f t="shared" si="1009"/>
        <v>0</v>
      </c>
      <c r="BI868" s="272">
        <f t="shared" si="1009"/>
        <v>0</v>
      </c>
      <c r="BJ868" s="272">
        <f t="shared" si="1009"/>
        <v>0</v>
      </c>
      <c r="BK868" s="272">
        <f t="shared" si="1009"/>
        <v>0</v>
      </c>
      <c r="BL868" s="272">
        <f t="shared" si="1009"/>
        <v>0</v>
      </c>
      <c r="BM868" s="272">
        <f t="shared" si="1009"/>
        <v>0</v>
      </c>
      <c r="BN868" s="324">
        <f t="shared" si="1009"/>
        <v>0</v>
      </c>
    </row>
    <row r="869" spans="32:66" ht="20.100000000000001" customHeight="1">
      <c r="AF869" s="1492"/>
      <c r="AG869" s="389" t="s">
        <v>1565</v>
      </c>
      <c r="AH869" s="1497" t="s">
        <v>1580</v>
      </c>
      <c r="AI869" s="1498"/>
      <c r="AJ869" s="1499"/>
      <c r="AK869" s="345">
        <v>0</v>
      </c>
      <c r="AL869" s="272">
        <f>IF($A$140=1,-AL784,0)</f>
        <v>0</v>
      </c>
      <c r="AM869" s="272">
        <f t="shared" ref="AM869:BN869" si="1010">IF($A$140=1,-AM784,0)</f>
        <v>0</v>
      </c>
      <c r="AN869" s="272">
        <f t="shared" si="1010"/>
        <v>0</v>
      </c>
      <c r="AO869" s="272">
        <f t="shared" si="1010"/>
        <v>0</v>
      </c>
      <c r="AP869" s="272">
        <f t="shared" si="1010"/>
        <v>0</v>
      </c>
      <c r="AQ869" s="272">
        <f t="shared" si="1010"/>
        <v>0</v>
      </c>
      <c r="AR869" s="272">
        <f t="shared" si="1010"/>
        <v>0</v>
      </c>
      <c r="AS869" s="272">
        <f t="shared" si="1010"/>
        <v>0</v>
      </c>
      <c r="AT869" s="272">
        <f t="shared" si="1010"/>
        <v>0</v>
      </c>
      <c r="AU869" s="272">
        <f t="shared" si="1010"/>
        <v>0</v>
      </c>
      <c r="AV869" s="272">
        <f t="shared" si="1010"/>
        <v>0</v>
      </c>
      <c r="AW869" s="272">
        <f t="shared" si="1010"/>
        <v>0</v>
      </c>
      <c r="AX869" s="272">
        <f t="shared" si="1010"/>
        <v>0</v>
      </c>
      <c r="AY869" s="272">
        <f t="shared" si="1010"/>
        <v>0</v>
      </c>
      <c r="AZ869" s="272">
        <f t="shared" si="1010"/>
        <v>0</v>
      </c>
      <c r="BA869" s="272">
        <f t="shared" si="1010"/>
        <v>0</v>
      </c>
      <c r="BB869" s="272">
        <f t="shared" si="1010"/>
        <v>0</v>
      </c>
      <c r="BC869" s="272">
        <f t="shared" si="1010"/>
        <v>0</v>
      </c>
      <c r="BD869" s="272">
        <f t="shared" si="1010"/>
        <v>0</v>
      </c>
      <c r="BE869" s="272">
        <f t="shared" si="1010"/>
        <v>0</v>
      </c>
      <c r="BF869" s="272">
        <f t="shared" si="1010"/>
        <v>0</v>
      </c>
      <c r="BG869" s="272">
        <f t="shared" si="1010"/>
        <v>0</v>
      </c>
      <c r="BH869" s="272">
        <f t="shared" si="1010"/>
        <v>0</v>
      </c>
      <c r="BI869" s="272">
        <f t="shared" si="1010"/>
        <v>0</v>
      </c>
      <c r="BJ869" s="272">
        <f t="shared" si="1010"/>
        <v>0</v>
      </c>
      <c r="BK869" s="272">
        <f t="shared" si="1010"/>
        <v>0</v>
      </c>
      <c r="BL869" s="272">
        <f t="shared" si="1010"/>
        <v>0</v>
      </c>
      <c r="BM869" s="272">
        <f t="shared" si="1010"/>
        <v>0</v>
      </c>
      <c r="BN869" s="324">
        <f t="shared" si="1010"/>
        <v>0</v>
      </c>
    </row>
    <row r="870" spans="32:66" ht="20.100000000000001" customHeight="1">
      <c r="AF870" s="1492"/>
      <c r="AG870" s="389" t="s">
        <v>1566</v>
      </c>
      <c r="AH870" s="1497" t="s">
        <v>1581</v>
      </c>
      <c r="AI870" s="1498"/>
      <c r="AJ870" s="1499"/>
      <c r="AK870" s="345">
        <v>0</v>
      </c>
      <c r="AL870" s="272">
        <f>IF($C$135=1,AL729,0)</f>
        <v>0</v>
      </c>
      <c r="AM870" s="272">
        <f t="shared" ref="AM870:BN870" si="1011">IF($C$135=1,AM729,0)</f>
        <v>0</v>
      </c>
      <c r="AN870" s="272">
        <f t="shared" si="1011"/>
        <v>0</v>
      </c>
      <c r="AO870" s="272">
        <f t="shared" si="1011"/>
        <v>0</v>
      </c>
      <c r="AP870" s="272">
        <f t="shared" si="1011"/>
        <v>0</v>
      </c>
      <c r="AQ870" s="272">
        <f t="shared" si="1011"/>
        <v>0</v>
      </c>
      <c r="AR870" s="272">
        <f t="shared" si="1011"/>
        <v>0</v>
      </c>
      <c r="AS870" s="272">
        <f t="shared" si="1011"/>
        <v>0</v>
      </c>
      <c r="AT870" s="272">
        <f t="shared" si="1011"/>
        <v>0</v>
      </c>
      <c r="AU870" s="272">
        <f t="shared" si="1011"/>
        <v>0</v>
      </c>
      <c r="AV870" s="272">
        <f t="shared" si="1011"/>
        <v>0</v>
      </c>
      <c r="AW870" s="272">
        <f t="shared" si="1011"/>
        <v>0</v>
      </c>
      <c r="AX870" s="272">
        <f t="shared" si="1011"/>
        <v>0</v>
      </c>
      <c r="AY870" s="272">
        <f t="shared" si="1011"/>
        <v>0</v>
      </c>
      <c r="AZ870" s="272">
        <f t="shared" si="1011"/>
        <v>0</v>
      </c>
      <c r="BA870" s="272">
        <f t="shared" si="1011"/>
        <v>0</v>
      </c>
      <c r="BB870" s="272">
        <f t="shared" si="1011"/>
        <v>0</v>
      </c>
      <c r="BC870" s="272">
        <f t="shared" si="1011"/>
        <v>0</v>
      </c>
      <c r="BD870" s="272">
        <f t="shared" si="1011"/>
        <v>0</v>
      </c>
      <c r="BE870" s="272">
        <f t="shared" si="1011"/>
        <v>0</v>
      </c>
      <c r="BF870" s="272">
        <f t="shared" si="1011"/>
        <v>0</v>
      </c>
      <c r="BG870" s="272">
        <f t="shared" si="1011"/>
        <v>0</v>
      </c>
      <c r="BH870" s="272">
        <f t="shared" si="1011"/>
        <v>0</v>
      </c>
      <c r="BI870" s="272">
        <f t="shared" si="1011"/>
        <v>0</v>
      </c>
      <c r="BJ870" s="272">
        <f t="shared" si="1011"/>
        <v>0</v>
      </c>
      <c r="BK870" s="272">
        <f t="shared" si="1011"/>
        <v>0</v>
      </c>
      <c r="BL870" s="272">
        <f t="shared" si="1011"/>
        <v>0</v>
      </c>
      <c r="BM870" s="272">
        <f t="shared" si="1011"/>
        <v>0</v>
      </c>
      <c r="BN870" s="324">
        <f t="shared" si="1011"/>
        <v>0</v>
      </c>
    </row>
    <row r="871" spans="32:66" ht="20.100000000000001" customHeight="1">
      <c r="AF871" s="1492"/>
      <c r="AG871" s="389" t="s">
        <v>1566</v>
      </c>
      <c r="AH871" s="1497" t="s">
        <v>1582</v>
      </c>
      <c r="AI871" s="1498"/>
      <c r="AJ871" s="1499"/>
      <c r="AK871" s="345">
        <v>0</v>
      </c>
      <c r="AL871" s="272">
        <f>IF($C$136=1,AL740,0)</f>
        <v>0</v>
      </c>
      <c r="AM871" s="272">
        <f t="shared" ref="AM871:BN871" si="1012">IF($C$136=1,AM740,0)</f>
        <v>0</v>
      </c>
      <c r="AN871" s="272">
        <f t="shared" si="1012"/>
        <v>0</v>
      </c>
      <c r="AO871" s="272">
        <f t="shared" si="1012"/>
        <v>0</v>
      </c>
      <c r="AP871" s="272">
        <f t="shared" si="1012"/>
        <v>0</v>
      </c>
      <c r="AQ871" s="272">
        <f t="shared" si="1012"/>
        <v>0</v>
      </c>
      <c r="AR871" s="272">
        <f t="shared" si="1012"/>
        <v>0</v>
      </c>
      <c r="AS871" s="272">
        <f t="shared" si="1012"/>
        <v>0</v>
      </c>
      <c r="AT871" s="272">
        <f t="shared" si="1012"/>
        <v>0</v>
      </c>
      <c r="AU871" s="272">
        <f t="shared" si="1012"/>
        <v>0</v>
      </c>
      <c r="AV871" s="272">
        <f t="shared" si="1012"/>
        <v>0</v>
      </c>
      <c r="AW871" s="272">
        <f t="shared" si="1012"/>
        <v>0</v>
      </c>
      <c r="AX871" s="272">
        <f t="shared" si="1012"/>
        <v>0</v>
      </c>
      <c r="AY871" s="272">
        <f t="shared" si="1012"/>
        <v>0</v>
      </c>
      <c r="AZ871" s="272">
        <f t="shared" si="1012"/>
        <v>0</v>
      </c>
      <c r="BA871" s="272">
        <f t="shared" si="1012"/>
        <v>0</v>
      </c>
      <c r="BB871" s="272">
        <f t="shared" si="1012"/>
        <v>0</v>
      </c>
      <c r="BC871" s="272">
        <f t="shared" si="1012"/>
        <v>0</v>
      </c>
      <c r="BD871" s="272">
        <f t="shared" si="1012"/>
        <v>0</v>
      </c>
      <c r="BE871" s="272">
        <f t="shared" si="1012"/>
        <v>0</v>
      </c>
      <c r="BF871" s="272">
        <f t="shared" si="1012"/>
        <v>0</v>
      </c>
      <c r="BG871" s="272">
        <f t="shared" si="1012"/>
        <v>0</v>
      </c>
      <c r="BH871" s="272">
        <f t="shared" si="1012"/>
        <v>0</v>
      </c>
      <c r="BI871" s="272">
        <f t="shared" si="1012"/>
        <v>0</v>
      </c>
      <c r="BJ871" s="272">
        <f t="shared" si="1012"/>
        <v>0</v>
      </c>
      <c r="BK871" s="272">
        <f t="shared" si="1012"/>
        <v>0</v>
      </c>
      <c r="BL871" s="272">
        <f t="shared" si="1012"/>
        <v>0</v>
      </c>
      <c r="BM871" s="272">
        <f t="shared" si="1012"/>
        <v>0</v>
      </c>
      <c r="BN871" s="324">
        <f t="shared" si="1012"/>
        <v>0</v>
      </c>
    </row>
    <row r="872" spans="32:66" ht="20.100000000000001" customHeight="1">
      <c r="AF872" s="1492"/>
      <c r="AG872" s="389" t="s">
        <v>1566</v>
      </c>
      <c r="AH872" s="1497" t="s">
        <v>1583</v>
      </c>
      <c r="AI872" s="1498"/>
      <c r="AJ872" s="1499"/>
      <c r="AK872" s="345">
        <v>0</v>
      </c>
      <c r="AL872" s="272">
        <f>IF($C$137=1,AL751,0)</f>
        <v>0</v>
      </c>
      <c r="AM872" s="272">
        <f t="shared" ref="AM872:BN872" si="1013">IF($C$137=1,AM751,0)</f>
        <v>0</v>
      </c>
      <c r="AN872" s="272">
        <f t="shared" si="1013"/>
        <v>0</v>
      </c>
      <c r="AO872" s="272">
        <f t="shared" si="1013"/>
        <v>0</v>
      </c>
      <c r="AP872" s="272">
        <f t="shared" si="1013"/>
        <v>0</v>
      </c>
      <c r="AQ872" s="272">
        <f t="shared" si="1013"/>
        <v>0</v>
      </c>
      <c r="AR872" s="272">
        <f t="shared" si="1013"/>
        <v>0</v>
      </c>
      <c r="AS872" s="272">
        <f t="shared" si="1013"/>
        <v>0</v>
      </c>
      <c r="AT872" s="272">
        <f t="shared" si="1013"/>
        <v>0</v>
      </c>
      <c r="AU872" s="272">
        <f t="shared" si="1013"/>
        <v>0</v>
      </c>
      <c r="AV872" s="272">
        <f t="shared" si="1013"/>
        <v>0</v>
      </c>
      <c r="AW872" s="272">
        <f t="shared" si="1013"/>
        <v>0</v>
      </c>
      <c r="AX872" s="272">
        <f t="shared" si="1013"/>
        <v>0</v>
      </c>
      <c r="AY872" s="272">
        <f t="shared" si="1013"/>
        <v>0</v>
      </c>
      <c r="AZ872" s="272">
        <f t="shared" si="1013"/>
        <v>0</v>
      </c>
      <c r="BA872" s="272">
        <f t="shared" si="1013"/>
        <v>0</v>
      </c>
      <c r="BB872" s="272">
        <f t="shared" si="1013"/>
        <v>0</v>
      </c>
      <c r="BC872" s="272">
        <f t="shared" si="1013"/>
        <v>0</v>
      </c>
      <c r="BD872" s="272">
        <f t="shared" si="1013"/>
        <v>0</v>
      </c>
      <c r="BE872" s="272">
        <f t="shared" si="1013"/>
        <v>0</v>
      </c>
      <c r="BF872" s="272">
        <f t="shared" si="1013"/>
        <v>0</v>
      </c>
      <c r="BG872" s="272">
        <f t="shared" si="1013"/>
        <v>0</v>
      </c>
      <c r="BH872" s="272">
        <f t="shared" si="1013"/>
        <v>0</v>
      </c>
      <c r="BI872" s="272">
        <f t="shared" si="1013"/>
        <v>0</v>
      </c>
      <c r="BJ872" s="272">
        <f t="shared" si="1013"/>
        <v>0</v>
      </c>
      <c r="BK872" s="272">
        <f t="shared" si="1013"/>
        <v>0</v>
      </c>
      <c r="BL872" s="272">
        <f t="shared" si="1013"/>
        <v>0</v>
      </c>
      <c r="BM872" s="272">
        <f t="shared" si="1013"/>
        <v>0</v>
      </c>
      <c r="BN872" s="324">
        <f t="shared" si="1013"/>
        <v>0</v>
      </c>
    </row>
    <row r="873" spans="32:66" ht="20.100000000000001" customHeight="1">
      <c r="AF873" s="1492"/>
      <c r="AG873" s="389" t="s">
        <v>1566</v>
      </c>
      <c r="AH873" s="1497" t="s">
        <v>1584</v>
      </c>
      <c r="AI873" s="1498"/>
      <c r="AJ873" s="1499"/>
      <c r="AK873" s="345">
        <v>0</v>
      </c>
      <c r="AL873" s="272">
        <f>IF($C$138=1,AL762,0)</f>
        <v>0</v>
      </c>
      <c r="AM873" s="272">
        <f t="shared" ref="AM873:BN873" si="1014">IF($C$138=1,AM762,0)</f>
        <v>0</v>
      </c>
      <c r="AN873" s="272">
        <f t="shared" si="1014"/>
        <v>0</v>
      </c>
      <c r="AO873" s="272">
        <f t="shared" si="1014"/>
        <v>0</v>
      </c>
      <c r="AP873" s="272">
        <f t="shared" si="1014"/>
        <v>0</v>
      </c>
      <c r="AQ873" s="272">
        <f t="shared" si="1014"/>
        <v>0</v>
      </c>
      <c r="AR873" s="272">
        <f t="shared" si="1014"/>
        <v>0</v>
      </c>
      <c r="AS873" s="272">
        <f t="shared" si="1014"/>
        <v>0</v>
      </c>
      <c r="AT873" s="272">
        <f t="shared" si="1014"/>
        <v>0</v>
      </c>
      <c r="AU873" s="272">
        <f t="shared" si="1014"/>
        <v>0</v>
      </c>
      <c r="AV873" s="272">
        <f t="shared" si="1014"/>
        <v>0</v>
      </c>
      <c r="AW873" s="272">
        <f t="shared" si="1014"/>
        <v>0</v>
      </c>
      <c r="AX873" s="272">
        <f t="shared" si="1014"/>
        <v>0</v>
      </c>
      <c r="AY873" s="272">
        <f t="shared" si="1014"/>
        <v>0</v>
      </c>
      <c r="AZ873" s="272">
        <f t="shared" si="1014"/>
        <v>0</v>
      </c>
      <c r="BA873" s="272">
        <f t="shared" si="1014"/>
        <v>0</v>
      </c>
      <c r="BB873" s="272">
        <f t="shared" si="1014"/>
        <v>0</v>
      </c>
      <c r="BC873" s="272">
        <f t="shared" si="1014"/>
        <v>0</v>
      </c>
      <c r="BD873" s="272">
        <f t="shared" si="1014"/>
        <v>0</v>
      </c>
      <c r="BE873" s="272">
        <f t="shared" si="1014"/>
        <v>0</v>
      </c>
      <c r="BF873" s="272">
        <f t="shared" si="1014"/>
        <v>0</v>
      </c>
      <c r="BG873" s="272">
        <f t="shared" si="1014"/>
        <v>0</v>
      </c>
      <c r="BH873" s="272">
        <f t="shared" si="1014"/>
        <v>0</v>
      </c>
      <c r="BI873" s="272">
        <f t="shared" si="1014"/>
        <v>0</v>
      </c>
      <c r="BJ873" s="272">
        <f t="shared" si="1014"/>
        <v>0</v>
      </c>
      <c r="BK873" s="272">
        <f t="shared" si="1014"/>
        <v>0</v>
      </c>
      <c r="BL873" s="272">
        <f t="shared" si="1014"/>
        <v>0</v>
      </c>
      <c r="BM873" s="272">
        <f t="shared" si="1014"/>
        <v>0</v>
      </c>
      <c r="BN873" s="324">
        <f t="shared" si="1014"/>
        <v>0</v>
      </c>
    </row>
    <row r="874" spans="32:66" ht="20.100000000000001" customHeight="1">
      <c r="AF874" s="1492"/>
      <c r="AG874" s="389" t="s">
        <v>1566</v>
      </c>
      <c r="AH874" s="1497" t="s">
        <v>1585</v>
      </c>
      <c r="AI874" s="1498"/>
      <c r="AJ874" s="1499"/>
      <c r="AK874" s="345">
        <v>0</v>
      </c>
      <c r="AL874" s="272">
        <f>IF($C$139=1,AL773,0)</f>
        <v>0</v>
      </c>
      <c r="AM874" s="272">
        <f t="shared" ref="AM874:BN874" si="1015">IF($C$139=1,AM773,0)</f>
        <v>0</v>
      </c>
      <c r="AN874" s="272">
        <f t="shared" si="1015"/>
        <v>0</v>
      </c>
      <c r="AO874" s="272">
        <f t="shared" si="1015"/>
        <v>0</v>
      </c>
      <c r="AP874" s="272">
        <f t="shared" si="1015"/>
        <v>0</v>
      </c>
      <c r="AQ874" s="272">
        <f t="shared" si="1015"/>
        <v>0</v>
      </c>
      <c r="AR874" s="272">
        <f t="shared" si="1015"/>
        <v>0</v>
      </c>
      <c r="AS874" s="272">
        <f t="shared" si="1015"/>
        <v>0</v>
      </c>
      <c r="AT874" s="272">
        <f t="shared" si="1015"/>
        <v>0</v>
      </c>
      <c r="AU874" s="272">
        <f t="shared" si="1015"/>
        <v>0</v>
      </c>
      <c r="AV874" s="272">
        <f t="shared" si="1015"/>
        <v>0</v>
      </c>
      <c r="AW874" s="272">
        <f t="shared" si="1015"/>
        <v>0</v>
      </c>
      <c r="AX874" s="272">
        <f t="shared" si="1015"/>
        <v>0</v>
      </c>
      <c r="AY874" s="272">
        <f t="shared" si="1015"/>
        <v>0</v>
      </c>
      <c r="AZ874" s="272">
        <f t="shared" si="1015"/>
        <v>0</v>
      </c>
      <c r="BA874" s="272">
        <f t="shared" si="1015"/>
        <v>0</v>
      </c>
      <c r="BB874" s="272">
        <f t="shared" si="1015"/>
        <v>0</v>
      </c>
      <c r="BC874" s="272">
        <f t="shared" si="1015"/>
        <v>0</v>
      </c>
      <c r="BD874" s="272">
        <f t="shared" si="1015"/>
        <v>0</v>
      </c>
      <c r="BE874" s="272">
        <f t="shared" si="1015"/>
        <v>0</v>
      </c>
      <c r="BF874" s="272">
        <f t="shared" si="1015"/>
        <v>0</v>
      </c>
      <c r="BG874" s="272">
        <f t="shared" si="1015"/>
        <v>0</v>
      </c>
      <c r="BH874" s="272">
        <f t="shared" si="1015"/>
        <v>0</v>
      </c>
      <c r="BI874" s="272">
        <f t="shared" si="1015"/>
        <v>0</v>
      </c>
      <c r="BJ874" s="272">
        <f t="shared" si="1015"/>
        <v>0</v>
      </c>
      <c r="BK874" s="272">
        <f t="shared" si="1015"/>
        <v>0</v>
      </c>
      <c r="BL874" s="272">
        <f t="shared" si="1015"/>
        <v>0</v>
      </c>
      <c r="BM874" s="272">
        <f t="shared" si="1015"/>
        <v>0</v>
      </c>
      <c r="BN874" s="324">
        <f t="shared" si="1015"/>
        <v>0</v>
      </c>
    </row>
    <row r="875" spans="32:66" ht="20.100000000000001" customHeight="1" thickBot="1">
      <c r="AF875" s="1493"/>
      <c r="AG875" s="390" t="s">
        <v>1566</v>
      </c>
      <c r="AH875" s="1485" t="s">
        <v>1586</v>
      </c>
      <c r="AI875" s="1486"/>
      <c r="AJ875" s="1487"/>
      <c r="AK875" s="391">
        <v>0</v>
      </c>
      <c r="AL875" s="325">
        <f>IF($C$140=1,AL784,0)</f>
        <v>0</v>
      </c>
      <c r="AM875" s="325">
        <f t="shared" ref="AM875:BN875" si="1016">IF($C$140=1,AM784,0)</f>
        <v>0</v>
      </c>
      <c r="AN875" s="325">
        <f t="shared" si="1016"/>
        <v>0</v>
      </c>
      <c r="AO875" s="325">
        <f t="shared" si="1016"/>
        <v>0</v>
      </c>
      <c r="AP875" s="325">
        <f t="shared" si="1016"/>
        <v>0</v>
      </c>
      <c r="AQ875" s="325">
        <f t="shared" si="1016"/>
        <v>0</v>
      </c>
      <c r="AR875" s="325">
        <f t="shared" si="1016"/>
        <v>0</v>
      </c>
      <c r="AS875" s="325">
        <f t="shared" si="1016"/>
        <v>0</v>
      </c>
      <c r="AT875" s="325">
        <f t="shared" si="1016"/>
        <v>0</v>
      </c>
      <c r="AU875" s="325">
        <f t="shared" si="1016"/>
        <v>0</v>
      </c>
      <c r="AV875" s="325">
        <f t="shared" si="1016"/>
        <v>0</v>
      </c>
      <c r="AW875" s="325">
        <f t="shared" si="1016"/>
        <v>0</v>
      </c>
      <c r="AX875" s="325">
        <f t="shared" si="1016"/>
        <v>0</v>
      </c>
      <c r="AY875" s="325">
        <f t="shared" si="1016"/>
        <v>0</v>
      </c>
      <c r="AZ875" s="325">
        <f t="shared" si="1016"/>
        <v>0</v>
      </c>
      <c r="BA875" s="325">
        <f t="shared" si="1016"/>
        <v>0</v>
      </c>
      <c r="BB875" s="325">
        <f t="shared" si="1016"/>
        <v>0</v>
      </c>
      <c r="BC875" s="325">
        <f t="shared" si="1016"/>
        <v>0</v>
      </c>
      <c r="BD875" s="325">
        <f t="shared" si="1016"/>
        <v>0</v>
      </c>
      <c r="BE875" s="325">
        <f t="shared" si="1016"/>
        <v>0</v>
      </c>
      <c r="BF875" s="325">
        <f t="shared" si="1016"/>
        <v>0</v>
      </c>
      <c r="BG875" s="325">
        <f t="shared" si="1016"/>
        <v>0</v>
      </c>
      <c r="BH875" s="325">
        <f t="shared" si="1016"/>
        <v>0</v>
      </c>
      <c r="BI875" s="325">
        <f t="shared" si="1016"/>
        <v>0</v>
      </c>
      <c r="BJ875" s="325">
        <f t="shared" si="1016"/>
        <v>0</v>
      </c>
      <c r="BK875" s="325">
        <f t="shared" si="1016"/>
        <v>0</v>
      </c>
      <c r="BL875" s="325">
        <f t="shared" si="1016"/>
        <v>0</v>
      </c>
      <c r="BM875" s="325">
        <f t="shared" si="1016"/>
        <v>0</v>
      </c>
      <c r="BN875" s="326">
        <f t="shared" si="1016"/>
        <v>0</v>
      </c>
    </row>
    <row r="876" spans="32:66" ht="20.100000000000001" customHeight="1">
      <c r="AF876" s="332"/>
      <c r="AG876" s="1488" t="s">
        <v>1454</v>
      </c>
      <c r="AH876" s="1489"/>
      <c r="AI876" s="1489"/>
      <c r="AJ876" s="1490"/>
      <c r="AK876" s="344">
        <v>0</v>
      </c>
      <c r="AL876" s="327">
        <f>IF(AL854&gt;START!$C$2+2020,SUM(AL855:AL875),0)</f>
        <v>0</v>
      </c>
      <c r="AM876" s="327">
        <f>IF(AM854&gt;START!$C$2+2020,SUM(AM855:AM875),0)</f>
        <v>11952.759374890931</v>
      </c>
      <c r="AN876" s="327">
        <f>IF(AN854&gt;START!$C$2+2020,SUM(AN855:AN875),0)</f>
        <v>11927.129903599831</v>
      </c>
      <c r="AO876" s="327">
        <f>IF(AO854&gt;START!$C$2+2020,SUM(AO855:AO875),0)</f>
        <v>11901.756727021642</v>
      </c>
      <c r="AP876" s="327">
        <f>IF(AP854&gt;START!$C$2+2020,SUM(AP855:AP875),0)</f>
        <v>11876.637282209234</v>
      </c>
      <c r="AQ876" s="327">
        <f>IF(AQ854&gt;START!$C$2+2020,SUM(AQ855:AQ875),0)</f>
        <v>11851.769031844949</v>
      </c>
      <c r="AR876" s="327">
        <f>IF(AR854&gt;START!$C$2+2020,SUM(AR855:AR875),0)</f>
        <v>11827.149463984308</v>
      </c>
      <c r="AS876" s="327">
        <f>IF(AS854&gt;START!$C$2+2020,SUM(AS855:AS875),0)</f>
        <v>11802.776091802274</v>
      </c>
      <c r="AT876" s="327">
        <f>IF(AT854&gt;START!$C$2+2020,SUM(AT855:AT875),0)</f>
        <v>4482.5806765048528</v>
      </c>
      <c r="AU876" s="327">
        <f>IF(AU854&gt;START!$C$2+2020,SUM(AU855:AU875),0)</f>
        <v>4351.1947950889862</v>
      </c>
      <c r="AV876" s="327">
        <f>IF(AV854&gt;START!$C$2+2020,SUM(AV855:AV875),0)</f>
        <v>4227.0351371509933</v>
      </c>
      <c r="AW876" s="327">
        <f>IF(AW854&gt;START!$C$2+2020,SUM(AW855:AW875),0)</f>
        <v>4109.7042603995906</v>
      </c>
      <c r="AX876" s="327">
        <f>IF(AX854&gt;START!$C$2+2020,SUM(AX855:AX875),0)</f>
        <v>3998.8265818695127</v>
      </c>
      <c r="AY876" s="327">
        <f>IF(AY854&gt;START!$C$2+2020,SUM(AY855:AY875),0)</f>
        <v>3894.0471756585903</v>
      </c>
      <c r="AZ876" s="327">
        <f>IF(AZ854&gt;START!$C$2+2020,SUM(AZ855:AZ875),0)</f>
        <v>3795.0306367892699</v>
      </c>
      <c r="BA876" s="327">
        <f>IF(BA854&gt;START!$C$2+2020,SUM(BA855:BA875),0)</f>
        <v>3701.46000755776</v>
      </c>
      <c r="BB876" s="327">
        <f>IF(BB854&gt;START!$C$2+2020,SUM(BB855:BB875),0)</f>
        <v>3613.0357629339833</v>
      </c>
      <c r="BC876" s="327">
        <f>IF(BC854&gt;START!$C$2+2020,SUM(BC855:BC875),0)</f>
        <v>3529.4748517645166</v>
      </c>
      <c r="BD876" s="327">
        <f>IF(BD854&gt;START!$C$2+2020,SUM(BD855:BD875),0)</f>
        <v>3450.5097907093677</v>
      </c>
      <c r="BE876" s="327">
        <f>IF(BE854&gt;START!$C$2+2020,SUM(BE855:BE875),0)</f>
        <v>3375.8878080122522</v>
      </c>
      <c r="BF876" s="327">
        <f>IF(BF854&gt;START!$C$2+2020,SUM(BF855:BF875),0)</f>
        <v>3305.370034363481</v>
      </c>
      <c r="BG876" s="327">
        <f>IF(BG854&gt;START!$C$2+2020,SUM(BG855:BG875),0)</f>
        <v>3238.7307382653889</v>
      </c>
      <c r="BH876" s="327">
        <f>IF(BH854&gt;START!$C$2+2020,SUM(BH855:BH875),0)</f>
        <v>3175.7566034526935</v>
      </c>
      <c r="BI876" s="327">
        <f>IF(BI854&gt;START!$C$2+2020,SUM(BI855:BI875),0)</f>
        <v>3116.2460460546972</v>
      </c>
      <c r="BJ876" s="327">
        <f>IF(BJ854&gt;START!$C$2+2020,SUM(BJ855:BJ875),0)</f>
        <v>3060.0085693135879</v>
      </c>
      <c r="BK876" s="327">
        <f>IF(BK854&gt;START!$C$2+2020,SUM(BK855:BK875),0)</f>
        <v>3006.8641537932417</v>
      </c>
      <c r="BL876" s="327">
        <f>IF(BL854&gt;START!$C$2+2020,SUM(BL855:BL875),0)</f>
        <v>2956.6426811265155</v>
      </c>
      <c r="BM876" s="327">
        <f>IF(BM854&gt;START!$C$2+2020,SUM(BM855:BM875),0)</f>
        <v>2909.183389456457</v>
      </c>
      <c r="BN876" s="327">
        <f>IF(BN854&gt;START!$C$2+2020,SUM(BN855:BN875),0)</f>
        <v>2864.3343588282532</v>
      </c>
    </row>
    <row r="878" spans="32:66" ht="20.100000000000001" customHeight="1">
      <c r="AF878" s="290" t="s">
        <v>1559</v>
      </c>
      <c r="AG878" s="279"/>
      <c r="AH878" s="279"/>
      <c r="AI878" s="279"/>
      <c r="AJ878" s="279"/>
      <c r="AK878" s="279"/>
      <c r="AL878" s="279"/>
      <c r="AM878" s="279"/>
    </row>
    <row r="879" spans="32:66" ht="20.100000000000001" customHeight="1" thickBot="1">
      <c r="AF879" s="306" t="s">
        <v>1561</v>
      </c>
      <c r="AG879" s="307"/>
      <c r="AH879" s="307"/>
      <c r="AI879" s="314"/>
      <c r="AJ879" s="340"/>
      <c r="AK879" s="341">
        <v>2021</v>
      </c>
      <c r="AL879" s="284">
        <v>2022</v>
      </c>
      <c r="AM879" s="284">
        <f>AL879+1</f>
        <v>2023</v>
      </c>
      <c r="AN879" s="284">
        <f t="shared" ref="AN879" si="1017">AM879+1</f>
        <v>2024</v>
      </c>
      <c r="AO879" s="284">
        <f t="shared" ref="AO879" si="1018">AN879+1</f>
        <v>2025</v>
      </c>
      <c r="AP879" s="284">
        <f t="shared" ref="AP879" si="1019">AO879+1</f>
        <v>2026</v>
      </c>
      <c r="AQ879" s="284">
        <f t="shared" ref="AQ879" si="1020">AP879+1</f>
        <v>2027</v>
      </c>
      <c r="AR879" s="284">
        <f t="shared" ref="AR879" si="1021">AQ879+1</f>
        <v>2028</v>
      </c>
      <c r="AS879" s="284">
        <f t="shared" ref="AS879" si="1022">AR879+1</f>
        <v>2029</v>
      </c>
      <c r="AT879" s="284">
        <f t="shared" ref="AT879" si="1023">AS879+1</f>
        <v>2030</v>
      </c>
      <c r="AU879" s="284">
        <f t="shared" ref="AU879" si="1024">AT879+1</f>
        <v>2031</v>
      </c>
      <c r="AV879" s="284">
        <f t="shared" ref="AV879" si="1025">AU879+1</f>
        <v>2032</v>
      </c>
      <c r="AW879" s="284">
        <f t="shared" ref="AW879" si="1026">AV879+1</f>
        <v>2033</v>
      </c>
      <c r="AX879" s="284">
        <f t="shared" ref="AX879" si="1027">AW879+1</f>
        <v>2034</v>
      </c>
      <c r="AY879" s="284">
        <f t="shared" ref="AY879" si="1028">AX879+1</f>
        <v>2035</v>
      </c>
      <c r="AZ879" s="284">
        <f t="shared" ref="AZ879" si="1029">AY879+1</f>
        <v>2036</v>
      </c>
      <c r="BA879" s="284">
        <f t="shared" ref="BA879" si="1030">AZ879+1</f>
        <v>2037</v>
      </c>
      <c r="BB879" s="284">
        <f t="shared" ref="BB879" si="1031">BA879+1</f>
        <v>2038</v>
      </c>
      <c r="BC879" s="284">
        <f t="shared" ref="BC879" si="1032">BB879+1</f>
        <v>2039</v>
      </c>
      <c r="BD879" s="284">
        <f t="shared" ref="BD879" si="1033">BC879+1</f>
        <v>2040</v>
      </c>
      <c r="BE879" s="284">
        <f t="shared" ref="BE879" si="1034">BD879+1</f>
        <v>2041</v>
      </c>
      <c r="BF879" s="284">
        <f t="shared" ref="BF879" si="1035">BE879+1</f>
        <v>2042</v>
      </c>
      <c r="BG879" s="284">
        <f t="shared" ref="BG879" si="1036">BF879+1</f>
        <v>2043</v>
      </c>
      <c r="BH879" s="284">
        <f t="shared" ref="BH879" si="1037">BG879+1</f>
        <v>2044</v>
      </c>
      <c r="BI879" s="284">
        <f t="shared" ref="BI879" si="1038">BH879+1</f>
        <v>2045</v>
      </c>
      <c r="BJ879" s="284">
        <f t="shared" ref="BJ879" si="1039">BI879+1</f>
        <v>2046</v>
      </c>
      <c r="BK879" s="284">
        <f t="shared" ref="BK879" si="1040">BJ879+1</f>
        <v>2047</v>
      </c>
      <c r="BL879" s="284">
        <f t="shared" ref="BL879" si="1041">BK879+1</f>
        <v>2048</v>
      </c>
      <c r="BM879" s="284">
        <f t="shared" ref="BM879" si="1042">BL879+1</f>
        <v>2049</v>
      </c>
      <c r="BN879" s="284">
        <f t="shared" ref="BN879" si="1043">BM879+1</f>
        <v>2050</v>
      </c>
    </row>
    <row r="880" spans="32:66" ht="20.100000000000001" customHeight="1">
      <c r="AF880" s="1491" t="s">
        <v>1219</v>
      </c>
      <c r="AG880" s="286" t="s">
        <v>1560</v>
      </c>
      <c r="AH880" s="1494" t="s">
        <v>1588</v>
      </c>
      <c r="AI880" s="1495"/>
      <c r="AJ880" s="1496"/>
      <c r="AK880" s="343">
        <v>0</v>
      </c>
      <c r="AL880" s="328">
        <f t="shared" ref="AL880:BN880" si="1044">AL221</f>
        <v>0</v>
      </c>
      <c r="AM880" s="328">
        <f t="shared" si="1044"/>
        <v>18504.839515652016</v>
      </c>
      <c r="AN880" s="328">
        <f t="shared" si="1044"/>
        <v>18465.160874240635</v>
      </c>
      <c r="AO880" s="328">
        <f t="shared" si="1044"/>
        <v>18425.879019243366</v>
      </c>
      <c r="AP880" s="328">
        <f t="shared" si="1044"/>
        <v>18386.989982796073</v>
      </c>
      <c r="AQ880" s="328">
        <f t="shared" si="1044"/>
        <v>18348.489836713248</v>
      </c>
      <c r="AR880" s="328">
        <f t="shared" si="1044"/>
        <v>18310.374692091256</v>
      </c>
      <c r="AS880" s="328">
        <f t="shared" si="1044"/>
        <v>18272.640698915482</v>
      </c>
      <c r="AT880" s="328">
        <f t="shared" si="1044"/>
        <v>18235.284045671462</v>
      </c>
      <c r="AU880" s="328">
        <f t="shared" si="1044"/>
        <v>18031.877068757793</v>
      </c>
      <c r="AV880" s="328">
        <f t="shared" si="1044"/>
        <v>17839.657475574379</v>
      </c>
      <c r="AW880" s="328">
        <f t="shared" si="1044"/>
        <v>17658.009960016047</v>
      </c>
      <c r="AX880" s="328">
        <f t="shared" si="1044"/>
        <v>17486.353057813423</v>
      </c>
      <c r="AY880" s="328">
        <f t="shared" si="1044"/>
        <v>17324.137285231947</v>
      </c>
      <c r="AZ880" s="328">
        <f t="shared" si="1044"/>
        <v>17170.843380142451</v>
      </c>
      <c r="BA880" s="328">
        <f t="shared" si="1044"/>
        <v>17025.980639832876</v>
      </c>
      <c r="BB880" s="328">
        <f t="shared" si="1044"/>
        <v>16889.08535024033</v>
      </c>
      <c r="BC880" s="328">
        <f t="shared" si="1044"/>
        <v>16759.719301575373</v>
      </c>
      <c r="BD880" s="328">
        <f t="shared" si="1044"/>
        <v>16637.468385586988</v>
      </c>
      <c r="BE880" s="328">
        <f t="shared" si="1044"/>
        <v>16521.941269977964</v>
      </c>
      <c r="BF880" s="328">
        <f t="shared" si="1044"/>
        <v>16412.768145727438</v>
      </c>
      <c r="BG880" s="328">
        <f t="shared" si="1044"/>
        <v>16309.599543310689</v>
      </c>
      <c r="BH880" s="328">
        <f t="shared" si="1044"/>
        <v>16212.105214026862</v>
      </c>
      <c r="BI880" s="328">
        <f t="shared" si="1044"/>
        <v>16119.973072853645</v>
      </c>
      <c r="BJ880" s="328">
        <f t="shared" si="1044"/>
        <v>16032.908199444955</v>
      </c>
      <c r="BK880" s="328">
        <f t="shared" si="1044"/>
        <v>15950.631894073744</v>
      </c>
      <c r="BL880" s="328">
        <f t="shared" si="1044"/>
        <v>15872.88078549795</v>
      </c>
      <c r="BM880" s="328">
        <f t="shared" si="1044"/>
        <v>15799.405987893824</v>
      </c>
      <c r="BN880" s="328">
        <f t="shared" si="1044"/>
        <v>15729.972304157924</v>
      </c>
    </row>
    <row r="881" spans="32:66" ht="20.100000000000001" customHeight="1">
      <c r="AF881" s="1492"/>
      <c r="AG881" s="389" t="s">
        <v>1562</v>
      </c>
      <c r="AH881" s="1497" t="s">
        <v>1567</v>
      </c>
      <c r="AI881" s="1498"/>
      <c r="AJ881" s="1499"/>
      <c r="AK881" s="345">
        <v>0</v>
      </c>
      <c r="AL881" s="272">
        <f t="shared" ref="AL881:BN881" si="1045">AL288</f>
        <v>0</v>
      </c>
      <c r="AM881" s="272">
        <f t="shared" si="1045"/>
        <v>0</v>
      </c>
      <c r="AN881" s="272">
        <f t="shared" si="1045"/>
        <v>0</v>
      </c>
      <c r="AO881" s="272">
        <f t="shared" si="1045"/>
        <v>0</v>
      </c>
      <c r="AP881" s="272">
        <f t="shared" si="1045"/>
        <v>0</v>
      </c>
      <c r="AQ881" s="272">
        <f t="shared" si="1045"/>
        <v>0</v>
      </c>
      <c r="AR881" s="272">
        <f t="shared" si="1045"/>
        <v>0</v>
      </c>
      <c r="AS881" s="272">
        <f t="shared" si="1045"/>
        <v>0</v>
      </c>
      <c r="AT881" s="272">
        <f t="shared" si="1045"/>
        <v>0</v>
      </c>
      <c r="AU881" s="272">
        <f t="shared" si="1045"/>
        <v>0</v>
      </c>
      <c r="AV881" s="272">
        <f t="shared" si="1045"/>
        <v>0</v>
      </c>
      <c r="AW881" s="272">
        <f t="shared" si="1045"/>
        <v>0</v>
      </c>
      <c r="AX881" s="272">
        <f t="shared" si="1045"/>
        <v>0</v>
      </c>
      <c r="AY881" s="272">
        <f t="shared" si="1045"/>
        <v>0</v>
      </c>
      <c r="AZ881" s="272">
        <f t="shared" si="1045"/>
        <v>0</v>
      </c>
      <c r="BA881" s="272">
        <f t="shared" si="1045"/>
        <v>0</v>
      </c>
      <c r="BB881" s="272">
        <f t="shared" si="1045"/>
        <v>0</v>
      </c>
      <c r="BC881" s="272">
        <f t="shared" si="1045"/>
        <v>0</v>
      </c>
      <c r="BD881" s="272">
        <f t="shared" si="1045"/>
        <v>0</v>
      </c>
      <c r="BE881" s="272">
        <f t="shared" si="1045"/>
        <v>0</v>
      </c>
      <c r="BF881" s="272">
        <f t="shared" si="1045"/>
        <v>0</v>
      </c>
      <c r="BG881" s="272">
        <f t="shared" si="1045"/>
        <v>0</v>
      </c>
      <c r="BH881" s="272">
        <f t="shared" si="1045"/>
        <v>0</v>
      </c>
      <c r="BI881" s="272">
        <f t="shared" si="1045"/>
        <v>0</v>
      </c>
      <c r="BJ881" s="272">
        <f t="shared" si="1045"/>
        <v>0</v>
      </c>
      <c r="BK881" s="272">
        <f t="shared" si="1045"/>
        <v>0</v>
      </c>
      <c r="BL881" s="272">
        <f t="shared" si="1045"/>
        <v>0</v>
      </c>
      <c r="BM881" s="272">
        <f t="shared" si="1045"/>
        <v>0</v>
      </c>
      <c r="BN881" s="324">
        <f t="shared" si="1045"/>
        <v>0</v>
      </c>
    </row>
    <row r="882" spans="32:66" ht="20.100000000000001" customHeight="1">
      <c r="AF882" s="1492"/>
      <c r="AG882" s="389" t="s">
        <v>1563</v>
      </c>
      <c r="AH882" s="1497" t="s">
        <v>1568</v>
      </c>
      <c r="AI882" s="1498"/>
      <c r="AJ882" s="1499"/>
      <c r="AK882" s="345">
        <v>0</v>
      </c>
      <c r="AL882" s="272">
        <f t="shared" ref="AL882:BN882" si="1046">AL407</f>
        <v>0</v>
      </c>
      <c r="AM882" s="272">
        <f t="shared" si="1046"/>
        <v>0</v>
      </c>
      <c r="AN882" s="272">
        <f t="shared" si="1046"/>
        <v>0</v>
      </c>
      <c r="AO882" s="272">
        <f t="shared" si="1046"/>
        <v>0</v>
      </c>
      <c r="AP882" s="272">
        <f t="shared" si="1046"/>
        <v>0</v>
      </c>
      <c r="AQ882" s="272">
        <f t="shared" si="1046"/>
        <v>0</v>
      </c>
      <c r="AR882" s="272">
        <f t="shared" si="1046"/>
        <v>0</v>
      </c>
      <c r="AS882" s="272">
        <f t="shared" si="1046"/>
        <v>0</v>
      </c>
      <c r="AT882" s="272">
        <f t="shared" si="1046"/>
        <v>0</v>
      </c>
      <c r="AU882" s="272">
        <f t="shared" si="1046"/>
        <v>0</v>
      </c>
      <c r="AV882" s="272">
        <f t="shared" si="1046"/>
        <v>0</v>
      </c>
      <c r="AW882" s="272">
        <f t="shared" si="1046"/>
        <v>0</v>
      </c>
      <c r="AX882" s="272">
        <f t="shared" si="1046"/>
        <v>0</v>
      </c>
      <c r="AY882" s="272">
        <f t="shared" si="1046"/>
        <v>0</v>
      </c>
      <c r="AZ882" s="272">
        <f t="shared" si="1046"/>
        <v>0</v>
      </c>
      <c r="BA882" s="272">
        <f t="shared" si="1046"/>
        <v>0</v>
      </c>
      <c r="BB882" s="272">
        <f t="shared" si="1046"/>
        <v>0</v>
      </c>
      <c r="BC882" s="272">
        <f t="shared" si="1046"/>
        <v>0</v>
      </c>
      <c r="BD882" s="272">
        <f t="shared" si="1046"/>
        <v>0</v>
      </c>
      <c r="BE882" s="272">
        <f t="shared" si="1046"/>
        <v>0</v>
      </c>
      <c r="BF882" s="272">
        <f t="shared" si="1046"/>
        <v>0</v>
      </c>
      <c r="BG882" s="272">
        <f t="shared" si="1046"/>
        <v>0</v>
      </c>
      <c r="BH882" s="272">
        <f t="shared" si="1046"/>
        <v>0</v>
      </c>
      <c r="BI882" s="272">
        <f t="shared" si="1046"/>
        <v>0</v>
      </c>
      <c r="BJ882" s="272">
        <f t="shared" si="1046"/>
        <v>0</v>
      </c>
      <c r="BK882" s="272">
        <f t="shared" si="1046"/>
        <v>0</v>
      </c>
      <c r="BL882" s="272">
        <f t="shared" si="1046"/>
        <v>0</v>
      </c>
      <c r="BM882" s="272">
        <f t="shared" si="1046"/>
        <v>0</v>
      </c>
      <c r="BN882" s="324">
        <f t="shared" si="1046"/>
        <v>0</v>
      </c>
    </row>
    <row r="883" spans="32:66" ht="20.100000000000001" customHeight="1">
      <c r="AF883" s="1492"/>
      <c r="AG883" s="389" t="s">
        <v>1564</v>
      </c>
      <c r="AH883" s="1497" t="s">
        <v>1569</v>
      </c>
      <c r="AI883" s="1498"/>
      <c r="AJ883" s="1499"/>
      <c r="AK883" s="345">
        <v>0</v>
      </c>
      <c r="AL883" s="272">
        <f t="shared" ref="AL883:BN883" si="1047">IF($A$114=1,-AL548,0)</f>
        <v>0</v>
      </c>
      <c r="AM883" s="272">
        <f t="shared" si="1047"/>
        <v>0</v>
      </c>
      <c r="AN883" s="272">
        <f t="shared" si="1047"/>
        <v>0</v>
      </c>
      <c r="AO883" s="272">
        <f t="shared" si="1047"/>
        <v>0</v>
      </c>
      <c r="AP883" s="272">
        <f t="shared" si="1047"/>
        <v>0</v>
      </c>
      <c r="AQ883" s="272">
        <f t="shared" si="1047"/>
        <v>0</v>
      </c>
      <c r="AR883" s="272">
        <f t="shared" si="1047"/>
        <v>0</v>
      </c>
      <c r="AS883" s="272">
        <f t="shared" si="1047"/>
        <v>0</v>
      </c>
      <c r="AT883" s="272">
        <f t="shared" si="1047"/>
        <v>0</v>
      </c>
      <c r="AU883" s="272">
        <f t="shared" si="1047"/>
        <v>0</v>
      </c>
      <c r="AV883" s="272">
        <f t="shared" si="1047"/>
        <v>0</v>
      </c>
      <c r="AW883" s="272">
        <f t="shared" si="1047"/>
        <v>0</v>
      </c>
      <c r="AX883" s="272">
        <f t="shared" si="1047"/>
        <v>0</v>
      </c>
      <c r="AY883" s="272">
        <f t="shared" si="1047"/>
        <v>0</v>
      </c>
      <c r="AZ883" s="272">
        <f t="shared" si="1047"/>
        <v>0</v>
      </c>
      <c r="BA883" s="272">
        <f t="shared" si="1047"/>
        <v>0</v>
      </c>
      <c r="BB883" s="272">
        <f t="shared" si="1047"/>
        <v>0</v>
      </c>
      <c r="BC883" s="272">
        <f t="shared" si="1047"/>
        <v>0</v>
      </c>
      <c r="BD883" s="272">
        <f t="shared" si="1047"/>
        <v>0</v>
      </c>
      <c r="BE883" s="272">
        <f t="shared" si="1047"/>
        <v>0</v>
      </c>
      <c r="BF883" s="272">
        <f t="shared" si="1047"/>
        <v>0</v>
      </c>
      <c r="BG883" s="272">
        <f t="shared" si="1047"/>
        <v>0</v>
      </c>
      <c r="BH883" s="272">
        <f t="shared" si="1047"/>
        <v>0</v>
      </c>
      <c r="BI883" s="272">
        <f t="shared" si="1047"/>
        <v>0</v>
      </c>
      <c r="BJ883" s="272">
        <f t="shared" si="1047"/>
        <v>0</v>
      </c>
      <c r="BK883" s="272">
        <f t="shared" si="1047"/>
        <v>0</v>
      </c>
      <c r="BL883" s="272">
        <f t="shared" si="1047"/>
        <v>0</v>
      </c>
      <c r="BM883" s="272">
        <f t="shared" si="1047"/>
        <v>0</v>
      </c>
      <c r="BN883" s="324">
        <f t="shared" si="1047"/>
        <v>0</v>
      </c>
    </row>
    <row r="884" spans="32:66" ht="20.100000000000001" customHeight="1">
      <c r="AF884" s="1492"/>
      <c r="AG884" s="389" t="s">
        <v>1564</v>
      </c>
      <c r="AH884" s="1497" t="s">
        <v>1570</v>
      </c>
      <c r="AI884" s="1498"/>
      <c r="AJ884" s="1499"/>
      <c r="AK884" s="345">
        <v>0</v>
      </c>
      <c r="AL884" s="272">
        <f t="shared" ref="AL884:BN884" si="1048">IF($A$115=1,-AL559,0)</f>
        <v>0</v>
      </c>
      <c r="AM884" s="272">
        <f t="shared" si="1048"/>
        <v>0</v>
      </c>
      <c r="AN884" s="272">
        <f t="shared" si="1048"/>
        <v>0</v>
      </c>
      <c r="AO884" s="272">
        <f t="shared" si="1048"/>
        <v>0</v>
      </c>
      <c r="AP884" s="272">
        <f t="shared" si="1048"/>
        <v>0</v>
      </c>
      <c r="AQ884" s="272">
        <f t="shared" si="1048"/>
        <v>0</v>
      </c>
      <c r="AR884" s="272">
        <f t="shared" si="1048"/>
        <v>0</v>
      </c>
      <c r="AS884" s="272">
        <f t="shared" si="1048"/>
        <v>0</v>
      </c>
      <c r="AT884" s="272">
        <f t="shared" si="1048"/>
        <v>0</v>
      </c>
      <c r="AU884" s="272">
        <f t="shared" si="1048"/>
        <v>0</v>
      </c>
      <c r="AV884" s="272">
        <f t="shared" si="1048"/>
        <v>0</v>
      </c>
      <c r="AW884" s="272">
        <f t="shared" si="1048"/>
        <v>0</v>
      </c>
      <c r="AX884" s="272">
        <f t="shared" si="1048"/>
        <v>0</v>
      </c>
      <c r="AY884" s="272">
        <f t="shared" si="1048"/>
        <v>0</v>
      </c>
      <c r="AZ884" s="272">
        <f t="shared" si="1048"/>
        <v>0</v>
      </c>
      <c r="BA884" s="272">
        <f t="shared" si="1048"/>
        <v>0</v>
      </c>
      <c r="BB884" s="272">
        <f t="shared" si="1048"/>
        <v>0</v>
      </c>
      <c r="BC884" s="272">
        <f t="shared" si="1048"/>
        <v>0</v>
      </c>
      <c r="BD884" s="272">
        <f t="shared" si="1048"/>
        <v>0</v>
      </c>
      <c r="BE884" s="272">
        <f t="shared" si="1048"/>
        <v>0</v>
      </c>
      <c r="BF884" s="272">
        <f t="shared" si="1048"/>
        <v>0</v>
      </c>
      <c r="BG884" s="272">
        <f t="shared" si="1048"/>
        <v>0</v>
      </c>
      <c r="BH884" s="272">
        <f t="shared" si="1048"/>
        <v>0</v>
      </c>
      <c r="BI884" s="272">
        <f t="shared" si="1048"/>
        <v>0</v>
      </c>
      <c r="BJ884" s="272">
        <f t="shared" si="1048"/>
        <v>0</v>
      </c>
      <c r="BK884" s="272">
        <f t="shared" si="1048"/>
        <v>0</v>
      </c>
      <c r="BL884" s="272">
        <f t="shared" si="1048"/>
        <v>0</v>
      </c>
      <c r="BM884" s="272">
        <f t="shared" si="1048"/>
        <v>0</v>
      </c>
      <c r="BN884" s="324">
        <f t="shared" si="1048"/>
        <v>0</v>
      </c>
    </row>
    <row r="885" spans="32:66" ht="20.100000000000001" customHeight="1">
      <c r="AF885" s="1492"/>
      <c r="AG885" s="389" t="s">
        <v>1564</v>
      </c>
      <c r="AH885" s="1497" t="s">
        <v>1571</v>
      </c>
      <c r="AI885" s="1498"/>
      <c r="AJ885" s="1499"/>
      <c r="AK885" s="345">
        <v>0</v>
      </c>
      <c r="AL885" s="272">
        <f t="shared" ref="AL885:BN885" si="1049">IF($A$116=1,-AL570,0)</f>
        <v>0</v>
      </c>
      <c r="AM885" s="272">
        <f t="shared" si="1049"/>
        <v>0</v>
      </c>
      <c r="AN885" s="272">
        <f t="shared" si="1049"/>
        <v>0</v>
      </c>
      <c r="AO885" s="272">
        <f t="shared" si="1049"/>
        <v>0</v>
      </c>
      <c r="AP885" s="272">
        <f t="shared" si="1049"/>
        <v>0</v>
      </c>
      <c r="AQ885" s="272">
        <f t="shared" si="1049"/>
        <v>0</v>
      </c>
      <c r="AR885" s="272">
        <f t="shared" si="1049"/>
        <v>0</v>
      </c>
      <c r="AS885" s="272">
        <f t="shared" si="1049"/>
        <v>0</v>
      </c>
      <c r="AT885" s="272">
        <f t="shared" si="1049"/>
        <v>0</v>
      </c>
      <c r="AU885" s="272">
        <f t="shared" si="1049"/>
        <v>0</v>
      </c>
      <c r="AV885" s="272">
        <f t="shared" si="1049"/>
        <v>0</v>
      </c>
      <c r="AW885" s="272">
        <f t="shared" si="1049"/>
        <v>0</v>
      </c>
      <c r="AX885" s="272">
        <f t="shared" si="1049"/>
        <v>0</v>
      </c>
      <c r="AY885" s="272">
        <f t="shared" si="1049"/>
        <v>0</v>
      </c>
      <c r="AZ885" s="272">
        <f t="shared" si="1049"/>
        <v>0</v>
      </c>
      <c r="BA885" s="272">
        <f t="shared" si="1049"/>
        <v>0</v>
      </c>
      <c r="BB885" s="272">
        <f t="shared" si="1049"/>
        <v>0</v>
      </c>
      <c r="BC885" s="272">
        <f t="shared" si="1049"/>
        <v>0</v>
      </c>
      <c r="BD885" s="272">
        <f t="shared" si="1049"/>
        <v>0</v>
      </c>
      <c r="BE885" s="272">
        <f t="shared" si="1049"/>
        <v>0</v>
      </c>
      <c r="BF885" s="272">
        <f t="shared" si="1049"/>
        <v>0</v>
      </c>
      <c r="BG885" s="272">
        <f t="shared" si="1049"/>
        <v>0</v>
      </c>
      <c r="BH885" s="272">
        <f t="shared" si="1049"/>
        <v>0</v>
      </c>
      <c r="BI885" s="272">
        <f t="shared" si="1049"/>
        <v>0</v>
      </c>
      <c r="BJ885" s="272">
        <f t="shared" si="1049"/>
        <v>0</v>
      </c>
      <c r="BK885" s="272">
        <f t="shared" si="1049"/>
        <v>0</v>
      </c>
      <c r="BL885" s="272">
        <f t="shared" si="1049"/>
        <v>0</v>
      </c>
      <c r="BM885" s="272">
        <f t="shared" si="1049"/>
        <v>0</v>
      </c>
      <c r="BN885" s="324">
        <f t="shared" si="1049"/>
        <v>0</v>
      </c>
    </row>
    <row r="886" spans="32:66" ht="20.100000000000001" customHeight="1">
      <c r="AF886" s="1492"/>
      <c r="AG886" s="389" t="s">
        <v>1564</v>
      </c>
      <c r="AH886" s="1497" t="s">
        <v>1572</v>
      </c>
      <c r="AI886" s="1498"/>
      <c r="AJ886" s="1499"/>
      <c r="AK886" s="345">
        <v>0</v>
      </c>
      <c r="AL886" s="272">
        <f t="shared" ref="AL886:BN886" si="1050">IF($A$117=1,-AL614,0)</f>
        <v>0</v>
      </c>
      <c r="AM886" s="272">
        <f t="shared" si="1050"/>
        <v>0</v>
      </c>
      <c r="AN886" s="272">
        <f t="shared" si="1050"/>
        <v>0</v>
      </c>
      <c r="AO886" s="272">
        <f t="shared" si="1050"/>
        <v>0</v>
      </c>
      <c r="AP886" s="272">
        <f t="shared" si="1050"/>
        <v>0</v>
      </c>
      <c r="AQ886" s="272">
        <f t="shared" si="1050"/>
        <v>0</v>
      </c>
      <c r="AR886" s="272">
        <f t="shared" si="1050"/>
        <v>0</v>
      </c>
      <c r="AS886" s="272">
        <f t="shared" si="1050"/>
        <v>0</v>
      </c>
      <c r="AT886" s="272">
        <f t="shared" si="1050"/>
        <v>0</v>
      </c>
      <c r="AU886" s="272">
        <f t="shared" si="1050"/>
        <v>0</v>
      </c>
      <c r="AV886" s="272">
        <f t="shared" si="1050"/>
        <v>0</v>
      </c>
      <c r="AW886" s="272">
        <f t="shared" si="1050"/>
        <v>0</v>
      </c>
      <c r="AX886" s="272">
        <f t="shared" si="1050"/>
        <v>0</v>
      </c>
      <c r="AY886" s="272">
        <f t="shared" si="1050"/>
        <v>0</v>
      </c>
      <c r="AZ886" s="272">
        <f t="shared" si="1050"/>
        <v>0</v>
      </c>
      <c r="BA886" s="272">
        <f t="shared" si="1050"/>
        <v>0</v>
      </c>
      <c r="BB886" s="272">
        <f t="shared" si="1050"/>
        <v>0</v>
      </c>
      <c r="BC886" s="272">
        <f t="shared" si="1050"/>
        <v>0</v>
      </c>
      <c r="BD886" s="272">
        <f t="shared" si="1050"/>
        <v>0</v>
      </c>
      <c r="BE886" s="272">
        <f t="shared" si="1050"/>
        <v>0</v>
      </c>
      <c r="BF886" s="272">
        <f t="shared" si="1050"/>
        <v>0</v>
      </c>
      <c r="BG886" s="272">
        <f t="shared" si="1050"/>
        <v>0</v>
      </c>
      <c r="BH886" s="272">
        <f t="shared" si="1050"/>
        <v>0</v>
      </c>
      <c r="BI886" s="272">
        <f t="shared" si="1050"/>
        <v>0</v>
      </c>
      <c r="BJ886" s="272">
        <f t="shared" si="1050"/>
        <v>0</v>
      </c>
      <c r="BK886" s="272">
        <f t="shared" si="1050"/>
        <v>0</v>
      </c>
      <c r="BL886" s="272">
        <f t="shared" si="1050"/>
        <v>0</v>
      </c>
      <c r="BM886" s="272">
        <f t="shared" si="1050"/>
        <v>0</v>
      </c>
      <c r="BN886" s="324">
        <f t="shared" si="1050"/>
        <v>0</v>
      </c>
    </row>
    <row r="887" spans="32:66" ht="20.100000000000001" customHeight="1">
      <c r="AF887" s="1492"/>
      <c r="AG887" s="389" t="s">
        <v>1564</v>
      </c>
      <c r="AH887" s="1497" t="s">
        <v>1573</v>
      </c>
      <c r="AI887" s="1498"/>
      <c r="AJ887" s="1499"/>
      <c r="AK887" s="345">
        <v>0</v>
      </c>
      <c r="AL887" s="272">
        <f t="shared" ref="AL887:BN887" si="1051">IF($A$118=1,-AL625,0)</f>
        <v>0</v>
      </c>
      <c r="AM887" s="272">
        <f t="shared" si="1051"/>
        <v>0</v>
      </c>
      <c r="AN887" s="272">
        <f t="shared" si="1051"/>
        <v>0</v>
      </c>
      <c r="AO887" s="272">
        <f t="shared" si="1051"/>
        <v>0</v>
      </c>
      <c r="AP887" s="272">
        <f t="shared" si="1051"/>
        <v>0</v>
      </c>
      <c r="AQ887" s="272">
        <f t="shared" si="1051"/>
        <v>0</v>
      </c>
      <c r="AR887" s="272">
        <f t="shared" si="1051"/>
        <v>0</v>
      </c>
      <c r="AS887" s="272">
        <f t="shared" si="1051"/>
        <v>0</v>
      </c>
      <c r="AT887" s="272">
        <f t="shared" si="1051"/>
        <v>0</v>
      </c>
      <c r="AU887" s="272">
        <f t="shared" si="1051"/>
        <v>0</v>
      </c>
      <c r="AV887" s="272">
        <f t="shared" si="1051"/>
        <v>0</v>
      </c>
      <c r="AW887" s="272">
        <f t="shared" si="1051"/>
        <v>0</v>
      </c>
      <c r="AX887" s="272">
        <f t="shared" si="1051"/>
        <v>0</v>
      </c>
      <c r="AY887" s="272">
        <f t="shared" si="1051"/>
        <v>0</v>
      </c>
      <c r="AZ887" s="272">
        <f t="shared" si="1051"/>
        <v>0</v>
      </c>
      <c r="BA887" s="272">
        <f t="shared" si="1051"/>
        <v>0</v>
      </c>
      <c r="BB887" s="272">
        <f t="shared" si="1051"/>
        <v>0</v>
      </c>
      <c r="BC887" s="272">
        <f t="shared" si="1051"/>
        <v>0</v>
      </c>
      <c r="BD887" s="272">
        <f t="shared" si="1051"/>
        <v>0</v>
      </c>
      <c r="BE887" s="272">
        <f t="shared" si="1051"/>
        <v>0</v>
      </c>
      <c r="BF887" s="272">
        <f t="shared" si="1051"/>
        <v>0</v>
      </c>
      <c r="BG887" s="272">
        <f t="shared" si="1051"/>
        <v>0</v>
      </c>
      <c r="BH887" s="272">
        <f t="shared" si="1051"/>
        <v>0</v>
      </c>
      <c r="BI887" s="272">
        <f t="shared" si="1051"/>
        <v>0</v>
      </c>
      <c r="BJ887" s="272">
        <f t="shared" si="1051"/>
        <v>0</v>
      </c>
      <c r="BK887" s="272">
        <f t="shared" si="1051"/>
        <v>0</v>
      </c>
      <c r="BL887" s="272">
        <f t="shared" si="1051"/>
        <v>0</v>
      </c>
      <c r="BM887" s="272">
        <f t="shared" si="1051"/>
        <v>0</v>
      </c>
      <c r="BN887" s="324">
        <f t="shared" si="1051"/>
        <v>0</v>
      </c>
    </row>
    <row r="888" spans="32:66" ht="20.100000000000001" customHeight="1">
      <c r="AF888" s="1492"/>
      <c r="AG888" s="389" t="s">
        <v>1564</v>
      </c>
      <c r="AH888" s="1497" t="s">
        <v>1574</v>
      </c>
      <c r="AI888" s="1498"/>
      <c r="AJ888" s="1499"/>
      <c r="AK888" s="345">
        <v>0</v>
      </c>
      <c r="AL888" s="272">
        <f t="shared" ref="AL888:BN888" si="1052">IF($A$119=1,-AL636,0)</f>
        <v>0</v>
      </c>
      <c r="AM888" s="272">
        <f t="shared" si="1052"/>
        <v>0</v>
      </c>
      <c r="AN888" s="272">
        <f t="shared" si="1052"/>
        <v>0</v>
      </c>
      <c r="AO888" s="272">
        <f t="shared" si="1052"/>
        <v>0</v>
      </c>
      <c r="AP888" s="272">
        <f t="shared" si="1052"/>
        <v>0</v>
      </c>
      <c r="AQ888" s="272">
        <f t="shared" si="1052"/>
        <v>0</v>
      </c>
      <c r="AR888" s="272">
        <f t="shared" si="1052"/>
        <v>0</v>
      </c>
      <c r="AS888" s="272">
        <f t="shared" si="1052"/>
        <v>0</v>
      </c>
      <c r="AT888" s="272">
        <f t="shared" si="1052"/>
        <v>0</v>
      </c>
      <c r="AU888" s="272">
        <f t="shared" si="1052"/>
        <v>0</v>
      </c>
      <c r="AV888" s="272">
        <f t="shared" si="1052"/>
        <v>0</v>
      </c>
      <c r="AW888" s="272">
        <f t="shared" si="1052"/>
        <v>0</v>
      </c>
      <c r="AX888" s="272">
        <f t="shared" si="1052"/>
        <v>0</v>
      </c>
      <c r="AY888" s="272">
        <f t="shared" si="1052"/>
        <v>0</v>
      </c>
      <c r="AZ888" s="272">
        <f t="shared" si="1052"/>
        <v>0</v>
      </c>
      <c r="BA888" s="272">
        <f t="shared" si="1052"/>
        <v>0</v>
      </c>
      <c r="BB888" s="272">
        <f t="shared" si="1052"/>
        <v>0</v>
      </c>
      <c r="BC888" s="272">
        <f t="shared" si="1052"/>
        <v>0</v>
      </c>
      <c r="BD888" s="272">
        <f t="shared" si="1052"/>
        <v>0</v>
      </c>
      <c r="BE888" s="272">
        <f t="shared" si="1052"/>
        <v>0</v>
      </c>
      <c r="BF888" s="272">
        <f t="shared" si="1052"/>
        <v>0</v>
      </c>
      <c r="BG888" s="272">
        <f t="shared" si="1052"/>
        <v>0</v>
      </c>
      <c r="BH888" s="272">
        <f t="shared" si="1052"/>
        <v>0</v>
      </c>
      <c r="BI888" s="272">
        <f t="shared" si="1052"/>
        <v>0</v>
      </c>
      <c r="BJ888" s="272">
        <f t="shared" si="1052"/>
        <v>0</v>
      </c>
      <c r="BK888" s="272">
        <f t="shared" si="1052"/>
        <v>0</v>
      </c>
      <c r="BL888" s="272">
        <f t="shared" si="1052"/>
        <v>0</v>
      </c>
      <c r="BM888" s="272">
        <f t="shared" si="1052"/>
        <v>0</v>
      </c>
      <c r="BN888" s="324">
        <f t="shared" si="1052"/>
        <v>0</v>
      </c>
    </row>
    <row r="889" spans="32:66" ht="20.100000000000001" customHeight="1">
      <c r="AF889" s="1492"/>
      <c r="AG889" s="389" t="s">
        <v>1565</v>
      </c>
      <c r="AH889" s="1497" t="s">
        <v>1575</v>
      </c>
      <c r="AI889" s="1498"/>
      <c r="AJ889" s="1499"/>
      <c r="AK889" s="345">
        <v>0</v>
      </c>
      <c r="AL889" s="272">
        <f>IF($A$135=1,-AL754,0)</f>
        <v>0</v>
      </c>
      <c r="AM889" s="272">
        <f t="shared" ref="AM889:BN889" si="1053">IF($A$135=1,-AM754,0)</f>
        <v>0</v>
      </c>
      <c r="AN889" s="272">
        <f t="shared" si="1053"/>
        <v>0</v>
      </c>
      <c r="AO889" s="272">
        <f t="shared" si="1053"/>
        <v>0</v>
      </c>
      <c r="AP889" s="272">
        <f t="shared" si="1053"/>
        <v>0</v>
      </c>
      <c r="AQ889" s="272">
        <f t="shared" si="1053"/>
        <v>0</v>
      </c>
      <c r="AR889" s="272">
        <f t="shared" si="1053"/>
        <v>0</v>
      </c>
      <c r="AS889" s="272">
        <f t="shared" si="1053"/>
        <v>0</v>
      </c>
      <c r="AT889" s="272">
        <f t="shared" si="1053"/>
        <v>0</v>
      </c>
      <c r="AU889" s="272">
        <f t="shared" si="1053"/>
        <v>0</v>
      </c>
      <c r="AV889" s="272">
        <f t="shared" si="1053"/>
        <v>0</v>
      </c>
      <c r="AW889" s="272">
        <f t="shared" si="1053"/>
        <v>0</v>
      </c>
      <c r="AX889" s="272">
        <f t="shared" si="1053"/>
        <v>0</v>
      </c>
      <c r="AY889" s="272">
        <f t="shared" si="1053"/>
        <v>0</v>
      </c>
      <c r="AZ889" s="272">
        <f t="shared" si="1053"/>
        <v>0</v>
      </c>
      <c r="BA889" s="272">
        <f t="shared" si="1053"/>
        <v>0</v>
      </c>
      <c r="BB889" s="272">
        <f t="shared" si="1053"/>
        <v>0</v>
      </c>
      <c r="BC889" s="272">
        <f t="shared" si="1053"/>
        <v>0</v>
      </c>
      <c r="BD889" s="272">
        <f t="shared" si="1053"/>
        <v>0</v>
      </c>
      <c r="BE889" s="272">
        <f t="shared" si="1053"/>
        <v>0</v>
      </c>
      <c r="BF889" s="272">
        <f t="shared" si="1053"/>
        <v>0</v>
      </c>
      <c r="BG889" s="272">
        <f t="shared" si="1053"/>
        <v>0</v>
      </c>
      <c r="BH889" s="272">
        <f t="shared" si="1053"/>
        <v>0</v>
      </c>
      <c r="BI889" s="272">
        <f t="shared" si="1053"/>
        <v>0</v>
      </c>
      <c r="BJ889" s="272">
        <f t="shared" si="1053"/>
        <v>0</v>
      </c>
      <c r="BK889" s="272">
        <f t="shared" si="1053"/>
        <v>0</v>
      </c>
      <c r="BL889" s="272">
        <f t="shared" si="1053"/>
        <v>0</v>
      </c>
      <c r="BM889" s="272">
        <f t="shared" si="1053"/>
        <v>0</v>
      </c>
      <c r="BN889" s="324">
        <f t="shared" si="1053"/>
        <v>0</v>
      </c>
    </row>
    <row r="890" spans="32:66" ht="20.100000000000001" customHeight="1">
      <c r="AF890" s="1492"/>
      <c r="AG890" s="389" t="s">
        <v>1565</v>
      </c>
      <c r="AH890" s="1497" t="s">
        <v>1576</v>
      </c>
      <c r="AI890" s="1498"/>
      <c r="AJ890" s="1499"/>
      <c r="AK890" s="345">
        <v>0</v>
      </c>
      <c r="AL890" s="272">
        <f>IF($A$136=1,-AL765,0)</f>
        <v>0</v>
      </c>
      <c r="AM890" s="272">
        <f t="shared" ref="AM890:BN890" si="1054">IF($A$136=1,-AM765,0)</f>
        <v>0</v>
      </c>
      <c r="AN890" s="272">
        <f t="shared" si="1054"/>
        <v>0</v>
      </c>
      <c r="AO890" s="272">
        <f t="shared" si="1054"/>
        <v>0</v>
      </c>
      <c r="AP890" s="272">
        <f t="shared" si="1054"/>
        <v>0</v>
      </c>
      <c r="AQ890" s="272">
        <f t="shared" si="1054"/>
        <v>0</v>
      </c>
      <c r="AR890" s="272">
        <f t="shared" si="1054"/>
        <v>0</v>
      </c>
      <c r="AS890" s="272">
        <f t="shared" si="1054"/>
        <v>0</v>
      </c>
      <c r="AT890" s="272">
        <f t="shared" si="1054"/>
        <v>0</v>
      </c>
      <c r="AU890" s="272">
        <f t="shared" si="1054"/>
        <v>0</v>
      </c>
      <c r="AV890" s="272">
        <f t="shared" si="1054"/>
        <v>0</v>
      </c>
      <c r="AW890" s="272">
        <f t="shared" si="1054"/>
        <v>0</v>
      </c>
      <c r="AX890" s="272">
        <f t="shared" si="1054"/>
        <v>0</v>
      </c>
      <c r="AY890" s="272">
        <f t="shared" si="1054"/>
        <v>0</v>
      </c>
      <c r="AZ890" s="272">
        <f t="shared" si="1054"/>
        <v>0</v>
      </c>
      <c r="BA890" s="272">
        <f t="shared" si="1054"/>
        <v>0</v>
      </c>
      <c r="BB890" s="272">
        <f t="shared" si="1054"/>
        <v>0</v>
      </c>
      <c r="BC890" s="272">
        <f t="shared" si="1054"/>
        <v>0</v>
      </c>
      <c r="BD890" s="272">
        <f t="shared" si="1054"/>
        <v>0</v>
      </c>
      <c r="BE890" s="272">
        <f t="shared" si="1054"/>
        <v>0</v>
      </c>
      <c r="BF890" s="272">
        <f t="shared" si="1054"/>
        <v>0</v>
      </c>
      <c r="BG890" s="272">
        <f t="shared" si="1054"/>
        <v>0</v>
      </c>
      <c r="BH890" s="272">
        <f t="shared" si="1054"/>
        <v>0</v>
      </c>
      <c r="BI890" s="272">
        <f t="shared" si="1054"/>
        <v>0</v>
      </c>
      <c r="BJ890" s="272">
        <f t="shared" si="1054"/>
        <v>0</v>
      </c>
      <c r="BK890" s="272">
        <f t="shared" si="1054"/>
        <v>0</v>
      </c>
      <c r="BL890" s="272">
        <f t="shared" si="1054"/>
        <v>0</v>
      </c>
      <c r="BM890" s="272">
        <f t="shared" si="1054"/>
        <v>0</v>
      </c>
      <c r="BN890" s="324">
        <f t="shared" si="1054"/>
        <v>0</v>
      </c>
    </row>
    <row r="891" spans="32:66" ht="20.100000000000001" customHeight="1">
      <c r="AF891" s="1492"/>
      <c r="AG891" s="389" t="s">
        <v>1565</v>
      </c>
      <c r="AH891" s="1497" t="s">
        <v>1577</v>
      </c>
      <c r="AI891" s="1498"/>
      <c r="AJ891" s="1499"/>
      <c r="AK891" s="345">
        <v>0</v>
      </c>
      <c r="AL891" s="272">
        <f>IF($A$137=1,-AL776,0)</f>
        <v>0</v>
      </c>
      <c r="AM891" s="272">
        <f t="shared" ref="AM891:BN891" si="1055">IF($A$137=1,-AM776,0)</f>
        <v>0</v>
      </c>
      <c r="AN891" s="272">
        <f t="shared" si="1055"/>
        <v>0</v>
      </c>
      <c r="AO891" s="272">
        <f t="shared" si="1055"/>
        <v>0</v>
      </c>
      <c r="AP891" s="272">
        <f t="shared" si="1055"/>
        <v>0</v>
      </c>
      <c r="AQ891" s="272">
        <f t="shared" si="1055"/>
        <v>0</v>
      </c>
      <c r="AR891" s="272">
        <f t="shared" si="1055"/>
        <v>0</v>
      </c>
      <c r="AS891" s="272">
        <f t="shared" si="1055"/>
        <v>0</v>
      </c>
      <c r="AT891" s="272">
        <f t="shared" si="1055"/>
        <v>0</v>
      </c>
      <c r="AU891" s="272">
        <f t="shared" si="1055"/>
        <v>0</v>
      </c>
      <c r="AV891" s="272">
        <f t="shared" si="1055"/>
        <v>0</v>
      </c>
      <c r="AW891" s="272">
        <f t="shared" si="1055"/>
        <v>0</v>
      </c>
      <c r="AX891" s="272">
        <f t="shared" si="1055"/>
        <v>0</v>
      </c>
      <c r="AY891" s="272">
        <f t="shared" si="1055"/>
        <v>0</v>
      </c>
      <c r="AZ891" s="272">
        <f t="shared" si="1055"/>
        <v>0</v>
      </c>
      <c r="BA891" s="272">
        <f t="shared" si="1055"/>
        <v>0</v>
      </c>
      <c r="BB891" s="272">
        <f t="shared" si="1055"/>
        <v>0</v>
      </c>
      <c r="BC891" s="272">
        <f t="shared" si="1055"/>
        <v>0</v>
      </c>
      <c r="BD891" s="272">
        <f t="shared" si="1055"/>
        <v>0</v>
      </c>
      <c r="BE891" s="272">
        <f t="shared" si="1055"/>
        <v>0</v>
      </c>
      <c r="BF891" s="272">
        <f t="shared" si="1055"/>
        <v>0</v>
      </c>
      <c r="BG891" s="272">
        <f t="shared" si="1055"/>
        <v>0</v>
      </c>
      <c r="BH891" s="272">
        <f t="shared" si="1055"/>
        <v>0</v>
      </c>
      <c r="BI891" s="272">
        <f t="shared" si="1055"/>
        <v>0</v>
      </c>
      <c r="BJ891" s="272">
        <f t="shared" si="1055"/>
        <v>0</v>
      </c>
      <c r="BK891" s="272">
        <f t="shared" si="1055"/>
        <v>0</v>
      </c>
      <c r="BL891" s="272">
        <f t="shared" si="1055"/>
        <v>0</v>
      </c>
      <c r="BM891" s="272">
        <f t="shared" si="1055"/>
        <v>0</v>
      </c>
      <c r="BN891" s="324">
        <f t="shared" si="1055"/>
        <v>0</v>
      </c>
    </row>
    <row r="892" spans="32:66" ht="20.100000000000001" customHeight="1">
      <c r="AF892" s="1492"/>
      <c r="AG892" s="389" t="s">
        <v>1565</v>
      </c>
      <c r="AH892" s="1497" t="s">
        <v>1578</v>
      </c>
      <c r="AI892" s="1498"/>
      <c r="AJ892" s="1499"/>
      <c r="AK892" s="345">
        <v>0</v>
      </c>
      <c r="AL892" s="272">
        <f>IF($A$138=1,-AL787,0)</f>
        <v>-2022</v>
      </c>
      <c r="AM892" s="272">
        <f t="shared" ref="AM892:BN892" si="1056">IF($A$138=1,-AM787,0)</f>
        <v>-2023</v>
      </c>
      <c r="AN892" s="272">
        <f t="shared" si="1056"/>
        <v>-2024</v>
      </c>
      <c r="AO892" s="272">
        <f t="shared" si="1056"/>
        <v>-2025</v>
      </c>
      <c r="AP892" s="272">
        <f t="shared" si="1056"/>
        <v>-2026</v>
      </c>
      <c r="AQ892" s="272">
        <f t="shared" si="1056"/>
        <v>-2027</v>
      </c>
      <c r="AR892" s="272">
        <f t="shared" si="1056"/>
        <v>-2028</v>
      </c>
      <c r="AS892" s="272">
        <f t="shared" si="1056"/>
        <v>-2029</v>
      </c>
      <c r="AT892" s="272">
        <f t="shared" si="1056"/>
        <v>-2030</v>
      </c>
      <c r="AU892" s="272">
        <f t="shared" si="1056"/>
        <v>-2031</v>
      </c>
      <c r="AV892" s="272">
        <f t="shared" si="1056"/>
        <v>-2032</v>
      </c>
      <c r="AW892" s="272">
        <f t="shared" si="1056"/>
        <v>-2033</v>
      </c>
      <c r="AX892" s="272">
        <f t="shared" si="1056"/>
        <v>-2034</v>
      </c>
      <c r="AY892" s="272">
        <f t="shared" si="1056"/>
        <v>-2035</v>
      </c>
      <c r="AZ892" s="272">
        <f t="shared" si="1056"/>
        <v>-2036</v>
      </c>
      <c r="BA892" s="272">
        <f t="shared" si="1056"/>
        <v>-2037</v>
      </c>
      <c r="BB892" s="272">
        <f t="shared" si="1056"/>
        <v>-2038</v>
      </c>
      <c r="BC892" s="272">
        <f t="shared" si="1056"/>
        <v>-2039</v>
      </c>
      <c r="BD892" s="272">
        <f t="shared" si="1056"/>
        <v>-2040</v>
      </c>
      <c r="BE892" s="272">
        <f t="shared" si="1056"/>
        <v>-2041</v>
      </c>
      <c r="BF892" s="272">
        <f t="shared" si="1056"/>
        <v>-2042</v>
      </c>
      <c r="BG892" s="272">
        <f t="shared" si="1056"/>
        <v>-2043</v>
      </c>
      <c r="BH892" s="272">
        <f t="shared" si="1056"/>
        <v>-2044</v>
      </c>
      <c r="BI892" s="272">
        <f t="shared" si="1056"/>
        <v>-2045</v>
      </c>
      <c r="BJ892" s="272">
        <f t="shared" si="1056"/>
        <v>-2046</v>
      </c>
      <c r="BK892" s="272">
        <f t="shared" si="1056"/>
        <v>-2047</v>
      </c>
      <c r="BL892" s="272">
        <f t="shared" si="1056"/>
        <v>-2048</v>
      </c>
      <c r="BM892" s="272">
        <f t="shared" si="1056"/>
        <v>-2049</v>
      </c>
      <c r="BN892" s="324">
        <f t="shared" si="1056"/>
        <v>-2050</v>
      </c>
    </row>
    <row r="893" spans="32:66" ht="20.100000000000001" customHeight="1">
      <c r="AF893" s="1492"/>
      <c r="AG893" s="389" t="s">
        <v>1565</v>
      </c>
      <c r="AH893" s="1497" t="s">
        <v>1579</v>
      </c>
      <c r="AI893" s="1498"/>
      <c r="AJ893" s="1499"/>
      <c r="AK893" s="345">
        <v>0</v>
      </c>
      <c r="AL893" s="272">
        <f>IF($A$139=1,-AL798,0)</f>
        <v>-2022</v>
      </c>
      <c r="AM893" s="272">
        <f t="shared" ref="AM893:BN893" si="1057">IF($A$139=1,-AM798,0)</f>
        <v>-2023</v>
      </c>
      <c r="AN893" s="272">
        <f t="shared" si="1057"/>
        <v>-2024</v>
      </c>
      <c r="AO893" s="272">
        <f t="shared" si="1057"/>
        <v>-2025</v>
      </c>
      <c r="AP893" s="272">
        <f t="shared" si="1057"/>
        <v>-2026</v>
      </c>
      <c r="AQ893" s="272">
        <f t="shared" si="1057"/>
        <v>-2027</v>
      </c>
      <c r="AR893" s="272">
        <f t="shared" si="1057"/>
        <v>-2028</v>
      </c>
      <c r="AS893" s="272">
        <f t="shared" si="1057"/>
        <v>-2029</v>
      </c>
      <c r="AT893" s="272">
        <f t="shared" si="1057"/>
        <v>-2030</v>
      </c>
      <c r="AU893" s="272">
        <f t="shared" si="1057"/>
        <v>-2031</v>
      </c>
      <c r="AV893" s="272">
        <f t="shared" si="1057"/>
        <v>-2032</v>
      </c>
      <c r="AW893" s="272">
        <f t="shared" si="1057"/>
        <v>-2033</v>
      </c>
      <c r="AX893" s="272">
        <f t="shared" si="1057"/>
        <v>-2034</v>
      </c>
      <c r="AY893" s="272">
        <f t="shared" si="1057"/>
        <v>-2035</v>
      </c>
      <c r="AZ893" s="272">
        <f t="shared" si="1057"/>
        <v>-2036</v>
      </c>
      <c r="BA893" s="272">
        <f t="shared" si="1057"/>
        <v>-2037</v>
      </c>
      <c r="BB893" s="272">
        <f t="shared" si="1057"/>
        <v>-2038</v>
      </c>
      <c r="BC893" s="272">
        <f t="shared" si="1057"/>
        <v>-2039</v>
      </c>
      <c r="BD893" s="272">
        <f t="shared" si="1057"/>
        <v>-2040</v>
      </c>
      <c r="BE893" s="272">
        <f t="shared" si="1057"/>
        <v>-2041</v>
      </c>
      <c r="BF893" s="272">
        <f t="shared" si="1057"/>
        <v>-2042</v>
      </c>
      <c r="BG893" s="272">
        <f t="shared" si="1057"/>
        <v>-2043</v>
      </c>
      <c r="BH893" s="272">
        <f t="shared" si="1057"/>
        <v>-2044</v>
      </c>
      <c r="BI893" s="272">
        <f t="shared" si="1057"/>
        <v>-2045</v>
      </c>
      <c r="BJ893" s="272">
        <f t="shared" si="1057"/>
        <v>-2046</v>
      </c>
      <c r="BK893" s="272">
        <f t="shared" si="1057"/>
        <v>-2047</v>
      </c>
      <c r="BL893" s="272">
        <f t="shared" si="1057"/>
        <v>-2048</v>
      </c>
      <c r="BM893" s="272">
        <f t="shared" si="1057"/>
        <v>-2049</v>
      </c>
      <c r="BN893" s="324">
        <f t="shared" si="1057"/>
        <v>-2050</v>
      </c>
    </row>
    <row r="894" spans="32:66" ht="20.100000000000001" customHeight="1">
      <c r="AF894" s="1492"/>
      <c r="AG894" s="389" t="s">
        <v>1565</v>
      </c>
      <c r="AH894" s="1497" t="s">
        <v>1580</v>
      </c>
      <c r="AI894" s="1498"/>
      <c r="AJ894" s="1499"/>
      <c r="AK894" s="345">
        <v>0</v>
      </c>
      <c r="AL894" s="272">
        <f>IF($A$140=1,-AL809,0)</f>
        <v>-2022</v>
      </c>
      <c r="AM894" s="272">
        <f t="shared" ref="AM894:BN894" si="1058">IF($A$140=1,-AM809,0)</f>
        <v>-2023</v>
      </c>
      <c r="AN894" s="272">
        <f t="shared" si="1058"/>
        <v>-2024</v>
      </c>
      <c r="AO894" s="272">
        <f t="shared" si="1058"/>
        <v>-2025</v>
      </c>
      <c r="AP894" s="272">
        <f t="shared" si="1058"/>
        <v>-2026</v>
      </c>
      <c r="AQ894" s="272">
        <f t="shared" si="1058"/>
        <v>-2027</v>
      </c>
      <c r="AR894" s="272">
        <f t="shared" si="1058"/>
        <v>-2028</v>
      </c>
      <c r="AS894" s="272">
        <f t="shared" si="1058"/>
        <v>-2029</v>
      </c>
      <c r="AT894" s="272">
        <f t="shared" si="1058"/>
        <v>-2030</v>
      </c>
      <c r="AU894" s="272">
        <f t="shared" si="1058"/>
        <v>-2031</v>
      </c>
      <c r="AV894" s="272">
        <f t="shared" si="1058"/>
        <v>-2032</v>
      </c>
      <c r="AW894" s="272">
        <f t="shared" si="1058"/>
        <v>-2033</v>
      </c>
      <c r="AX894" s="272">
        <f t="shared" si="1058"/>
        <v>-2034</v>
      </c>
      <c r="AY894" s="272">
        <f t="shared" si="1058"/>
        <v>-2035</v>
      </c>
      <c r="AZ894" s="272">
        <f t="shared" si="1058"/>
        <v>-2036</v>
      </c>
      <c r="BA894" s="272">
        <f t="shared" si="1058"/>
        <v>-2037</v>
      </c>
      <c r="BB894" s="272">
        <f t="shared" si="1058"/>
        <v>-2038</v>
      </c>
      <c r="BC894" s="272">
        <f t="shared" si="1058"/>
        <v>-2039</v>
      </c>
      <c r="BD894" s="272">
        <f t="shared" si="1058"/>
        <v>-2040</v>
      </c>
      <c r="BE894" s="272">
        <f t="shared" si="1058"/>
        <v>-2041</v>
      </c>
      <c r="BF894" s="272">
        <f t="shared" si="1058"/>
        <v>-2042</v>
      </c>
      <c r="BG894" s="272">
        <f t="shared" si="1058"/>
        <v>-2043</v>
      </c>
      <c r="BH894" s="272">
        <f t="shared" si="1058"/>
        <v>-2044</v>
      </c>
      <c r="BI894" s="272">
        <f t="shared" si="1058"/>
        <v>-2045</v>
      </c>
      <c r="BJ894" s="272">
        <f t="shared" si="1058"/>
        <v>-2046</v>
      </c>
      <c r="BK894" s="272">
        <f t="shared" si="1058"/>
        <v>-2047</v>
      </c>
      <c r="BL894" s="272">
        <f t="shared" si="1058"/>
        <v>-2048</v>
      </c>
      <c r="BM894" s="272">
        <f t="shared" si="1058"/>
        <v>-2049</v>
      </c>
      <c r="BN894" s="324">
        <f t="shared" si="1058"/>
        <v>-2050</v>
      </c>
    </row>
    <row r="895" spans="32:66" ht="20.100000000000001" customHeight="1">
      <c r="AF895" s="1492"/>
      <c r="AG895" s="389" t="s">
        <v>1566</v>
      </c>
      <c r="AH895" s="1497" t="s">
        <v>1581</v>
      </c>
      <c r="AI895" s="1498"/>
      <c r="AJ895" s="1499"/>
      <c r="AK895" s="345">
        <v>0</v>
      </c>
      <c r="AL895" s="272">
        <f>IF($C$135=1,AL754,0)</f>
        <v>0</v>
      </c>
      <c r="AM895" s="272">
        <f t="shared" ref="AM895:BN895" si="1059">IF($C$135=1,AM754,0)</f>
        <v>0</v>
      </c>
      <c r="AN895" s="272">
        <f t="shared" si="1059"/>
        <v>0</v>
      </c>
      <c r="AO895" s="272">
        <f t="shared" si="1059"/>
        <v>0</v>
      </c>
      <c r="AP895" s="272">
        <f t="shared" si="1059"/>
        <v>0</v>
      </c>
      <c r="AQ895" s="272">
        <f t="shared" si="1059"/>
        <v>0</v>
      </c>
      <c r="AR895" s="272">
        <f t="shared" si="1059"/>
        <v>0</v>
      </c>
      <c r="AS895" s="272">
        <f t="shared" si="1059"/>
        <v>0</v>
      </c>
      <c r="AT895" s="272">
        <f t="shared" si="1059"/>
        <v>0</v>
      </c>
      <c r="AU895" s="272">
        <f t="shared" si="1059"/>
        <v>0</v>
      </c>
      <c r="AV895" s="272">
        <f t="shared" si="1059"/>
        <v>0</v>
      </c>
      <c r="AW895" s="272">
        <f t="shared" si="1059"/>
        <v>0</v>
      </c>
      <c r="AX895" s="272">
        <f t="shared" si="1059"/>
        <v>0</v>
      </c>
      <c r="AY895" s="272">
        <f t="shared" si="1059"/>
        <v>0</v>
      </c>
      <c r="AZ895" s="272">
        <f t="shared" si="1059"/>
        <v>0</v>
      </c>
      <c r="BA895" s="272">
        <f t="shared" si="1059"/>
        <v>0</v>
      </c>
      <c r="BB895" s="272">
        <f t="shared" si="1059"/>
        <v>0</v>
      </c>
      <c r="BC895" s="272">
        <f t="shared" si="1059"/>
        <v>0</v>
      </c>
      <c r="BD895" s="272">
        <f t="shared" si="1059"/>
        <v>0</v>
      </c>
      <c r="BE895" s="272">
        <f t="shared" si="1059"/>
        <v>0</v>
      </c>
      <c r="BF895" s="272">
        <f t="shared" si="1059"/>
        <v>0</v>
      </c>
      <c r="BG895" s="272">
        <f t="shared" si="1059"/>
        <v>0</v>
      </c>
      <c r="BH895" s="272">
        <f t="shared" si="1059"/>
        <v>0</v>
      </c>
      <c r="BI895" s="272">
        <f t="shared" si="1059"/>
        <v>0</v>
      </c>
      <c r="BJ895" s="272">
        <f t="shared" si="1059"/>
        <v>0</v>
      </c>
      <c r="BK895" s="272">
        <f t="shared" si="1059"/>
        <v>0</v>
      </c>
      <c r="BL895" s="272">
        <f t="shared" si="1059"/>
        <v>0</v>
      </c>
      <c r="BM895" s="272">
        <f t="shared" si="1059"/>
        <v>0</v>
      </c>
      <c r="BN895" s="324">
        <f t="shared" si="1059"/>
        <v>0</v>
      </c>
    </row>
    <row r="896" spans="32:66" ht="20.100000000000001" customHeight="1">
      <c r="AF896" s="1492"/>
      <c r="AG896" s="389" t="s">
        <v>1566</v>
      </c>
      <c r="AH896" s="1497" t="s">
        <v>1582</v>
      </c>
      <c r="AI896" s="1498"/>
      <c r="AJ896" s="1499"/>
      <c r="AK896" s="345">
        <v>0</v>
      </c>
      <c r="AL896" s="272">
        <f>IF($C$136=1,AL765,0)</f>
        <v>0</v>
      </c>
      <c r="AM896" s="272">
        <f t="shared" ref="AM896:BN896" si="1060">IF($C$136=1,AM765,0)</f>
        <v>0</v>
      </c>
      <c r="AN896" s="272">
        <f t="shared" si="1060"/>
        <v>0</v>
      </c>
      <c r="AO896" s="272">
        <f t="shared" si="1060"/>
        <v>0</v>
      </c>
      <c r="AP896" s="272">
        <f t="shared" si="1060"/>
        <v>0</v>
      </c>
      <c r="AQ896" s="272">
        <f t="shared" si="1060"/>
        <v>0</v>
      </c>
      <c r="AR896" s="272">
        <f t="shared" si="1060"/>
        <v>0</v>
      </c>
      <c r="AS896" s="272">
        <f t="shared" si="1060"/>
        <v>0</v>
      </c>
      <c r="AT896" s="272">
        <f t="shared" si="1060"/>
        <v>0</v>
      </c>
      <c r="AU896" s="272">
        <f t="shared" si="1060"/>
        <v>0</v>
      </c>
      <c r="AV896" s="272">
        <f t="shared" si="1060"/>
        <v>0</v>
      </c>
      <c r="AW896" s="272">
        <f t="shared" si="1060"/>
        <v>0</v>
      </c>
      <c r="AX896" s="272">
        <f t="shared" si="1060"/>
        <v>0</v>
      </c>
      <c r="AY896" s="272">
        <f t="shared" si="1060"/>
        <v>0</v>
      </c>
      <c r="AZ896" s="272">
        <f t="shared" si="1060"/>
        <v>0</v>
      </c>
      <c r="BA896" s="272">
        <f t="shared" si="1060"/>
        <v>0</v>
      </c>
      <c r="BB896" s="272">
        <f t="shared" si="1060"/>
        <v>0</v>
      </c>
      <c r="BC896" s="272">
        <f t="shared" si="1060"/>
        <v>0</v>
      </c>
      <c r="BD896" s="272">
        <f t="shared" si="1060"/>
        <v>0</v>
      </c>
      <c r="BE896" s="272">
        <f t="shared" si="1060"/>
        <v>0</v>
      </c>
      <c r="BF896" s="272">
        <f t="shared" si="1060"/>
        <v>0</v>
      </c>
      <c r="BG896" s="272">
        <f t="shared" si="1060"/>
        <v>0</v>
      </c>
      <c r="BH896" s="272">
        <f t="shared" si="1060"/>
        <v>0</v>
      </c>
      <c r="BI896" s="272">
        <f t="shared" si="1060"/>
        <v>0</v>
      </c>
      <c r="BJ896" s="272">
        <f t="shared" si="1060"/>
        <v>0</v>
      </c>
      <c r="BK896" s="272">
        <f t="shared" si="1060"/>
        <v>0</v>
      </c>
      <c r="BL896" s="272">
        <f t="shared" si="1060"/>
        <v>0</v>
      </c>
      <c r="BM896" s="272">
        <f t="shared" si="1060"/>
        <v>0</v>
      </c>
      <c r="BN896" s="324">
        <f t="shared" si="1060"/>
        <v>0</v>
      </c>
    </row>
    <row r="897" spans="32:66" ht="20.100000000000001" customHeight="1">
      <c r="AF897" s="1492"/>
      <c r="AG897" s="389" t="s">
        <v>1566</v>
      </c>
      <c r="AH897" s="1497" t="s">
        <v>1583</v>
      </c>
      <c r="AI897" s="1498"/>
      <c r="AJ897" s="1499"/>
      <c r="AK897" s="345">
        <v>0</v>
      </c>
      <c r="AL897" s="272">
        <f>IF($C$137=1,AL776,0)</f>
        <v>0</v>
      </c>
      <c r="AM897" s="272">
        <f t="shared" ref="AM897:BN897" si="1061">IF($C$137=1,AM776,0)</f>
        <v>0</v>
      </c>
      <c r="AN897" s="272">
        <f t="shared" si="1061"/>
        <v>0</v>
      </c>
      <c r="AO897" s="272">
        <f t="shared" si="1061"/>
        <v>0</v>
      </c>
      <c r="AP897" s="272">
        <f t="shared" si="1061"/>
        <v>0</v>
      </c>
      <c r="AQ897" s="272">
        <f t="shared" si="1061"/>
        <v>0</v>
      </c>
      <c r="AR897" s="272">
        <f t="shared" si="1061"/>
        <v>0</v>
      </c>
      <c r="AS897" s="272">
        <f t="shared" si="1061"/>
        <v>0</v>
      </c>
      <c r="AT897" s="272">
        <f t="shared" si="1061"/>
        <v>0</v>
      </c>
      <c r="AU897" s="272">
        <f t="shared" si="1061"/>
        <v>0</v>
      </c>
      <c r="AV897" s="272">
        <f t="shared" si="1061"/>
        <v>0</v>
      </c>
      <c r="AW897" s="272">
        <f t="shared" si="1061"/>
        <v>0</v>
      </c>
      <c r="AX897" s="272">
        <f t="shared" si="1061"/>
        <v>0</v>
      </c>
      <c r="AY897" s="272">
        <f t="shared" si="1061"/>
        <v>0</v>
      </c>
      <c r="AZ897" s="272">
        <f t="shared" si="1061"/>
        <v>0</v>
      </c>
      <c r="BA897" s="272">
        <f t="shared" si="1061"/>
        <v>0</v>
      </c>
      <c r="BB897" s="272">
        <f t="shared" si="1061"/>
        <v>0</v>
      </c>
      <c r="BC897" s="272">
        <f t="shared" si="1061"/>
        <v>0</v>
      </c>
      <c r="BD897" s="272">
        <f t="shared" si="1061"/>
        <v>0</v>
      </c>
      <c r="BE897" s="272">
        <f t="shared" si="1061"/>
        <v>0</v>
      </c>
      <c r="BF897" s="272">
        <f t="shared" si="1061"/>
        <v>0</v>
      </c>
      <c r="BG897" s="272">
        <f t="shared" si="1061"/>
        <v>0</v>
      </c>
      <c r="BH897" s="272">
        <f t="shared" si="1061"/>
        <v>0</v>
      </c>
      <c r="BI897" s="272">
        <f t="shared" si="1061"/>
        <v>0</v>
      </c>
      <c r="BJ897" s="272">
        <f t="shared" si="1061"/>
        <v>0</v>
      </c>
      <c r="BK897" s="272">
        <f t="shared" si="1061"/>
        <v>0</v>
      </c>
      <c r="BL897" s="272">
        <f t="shared" si="1061"/>
        <v>0</v>
      </c>
      <c r="BM897" s="272">
        <f t="shared" si="1061"/>
        <v>0</v>
      </c>
      <c r="BN897" s="324">
        <f t="shared" si="1061"/>
        <v>0</v>
      </c>
    </row>
    <row r="898" spans="32:66" ht="20.100000000000001" customHeight="1">
      <c r="AF898" s="1492"/>
      <c r="AG898" s="389" t="s">
        <v>1566</v>
      </c>
      <c r="AH898" s="1497" t="s">
        <v>1584</v>
      </c>
      <c r="AI898" s="1498"/>
      <c r="AJ898" s="1499"/>
      <c r="AK898" s="345">
        <v>0</v>
      </c>
      <c r="AL898" s="272">
        <f>IF($C$138=1,AL787,0)</f>
        <v>0</v>
      </c>
      <c r="AM898" s="272">
        <f t="shared" ref="AM898:BN898" si="1062">IF($C$138=1,AM787,0)</f>
        <v>0</v>
      </c>
      <c r="AN898" s="272">
        <f t="shared" si="1062"/>
        <v>0</v>
      </c>
      <c r="AO898" s="272">
        <f t="shared" si="1062"/>
        <v>0</v>
      </c>
      <c r="AP898" s="272">
        <f t="shared" si="1062"/>
        <v>0</v>
      </c>
      <c r="AQ898" s="272">
        <f t="shared" si="1062"/>
        <v>0</v>
      </c>
      <c r="AR898" s="272">
        <f t="shared" si="1062"/>
        <v>0</v>
      </c>
      <c r="AS898" s="272">
        <f t="shared" si="1062"/>
        <v>0</v>
      </c>
      <c r="AT898" s="272">
        <f t="shared" si="1062"/>
        <v>0</v>
      </c>
      <c r="AU898" s="272">
        <f t="shared" si="1062"/>
        <v>0</v>
      </c>
      <c r="AV898" s="272">
        <f t="shared" si="1062"/>
        <v>0</v>
      </c>
      <c r="AW898" s="272">
        <f t="shared" si="1062"/>
        <v>0</v>
      </c>
      <c r="AX898" s="272">
        <f t="shared" si="1062"/>
        <v>0</v>
      </c>
      <c r="AY898" s="272">
        <f t="shared" si="1062"/>
        <v>0</v>
      </c>
      <c r="AZ898" s="272">
        <f t="shared" si="1062"/>
        <v>0</v>
      </c>
      <c r="BA898" s="272">
        <f t="shared" si="1062"/>
        <v>0</v>
      </c>
      <c r="BB898" s="272">
        <f t="shared" si="1062"/>
        <v>0</v>
      </c>
      <c r="BC898" s="272">
        <f t="shared" si="1062"/>
        <v>0</v>
      </c>
      <c r="BD898" s="272">
        <f t="shared" si="1062"/>
        <v>0</v>
      </c>
      <c r="BE898" s="272">
        <f t="shared" si="1062"/>
        <v>0</v>
      </c>
      <c r="BF898" s="272">
        <f t="shared" si="1062"/>
        <v>0</v>
      </c>
      <c r="BG898" s="272">
        <f t="shared" si="1062"/>
        <v>0</v>
      </c>
      <c r="BH898" s="272">
        <f t="shared" si="1062"/>
        <v>0</v>
      </c>
      <c r="BI898" s="272">
        <f t="shared" si="1062"/>
        <v>0</v>
      </c>
      <c r="BJ898" s="272">
        <f t="shared" si="1062"/>
        <v>0</v>
      </c>
      <c r="BK898" s="272">
        <f t="shared" si="1062"/>
        <v>0</v>
      </c>
      <c r="BL898" s="272">
        <f t="shared" si="1062"/>
        <v>0</v>
      </c>
      <c r="BM898" s="272">
        <f t="shared" si="1062"/>
        <v>0</v>
      </c>
      <c r="BN898" s="324">
        <f t="shared" si="1062"/>
        <v>0</v>
      </c>
    </row>
    <row r="899" spans="32:66" ht="20.100000000000001" customHeight="1">
      <c r="AF899" s="1492"/>
      <c r="AG899" s="389" t="s">
        <v>1566</v>
      </c>
      <c r="AH899" s="1497" t="s">
        <v>1585</v>
      </c>
      <c r="AI899" s="1498"/>
      <c r="AJ899" s="1499"/>
      <c r="AK899" s="345">
        <v>0</v>
      </c>
      <c r="AL899" s="272">
        <f>IF($C$139=1,AL798,0)</f>
        <v>0</v>
      </c>
      <c r="AM899" s="272">
        <f t="shared" ref="AM899:BN899" si="1063">IF($C$139=1,AM798,0)</f>
        <v>0</v>
      </c>
      <c r="AN899" s="272">
        <f t="shared" si="1063"/>
        <v>0</v>
      </c>
      <c r="AO899" s="272">
        <f t="shared" si="1063"/>
        <v>0</v>
      </c>
      <c r="AP899" s="272">
        <f t="shared" si="1063"/>
        <v>0</v>
      </c>
      <c r="AQ899" s="272">
        <f t="shared" si="1063"/>
        <v>0</v>
      </c>
      <c r="AR899" s="272">
        <f t="shared" si="1063"/>
        <v>0</v>
      </c>
      <c r="AS899" s="272">
        <f t="shared" si="1063"/>
        <v>0</v>
      </c>
      <c r="AT899" s="272">
        <f t="shared" si="1063"/>
        <v>0</v>
      </c>
      <c r="AU899" s="272">
        <f t="shared" si="1063"/>
        <v>0</v>
      </c>
      <c r="AV899" s="272">
        <f t="shared" si="1063"/>
        <v>0</v>
      </c>
      <c r="AW899" s="272">
        <f t="shared" si="1063"/>
        <v>0</v>
      </c>
      <c r="AX899" s="272">
        <f t="shared" si="1063"/>
        <v>0</v>
      </c>
      <c r="AY899" s="272">
        <f t="shared" si="1063"/>
        <v>0</v>
      </c>
      <c r="AZ899" s="272">
        <f t="shared" si="1063"/>
        <v>0</v>
      </c>
      <c r="BA899" s="272">
        <f t="shared" si="1063"/>
        <v>0</v>
      </c>
      <c r="BB899" s="272">
        <f t="shared" si="1063"/>
        <v>0</v>
      </c>
      <c r="BC899" s="272">
        <f t="shared" si="1063"/>
        <v>0</v>
      </c>
      <c r="BD899" s="272">
        <f t="shared" si="1063"/>
        <v>0</v>
      </c>
      <c r="BE899" s="272">
        <f t="shared" si="1063"/>
        <v>0</v>
      </c>
      <c r="BF899" s="272">
        <f t="shared" si="1063"/>
        <v>0</v>
      </c>
      <c r="BG899" s="272">
        <f t="shared" si="1063"/>
        <v>0</v>
      </c>
      <c r="BH899" s="272">
        <f t="shared" si="1063"/>
        <v>0</v>
      </c>
      <c r="BI899" s="272">
        <f t="shared" si="1063"/>
        <v>0</v>
      </c>
      <c r="BJ899" s="272">
        <f t="shared" si="1063"/>
        <v>0</v>
      </c>
      <c r="BK899" s="272">
        <f t="shared" si="1063"/>
        <v>0</v>
      </c>
      <c r="BL899" s="272">
        <f t="shared" si="1063"/>
        <v>0</v>
      </c>
      <c r="BM899" s="272">
        <f t="shared" si="1063"/>
        <v>0</v>
      </c>
      <c r="BN899" s="324">
        <f t="shared" si="1063"/>
        <v>0</v>
      </c>
    </row>
    <row r="900" spans="32:66" ht="20.100000000000001" customHeight="1" thickBot="1">
      <c r="AF900" s="1493"/>
      <c r="AG900" s="390" t="s">
        <v>1566</v>
      </c>
      <c r="AH900" s="1485" t="s">
        <v>1586</v>
      </c>
      <c r="AI900" s="1486"/>
      <c r="AJ900" s="1487"/>
      <c r="AK900" s="391">
        <v>0</v>
      </c>
      <c r="AL900" s="325">
        <f>IF($C$140=1,AL809,0)</f>
        <v>0</v>
      </c>
      <c r="AM900" s="325">
        <f t="shared" ref="AM900:BN900" si="1064">IF($C$140=1,AM809,0)</f>
        <v>0</v>
      </c>
      <c r="AN900" s="325">
        <f t="shared" si="1064"/>
        <v>0</v>
      </c>
      <c r="AO900" s="325">
        <f t="shared" si="1064"/>
        <v>0</v>
      </c>
      <c r="AP900" s="325">
        <f t="shared" si="1064"/>
        <v>0</v>
      </c>
      <c r="AQ900" s="325">
        <f t="shared" si="1064"/>
        <v>0</v>
      </c>
      <c r="AR900" s="325">
        <f t="shared" si="1064"/>
        <v>0</v>
      </c>
      <c r="AS900" s="325">
        <f t="shared" si="1064"/>
        <v>0</v>
      </c>
      <c r="AT900" s="325">
        <f t="shared" si="1064"/>
        <v>0</v>
      </c>
      <c r="AU900" s="325">
        <f t="shared" si="1064"/>
        <v>0</v>
      </c>
      <c r="AV900" s="325">
        <f t="shared" si="1064"/>
        <v>0</v>
      </c>
      <c r="AW900" s="325">
        <f t="shared" si="1064"/>
        <v>0</v>
      </c>
      <c r="AX900" s="325">
        <f t="shared" si="1064"/>
        <v>0</v>
      </c>
      <c r="AY900" s="325">
        <f t="shared" si="1064"/>
        <v>0</v>
      </c>
      <c r="AZ900" s="325">
        <f t="shared" si="1064"/>
        <v>0</v>
      </c>
      <c r="BA900" s="325">
        <f t="shared" si="1064"/>
        <v>0</v>
      </c>
      <c r="BB900" s="325">
        <f t="shared" si="1064"/>
        <v>0</v>
      </c>
      <c r="BC900" s="325">
        <f t="shared" si="1064"/>
        <v>0</v>
      </c>
      <c r="BD900" s="325">
        <f t="shared" si="1064"/>
        <v>0</v>
      </c>
      <c r="BE900" s="325">
        <f t="shared" si="1064"/>
        <v>0</v>
      </c>
      <c r="BF900" s="325">
        <f t="shared" si="1064"/>
        <v>0</v>
      </c>
      <c r="BG900" s="325">
        <f t="shared" si="1064"/>
        <v>0</v>
      </c>
      <c r="BH900" s="325">
        <f t="shared" si="1064"/>
        <v>0</v>
      </c>
      <c r="BI900" s="325">
        <f t="shared" si="1064"/>
        <v>0</v>
      </c>
      <c r="BJ900" s="325">
        <f t="shared" si="1064"/>
        <v>0</v>
      </c>
      <c r="BK900" s="325">
        <f t="shared" si="1064"/>
        <v>0</v>
      </c>
      <c r="BL900" s="325">
        <f t="shared" si="1064"/>
        <v>0</v>
      </c>
      <c r="BM900" s="325">
        <f t="shared" si="1064"/>
        <v>0</v>
      </c>
      <c r="BN900" s="326">
        <f t="shared" si="1064"/>
        <v>0</v>
      </c>
    </row>
    <row r="901" spans="32:66" ht="20.100000000000001" customHeight="1">
      <c r="AF901" s="332"/>
      <c r="AG901" s="1488" t="s">
        <v>1454</v>
      </c>
      <c r="AH901" s="1489"/>
      <c r="AI901" s="1489"/>
      <c r="AJ901" s="1490"/>
      <c r="AK901" s="344">
        <v>0</v>
      </c>
      <c r="AL901" s="327">
        <f>IF(AL879&gt;START!$C$2+2020,SUM(AL880:AL900),0)</f>
        <v>0</v>
      </c>
      <c r="AM901" s="327">
        <f>IF(AM879&gt;START!$C$2+2020,SUM(AM880:AM900),0)</f>
        <v>12435.839515652016</v>
      </c>
      <c r="AN901" s="327">
        <f>IF(AN879&gt;START!$C$2+2020,SUM(AN880:AN900),0)</f>
        <v>12393.160874240635</v>
      </c>
      <c r="AO901" s="327">
        <f>IF(AO879&gt;START!$C$2+2020,SUM(AO880:AO900),0)</f>
        <v>12350.879019243366</v>
      </c>
      <c r="AP901" s="327">
        <f>IF(AP879&gt;START!$C$2+2020,SUM(AP880:AP900),0)</f>
        <v>12308.989982796073</v>
      </c>
      <c r="AQ901" s="327">
        <f>IF(AQ879&gt;START!$C$2+2020,SUM(AQ880:AQ900),0)</f>
        <v>12267.489836713248</v>
      </c>
      <c r="AR901" s="327">
        <f>IF(AR879&gt;START!$C$2+2020,SUM(AR880:AR900),0)</f>
        <v>12226.374692091256</v>
      </c>
      <c r="AS901" s="327">
        <f>IF(AS879&gt;START!$C$2+2020,SUM(AS880:AS900),0)</f>
        <v>12185.640698915482</v>
      </c>
      <c r="AT901" s="327">
        <f>IF(AT879&gt;START!$C$2+2020,SUM(AT880:AT900),0)</f>
        <v>12145.284045671462</v>
      </c>
      <c r="AU901" s="327">
        <f>IF(AU879&gt;START!$C$2+2020,SUM(AU880:AU900),0)</f>
        <v>11938.877068757793</v>
      </c>
      <c r="AV901" s="327">
        <f>IF(AV879&gt;START!$C$2+2020,SUM(AV880:AV900),0)</f>
        <v>11743.657475574379</v>
      </c>
      <c r="AW901" s="327">
        <f>IF(AW879&gt;START!$C$2+2020,SUM(AW880:AW900),0)</f>
        <v>11559.009960016047</v>
      </c>
      <c r="AX901" s="327">
        <f>IF(AX879&gt;START!$C$2+2020,SUM(AX880:AX900),0)</f>
        <v>11384.353057813423</v>
      </c>
      <c r="AY901" s="327">
        <f>IF(AY879&gt;START!$C$2+2020,SUM(AY880:AY900),0)</f>
        <v>11219.137285231947</v>
      </c>
      <c r="AZ901" s="327">
        <f>IF(AZ879&gt;START!$C$2+2020,SUM(AZ880:AZ900),0)</f>
        <v>11062.843380142451</v>
      </c>
      <c r="BA901" s="327">
        <f>IF(BA879&gt;START!$C$2+2020,SUM(BA880:BA900),0)</f>
        <v>10914.980639832876</v>
      </c>
      <c r="BB901" s="327">
        <f>IF(BB879&gt;START!$C$2+2020,SUM(BB880:BB900),0)</f>
        <v>10775.08535024033</v>
      </c>
      <c r="BC901" s="327">
        <f>IF(BC879&gt;START!$C$2+2020,SUM(BC880:BC900),0)</f>
        <v>10642.719301575373</v>
      </c>
      <c r="BD901" s="327">
        <f>IF(BD879&gt;START!$C$2+2020,SUM(BD880:BD900),0)</f>
        <v>10517.468385586988</v>
      </c>
      <c r="BE901" s="327">
        <f>IF(BE879&gt;START!$C$2+2020,SUM(BE880:BE900),0)</f>
        <v>10398.941269977964</v>
      </c>
      <c r="BF901" s="327">
        <f>IF(BF879&gt;START!$C$2+2020,SUM(BF880:BF900),0)</f>
        <v>10286.768145727438</v>
      </c>
      <c r="BG901" s="327">
        <f>IF(BG879&gt;START!$C$2+2020,SUM(BG880:BG900),0)</f>
        <v>10180.599543310689</v>
      </c>
      <c r="BH901" s="327">
        <f>IF(BH879&gt;START!$C$2+2020,SUM(BH880:BH900),0)</f>
        <v>10080.105214026862</v>
      </c>
      <c r="BI901" s="327">
        <f>IF(BI879&gt;START!$C$2+2020,SUM(BI880:BI900),0)</f>
        <v>9984.9730728536451</v>
      </c>
      <c r="BJ901" s="327">
        <f>IF(BJ879&gt;START!$C$2+2020,SUM(BJ880:BJ900),0)</f>
        <v>9894.9081994449552</v>
      </c>
      <c r="BK901" s="327">
        <f>IF(BK879&gt;START!$C$2+2020,SUM(BK880:BK900),0)</f>
        <v>9809.6318940737438</v>
      </c>
      <c r="BL901" s="327">
        <f>IF(BL879&gt;START!$C$2+2020,SUM(BL880:BL900),0)</f>
        <v>9728.8807854979495</v>
      </c>
      <c r="BM901" s="327">
        <f>IF(BM879&gt;START!$C$2+2020,SUM(BM880:BM900),0)</f>
        <v>9652.4059878938242</v>
      </c>
      <c r="BN901" s="327">
        <f>IF(BN879&gt;START!$C$2+2020,SUM(BN880:BN900),0)</f>
        <v>9579.9723041579236</v>
      </c>
    </row>
    <row r="903" spans="32:66" ht="20.100000000000001" customHeight="1">
      <c r="AF903" s="290" t="s">
        <v>1559</v>
      </c>
      <c r="AG903" s="279"/>
      <c r="AH903" s="279"/>
      <c r="AI903" s="279"/>
      <c r="AJ903" s="279"/>
      <c r="AK903" s="279"/>
      <c r="AL903" s="279"/>
      <c r="AM903" s="279"/>
    </row>
    <row r="904" spans="32:66" ht="20.100000000000001" customHeight="1" thickBot="1">
      <c r="AF904" s="306" t="s">
        <v>1561</v>
      </c>
      <c r="AG904" s="307"/>
      <c r="AH904" s="307"/>
      <c r="AI904" s="314"/>
      <c r="AJ904" s="340"/>
      <c r="AK904" s="341">
        <v>2021</v>
      </c>
      <c r="AL904" s="284">
        <v>2022</v>
      </c>
      <c r="AM904" s="284">
        <f>AL904+1</f>
        <v>2023</v>
      </c>
      <c r="AN904" s="284">
        <f t="shared" ref="AN904" si="1065">AM904+1</f>
        <v>2024</v>
      </c>
      <c r="AO904" s="284">
        <f t="shared" ref="AO904" si="1066">AN904+1</f>
        <v>2025</v>
      </c>
      <c r="AP904" s="284">
        <f t="shared" ref="AP904" si="1067">AO904+1</f>
        <v>2026</v>
      </c>
      <c r="AQ904" s="284">
        <f t="shared" ref="AQ904" si="1068">AP904+1</f>
        <v>2027</v>
      </c>
      <c r="AR904" s="284">
        <f t="shared" ref="AR904" si="1069">AQ904+1</f>
        <v>2028</v>
      </c>
      <c r="AS904" s="284">
        <f t="shared" ref="AS904" si="1070">AR904+1</f>
        <v>2029</v>
      </c>
      <c r="AT904" s="284">
        <f t="shared" ref="AT904" si="1071">AS904+1</f>
        <v>2030</v>
      </c>
      <c r="AU904" s="284">
        <f t="shared" ref="AU904" si="1072">AT904+1</f>
        <v>2031</v>
      </c>
      <c r="AV904" s="284">
        <f t="shared" ref="AV904" si="1073">AU904+1</f>
        <v>2032</v>
      </c>
      <c r="AW904" s="284">
        <f t="shared" ref="AW904" si="1074">AV904+1</f>
        <v>2033</v>
      </c>
      <c r="AX904" s="284">
        <f t="shared" ref="AX904" si="1075">AW904+1</f>
        <v>2034</v>
      </c>
      <c r="AY904" s="284">
        <f t="shared" ref="AY904" si="1076">AX904+1</f>
        <v>2035</v>
      </c>
      <c r="AZ904" s="284">
        <f t="shared" ref="AZ904" si="1077">AY904+1</f>
        <v>2036</v>
      </c>
      <c r="BA904" s="284">
        <f t="shared" ref="BA904" si="1078">AZ904+1</f>
        <v>2037</v>
      </c>
      <c r="BB904" s="284">
        <f t="shared" ref="BB904" si="1079">BA904+1</f>
        <v>2038</v>
      </c>
      <c r="BC904" s="284">
        <f t="shared" ref="BC904" si="1080">BB904+1</f>
        <v>2039</v>
      </c>
      <c r="BD904" s="284">
        <f t="shared" ref="BD904" si="1081">BC904+1</f>
        <v>2040</v>
      </c>
      <c r="BE904" s="284">
        <f t="shared" ref="BE904" si="1082">BD904+1</f>
        <v>2041</v>
      </c>
      <c r="BF904" s="284">
        <f t="shared" ref="BF904" si="1083">BE904+1</f>
        <v>2042</v>
      </c>
      <c r="BG904" s="284">
        <f t="shared" ref="BG904" si="1084">BF904+1</f>
        <v>2043</v>
      </c>
      <c r="BH904" s="284">
        <f t="shared" ref="BH904" si="1085">BG904+1</f>
        <v>2044</v>
      </c>
      <c r="BI904" s="284">
        <f t="shared" ref="BI904" si="1086">BH904+1</f>
        <v>2045</v>
      </c>
      <c r="BJ904" s="284">
        <f t="shared" ref="BJ904" si="1087">BI904+1</f>
        <v>2046</v>
      </c>
      <c r="BK904" s="284">
        <f t="shared" ref="BK904" si="1088">BJ904+1</f>
        <v>2047</v>
      </c>
      <c r="BL904" s="284">
        <f t="shared" ref="BL904" si="1089">BK904+1</f>
        <v>2048</v>
      </c>
      <c r="BM904" s="284">
        <f t="shared" ref="BM904" si="1090">BL904+1</f>
        <v>2049</v>
      </c>
      <c r="BN904" s="284">
        <f t="shared" ref="BN904" si="1091">BM904+1</f>
        <v>2050</v>
      </c>
    </row>
    <row r="905" spans="32:66" ht="20.100000000000001" customHeight="1">
      <c r="AF905" s="1491" t="s">
        <v>1218</v>
      </c>
      <c r="AG905" s="286" t="s">
        <v>1560</v>
      </c>
      <c r="AH905" s="1494" t="s">
        <v>1589</v>
      </c>
      <c r="AI905" s="1495"/>
      <c r="AJ905" s="1496"/>
      <c r="AK905" s="343">
        <v>0</v>
      </c>
      <c r="AL905" s="328">
        <f t="shared" ref="AL905:BN905" si="1092">AL222</f>
        <v>0</v>
      </c>
      <c r="AM905" s="328">
        <f t="shared" si="1092"/>
        <v>77893.050264105928</v>
      </c>
      <c r="AN905" s="328">
        <f t="shared" si="1092"/>
        <v>77726.029609468314</v>
      </c>
      <c r="AO905" s="328">
        <f t="shared" si="1092"/>
        <v>77560.679161377077</v>
      </c>
      <c r="AP905" s="328">
        <f t="shared" si="1092"/>
        <v>77396.982217766752</v>
      </c>
      <c r="AQ905" s="328">
        <f t="shared" si="1092"/>
        <v>77234.922243592533</v>
      </c>
      <c r="AR905" s="328">
        <f t="shared" si="1092"/>
        <v>77074.482869160041</v>
      </c>
      <c r="AS905" s="328">
        <f t="shared" si="1092"/>
        <v>76915.647888471896</v>
      </c>
      <c r="AT905" s="328">
        <f t="shared" si="1092"/>
        <v>76758.401257590624</v>
      </c>
      <c r="AU905" s="328">
        <f t="shared" si="1092"/>
        <v>75902.193352442089</v>
      </c>
      <c r="AV905" s="328">
        <f t="shared" si="1092"/>
        <v>75093.076882076712</v>
      </c>
      <c r="AW905" s="328">
        <f t="shared" si="1092"/>
        <v>74328.461817581439</v>
      </c>
      <c r="AX905" s="328">
        <f t="shared" si="1092"/>
        <v>73605.90058163341</v>
      </c>
      <c r="AY905" s="328">
        <f t="shared" si="1092"/>
        <v>72923.080213662513</v>
      </c>
      <c r="AZ905" s="328">
        <f t="shared" si="1092"/>
        <v>72277.814965930011</v>
      </c>
      <c r="BA905" s="328">
        <f t="shared" si="1092"/>
        <v>71668.039306822815</v>
      </c>
      <c r="BB905" s="328">
        <f t="shared" si="1092"/>
        <v>71091.801308966504</v>
      </c>
      <c r="BC905" s="328">
        <f t="shared" si="1092"/>
        <v>70547.256400992293</v>
      </c>
      <c r="BD905" s="328">
        <f t="shared" si="1092"/>
        <v>70032.661462956661</v>
      </c>
      <c r="BE905" s="328">
        <f t="shared" si="1092"/>
        <v>69546.369246512986</v>
      </c>
      <c r="BF905" s="328">
        <f t="shared" si="1092"/>
        <v>69086.823101973714</v>
      </c>
      <c r="BG905" s="328">
        <f t="shared" si="1092"/>
        <v>68652.551995384114</v>
      </c>
      <c r="BH905" s="328">
        <f t="shared" si="1092"/>
        <v>68242.165799656941</v>
      </c>
      <c r="BI905" s="328">
        <f t="shared" si="1092"/>
        <v>67854.350844694738</v>
      </c>
      <c r="BJ905" s="328">
        <f t="shared" si="1092"/>
        <v>67487.865712255472</v>
      </c>
      <c r="BK905" s="328">
        <f t="shared" si="1092"/>
        <v>67141.537262100377</v>
      </c>
      <c r="BL905" s="328">
        <f t="shared" si="1092"/>
        <v>66814.256876703803</v>
      </c>
      <c r="BM905" s="328">
        <f t="shared" si="1092"/>
        <v>66504.976912504033</v>
      </c>
      <c r="BN905" s="328">
        <f t="shared" si="1092"/>
        <v>66212.707346335257</v>
      </c>
    </row>
    <row r="906" spans="32:66" ht="20.100000000000001" customHeight="1">
      <c r="AF906" s="1492"/>
      <c r="AG906" s="389" t="s">
        <v>1562</v>
      </c>
      <c r="AH906" s="1497" t="s">
        <v>1567</v>
      </c>
      <c r="AI906" s="1498"/>
      <c r="AJ906" s="1499"/>
      <c r="AK906" s="345">
        <v>0</v>
      </c>
      <c r="AL906" s="272">
        <f t="shared" ref="AL906:BN906" si="1093">AL313</f>
        <v>0</v>
      </c>
      <c r="AM906" s="272">
        <f t="shared" si="1093"/>
        <v>0</v>
      </c>
      <c r="AN906" s="272">
        <f t="shared" si="1093"/>
        <v>0</v>
      </c>
      <c r="AO906" s="272">
        <f t="shared" si="1093"/>
        <v>0</v>
      </c>
      <c r="AP906" s="272">
        <f t="shared" si="1093"/>
        <v>0</v>
      </c>
      <c r="AQ906" s="272">
        <f t="shared" si="1093"/>
        <v>0</v>
      </c>
      <c r="AR906" s="272">
        <f t="shared" si="1093"/>
        <v>0</v>
      </c>
      <c r="AS906" s="272">
        <f t="shared" si="1093"/>
        <v>0</v>
      </c>
      <c r="AT906" s="272">
        <f t="shared" si="1093"/>
        <v>0</v>
      </c>
      <c r="AU906" s="272">
        <f t="shared" si="1093"/>
        <v>0</v>
      </c>
      <c r="AV906" s="272">
        <f t="shared" si="1093"/>
        <v>0</v>
      </c>
      <c r="AW906" s="272">
        <f t="shared" si="1093"/>
        <v>0</v>
      </c>
      <c r="AX906" s="272">
        <f t="shared" si="1093"/>
        <v>0</v>
      </c>
      <c r="AY906" s="272">
        <f t="shared" si="1093"/>
        <v>0</v>
      </c>
      <c r="AZ906" s="272">
        <f t="shared" si="1093"/>
        <v>0</v>
      </c>
      <c r="BA906" s="272">
        <f t="shared" si="1093"/>
        <v>0</v>
      </c>
      <c r="BB906" s="272">
        <f t="shared" si="1093"/>
        <v>0</v>
      </c>
      <c r="BC906" s="272">
        <f t="shared" si="1093"/>
        <v>0</v>
      </c>
      <c r="BD906" s="272">
        <f t="shared" si="1093"/>
        <v>0</v>
      </c>
      <c r="BE906" s="272">
        <f t="shared" si="1093"/>
        <v>0</v>
      </c>
      <c r="BF906" s="272">
        <f t="shared" si="1093"/>
        <v>0</v>
      </c>
      <c r="BG906" s="272">
        <f t="shared" si="1093"/>
        <v>0</v>
      </c>
      <c r="BH906" s="272">
        <f t="shared" si="1093"/>
        <v>0</v>
      </c>
      <c r="BI906" s="272">
        <f t="shared" si="1093"/>
        <v>0</v>
      </c>
      <c r="BJ906" s="272">
        <f t="shared" si="1093"/>
        <v>0</v>
      </c>
      <c r="BK906" s="272">
        <f t="shared" si="1093"/>
        <v>0</v>
      </c>
      <c r="BL906" s="272">
        <f t="shared" si="1093"/>
        <v>0</v>
      </c>
      <c r="BM906" s="272">
        <f t="shared" si="1093"/>
        <v>0</v>
      </c>
      <c r="BN906" s="324">
        <f t="shared" si="1093"/>
        <v>0</v>
      </c>
    </row>
    <row r="907" spans="32:66" ht="20.100000000000001" customHeight="1">
      <c r="AF907" s="1492"/>
      <c r="AG907" s="389" t="s">
        <v>1563</v>
      </c>
      <c r="AH907" s="1497" t="s">
        <v>1568</v>
      </c>
      <c r="AI907" s="1498"/>
      <c r="AJ907" s="1499"/>
      <c r="AK907" s="345">
        <v>0</v>
      </c>
      <c r="AL907" s="272">
        <f t="shared" ref="AL907:BN907" si="1094">AL432</f>
        <v>0</v>
      </c>
      <c r="AM907" s="272">
        <f t="shared" si="1094"/>
        <v>0</v>
      </c>
      <c r="AN907" s="272">
        <f t="shared" si="1094"/>
        <v>0</v>
      </c>
      <c r="AO907" s="272">
        <f t="shared" si="1094"/>
        <v>0</v>
      </c>
      <c r="AP907" s="272">
        <f t="shared" si="1094"/>
        <v>0</v>
      </c>
      <c r="AQ907" s="272">
        <f t="shared" si="1094"/>
        <v>0</v>
      </c>
      <c r="AR907" s="272">
        <f t="shared" si="1094"/>
        <v>0</v>
      </c>
      <c r="AS907" s="272">
        <f t="shared" si="1094"/>
        <v>0</v>
      </c>
      <c r="AT907" s="272">
        <f t="shared" si="1094"/>
        <v>0</v>
      </c>
      <c r="AU907" s="272">
        <f t="shared" si="1094"/>
        <v>0</v>
      </c>
      <c r="AV907" s="272">
        <f t="shared" si="1094"/>
        <v>0</v>
      </c>
      <c r="AW907" s="272">
        <f t="shared" si="1094"/>
        <v>0</v>
      </c>
      <c r="AX907" s="272">
        <f t="shared" si="1094"/>
        <v>0</v>
      </c>
      <c r="AY907" s="272">
        <f t="shared" si="1094"/>
        <v>0</v>
      </c>
      <c r="AZ907" s="272">
        <f t="shared" si="1094"/>
        <v>0</v>
      </c>
      <c r="BA907" s="272">
        <f t="shared" si="1094"/>
        <v>0</v>
      </c>
      <c r="BB907" s="272">
        <f t="shared" si="1094"/>
        <v>0</v>
      </c>
      <c r="BC907" s="272">
        <f t="shared" si="1094"/>
        <v>0</v>
      </c>
      <c r="BD907" s="272">
        <f t="shared" si="1094"/>
        <v>0</v>
      </c>
      <c r="BE907" s="272">
        <f t="shared" si="1094"/>
        <v>0</v>
      </c>
      <c r="BF907" s="272">
        <f t="shared" si="1094"/>
        <v>0</v>
      </c>
      <c r="BG907" s="272">
        <f t="shared" si="1094"/>
        <v>0</v>
      </c>
      <c r="BH907" s="272">
        <f t="shared" si="1094"/>
        <v>0</v>
      </c>
      <c r="BI907" s="272">
        <f t="shared" si="1094"/>
        <v>0</v>
      </c>
      <c r="BJ907" s="272">
        <f t="shared" si="1094"/>
        <v>0</v>
      </c>
      <c r="BK907" s="272">
        <f t="shared" si="1094"/>
        <v>0</v>
      </c>
      <c r="BL907" s="272">
        <f t="shared" si="1094"/>
        <v>0</v>
      </c>
      <c r="BM907" s="272">
        <f t="shared" si="1094"/>
        <v>0</v>
      </c>
      <c r="BN907" s="324">
        <f t="shared" si="1094"/>
        <v>0</v>
      </c>
    </row>
    <row r="908" spans="32:66" ht="20.100000000000001" customHeight="1">
      <c r="AF908" s="1492"/>
      <c r="AG908" s="389" t="s">
        <v>1564</v>
      </c>
      <c r="AH908" s="1497" t="s">
        <v>1569</v>
      </c>
      <c r="AI908" s="1498"/>
      <c r="AJ908" s="1499"/>
      <c r="AK908" s="345">
        <v>0</v>
      </c>
      <c r="AL908" s="272">
        <f t="shared" ref="AL908:BN908" si="1095">IF($A$114=1,-AL573,0)</f>
        <v>0</v>
      </c>
      <c r="AM908" s="272">
        <f t="shared" si="1095"/>
        <v>0</v>
      </c>
      <c r="AN908" s="272">
        <f t="shared" si="1095"/>
        <v>0</v>
      </c>
      <c r="AO908" s="272">
        <f t="shared" si="1095"/>
        <v>0</v>
      </c>
      <c r="AP908" s="272">
        <f t="shared" si="1095"/>
        <v>0</v>
      </c>
      <c r="AQ908" s="272">
        <f t="shared" si="1095"/>
        <v>0</v>
      </c>
      <c r="AR908" s="272">
        <f t="shared" si="1095"/>
        <v>0</v>
      </c>
      <c r="AS908" s="272">
        <f t="shared" si="1095"/>
        <v>0</v>
      </c>
      <c r="AT908" s="272">
        <f t="shared" si="1095"/>
        <v>0</v>
      </c>
      <c r="AU908" s="272">
        <f t="shared" si="1095"/>
        <v>0</v>
      </c>
      <c r="AV908" s="272">
        <f t="shared" si="1095"/>
        <v>0</v>
      </c>
      <c r="AW908" s="272">
        <f t="shared" si="1095"/>
        <v>0</v>
      </c>
      <c r="AX908" s="272">
        <f t="shared" si="1095"/>
        <v>0</v>
      </c>
      <c r="AY908" s="272">
        <f t="shared" si="1095"/>
        <v>0</v>
      </c>
      <c r="AZ908" s="272">
        <f t="shared" si="1095"/>
        <v>0</v>
      </c>
      <c r="BA908" s="272">
        <f t="shared" si="1095"/>
        <v>0</v>
      </c>
      <c r="BB908" s="272">
        <f t="shared" si="1095"/>
        <v>0</v>
      </c>
      <c r="BC908" s="272">
        <f t="shared" si="1095"/>
        <v>0</v>
      </c>
      <c r="BD908" s="272">
        <f t="shared" si="1095"/>
        <v>0</v>
      </c>
      <c r="BE908" s="272">
        <f t="shared" si="1095"/>
        <v>0</v>
      </c>
      <c r="BF908" s="272">
        <f t="shared" si="1095"/>
        <v>0</v>
      </c>
      <c r="BG908" s="272">
        <f t="shared" si="1095"/>
        <v>0</v>
      </c>
      <c r="BH908" s="272">
        <f t="shared" si="1095"/>
        <v>0</v>
      </c>
      <c r="BI908" s="272">
        <f t="shared" si="1095"/>
        <v>0</v>
      </c>
      <c r="BJ908" s="272">
        <f t="shared" si="1095"/>
        <v>0</v>
      </c>
      <c r="BK908" s="272">
        <f t="shared" si="1095"/>
        <v>0</v>
      </c>
      <c r="BL908" s="272">
        <f t="shared" si="1095"/>
        <v>0</v>
      </c>
      <c r="BM908" s="272">
        <f t="shared" si="1095"/>
        <v>0</v>
      </c>
      <c r="BN908" s="324">
        <f t="shared" si="1095"/>
        <v>0</v>
      </c>
    </row>
    <row r="909" spans="32:66" ht="20.100000000000001" customHeight="1">
      <c r="AF909" s="1492"/>
      <c r="AG909" s="389" t="s">
        <v>1564</v>
      </c>
      <c r="AH909" s="1497" t="s">
        <v>1570</v>
      </c>
      <c r="AI909" s="1498"/>
      <c r="AJ909" s="1499"/>
      <c r="AK909" s="345">
        <v>0</v>
      </c>
      <c r="AL909" s="272">
        <f t="shared" ref="AL909:BN909" si="1096">IF($A$115=1,-AL617,0)</f>
        <v>0</v>
      </c>
      <c r="AM909" s="272">
        <f t="shared" si="1096"/>
        <v>0</v>
      </c>
      <c r="AN909" s="272">
        <f t="shared" si="1096"/>
        <v>0</v>
      </c>
      <c r="AO909" s="272">
        <f t="shared" si="1096"/>
        <v>0</v>
      </c>
      <c r="AP909" s="272">
        <f t="shared" si="1096"/>
        <v>0</v>
      </c>
      <c r="AQ909" s="272">
        <f t="shared" si="1096"/>
        <v>0</v>
      </c>
      <c r="AR909" s="272">
        <f t="shared" si="1096"/>
        <v>0</v>
      </c>
      <c r="AS909" s="272">
        <f t="shared" si="1096"/>
        <v>0</v>
      </c>
      <c r="AT909" s="272">
        <f t="shared" si="1096"/>
        <v>0</v>
      </c>
      <c r="AU909" s="272">
        <f t="shared" si="1096"/>
        <v>0</v>
      </c>
      <c r="AV909" s="272">
        <f t="shared" si="1096"/>
        <v>0</v>
      </c>
      <c r="AW909" s="272">
        <f t="shared" si="1096"/>
        <v>0</v>
      </c>
      <c r="AX909" s="272">
        <f t="shared" si="1096"/>
        <v>0</v>
      </c>
      <c r="AY909" s="272">
        <f t="shared" si="1096"/>
        <v>0</v>
      </c>
      <c r="AZ909" s="272">
        <f t="shared" si="1096"/>
        <v>0</v>
      </c>
      <c r="BA909" s="272">
        <f t="shared" si="1096"/>
        <v>0</v>
      </c>
      <c r="BB909" s="272">
        <f t="shared" si="1096"/>
        <v>0</v>
      </c>
      <c r="BC909" s="272">
        <f t="shared" si="1096"/>
        <v>0</v>
      </c>
      <c r="BD909" s="272">
        <f t="shared" si="1096"/>
        <v>0</v>
      </c>
      <c r="BE909" s="272">
        <f t="shared" si="1096"/>
        <v>0</v>
      </c>
      <c r="BF909" s="272">
        <f t="shared" si="1096"/>
        <v>0</v>
      </c>
      <c r="BG909" s="272">
        <f t="shared" si="1096"/>
        <v>0</v>
      </c>
      <c r="BH909" s="272">
        <f t="shared" si="1096"/>
        <v>0</v>
      </c>
      <c r="BI909" s="272">
        <f t="shared" si="1096"/>
        <v>0</v>
      </c>
      <c r="BJ909" s="272">
        <f t="shared" si="1096"/>
        <v>0</v>
      </c>
      <c r="BK909" s="272">
        <f t="shared" si="1096"/>
        <v>0</v>
      </c>
      <c r="BL909" s="272">
        <f t="shared" si="1096"/>
        <v>0</v>
      </c>
      <c r="BM909" s="272">
        <f t="shared" si="1096"/>
        <v>0</v>
      </c>
      <c r="BN909" s="324">
        <f t="shared" si="1096"/>
        <v>0</v>
      </c>
    </row>
    <row r="910" spans="32:66" ht="20.100000000000001" customHeight="1">
      <c r="AF910" s="1492"/>
      <c r="AG910" s="389" t="s">
        <v>1564</v>
      </c>
      <c r="AH910" s="1497" t="s">
        <v>1571</v>
      </c>
      <c r="AI910" s="1498"/>
      <c r="AJ910" s="1499"/>
      <c r="AK910" s="345">
        <v>0</v>
      </c>
      <c r="AL910" s="272">
        <f t="shared" ref="AL910:BN910" si="1097">IF($A$116=1,-AL628,0)</f>
        <v>0</v>
      </c>
      <c r="AM910" s="272">
        <f t="shared" si="1097"/>
        <v>0</v>
      </c>
      <c r="AN910" s="272">
        <f t="shared" si="1097"/>
        <v>0</v>
      </c>
      <c r="AO910" s="272">
        <f t="shared" si="1097"/>
        <v>0</v>
      </c>
      <c r="AP910" s="272">
        <f t="shared" si="1097"/>
        <v>0</v>
      </c>
      <c r="AQ910" s="272">
        <f t="shared" si="1097"/>
        <v>0</v>
      </c>
      <c r="AR910" s="272">
        <f t="shared" si="1097"/>
        <v>0</v>
      </c>
      <c r="AS910" s="272">
        <f t="shared" si="1097"/>
        <v>0</v>
      </c>
      <c r="AT910" s="272">
        <f t="shared" si="1097"/>
        <v>0</v>
      </c>
      <c r="AU910" s="272">
        <f t="shared" si="1097"/>
        <v>0</v>
      </c>
      <c r="AV910" s="272">
        <f t="shared" si="1097"/>
        <v>0</v>
      </c>
      <c r="AW910" s="272">
        <f t="shared" si="1097"/>
        <v>0</v>
      </c>
      <c r="AX910" s="272">
        <f t="shared" si="1097"/>
        <v>0</v>
      </c>
      <c r="AY910" s="272">
        <f t="shared" si="1097"/>
        <v>0</v>
      </c>
      <c r="AZ910" s="272">
        <f t="shared" si="1097"/>
        <v>0</v>
      </c>
      <c r="BA910" s="272">
        <f t="shared" si="1097"/>
        <v>0</v>
      </c>
      <c r="BB910" s="272">
        <f t="shared" si="1097"/>
        <v>0</v>
      </c>
      <c r="BC910" s="272">
        <f t="shared" si="1097"/>
        <v>0</v>
      </c>
      <c r="BD910" s="272">
        <f t="shared" si="1097"/>
        <v>0</v>
      </c>
      <c r="BE910" s="272">
        <f t="shared" si="1097"/>
        <v>0</v>
      </c>
      <c r="BF910" s="272">
        <f t="shared" si="1097"/>
        <v>0</v>
      </c>
      <c r="BG910" s="272">
        <f t="shared" si="1097"/>
        <v>0</v>
      </c>
      <c r="BH910" s="272">
        <f t="shared" si="1097"/>
        <v>0</v>
      </c>
      <c r="BI910" s="272">
        <f t="shared" si="1097"/>
        <v>0</v>
      </c>
      <c r="BJ910" s="272">
        <f t="shared" si="1097"/>
        <v>0</v>
      </c>
      <c r="BK910" s="272">
        <f t="shared" si="1097"/>
        <v>0</v>
      </c>
      <c r="BL910" s="272">
        <f t="shared" si="1097"/>
        <v>0</v>
      </c>
      <c r="BM910" s="272">
        <f t="shared" si="1097"/>
        <v>0</v>
      </c>
      <c r="BN910" s="324">
        <f t="shared" si="1097"/>
        <v>0</v>
      </c>
    </row>
    <row r="911" spans="32:66" ht="20.100000000000001" customHeight="1">
      <c r="AF911" s="1492"/>
      <c r="AG911" s="389" t="s">
        <v>1564</v>
      </c>
      <c r="AH911" s="1497" t="s">
        <v>1572</v>
      </c>
      <c r="AI911" s="1498"/>
      <c r="AJ911" s="1499"/>
      <c r="AK911" s="345">
        <v>0</v>
      </c>
      <c r="AL911" s="272">
        <f t="shared" ref="AL911:BN911" si="1098">IF($A$117=1,-AL639,0)</f>
        <v>0</v>
      </c>
      <c r="AM911" s="272">
        <f t="shared" si="1098"/>
        <v>0</v>
      </c>
      <c r="AN911" s="272">
        <f t="shared" si="1098"/>
        <v>0</v>
      </c>
      <c r="AO911" s="272">
        <f t="shared" si="1098"/>
        <v>0</v>
      </c>
      <c r="AP911" s="272">
        <f t="shared" si="1098"/>
        <v>0</v>
      </c>
      <c r="AQ911" s="272">
        <f t="shared" si="1098"/>
        <v>0</v>
      </c>
      <c r="AR911" s="272">
        <f t="shared" si="1098"/>
        <v>0</v>
      </c>
      <c r="AS911" s="272">
        <f t="shared" si="1098"/>
        <v>0</v>
      </c>
      <c r="AT911" s="272">
        <f t="shared" si="1098"/>
        <v>0</v>
      </c>
      <c r="AU911" s="272">
        <f t="shared" si="1098"/>
        <v>0</v>
      </c>
      <c r="AV911" s="272">
        <f t="shared" si="1098"/>
        <v>0</v>
      </c>
      <c r="AW911" s="272">
        <f t="shared" si="1098"/>
        <v>0</v>
      </c>
      <c r="AX911" s="272">
        <f t="shared" si="1098"/>
        <v>0</v>
      </c>
      <c r="AY911" s="272">
        <f t="shared" si="1098"/>
        <v>0</v>
      </c>
      <c r="AZ911" s="272">
        <f t="shared" si="1098"/>
        <v>0</v>
      </c>
      <c r="BA911" s="272">
        <f t="shared" si="1098"/>
        <v>0</v>
      </c>
      <c r="BB911" s="272">
        <f t="shared" si="1098"/>
        <v>0</v>
      </c>
      <c r="BC911" s="272">
        <f t="shared" si="1098"/>
        <v>0</v>
      </c>
      <c r="BD911" s="272">
        <f t="shared" si="1098"/>
        <v>0</v>
      </c>
      <c r="BE911" s="272">
        <f t="shared" si="1098"/>
        <v>0</v>
      </c>
      <c r="BF911" s="272">
        <f t="shared" si="1098"/>
        <v>0</v>
      </c>
      <c r="BG911" s="272">
        <f t="shared" si="1098"/>
        <v>0</v>
      </c>
      <c r="BH911" s="272">
        <f t="shared" si="1098"/>
        <v>0</v>
      </c>
      <c r="BI911" s="272">
        <f t="shared" si="1098"/>
        <v>0</v>
      </c>
      <c r="BJ911" s="272">
        <f t="shared" si="1098"/>
        <v>0</v>
      </c>
      <c r="BK911" s="272">
        <f t="shared" si="1098"/>
        <v>0</v>
      </c>
      <c r="BL911" s="272">
        <f t="shared" si="1098"/>
        <v>0</v>
      </c>
      <c r="BM911" s="272">
        <f t="shared" si="1098"/>
        <v>0</v>
      </c>
      <c r="BN911" s="324">
        <f t="shared" si="1098"/>
        <v>0</v>
      </c>
    </row>
    <row r="912" spans="32:66" ht="20.100000000000001" customHeight="1">
      <c r="AF912" s="1492"/>
      <c r="AG912" s="389" t="s">
        <v>1564</v>
      </c>
      <c r="AH912" s="1497" t="s">
        <v>1573</v>
      </c>
      <c r="AI912" s="1498"/>
      <c r="AJ912" s="1499"/>
      <c r="AK912" s="345">
        <v>0</v>
      </c>
      <c r="AL912" s="272">
        <f t="shared" ref="AL912:BN912" si="1099">IF($A$118=1,-AL650,0)</f>
        <v>0</v>
      </c>
      <c r="AM912" s="272">
        <f t="shared" si="1099"/>
        <v>0</v>
      </c>
      <c r="AN912" s="272">
        <f t="shared" si="1099"/>
        <v>0</v>
      </c>
      <c r="AO912" s="272">
        <f t="shared" si="1099"/>
        <v>0</v>
      </c>
      <c r="AP912" s="272">
        <f t="shared" si="1099"/>
        <v>0</v>
      </c>
      <c r="AQ912" s="272">
        <f t="shared" si="1099"/>
        <v>0</v>
      </c>
      <c r="AR912" s="272">
        <f t="shared" si="1099"/>
        <v>0</v>
      </c>
      <c r="AS912" s="272">
        <f t="shared" si="1099"/>
        <v>0</v>
      </c>
      <c r="AT912" s="272">
        <f t="shared" si="1099"/>
        <v>0</v>
      </c>
      <c r="AU912" s="272">
        <f t="shared" si="1099"/>
        <v>0</v>
      </c>
      <c r="AV912" s="272">
        <f t="shared" si="1099"/>
        <v>0</v>
      </c>
      <c r="AW912" s="272">
        <f t="shared" si="1099"/>
        <v>0</v>
      </c>
      <c r="AX912" s="272">
        <f t="shared" si="1099"/>
        <v>0</v>
      </c>
      <c r="AY912" s="272">
        <f t="shared" si="1099"/>
        <v>0</v>
      </c>
      <c r="AZ912" s="272">
        <f t="shared" si="1099"/>
        <v>0</v>
      </c>
      <c r="BA912" s="272">
        <f t="shared" si="1099"/>
        <v>0</v>
      </c>
      <c r="BB912" s="272">
        <f t="shared" si="1099"/>
        <v>0</v>
      </c>
      <c r="BC912" s="272">
        <f t="shared" si="1099"/>
        <v>0</v>
      </c>
      <c r="BD912" s="272">
        <f t="shared" si="1099"/>
        <v>0</v>
      </c>
      <c r="BE912" s="272">
        <f t="shared" si="1099"/>
        <v>0</v>
      </c>
      <c r="BF912" s="272">
        <f t="shared" si="1099"/>
        <v>0</v>
      </c>
      <c r="BG912" s="272">
        <f t="shared" si="1099"/>
        <v>0</v>
      </c>
      <c r="BH912" s="272">
        <f t="shared" si="1099"/>
        <v>0</v>
      </c>
      <c r="BI912" s="272">
        <f t="shared" si="1099"/>
        <v>0</v>
      </c>
      <c r="BJ912" s="272">
        <f t="shared" si="1099"/>
        <v>0</v>
      </c>
      <c r="BK912" s="272">
        <f t="shared" si="1099"/>
        <v>0</v>
      </c>
      <c r="BL912" s="272">
        <f t="shared" si="1099"/>
        <v>0</v>
      </c>
      <c r="BM912" s="272">
        <f t="shared" si="1099"/>
        <v>0</v>
      </c>
      <c r="BN912" s="324">
        <f t="shared" si="1099"/>
        <v>0</v>
      </c>
    </row>
    <row r="913" spans="32:66" ht="20.100000000000001" customHeight="1">
      <c r="AF913" s="1492"/>
      <c r="AG913" s="389" t="s">
        <v>1564</v>
      </c>
      <c r="AH913" s="1497" t="s">
        <v>1574</v>
      </c>
      <c r="AI913" s="1498"/>
      <c r="AJ913" s="1499"/>
      <c r="AK913" s="345">
        <v>0</v>
      </c>
      <c r="AL913" s="272">
        <f t="shared" ref="AL913:BN913" si="1100">IF($A$119=1,-AL661,0)</f>
        <v>0</v>
      </c>
      <c r="AM913" s="272">
        <f t="shared" si="1100"/>
        <v>0</v>
      </c>
      <c r="AN913" s="272">
        <f t="shared" si="1100"/>
        <v>0</v>
      </c>
      <c r="AO913" s="272">
        <f t="shared" si="1100"/>
        <v>0</v>
      </c>
      <c r="AP913" s="272">
        <f t="shared" si="1100"/>
        <v>0</v>
      </c>
      <c r="AQ913" s="272">
        <f t="shared" si="1100"/>
        <v>0</v>
      </c>
      <c r="AR913" s="272">
        <f t="shared" si="1100"/>
        <v>0</v>
      </c>
      <c r="AS913" s="272">
        <f t="shared" si="1100"/>
        <v>0</v>
      </c>
      <c r="AT913" s="272">
        <f t="shared" si="1100"/>
        <v>0</v>
      </c>
      <c r="AU913" s="272">
        <f t="shared" si="1100"/>
        <v>0</v>
      </c>
      <c r="AV913" s="272">
        <f t="shared" si="1100"/>
        <v>0</v>
      </c>
      <c r="AW913" s="272">
        <f t="shared" si="1100"/>
        <v>0</v>
      </c>
      <c r="AX913" s="272">
        <f t="shared" si="1100"/>
        <v>0</v>
      </c>
      <c r="AY913" s="272">
        <f t="shared" si="1100"/>
        <v>0</v>
      </c>
      <c r="AZ913" s="272">
        <f t="shared" si="1100"/>
        <v>0</v>
      </c>
      <c r="BA913" s="272">
        <f t="shared" si="1100"/>
        <v>0</v>
      </c>
      <c r="BB913" s="272">
        <f t="shared" si="1100"/>
        <v>0</v>
      </c>
      <c r="BC913" s="272">
        <f t="shared" si="1100"/>
        <v>0</v>
      </c>
      <c r="BD913" s="272">
        <f t="shared" si="1100"/>
        <v>0</v>
      </c>
      <c r="BE913" s="272">
        <f t="shared" si="1100"/>
        <v>0</v>
      </c>
      <c r="BF913" s="272">
        <f t="shared" si="1100"/>
        <v>0</v>
      </c>
      <c r="BG913" s="272">
        <f t="shared" si="1100"/>
        <v>0</v>
      </c>
      <c r="BH913" s="272">
        <f t="shared" si="1100"/>
        <v>0</v>
      </c>
      <c r="BI913" s="272">
        <f t="shared" si="1100"/>
        <v>0</v>
      </c>
      <c r="BJ913" s="272">
        <f t="shared" si="1100"/>
        <v>0</v>
      </c>
      <c r="BK913" s="272">
        <f t="shared" si="1100"/>
        <v>0</v>
      </c>
      <c r="BL913" s="272">
        <f t="shared" si="1100"/>
        <v>0</v>
      </c>
      <c r="BM913" s="272">
        <f t="shared" si="1100"/>
        <v>0</v>
      </c>
      <c r="BN913" s="324">
        <f t="shared" si="1100"/>
        <v>0</v>
      </c>
    </row>
    <row r="914" spans="32:66" ht="20.100000000000001" customHeight="1">
      <c r="AF914" s="1492"/>
      <c r="AG914" s="389" t="s">
        <v>1565</v>
      </c>
      <c r="AH914" s="1497" t="s">
        <v>1575</v>
      </c>
      <c r="AI914" s="1498"/>
      <c r="AJ914" s="1499"/>
      <c r="AK914" s="345">
        <v>0</v>
      </c>
      <c r="AL914" s="272">
        <f>IF($A$135=1,-AL779,0)</f>
        <v>0</v>
      </c>
      <c r="AM914" s="272">
        <f t="shared" ref="AM914:BN914" si="1101">IF($A$135=1,-AM779,0)</f>
        <v>0</v>
      </c>
      <c r="AN914" s="272">
        <f t="shared" si="1101"/>
        <v>0</v>
      </c>
      <c r="AO914" s="272">
        <f t="shared" si="1101"/>
        <v>0</v>
      </c>
      <c r="AP914" s="272">
        <f t="shared" si="1101"/>
        <v>0</v>
      </c>
      <c r="AQ914" s="272">
        <f t="shared" si="1101"/>
        <v>0</v>
      </c>
      <c r="AR914" s="272">
        <f t="shared" si="1101"/>
        <v>0</v>
      </c>
      <c r="AS914" s="272">
        <f t="shared" si="1101"/>
        <v>0</v>
      </c>
      <c r="AT914" s="272">
        <f t="shared" si="1101"/>
        <v>0</v>
      </c>
      <c r="AU914" s="272">
        <f t="shared" si="1101"/>
        <v>0</v>
      </c>
      <c r="AV914" s="272">
        <f t="shared" si="1101"/>
        <v>0</v>
      </c>
      <c r="AW914" s="272">
        <f t="shared" si="1101"/>
        <v>0</v>
      </c>
      <c r="AX914" s="272">
        <f t="shared" si="1101"/>
        <v>0</v>
      </c>
      <c r="AY914" s="272">
        <f t="shared" si="1101"/>
        <v>0</v>
      </c>
      <c r="AZ914" s="272">
        <f t="shared" si="1101"/>
        <v>0</v>
      </c>
      <c r="BA914" s="272">
        <f t="shared" si="1101"/>
        <v>0</v>
      </c>
      <c r="BB914" s="272">
        <f t="shared" si="1101"/>
        <v>0</v>
      </c>
      <c r="BC914" s="272">
        <f t="shared" si="1101"/>
        <v>0</v>
      </c>
      <c r="BD914" s="272">
        <f t="shared" si="1101"/>
        <v>0</v>
      </c>
      <c r="BE914" s="272">
        <f t="shared" si="1101"/>
        <v>0</v>
      </c>
      <c r="BF914" s="272">
        <f t="shared" si="1101"/>
        <v>0</v>
      </c>
      <c r="BG914" s="272">
        <f t="shared" si="1101"/>
        <v>0</v>
      </c>
      <c r="BH914" s="272">
        <f t="shared" si="1101"/>
        <v>0</v>
      </c>
      <c r="BI914" s="272">
        <f t="shared" si="1101"/>
        <v>0</v>
      </c>
      <c r="BJ914" s="272">
        <f t="shared" si="1101"/>
        <v>0</v>
      </c>
      <c r="BK914" s="272">
        <f t="shared" si="1101"/>
        <v>0</v>
      </c>
      <c r="BL914" s="272">
        <f t="shared" si="1101"/>
        <v>0</v>
      </c>
      <c r="BM914" s="272">
        <f t="shared" si="1101"/>
        <v>0</v>
      </c>
      <c r="BN914" s="324">
        <f t="shared" si="1101"/>
        <v>0</v>
      </c>
    </row>
    <row r="915" spans="32:66" ht="20.100000000000001" customHeight="1">
      <c r="AF915" s="1492"/>
      <c r="AG915" s="389" t="s">
        <v>1565</v>
      </c>
      <c r="AH915" s="1497" t="s">
        <v>1576</v>
      </c>
      <c r="AI915" s="1498"/>
      <c r="AJ915" s="1499"/>
      <c r="AK915" s="345">
        <v>0</v>
      </c>
      <c r="AL915" s="272">
        <f>IF($A$136=1,-AL790,0)</f>
        <v>0</v>
      </c>
      <c r="AM915" s="272">
        <f t="shared" ref="AM915:BN915" si="1102">IF($A$136=1,-AM790,0)</f>
        <v>0</v>
      </c>
      <c r="AN915" s="272">
        <f t="shared" si="1102"/>
        <v>0</v>
      </c>
      <c r="AO915" s="272">
        <f t="shared" si="1102"/>
        <v>0</v>
      </c>
      <c r="AP915" s="272">
        <f t="shared" si="1102"/>
        <v>0</v>
      </c>
      <c r="AQ915" s="272">
        <f t="shared" si="1102"/>
        <v>0</v>
      </c>
      <c r="AR915" s="272">
        <f t="shared" si="1102"/>
        <v>0</v>
      </c>
      <c r="AS915" s="272">
        <f t="shared" si="1102"/>
        <v>0</v>
      </c>
      <c r="AT915" s="272">
        <f t="shared" si="1102"/>
        <v>0</v>
      </c>
      <c r="AU915" s="272">
        <f t="shared" si="1102"/>
        <v>0</v>
      </c>
      <c r="AV915" s="272">
        <f t="shared" si="1102"/>
        <v>0</v>
      </c>
      <c r="AW915" s="272">
        <f t="shared" si="1102"/>
        <v>0</v>
      </c>
      <c r="AX915" s="272">
        <f t="shared" si="1102"/>
        <v>0</v>
      </c>
      <c r="AY915" s="272">
        <f t="shared" si="1102"/>
        <v>0</v>
      </c>
      <c r="AZ915" s="272">
        <f t="shared" si="1102"/>
        <v>0</v>
      </c>
      <c r="BA915" s="272">
        <f t="shared" si="1102"/>
        <v>0</v>
      </c>
      <c r="BB915" s="272">
        <f t="shared" si="1102"/>
        <v>0</v>
      </c>
      <c r="BC915" s="272">
        <f t="shared" si="1102"/>
        <v>0</v>
      </c>
      <c r="BD915" s="272">
        <f t="shared" si="1102"/>
        <v>0</v>
      </c>
      <c r="BE915" s="272">
        <f t="shared" si="1102"/>
        <v>0</v>
      </c>
      <c r="BF915" s="272">
        <f t="shared" si="1102"/>
        <v>0</v>
      </c>
      <c r="BG915" s="272">
        <f t="shared" si="1102"/>
        <v>0</v>
      </c>
      <c r="BH915" s="272">
        <f t="shared" si="1102"/>
        <v>0</v>
      </c>
      <c r="BI915" s="272">
        <f t="shared" si="1102"/>
        <v>0</v>
      </c>
      <c r="BJ915" s="272">
        <f t="shared" si="1102"/>
        <v>0</v>
      </c>
      <c r="BK915" s="272">
        <f t="shared" si="1102"/>
        <v>0</v>
      </c>
      <c r="BL915" s="272">
        <f t="shared" si="1102"/>
        <v>0</v>
      </c>
      <c r="BM915" s="272">
        <f t="shared" si="1102"/>
        <v>0</v>
      </c>
      <c r="BN915" s="324">
        <f t="shared" si="1102"/>
        <v>0</v>
      </c>
    </row>
    <row r="916" spans="32:66" ht="20.100000000000001" customHeight="1">
      <c r="AF916" s="1492"/>
      <c r="AG916" s="389" t="s">
        <v>1565</v>
      </c>
      <c r="AH916" s="1497" t="s">
        <v>1577</v>
      </c>
      <c r="AI916" s="1498"/>
      <c r="AJ916" s="1499"/>
      <c r="AK916" s="345">
        <v>0</v>
      </c>
      <c r="AL916" s="272">
        <f>IF($A$137=1,-AL801,0)</f>
        <v>0</v>
      </c>
      <c r="AM916" s="272">
        <f t="shared" ref="AM916:BN916" si="1103">IF($A$137=1,-AM801,0)</f>
        <v>0</v>
      </c>
      <c r="AN916" s="272">
        <f t="shared" si="1103"/>
        <v>0</v>
      </c>
      <c r="AO916" s="272">
        <f t="shared" si="1103"/>
        <v>0</v>
      </c>
      <c r="AP916" s="272">
        <f t="shared" si="1103"/>
        <v>0</v>
      </c>
      <c r="AQ916" s="272">
        <f t="shared" si="1103"/>
        <v>0</v>
      </c>
      <c r="AR916" s="272">
        <f t="shared" si="1103"/>
        <v>0</v>
      </c>
      <c r="AS916" s="272">
        <f t="shared" si="1103"/>
        <v>0</v>
      </c>
      <c r="AT916" s="272">
        <f t="shared" si="1103"/>
        <v>0</v>
      </c>
      <c r="AU916" s="272">
        <f t="shared" si="1103"/>
        <v>0</v>
      </c>
      <c r="AV916" s="272">
        <f t="shared" si="1103"/>
        <v>0</v>
      </c>
      <c r="AW916" s="272">
        <f t="shared" si="1103"/>
        <v>0</v>
      </c>
      <c r="AX916" s="272">
        <f t="shared" si="1103"/>
        <v>0</v>
      </c>
      <c r="AY916" s="272">
        <f t="shared" si="1103"/>
        <v>0</v>
      </c>
      <c r="AZ916" s="272">
        <f t="shared" si="1103"/>
        <v>0</v>
      </c>
      <c r="BA916" s="272">
        <f t="shared" si="1103"/>
        <v>0</v>
      </c>
      <c r="BB916" s="272">
        <f t="shared" si="1103"/>
        <v>0</v>
      </c>
      <c r="BC916" s="272">
        <f t="shared" si="1103"/>
        <v>0</v>
      </c>
      <c r="BD916" s="272">
        <f t="shared" si="1103"/>
        <v>0</v>
      </c>
      <c r="BE916" s="272">
        <f t="shared" si="1103"/>
        <v>0</v>
      </c>
      <c r="BF916" s="272">
        <f t="shared" si="1103"/>
        <v>0</v>
      </c>
      <c r="BG916" s="272">
        <f t="shared" si="1103"/>
        <v>0</v>
      </c>
      <c r="BH916" s="272">
        <f t="shared" si="1103"/>
        <v>0</v>
      </c>
      <c r="BI916" s="272">
        <f t="shared" si="1103"/>
        <v>0</v>
      </c>
      <c r="BJ916" s="272">
        <f t="shared" si="1103"/>
        <v>0</v>
      </c>
      <c r="BK916" s="272">
        <f t="shared" si="1103"/>
        <v>0</v>
      </c>
      <c r="BL916" s="272">
        <f t="shared" si="1103"/>
        <v>0</v>
      </c>
      <c r="BM916" s="272">
        <f t="shared" si="1103"/>
        <v>0</v>
      </c>
      <c r="BN916" s="324">
        <f t="shared" si="1103"/>
        <v>0</v>
      </c>
    </row>
    <row r="917" spans="32:66" ht="20.100000000000001" customHeight="1">
      <c r="AF917" s="1492"/>
      <c r="AG917" s="389" t="s">
        <v>1565</v>
      </c>
      <c r="AH917" s="1497" t="s">
        <v>1578</v>
      </c>
      <c r="AI917" s="1498"/>
      <c r="AJ917" s="1499"/>
      <c r="AK917" s="345">
        <v>0</v>
      </c>
      <c r="AL917" s="272">
        <f>IF($A$138=1,-AL812,0)</f>
        <v>0</v>
      </c>
      <c r="AM917" s="272">
        <f t="shared" ref="AM917:BN917" si="1104">IF($A$138=1,-AM812,0)</f>
        <v>0</v>
      </c>
      <c r="AN917" s="272">
        <f t="shared" si="1104"/>
        <v>0</v>
      </c>
      <c r="AO917" s="272">
        <f t="shared" si="1104"/>
        <v>0</v>
      </c>
      <c r="AP917" s="272">
        <f t="shared" si="1104"/>
        <v>0</v>
      </c>
      <c r="AQ917" s="272">
        <f t="shared" si="1104"/>
        <v>0</v>
      </c>
      <c r="AR917" s="272">
        <f t="shared" si="1104"/>
        <v>0</v>
      </c>
      <c r="AS917" s="272">
        <f t="shared" si="1104"/>
        <v>0</v>
      </c>
      <c r="AT917" s="272">
        <f t="shared" si="1104"/>
        <v>0</v>
      </c>
      <c r="AU917" s="272">
        <f t="shared" si="1104"/>
        <v>0</v>
      </c>
      <c r="AV917" s="272">
        <f t="shared" si="1104"/>
        <v>0</v>
      </c>
      <c r="AW917" s="272">
        <f t="shared" si="1104"/>
        <v>0</v>
      </c>
      <c r="AX917" s="272">
        <f t="shared" si="1104"/>
        <v>0</v>
      </c>
      <c r="AY917" s="272">
        <f t="shared" si="1104"/>
        <v>0</v>
      </c>
      <c r="AZ917" s="272">
        <f t="shared" si="1104"/>
        <v>0</v>
      </c>
      <c r="BA917" s="272">
        <f t="shared" si="1104"/>
        <v>0</v>
      </c>
      <c r="BB917" s="272">
        <f t="shared" si="1104"/>
        <v>0</v>
      </c>
      <c r="BC917" s="272">
        <f t="shared" si="1104"/>
        <v>0</v>
      </c>
      <c r="BD917" s="272">
        <f t="shared" si="1104"/>
        <v>0</v>
      </c>
      <c r="BE917" s="272">
        <f t="shared" si="1104"/>
        <v>0</v>
      </c>
      <c r="BF917" s="272">
        <f t="shared" si="1104"/>
        <v>0</v>
      </c>
      <c r="BG917" s="272">
        <f t="shared" si="1104"/>
        <v>0</v>
      </c>
      <c r="BH917" s="272">
        <f t="shared" si="1104"/>
        <v>0</v>
      </c>
      <c r="BI917" s="272">
        <f t="shared" si="1104"/>
        <v>0</v>
      </c>
      <c r="BJ917" s="272">
        <f t="shared" si="1104"/>
        <v>0</v>
      </c>
      <c r="BK917" s="272">
        <f t="shared" si="1104"/>
        <v>0</v>
      </c>
      <c r="BL917" s="272">
        <f t="shared" si="1104"/>
        <v>0</v>
      </c>
      <c r="BM917" s="272">
        <f t="shared" si="1104"/>
        <v>0</v>
      </c>
      <c r="BN917" s="324">
        <f t="shared" si="1104"/>
        <v>0</v>
      </c>
    </row>
    <row r="918" spans="32:66" ht="20.100000000000001" customHeight="1">
      <c r="AF918" s="1492"/>
      <c r="AG918" s="389" t="s">
        <v>1565</v>
      </c>
      <c r="AH918" s="1497" t="s">
        <v>1579</v>
      </c>
      <c r="AI918" s="1498"/>
      <c r="AJ918" s="1499"/>
      <c r="AK918" s="345">
        <v>0</v>
      </c>
      <c r="AL918" s="272">
        <f>IF($A$139=1,-AL823,0)</f>
        <v>0</v>
      </c>
      <c r="AM918" s="272">
        <f t="shared" ref="AM918:BN918" si="1105">IF($A$139=1,-AM823,0)</f>
        <v>0</v>
      </c>
      <c r="AN918" s="272">
        <f t="shared" si="1105"/>
        <v>0</v>
      </c>
      <c r="AO918" s="272">
        <f t="shared" si="1105"/>
        <v>0</v>
      </c>
      <c r="AP918" s="272">
        <f t="shared" si="1105"/>
        <v>0</v>
      </c>
      <c r="AQ918" s="272">
        <f t="shared" si="1105"/>
        <v>0</v>
      </c>
      <c r="AR918" s="272">
        <f t="shared" si="1105"/>
        <v>0</v>
      </c>
      <c r="AS918" s="272">
        <f t="shared" si="1105"/>
        <v>0</v>
      </c>
      <c r="AT918" s="272">
        <f t="shared" si="1105"/>
        <v>0</v>
      </c>
      <c r="AU918" s="272">
        <f t="shared" si="1105"/>
        <v>0</v>
      </c>
      <c r="AV918" s="272">
        <f t="shared" si="1105"/>
        <v>0</v>
      </c>
      <c r="AW918" s="272">
        <f t="shared" si="1105"/>
        <v>0</v>
      </c>
      <c r="AX918" s="272">
        <f t="shared" si="1105"/>
        <v>0</v>
      </c>
      <c r="AY918" s="272">
        <f t="shared" si="1105"/>
        <v>0</v>
      </c>
      <c r="AZ918" s="272">
        <f t="shared" si="1105"/>
        <v>0</v>
      </c>
      <c r="BA918" s="272">
        <f t="shared" si="1105"/>
        <v>0</v>
      </c>
      <c r="BB918" s="272">
        <f t="shared" si="1105"/>
        <v>0</v>
      </c>
      <c r="BC918" s="272">
        <f t="shared" si="1105"/>
        <v>0</v>
      </c>
      <c r="BD918" s="272">
        <f t="shared" si="1105"/>
        <v>0</v>
      </c>
      <c r="BE918" s="272">
        <f t="shared" si="1105"/>
        <v>0</v>
      </c>
      <c r="BF918" s="272">
        <f t="shared" si="1105"/>
        <v>0</v>
      </c>
      <c r="BG918" s="272">
        <f t="shared" si="1105"/>
        <v>0</v>
      </c>
      <c r="BH918" s="272">
        <f t="shared" si="1105"/>
        <v>0</v>
      </c>
      <c r="BI918" s="272">
        <f t="shared" si="1105"/>
        <v>0</v>
      </c>
      <c r="BJ918" s="272">
        <f t="shared" si="1105"/>
        <v>0</v>
      </c>
      <c r="BK918" s="272">
        <f t="shared" si="1105"/>
        <v>0</v>
      </c>
      <c r="BL918" s="272">
        <f t="shared" si="1105"/>
        <v>0</v>
      </c>
      <c r="BM918" s="272">
        <f t="shared" si="1105"/>
        <v>0</v>
      </c>
      <c r="BN918" s="324">
        <f t="shared" si="1105"/>
        <v>0</v>
      </c>
    </row>
    <row r="919" spans="32:66" ht="20.100000000000001" customHeight="1">
      <c r="AF919" s="1492"/>
      <c r="AG919" s="389" t="s">
        <v>1565</v>
      </c>
      <c r="AH919" s="1497" t="s">
        <v>1580</v>
      </c>
      <c r="AI919" s="1498"/>
      <c r="AJ919" s="1499"/>
      <c r="AK919" s="345">
        <v>0</v>
      </c>
      <c r="AL919" s="272">
        <f>IF($A$140=1,-AL834,0)</f>
        <v>0</v>
      </c>
      <c r="AM919" s="272">
        <f t="shared" ref="AM919:BN919" si="1106">IF($A$140=1,-AM834,0)</f>
        <v>0</v>
      </c>
      <c r="AN919" s="272">
        <f t="shared" si="1106"/>
        <v>0</v>
      </c>
      <c r="AO919" s="272">
        <f t="shared" si="1106"/>
        <v>0</v>
      </c>
      <c r="AP919" s="272">
        <f t="shared" si="1106"/>
        <v>0</v>
      </c>
      <c r="AQ919" s="272">
        <f t="shared" si="1106"/>
        <v>0</v>
      </c>
      <c r="AR919" s="272">
        <f t="shared" si="1106"/>
        <v>0</v>
      </c>
      <c r="AS919" s="272">
        <f t="shared" si="1106"/>
        <v>0</v>
      </c>
      <c r="AT919" s="272">
        <f t="shared" si="1106"/>
        <v>0</v>
      </c>
      <c r="AU919" s="272">
        <f t="shared" si="1106"/>
        <v>0</v>
      </c>
      <c r="AV919" s="272">
        <f t="shared" si="1106"/>
        <v>0</v>
      </c>
      <c r="AW919" s="272">
        <f t="shared" si="1106"/>
        <v>0</v>
      </c>
      <c r="AX919" s="272">
        <f t="shared" si="1106"/>
        <v>0</v>
      </c>
      <c r="AY919" s="272">
        <f t="shared" si="1106"/>
        <v>0</v>
      </c>
      <c r="AZ919" s="272">
        <f t="shared" si="1106"/>
        <v>0</v>
      </c>
      <c r="BA919" s="272">
        <f t="shared" si="1106"/>
        <v>0</v>
      </c>
      <c r="BB919" s="272">
        <f t="shared" si="1106"/>
        <v>0</v>
      </c>
      <c r="BC919" s="272">
        <f t="shared" si="1106"/>
        <v>0</v>
      </c>
      <c r="BD919" s="272">
        <f t="shared" si="1106"/>
        <v>0</v>
      </c>
      <c r="BE919" s="272">
        <f t="shared" si="1106"/>
        <v>0</v>
      </c>
      <c r="BF919" s="272">
        <f t="shared" si="1106"/>
        <v>0</v>
      </c>
      <c r="BG919" s="272">
        <f t="shared" si="1106"/>
        <v>0</v>
      </c>
      <c r="BH919" s="272">
        <f t="shared" si="1106"/>
        <v>0</v>
      </c>
      <c r="BI919" s="272">
        <f t="shared" si="1106"/>
        <v>0</v>
      </c>
      <c r="BJ919" s="272">
        <f t="shared" si="1106"/>
        <v>0</v>
      </c>
      <c r="BK919" s="272">
        <f t="shared" si="1106"/>
        <v>0</v>
      </c>
      <c r="BL919" s="272">
        <f t="shared" si="1106"/>
        <v>0</v>
      </c>
      <c r="BM919" s="272">
        <f t="shared" si="1106"/>
        <v>0</v>
      </c>
      <c r="BN919" s="324">
        <f t="shared" si="1106"/>
        <v>0</v>
      </c>
    </row>
    <row r="920" spans="32:66" ht="20.100000000000001" customHeight="1">
      <c r="AF920" s="1492"/>
      <c r="AG920" s="389" t="s">
        <v>1566</v>
      </c>
      <c r="AH920" s="1497" t="s">
        <v>1581</v>
      </c>
      <c r="AI920" s="1498"/>
      <c r="AJ920" s="1499"/>
      <c r="AK920" s="345">
        <v>0</v>
      </c>
      <c r="AL920" s="272">
        <f>IF($C$135=1,AL779,0)</f>
        <v>0</v>
      </c>
      <c r="AM920" s="272">
        <f t="shared" ref="AM920:BN920" si="1107">IF($C$135=1,AM779,0)</f>
        <v>0</v>
      </c>
      <c r="AN920" s="272">
        <f t="shared" si="1107"/>
        <v>0</v>
      </c>
      <c r="AO920" s="272">
        <f t="shared" si="1107"/>
        <v>0</v>
      </c>
      <c r="AP920" s="272">
        <f t="shared" si="1107"/>
        <v>0</v>
      </c>
      <c r="AQ920" s="272">
        <f t="shared" si="1107"/>
        <v>0</v>
      </c>
      <c r="AR920" s="272">
        <f t="shared" si="1107"/>
        <v>0</v>
      </c>
      <c r="AS920" s="272">
        <f t="shared" si="1107"/>
        <v>0</v>
      </c>
      <c r="AT920" s="272">
        <f t="shared" si="1107"/>
        <v>0</v>
      </c>
      <c r="AU920" s="272">
        <f t="shared" si="1107"/>
        <v>0</v>
      </c>
      <c r="AV920" s="272">
        <f t="shared" si="1107"/>
        <v>0</v>
      </c>
      <c r="AW920" s="272">
        <f t="shared" si="1107"/>
        <v>0</v>
      </c>
      <c r="AX920" s="272">
        <f t="shared" si="1107"/>
        <v>0</v>
      </c>
      <c r="AY920" s="272">
        <f t="shared" si="1107"/>
        <v>0</v>
      </c>
      <c r="AZ920" s="272">
        <f t="shared" si="1107"/>
        <v>0</v>
      </c>
      <c r="BA920" s="272">
        <f t="shared" si="1107"/>
        <v>0</v>
      </c>
      <c r="BB920" s="272">
        <f t="shared" si="1107"/>
        <v>0</v>
      </c>
      <c r="BC920" s="272">
        <f t="shared" si="1107"/>
        <v>0</v>
      </c>
      <c r="BD920" s="272">
        <f t="shared" si="1107"/>
        <v>0</v>
      </c>
      <c r="BE920" s="272">
        <f t="shared" si="1107"/>
        <v>0</v>
      </c>
      <c r="BF920" s="272">
        <f t="shared" si="1107"/>
        <v>0</v>
      </c>
      <c r="BG920" s="272">
        <f t="shared" si="1107"/>
        <v>0</v>
      </c>
      <c r="BH920" s="272">
        <f t="shared" si="1107"/>
        <v>0</v>
      </c>
      <c r="BI920" s="272">
        <f t="shared" si="1107"/>
        <v>0</v>
      </c>
      <c r="BJ920" s="272">
        <f t="shared" si="1107"/>
        <v>0</v>
      </c>
      <c r="BK920" s="272">
        <f t="shared" si="1107"/>
        <v>0</v>
      </c>
      <c r="BL920" s="272">
        <f t="shared" si="1107"/>
        <v>0</v>
      </c>
      <c r="BM920" s="272">
        <f t="shared" si="1107"/>
        <v>0</v>
      </c>
      <c r="BN920" s="324">
        <f t="shared" si="1107"/>
        <v>0</v>
      </c>
    </row>
    <row r="921" spans="32:66" ht="20.100000000000001" customHeight="1">
      <c r="AF921" s="1492"/>
      <c r="AG921" s="389" t="s">
        <v>1566</v>
      </c>
      <c r="AH921" s="1497" t="s">
        <v>1582</v>
      </c>
      <c r="AI921" s="1498"/>
      <c r="AJ921" s="1499"/>
      <c r="AK921" s="345">
        <v>0</v>
      </c>
      <c r="AL921" s="272">
        <f>IF($C$136=1,AL790,0)</f>
        <v>0</v>
      </c>
      <c r="AM921" s="272">
        <f t="shared" ref="AM921:BN921" si="1108">IF($C$136=1,AM790,0)</f>
        <v>0</v>
      </c>
      <c r="AN921" s="272">
        <f t="shared" si="1108"/>
        <v>0</v>
      </c>
      <c r="AO921" s="272">
        <f t="shared" si="1108"/>
        <v>0</v>
      </c>
      <c r="AP921" s="272">
        <f t="shared" si="1108"/>
        <v>0</v>
      </c>
      <c r="AQ921" s="272">
        <f t="shared" si="1108"/>
        <v>0</v>
      </c>
      <c r="AR921" s="272">
        <f t="shared" si="1108"/>
        <v>0</v>
      </c>
      <c r="AS921" s="272">
        <f t="shared" si="1108"/>
        <v>0</v>
      </c>
      <c r="AT921" s="272">
        <f t="shared" si="1108"/>
        <v>0</v>
      </c>
      <c r="AU921" s="272">
        <f t="shared" si="1108"/>
        <v>0</v>
      </c>
      <c r="AV921" s="272">
        <f t="shared" si="1108"/>
        <v>0</v>
      </c>
      <c r="AW921" s="272">
        <f t="shared" si="1108"/>
        <v>0</v>
      </c>
      <c r="AX921" s="272">
        <f t="shared" si="1108"/>
        <v>0</v>
      </c>
      <c r="AY921" s="272">
        <f t="shared" si="1108"/>
        <v>0</v>
      </c>
      <c r="AZ921" s="272">
        <f t="shared" si="1108"/>
        <v>0</v>
      </c>
      <c r="BA921" s="272">
        <f t="shared" si="1108"/>
        <v>0</v>
      </c>
      <c r="BB921" s="272">
        <f t="shared" si="1108"/>
        <v>0</v>
      </c>
      <c r="BC921" s="272">
        <f t="shared" si="1108"/>
        <v>0</v>
      </c>
      <c r="BD921" s="272">
        <f t="shared" si="1108"/>
        <v>0</v>
      </c>
      <c r="BE921" s="272">
        <f t="shared" si="1108"/>
        <v>0</v>
      </c>
      <c r="BF921" s="272">
        <f t="shared" si="1108"/>
        <v>0</v>
      </c>
      <c r="BG921" s="272">
        <f t="shared" si="1108"/>
        <v>0</v>
      </c>
      <c r="BH921" s="272">
        <f t="shared" si="1108"/>
        <v>0</v>
      </c>
      <c r="BI921" s="272">
        <f t="shared" si="1108"/>
        <v>0</v>
      </c>
      <c r="BJ921" s="272">
        <f t="shared" si="1108"/>
        <v>0</v>
      </c>
      <c r="BK921" s="272">
        <f t="shared" si="1108"/>
        <v>0</v>
      </c>
      <c r="BL921" s="272">
        <f t="shared" si="1108"/>
        <v>0</v>
      </c>
      <c r="BM921" s="272">
        <f t="shared" si="1108"/>
        <v>0</v>
      </c>
      <c r="BN921" s="324">
        <f t="shared" si="1108"/>
        <v>0</v>
      </c>
    </row>
    <row r="922" spans="32:66" ht="20.100000000000001" customHeight="1">
      <c r="AF922" s="1492"/>
      <c r="AG922" s="389" t="s">
        <v>1566</v>
      </c>
      <c r="AH922" s="1497" t="s">
        <v>1583</v>
      </c>
      <c r="AI922" s="1498"/>
      <c r="AJ922" s="1499"/>
      <c r="AK922" s="345">
        <v>0</v>
      </c>
      <c r="AL922" s="272">
        <f>IF($C$137=1,AL801,0)</f>
        <v>0</v>
      </c>
      <c r="AM922" s="272">
        <f t="shared" ref="AM922:BN922" si="1109">IF($C$137=1,AM801,0)</f>
        <v>0</v>
      </c>
      <c r="AN922" s="272">
        <f t="shared" si="1109"/>
        <v>0</v>
      </c>
      <c r="AO922" s="272">
        <f t="shared" si="1109"/>
        <v>0</v>
      </c>
      <c r="AP922" s="272">
        <f t="shared" si="1109"/>
        <v>0</v>
      </c>
      <c r="AQ922" s="272">
        <f t="shared" si="1109"/>
        <v>0</v>
      </c>
      <c r="AR922" s="272">
        <f t="shared" si="1109"/>
        <v>0</v>
      </c>
      <c r="AS922" s="272">
        <f t="shared" si="1109"/>
        <v>0</v>
      </c>
      <c r="AT922" s="272">
        <f t="shared" si="1109"/>
        <v>0</v>
      </c>
      <c r="AU922" s="272">
        <f t="shared" si="1109"/>
        <v>0</v>
      </c>
      <c r="AV922" s="272">
        <f t="shared" si="1109"/>
        <v>0</v>
      </c>
      <c r="AW922" s="272">
        <f t="shared" si="1109"/>
        <v>0</v>
      </c>
      <c r="AX922" s="272">
        <f t="shared" si="1109"/>
        <v>0</v>
      </c>
      <c r="AY922" s="272">
        <f t="shared" si="1109"/>
        <v>0</v>
      </c>
      <c r="AZ922" s="272">
        <f t="shared" si="1109"/>
        <v>0</v>
      </c>
      <c r="BA922" s="272">
        <f t="shared" si="1109"/>
        <v>0</v>
      </c>
      <c r="BB922" s="272">
        <f t="shared" si="1109"/>
        <v>0</v>
      </c>
      <c r="BC922" s="272">
        <f t="shared" si="1109"/>
        <v>0</v>
      </c>
      <c r="BD922" s="272">
        <f t="shared" si="1109"/>
        <v>0</v>
      </c>
      <c r="BE922" s="272">
        <f t="shared" si="1109"/>
        <v>0</v>
      </c>
      <c r="BF922" s="272">
        <f t="shared" si="1109"/>
        <v>0</v>
      </c>
      <c r="BG922" s="272">
        <f t="shared" si="1109"/>
        <v>0</v>
      </c>
      <c r="BH922" s="272">
        <f t="shared" si="1109"/>
        <v>0</v>
      </c>
      <c r="BI922" s="272">
        <f t="shared" si="1109"/>
        <v>0</v>
      </c>
      <c r="BJ922" s="272">
        <f t="shared" si="1109"/>
        <v>0</v>
      </c>
      <c r="BK922" s="272">
        <f t="shared" si="1109"/>
        <v>0</v>
      </c>
      <c r="BL922" s="272">
        <f t="shared" si="1109"/>
        <v>0</v>
      </c>
      <c r="BM922" s="272">
        <f t="shared" si="1109"/>
        <v>0</v>
      </c>
      <c r="BN922" s="324">
        <f t="shared" si="1109"/>
        <v>0</v>
      </c>
    </row>
    <row r="923" spans="32:66" ht="20.100000000000001" customHeight="1">
      <c r="AF923" s="1492"/>
      <c r="AG923" s="389" t="s">
        <v>1566</v>
      </c>
      <c r="AH923" s="1497" t="s">
        <v>1584</v>
      </c>
      <c r="AI923" s="1498"/>
      <c r="AJ923" s="1499"/>
      <c r="AK923" s="345">
        <v>0</v>
      </c>
      <c r="AL923" s="272">
        <f>IF($C$138=1,AL812,0)</f>
        <v>0</v>
      </c>
      <c r="AM923" s="272">
        <f t="shared" ref="AM923:BN923" si="1110">IF($C$138=1,AM812,0)</f>
        <v>0</v>
      </c>
      <c r="AN923" s="272">
        <f t="shared" si="1110"/>
        <v>0</v>
      </c>
      <c r="AO923" s="272">
        <f t="shared" si="1110"/>
        <v>0</v>
      </c>
      <c r="AP923" s="272">
        <f t="shared" si="1110"/>
        <v>0</v>
      </c>
      <c r="AQ923" s="272">
        <f t="shared" si="1110"/>
        <v>0</v>
      </c>
      <c r="AR923" s="272">
        <f t="shared" si="1110"/>
        <v>0</v>
      </c>
      <c r="AS923" s="272">
        <f t="shared" si="1110"/>
        <v>0</v>
      </c>
      <c r="AT923" s="272">
        <f t="shared" si="1110"/>
        <v>0</v>
      </c>
      <c r="AU923" s="272">
        <f t="shared" si="1110"/>
        <v>0</v>
      </c>
      <c r="AV923" s="272">
        <f t="shared" si="1110"/>
        <v>0</v>
      </c>
      <c r="AW923" s="272">
        <f t="shared" si="1110"/>
        <v>0</v>
      </c>
      <c r="AX923" s="272">
        <f t="shared" si="1110"/>
        <v>0</v>
      </c>
      <c r="AY923" s="272">
        <f t="shared" si="1110"/>
        <v>0</v>
      </c>
      <c r="AZ923" s="272">
        <f t="shared" si="1110"/>
        <v>0</v>
      </c>
      <c r="BA923" s="272">
        <f t="shared" si="1110"/>
        <v>0</v>
      </c>
      <c r="BB923" s="272">
        <f t="shared" si="1110"/>
        <v>0</v>
      </c>
      <c r="BC923" s="272">
        <f t="shared" si="1110"/>
        <v>0</v>
      </c>
      <c r="BD923" s="272">
        <f t="shared" si="1110"/>
        <v>0</v>
      </c>
      <c r="BE923" s="272">
        <f t="shared" si="1110"/>
        <v>0</v>
      </c>
      <c r="BF923" s="272">
        <f t="shared" si="1110"/>
        <v>0</v>
      </c>
      <c r="BG923" s="272">
        <f t="shared" si="1110"/>
        <v>0</v>
      </c>
      <c r="BH923" s="272">
        <f t="shared" si="1110"/>
        <v>0</v>
      </c>
      <c r="BI923" s="272">
        <f t="shared" si="1110"/>
        <v>0</v>
      </c>
      <c r="BJ923" s="272">
        <f t="shared" si="1110"/>
        <v>0</v>
      </c>
      <c r="BK923" s="272">
        <f t="shared" si="1110"/>
        <v>0</v>
      </c>
      <c r="BL923" s="272">
        <f t="shared" si="1110"/>
        <v>0</v>
      </c>
      <c r="BM923" s="272">
        <f t="shared" si="1110"/>
        <v>0</v>
      </c>
      <c r="BN923" s="324">
        <f t="shared" si="1110"/>
        <v>0</v>
      </c>
    </row>
    <row r="924" spans="32:66" ht="20.100000000000001" customHeight="1">
      <c r="AF924" s="1492"/>
      <c r="AG924" s="389" t="s">
        <v>1566</v>
      </c>
      <c r="AH924" s="1497" t="s">
        <v>1585</v>
      </c>
      <c r="AI924" s="1498"/>
      <c r="AJ924" s="1499"/>
      <c r="AK924" s="345">
        <v>0</v>
      </c>
      <c r="AL924" s="272">
        <f>IF($C$139=1,AL823,0)</f>
        <v>0</v>
      </c>
      <c r="AM924" s="272">
        <f t="shared" ref="AM924:BN924" si="1111">IF($C$139=1,AM823,0)</f>
        <v>0</v>
      </c>
      <c r="AN924" s="272">
        <f t="shared" si="1111"/>
        <v>0</v>
      </c>
      <c r="AO924" s="272">
        <f t="shared" si="1111"/>
        <v>0</v>
      </c>
      <c r="AP924" s="272">
        <f t="shared" si="1111"/>
        <v>0</v>
      </c>
      <c r="AQ924" s="272">
        <f t="shared" si="1111"/>
        <v>0</v>
      </c>
      <c r="AR924" s="272">
        <f t="shared" si="1111"/>
        <v>0</v>
      </c>
      <c r="AS924" s="272">
        <f t="shared" si="1111"/>
        <v>0</v>
      </c>
      <c r="AT924" s="272">
        <f t="shared" si="1111"/>
        <v>0</v>
      </c>
      <c r="AU924" s="272">
        <f t="shared" si="1111"/>
        <v>0</v>
      </c>
      <c r="AV924" s="272">
        <f t="shared" si="1111"/>
        <v>0</v>
      </c>
      <c r="AW924" s="272">
        <f t="shared" si="1111"/>
        <v>0</v>
      </c>
      <c r="AX924" s="272">
        <f t="shared" si="1111"/>
        <v>0</v>
      </c>
      <c r="AY924" s="272">
        <f t="shared" si="1111"/>
        <v>0</v>
      </c>
      <c r="AZ924" s="272">
        <f t="shared" si="1111"/>
        <v>0</v>
      </c>
      <c r="BA924" s="272">
        <f t="shared" si="1111"/>
        <v>0</v>
      </c>
      <c r="BB924" s="272">
        <f t="shared" si="1111"/>
        <v>0</v>
      </c>
      <c r="BC924" s="272">
        <f t="shared" si="1111"/>
        <v>0</v>
      </c>
      <c r="BD924" s="272">
        <f t="shared" si="1111"/>
        <v>0</v>
      </c>
      <c r="BE924" s="272">
        <f t="shared" si="1111"/>
        <v>0</v>
      </c>
      <c r="BF924" s="272">
        <f t="shared" si="1111"/>
        <v>0</v>
      </c>
      <c r="BG924" s="272">
        <f t="shared" si="1111"/>
        <v>0</v>
      </c>
      <c r="BH924" s="272">
        <f t="shared" si="1111"/>
        <v>0</v>
      </c>
      <c r="BI924" s="272">
        <f t="shared" si="1111"/>
        <v>0</v>
      </c>
      <c r="BJ924" s="272">
        <f t="shared" si="1111"/>
        <v>0</v>
      </c>
      <c r="BK924" s="272">
        <f t="shared" si="1111"/>
        <v>0</v>
      </c>
      <c r="BL924" s="272">
        <f t="shared" si="1111"/>
        <v>0</v>
      </c>
      <c r="BM924" s="272">
        <f t="shared" si="1111"/>
        <v>0</v>
      </c>
      <c r="BN924" s="324">
        <f t="shared" si="1111"/>
        <v>0</v>
      </c>
    </row>
    <row r="925" spans="32:66" ht="20.100000000000001" customHeight="1" thickBot="1">
      <c r="AF925" s="1493"/>
      <c r="AG925" s="390" t="s">
        <v>1566</v>
      </c>
      <c r="AH925" s="1485" t="s">
        <v>1586</v>
      </c>
      <c r="AI925" s="1486"/>
      <c r="AJ925" s="1487"/>
      <c r="AK925" s="391">
        <v>0</v>
      </c>
      <c r="AL925" s="325">
        <f>IF($C$140=1,AL834,0)</f>
        <v>0</v>
      </c>
      <c r="AM925" s="325">
        <f t="shared" ref="AM925:BN925" si="1112">IF($C$140=1,AM834,0)</f>
        <v>0</v>
      </c>
      <c r="AN925" s="325">
        <f t="shared" si="1112"/>
        <v>0</v>
      </c>
      <c r="AO925" s="325">
        <f t="shared" si="1112"/>
        <v>0</v>
      </c>
      <c r="AP925" s="325">
        <f t="shared" si="1112"/>
        <v>0</v>
      </c>
      <c r="AQ925" s="325">
        <f t="shared" si="1112"/>
        <v>0</v>
      </c>
      <c r="AR925" s="325">
        <f t="shared" si="1112"/>
        <v>0</v>
      </c>
      <c r="AS925" s="325">
        <f t="shared" si="1112"/>
        <v>0</v>
      </c>
      <c r="AT925" s="325">
        <f t="shared" si="1112"/>
        <v>0</v>
      </c>
      <c r="AU925" s="325">
        <f t="shared" si="1112"/>
        <v>0</v>
      </c>
      <c r="AV925" s="325">
        <f t="shared" si="1112"/>
        <v>0</v>
      </c>
      <c r="AW925" s="325">
        <f t="shared" si="1112"/>
        <v>0</v>
      </c>
      <c r="AX925" s="325">
        <f t="shared" si="1112"/>
        <v>0</v>
      </c>
      <c r="AY925" s="325">
        <f t="shared" si="1112"/>
        <v>0</v>
      </c>
      <c r="AZ925" s="325">
        <f t="shared" si="1112"/>
        <v>0</v>
      </c>
      <c r="BA925" s="325">
        <f t="shared" si="1112"/>
        <v>0</v>
      </c>
      <c r="BB925" s="325">
        <f t="shared" si="1112"/>
        <v>0</v>
      </c>
      <c r="BC925" s="325">
        <f t="shared" si="1112"/>
        <v>0</v>
      </c>
      <c r="BD925" s="325">
        <f t="shared" si="1112"/>
        <v>0</v>
      </c>
      <c r="BE925" s="325">
        <f t="shared" si="1112"/>
        <v>0</v>
      </c>
      <c r="BF925" s="325">
        <f t="shared" si="1112"/>
        <v>0</v>
      </c>
      <c r="BG925" s="325">
        <f t="shared" si="1112"/>
        <v>0</v>
      </c>
      <c r="BH925" s="325">
        <f t="shared" si="1112"/>
        <v>0</v>
      </c>
      <c r="BI925" s="325">
        <f t="shared" si="1112"/>
        <v>0</v>
      </c>
      <c r="BJ925" s="325">
        <f t="shared" si="1112"/>
        <v>0</v>
      </c>
      <c r="BK925" s="325">
        <f t="shared" si="1112"/>
        <v>0</v>
      </c>
      <c r="BL925" s="325">
        <f t="shared" si="1112"/>
        <v>0</v>
      </c>
      <c r="BM925" s="325">
        <f t="shared" si="1112"/>
        <v>0</v>
      </c>
      <c r="BN925" s="326">
        <f t="shared" si="1112"/>
        <v>0</v>
      </c>
    </row>
    <row r="926" spans="32:66" ht="20.100000000000001" customHeight="1">
      <c r="AF926" s="332"/>
      <c r="AG926" s="1488" t="s">
        <v>1454</v>
      </c>
      <c r="AH926" s="1489"/>
      <c r="AI926" s="1489"/>
      <c r="AJ926" s="1490"/>
      <c r="AK926" s="344">
        <v>0</v>
      </c>
      <c r="AL926" s="327">
        <f>IF(AL904&gt;START!$C$2+2020,SUM(AL905:AL925),0)</f>
        <v>0</v>
      </c>
      <c r="AM926" s="327">
        <f>IF(AM904&gt;START!$C$2+2020,SUM(AM905:AM925),0)</f>
        <v>77893.050264105928</v>
      </c>
      <c r="AN926" s="327">
        <f>IF(AN904&gt;START!$C$2+2020,SUM(AN905:AN925),0)</f>
        <v>77726.029609468314</v>
      </c>
      <c r="AO926" s="327">
        <f>IF(AO904&gt;START!$C$2+2020,SUM(AO905:AO925),0)</f>
        <v>77560.679161377077</v>
      </c>
      <c r="AP926" s="327">
        <f>IF(AP904&gt;START!$C$2+2020,SUM(AP905:AP925),0)</f>
        <v>77396.982217766752</v>
      </c>
      <c r="AQ926" s="327">
        <f>IF(AQ904&gt;START!$C$2+2020,SUM(AQ905:AQ925),0)</f>
        <v>77234.922243592533</v>
      </c>
      <c r="AR926" s="327">
        <f>IF(AR904&gt;START!$C$2+2020,SUM(AR905:AR925),0)</f>
        <v>77074.482869160041</v>
      </c>
      <c r="AS926" s="327">
        <f>IF(AS904&gt;START!$C$2+2020,SUM(AS905:AS925),0)</f>
        <v>76915.647888471896</v>
      </c>
      <c r="AT926" s="327">
        <f>IF(AT904&gt;START!$C$2+2020,SUM(AT905:AT925),0)</f>
        <v>76758.401257590624</v>
      </c>
      <c r="AU926" s="327">
        <f>IF(AU904&gt;START!$C$2+2020,SUM(AU905:AU925),0)</f>
        <v>75902.193352442089</v>
      </c>
      <c r="AV926" s="327">
        <f>IF(AV904&gt;START!$C$2+2020,SUM(AV905:AV925),0)</f>
        <v>75093.076882076712</v>
      </c>
      <c r="AW926" s="327">
        <f>IF(AW904&gt;START!$C$2+2020,SUM(AW905:AW925),0)</f>
        <v>74328.461817581439</v>
      </c>
      <c r="AX926" s="327">
        <f>IF(AX904&gt;START!$C$2+2020,SUM(AX905:AX925),0)</f>
        <v>73605.90058163341</v>
      </c>
      <c r="AY926" s="327">
        <f>IF(AY904&gt;START!$C$2+2020,SUM(AY905:AY925),0)</f>
        <v>72923.080213662513</v>
      </c>
      <c r="AZ926" s="327">
        <f>IF(AZ904&gt;START!$C$2+2020,SUM(AZ905:AZ925),0)</f>
        <v>72277.814965930011</v>
      </c>
      <c r="BA926" s="327">
        <f>IF(BA904&gt;START!$C$2+2020,SUM(BA905:BA925),0)</f>
        <v>71668.039306822815</v>
      </c>
      <c r="BB926" s="327">
        <f>IF(BB904&gt;START!$C$2+2020,SUM(BB905:BB925),0)</f>
        <v>71091.801308966504</v>
      </c>
      <c r="BC926" s="327">
        <f>IF(BC904&gt;START!$C$2+2020,SUM(BC905:BC925),0)</f>
        <v>70547.256400992293</v>
      </c>
      <c r="BD926" s="327">
        <f>IF(BD904&gt;START!$C$2+2020,SUM(BD905:BD925),0)</f>
        <v>70032.661462956661</v>
      </c>
      <c r="BE926" s="327">
        <f>IF(BE904&gt;START!$C$2+2020,SUM(BE905:BE925),0)</f>
        <v>69546.369246512986</v>
      </c>
      <c r="BF926" s="327">
        <f>IF(BF904&gt;START!$C$2+2020,SUM(BF905:BF925),0)</f>
        <v>69086.823101973714</v>
      </c>
      <c r="BG926" s="327">
        <f>IF(BG904&gt;START!$C$2+2020,SUM(BG905:BG925),0)</f>
        <v>68652.551995384114</v>
      </c>
      <c r="BH926" s="327">
        <f>IF(BH904&gt;START!$C$2+2020,SUM(BH905:BH925),0)</f>
        <v>68242.165799656941</v>
      </c>
      <c r="BI926" s="327">
        <f>IF(BI904&gt;START!$C$2+2020,SUM(BI905:BI925),0)</f>
        <v>67854.350844694738</v>
      </c>
      <c r="BJ926" s="327">
        <f>IF(BJ904&gt;START!$C$2+2020,SUM(BJ905:BJ925),0)</f>
        <v>67487.865712255472</v>
      </c>
      <c r="BK926" s="327">
        <f>IF(BK904&gt;START!$C$2+2020,SUM(BK905:BK925),0)</f>
        <v>67141.537262100377</v>
      </c>
      <c r="BL926" s="327">
        <f>IF(BL904&gt;START!$C$2+2020,SUM(BL905:BL925),0)</f>
        <v>66814.256876703803</v>
      </c>
      <c r="BM926" s="327">
        <f>IF(BM904&gt;START!$C$2+2020,SUM(BM905:BM925),0)</f>
        <v>66504.976912504033</v>
      </c>
      <c r="BN926" s="327">
        <f>IF(BN904&gt;START!$C$2+2020,SUM(BN905:BN925),0)</f>
        <v>66212.707346335257</v>
      </c>
    </row>
    <row r="928" spans="32:66" ht="20.100000000000001" customHeight="1">
      <c r="AF928" s="290" t="s">
        <v>1559</v>
      </c>
      <c r="AG928" s="279"/>
      <c r="AH928" s="279"/>
      <c r="AI928" s="279"/>
      <c r="AJ928" s="279"/>
      <c r="AK928" s="279"/>
      <c r="AL928" s="279"/>
      <c r="AM928" s="279"/>
    </row>
    <row r="929" spans="32:66" ht="20.100000000000001" customHeight="1" thickBot="1">
      <c r="AF929" s="306" t="s">
        <v>1561</v>
      </c>
      <c r="AG929" s="307"/>
      <c r="AH929" s="307"/>
      <c r="AI929" s="314"/>
      <c r="AJ929" s="340"/>
      <c r="AK929" s="341">
        <v>2021</v>
      </c>
      <c r="AL929" s="284">
        <v>2022</v>
      </c>
      <c r="AM929" s="284">
        <f>AL929+1</f>
        <v>2023</v>
      </c>
      <c r="AN929" s="284">
        <f t="shared" ref="AN929" si="1113">AM929+1</f>
        <v>2024</v>
      </c>
      <c r="AO929" s="284">
        <f t="shared" ref="AO929" si="1114">AN929+1</f>
        <v>2025</v>
      </c>
      <c r="AP929" s="284">
        <f t="shared" ref="AP929" si="1115">AO929+1</f>
        <v>2026</v>
      </c>
      <c r="AQ929" s="284">
        <f t="shared" ref="AQ929" si="1116">AP929+1</f>
        <v>2027</v>
      </c>
      <c r="AR929" s="284">
        <f t="shared" ref="AR929" si="1117">AQ929+1</f>
        <v>2028</v>
      </c>
      <c r="AS929" s="284">
        <f t="shared" ref="AS929" si="1118">AR929+1</f>
        <v>2029</v>
      </c>
      <c r="AT929" s="284">
        <f t="shared" ref="AT929" si="1119">AS929+1</f>
        <v>2030</v>
      </c>
      <c r="AU929" s="284">
        <f t="shared" ref="AU929" si="1120">AT929+1</f>
        <v>2031</v>
      </c>
      <c r="AV929" s="284">
        <f t="shared" ref="AV929" si="1121">AU929+1</f>
        <v>2032</v>
      </c>
      <c r="AW929" s="284">
        <f t="shared" ref="AW929" si="1122">AV929+1</f>
        <v>2033</v>
      </c>
      <c r="AX929" s="284">
        <f t="shared" ref="AX929" si="1123">AW929+1</f>
        <v>2034</v>
      </c>
      <c r="AY929" s="284">
        <f t="shared" ref="AY929" si="1124">AX929+1</f>
        <v>2035</v>
      </c>
      <c r="AZ929" s="284">
        <f t="shared" ref="AZ929" si="1125">AY929+1</f>
        <v>2036</v>
      </c>
      <c r="BA929" s="284">
        <f t="shared" ref="BA929" si="1126">AZ929+1</f>
        <v>2037</v>
      </c>
      <c r="BB929" s="284">
        <f t="shared" ref="BB929" si="1127">BA929+1</f>
        <v>2038</v>
      </c>
      <c r="BC929" s="284">
        <f t="shared" ref="BC929" si="1128">BB929+1</f>
        <v>2039</v>
      </c>
      <c r="BD929" s="284">
        <f t="shared" ref="BD929" si="1129">BC929+1</f>
        <v>2040</v>
      </c>
      <c r="BE929" s="284">
        <f t="shared" ref="BE929" si="1130">BD929+1</f>
        <v>2041</v>
      </c>
      <c r="BF929" s="284">
        <f t="shared" ref="BF929" si="1131">BE929+1</f>
        <v>2042</v>
      </c>
      <c r="BG929" s="284">
        <f t="shared" ref="BG929" si="1132">BF929+1</f>
        <v>2043</v>
      </c>
      <c r="BH929" s="284">
        <f t="shared" ref="BH929" si="1133">BG929+1</f>
        <v>2044</v>
      </c>
      <c r="BI929" s="284">
        <f t="shared" ref="BI929" si="1134">BH929+1</f>
        <v>2045</v>
      </c>
      <c r="BJ929" s="284">
        <f t="shared" ref="BJ929" si="1135">BI929+1</f>
        <v>2046</v>
      </c>
      <c r="BK929" s="284">
        <f t="shared" ref="BK929" si="1136">BJ929+1</f>
        <v>2047</v>
      </c>
      <c r="BL929" s="284">
        <f t="shared" ref="BL929" si="1137">BK929+1</f>
        <v>2048</v>
      </c>
      <c r="BM929" s="284">
        <f t="shared" ref="BM929" si="1138">BL929+1</f>
        <v>2049</v>
      </c>
      <c r="BN929" s="284">
        <f t="shared" ref="BN929" si="1139">BM929+1</f>
        <v>2050</v>
      </c>
    </row>
    <row r="930" spans="32:66" ht="20.100000000000001" customHeight="1">
      <c r="AF930" s="1491" t="s">
        <v>1217</v>
      </c>
      <c r="AG930" s="286" t="s">
        <v>1560</v>
      </c>
      <c r="AH930" s="1494" t="s">
        <v>1590</v>
      </c>
      <c r="AI930" s="1495"/>
      <c r="AJ930" s="1496"/>
      <c r="AK930" s="343">
        <v>0</v>
      </c>
      <c r="AL930" s="328">
        <f t="shared" ref="AL930:BN930" si="1140">AL223</f>
        <v>0</v>
      </c>
      <c r="AM930" s="328">
        <f t="shared" si="1140"/>
        <v>119258.03736097951</v>
      </c>
      <c r="AN930" s="328">
        <f t="shared" si="1140"/>
        <v>118903.2457699808</v>
      </c>
      <c r="AO930" s="328">
        <f t="shared" si="1140"/>
        <v>118552.00209489209</v>
      </c>
      <c r="AP930" s="328">
        <f t="shared" si="1140"/>
        <v>118204.27085655424</v>
      </c>
      <c r="AQ930" s="328">
        <f t="shared" si="1140"/>
        <v>117860.0169305998</v>
      </c>
      <c r="AR930" s="328">
        <f t="shared" si="1140"/>
        <v>117519.20554390489</v>
      </c>
      <c r="AS930" s="328">
        <f t="shared" si="1140"/>
        <v>117181.80227107693</v>
      </c>
      <c r="AT930" s="328">
        <f t="shared" si="1140"/>
        <v>116847.77303097726</v>
      </c>
      <c r="AU930" s="328">
        <f t="shared" si="1140"/>
        <v>115028.9838186345</v>
      </c>
      <c r="AV930" s="328">
        <f t="shared" si="1140"/>
        <v>113310.22801297059</v>
      </c>
      <c r="AW930" s="328">
        <f t="shared" si="1140"/>
        <v>111686.00377661819</v>
      </c>
      <c r="AX930" s="328">
        <f t="shared" si="1140"/>
        <v>110151.11187326518</v>
      </c>
      <c r="AY930" s="328">
        <f t="shared" si="1140"/>
        <v>108700.6390245966</v>
      </c>
      <c r="AZ930" s="328">
        <f t="shared" si="1140"/>
        <v>107329.94218260478</v>
      </c>
      <c r="BA930" s="328">
        <f t="shared" si="1140"/>
        <v>106034.63366692251</v>
      </c>
      <c r="BB930" s="328">
        <f t="shared" si="1140"/>
        <v>104810.56711960275</v>
      </c>
      <c r="BC930" s="328">
        <f t="shared" si="1140"/>
        <v>103653.8242323856</v>
      </c>
      <c r="BD930" s="328">
        <f t="shared" si="1140"/>
        <v>102560.70220396538</v>
      </c>
      <c r="BE930" s="328">
        <f t="shared" si="1140"/>
        <v>101527.70188710827</v>
      </c>
      <c r="BF930" s="328">
        <f t="shared" si="1140"/>
        <v>100551.51658767831</v>
      </c>
      <c r="BG930" s="328">
        <f t="shared" si="1140"/>
        <v>99629.02147971699</v>
      </c>
      <c r="BH930" s="328">
        <f t="shared" si="1140"/>
        <v>98757.263602693565</v>
      </c>
      <c r="BI930" s="328">
        <f t="shared" si="1140"/>
        <v>97933.452408906393</v>
      </c>
      <c r="BJ930" s="328">
        <f t="shared" si="1140"/>
        <v>97154.95083077754</v>
      </c>
      <c r="BK930" s="328">
        <f t="shared" si="1140"/>
        <v>96419.266839445772</v>
      </c>
      <c r="BL930" s="328">
        <f t="shared" si="1140"/>
        <v>95724.045467637246</v>
      </c>
      <c r="BM930" s="328">
        <f t="shared" si="1140"/>
        <v>95067.061271278188</v>
      </c>
      <c r="BN930" s="328">
        <f t="shared" si="1140"/>
        <v>94446.211205718879</v>
      </c>
    </row>
    <row r="931" spans="32:66" ht="20.100000000000001" customHeight="1">
      <c r="AF931" s="1492"/>
      <c r="AG931" s="389" t="s">
        <v>1562</v>
      </c>
      <c r="AH931" s="1497" t="s">
        <v>1567</v>
      </c>
      <c r="AI931" s="1498"/>
      <c r="AJ931" s="1499"/>
      <c r="AK931" s="345">
        <v>0</v>
      </c>
      <c r="AL931" s="272">
        <f t="shared" ref="AL931:BN931" si="1141">AL338</f>
        <v>0</v>
      </c>
      <c r="AM931" s="272">
        <f t="shared" si="1141"/>
        <v>0</v>
      </c>
      <c r="AN931" s="272">
        <f t="shared" si="1141"/>
        <v>0</v>
      </c>
      <c r="AO931" s="272">
        <f t="shared" si="1141"/>
        <v>0</v>
      </c>
      <c r="AP931" s="272">
        <f t="shared" si="1141"/>
        <v>0</v>
      </c>
      <c r="AQ931" s="272">
        <f t="shared" si="1141"/>
        <v>0</v>
      </c>
      <c r="AR931" s="272">
        <f t="shared" si="1141"/>
        <v>0</v>
      </c>
      <c r="AS931" s="272">
        <f t="shared" si="1141"/>
        <v>0</v>
      </c>
      <c r="AT931" s="272">
        <f t="shared" si="1141"/>
        <v>0</v>
      </c>
      <c r="AU931" s="272">
        <f t="shared" si="1141"/>
        <v>0</v>
      </c>
      <c r="AV931" s="272">
        <f t="shared" si="1141"/>
        <v>0</v>
      </c>
      <c r="AW931" s="272">
        <f t="shared" si="1141"/>
        <v>0</v>
      </c>
      <c r="AX931" s="272">
        <f t="shared" si="1141"/>
        <v>0</v>
      </c>
      <c r="AY931" s="272">
        <f t="shared" si="1141"/>
        <v>0</v>
      </c>
      <c r="AZ931" s="272">
        <f t="shared" si="1141"/>
        <v>0</v>
      </c>
      <c r="BA931" s="272">
        <f t="shared" si="1141"/>
        <v>0</v>
      </c>
      <c r="BB931" s="272">
        <f t="shared" si="1141"/>
        <v>0</v>
      </c>
      <c r="BC931" s="272">
        <f t="shared" si="1141"/>
        <v>0</v>
      </c>
      <c r="BD931" s="272">
        <f t="shared" si="1141"/>
        <v>0</v>
      </c>
      <c r="BE931" s="272">
        <f t="shared" si="1141"/>
        <v>0</v>
      </c>
      <c r="BF931" s="272">
        <f t="shared" si="1141"/>
        <v>0</v>
      </c>
      <c r="BG931" s="272">
        <f t="shared" si="1141"/>
        <v>0</v>
      </c>
      <c r="BH931" s="272">
        <f t="shared" si="1141"/>
        <v>0</v>
      </c>
      <c r="BI931" s="272">
        <f t="shared" si="1141"/>
        <v>0</v>
      </c>
      <c r="BJ931" s="272">
        <f t="shared" si="1141"/>
        <v>0</v>
      </c>
      <c r="BK931" s="272">
        <f t="shared" si="1141"/>
        <v>0</v>
      </c>
      <c r="BL931" s="272">
        <f t="shared" si="1141"/>
        <v>0</v>
      </c>
      <c r="BM931" s="272">
        <f t="shared" si="1141"/>
        <v>0</v>
      </c>
      <c r="BN931" s="324">
        <f t="shared" si="1141"/>
        <v>0</v>
      </c>
    </row>
    <row r="932" spans="32:66" ht="20.100000000000001" customHeight="1">
      <c r="AF932" s="1492"/>
      <c r="AG932" s="389" t="s">
        <v>1563</v>
      </c>
      <c r="AH932" s="1497" t="s">
        <v>1568</v>
      </c>
      <c r="AI932" s="1498"/>
      <c r="AJ932" s="1499"/>
      <c r="AK932" s="345">
        <v>0</v>
      </c>
      <c r="AL932" s="272">
        <f t="shared" ref="AL932:BN932" si="1142">AL457</f>
        <v>0</v>
      </c>
      <c r="AM932" s="272">
        <f t="shared" si="1142"/>
        <v>0</v>
      </c>
      <c r="AN932" s="272">
        <f t="shared" si="1142"/>
        <v>0</v>
      </c>
      <c r="AO932" s="272">
        <f t="shared" si="1142"/>
        <v>0</v>
      </c>
      <c r="AP932" s="272">
        <f t="shared" si="1142"/>
        <v>0</v>
      </c>
      <c r="AQ932" s="272">
        <f t="shared" si="1142"/>
        <v>0</v>
      </c>
      <c r="AR932" s="272">
        <f t="shared" si="1142"/>
        <v>0</v>
      </c>
      <c r="AS932" s="272">
        <f t="shared" si="1142"/>
        <v>0</v>
      </c>
      <c r="AT932" s="272">
        <f t="shared" si="1142"/>
        <v>0</v>
      </c>
      <c r="AU932" s="272">
        <f t="shared" si="1142"/>
        <v>0</v>
      </c>
      <c r="AV932" s="272">
        <f t="shared" si="1142"/>
        <v>0</v>
      </c>
      <c r="AW932" s="272">
        <f t="shared" si="1142"/>
        <v>0</v>
      </c>
      <c r="AX932" s="272">
        <f t="shared" si="1142"/>
        <v>0</v>
      </c>
      <c r="AY932" s="272">
        <f t="shared" si="1142"/>
        <v>0</v>
      </c>
      <c r="AZ932" s="272">
        <f t="shared" si="1142"/>
        <v>0</v>
      </c>
      <c r="BA932" s="272">
        <f t="shared" si="1142"/>
        <v>0</v>
      </c>
      <c r="BB932" s="272">
        <f t="shared" si="1142"/>
        <v>0</v>
      </c>
      <c r="BC932" s="272">
        <f t="shared" si="1142"/>
        <v>0</v>
      </c>
      <c r="BD932" s="272">
        <f t="shared" si="1142"/>
        <v>0</v>
      </c>
      <c r="BE932" s="272">
        <f t="shared" si="1142"/>
        <v>0</v>
      </c>
      <c r="BF932" s="272">
        <f t="shared" si="1142"/>
        <v>0</v>
      </c>
      <c r="BG932" s="272">
        <f t="shared" si="1142"/>
        <v>0</v>
      </c>
      <c r="BH932" s="272">
        <f t="shared" si="1142"/>
        <v>0</v>
      </c>
      <c r="BI932" s="272">
        <f t="shared" si="1142"/>
        <v>0</v>
      </c>
      <c r="BJ932" s="272">
        <f t="shared" si="1142"/>
        <v>0</v>
      </c>
      <c r="BK932" s="272">
        <f t="shared" si="1142"/>
        <v>0</v>
      </c>
      <c r="BL932" s="272">
        <f t="shared" si="1142"/>
        <v>0</v>
      </c>
      <c r="BM932" s="272">
        <f t="shared" si="1142"/>
        <v>0</v>
      </c>
      <c r="BN932" s="324">
        <f t="shared" si="1142"/>
        <v>0</v>
      </c>
    </row>
    <row r="933" spans="32:66" ht="20.100000000000001" customHeight="1">
      <c r="AF933" s="1492"/>
      <c r="AG933" s="389" t="s">
        <v>1564</v>
      </c>
      <c r="AH933" s="1497" t="s">
        <v>1569</v>
      </c>
      <c r="AI933" s="1498"/>
      <c r="AJ933" s="1499"/>
      <c r="AK933" s="345">
        <v>0</v>
      </c>
      <c r="AL933" s="272">
        <f t="shared" ref="AL933:BN933" si="1143">IF($A$114=1,-AL631,0)</f>
        <v>0</v>
      </c>
      <c r="AM933" s="272">
        <f t="shared" si="1143"/>
        <v>0</v>
      </c>
      <c r="AN933" s="272">
        <f t="shared" si="1143"/>
        <v>0</v>
      </c>
      <c r="AO933" s="272">
        <f t="shared" si="1143"/>
        <v>0</v>
      </c>
      <c r="AP933" s="272">
        <f t="shared" si="1143"/>
        <v>0</v>
      </c>
      <c r="AQ933" s="272">
        <f t="shared" si="1143"/>
        <v>0</v>
      </c>
      <c r="AR933" s="272">
        <f t="shared" si="1143"/>
        <v>0</v>
      </c>
      <c r="AS933" s="272">
        <f t="shared" si="1143"/>
        <v>0</v>
      </c>
      <c r="AT933" s="272">
        <f t="shared" si="1143"/>
        <v>0</v>
      </c>
      <c r="AU933" s="272">
        <f t="shared" si="1143"/>
        <v>0</v>
      </c>
      <c r="AV933" s="272">
        <f t="shared" si="1143"/>
        <v>0</v>
      </c>
      <c r="AW933" s="272">
        <f t="shared" si="1143"/>
        <v>0</v>
      </c>
      <c r="AX933" s="272">
        <f t="shared" si="1143"/>
        <v>0</v>
      </c>
      <c r="AY933" s="272">
        <f t="shared" si="1143"/>
        <v>0</v>
      </c>
      <c r="AZ933" s="272">
        <f t="shared" si="1143"/>
        <v>0</v>
      </c>
      <c r="BA933" s="272">
        <f t="shared" si="1143"/>
        <v>0</v>
      </c>
      <c r="BB933" s="272">
        <f t="shared" si="1143"/>
        <v>0</v>
      </c>
      <c r="BC933" s="272">
        <f t="shared" si="1143"/>
        <v>0</v>
      </c>
      <c r="BD933" s="272">
        <f t="shared" si="1143"/>
        <v>0</v>
      </c>
      <c r="BE933" s="272">
        <f t="shared" si="1143"/>
        <v>0</v>
      </c>
      <c r="BF933" s="272">
        <f t="shared" si="1143"/>
        <v>0</v>
      </c>
      <c r="BG933" s="272">
        <f t="shared" si="1143"/>
        <v>0</v>
      </c>
      <c r="BH933" s="272">
        <f t="shared" si="1143"/>
        <v>0</v>
      </c>
      <c r="BI933" s="272">
        <f t="shared" si="1143"/>
        <v>0</v>
      </c>
      <c r="BJ933" s="272">
        <f t="shared" si="1143"/>
        <v>0</v>
      </c>
      <c r="BK933" s="272">
        <f t="shared" si="1143"/>
        <v>0</v>
      </c>
      <c r="BL933" s="272">
        <f t="shared" si="1143"/>
        <v>0</v>
      </c>
      <c r="BM933" s="272">
        <f t="shared" si="1143"/>
        <v>0</v>
      </c>
      <c r="BN933" s="324">
        <f t="shared" si="1143"/>
        <v>0</v>
      </c>
    </row>
    <row r="934" spans="32:66" ht="20.100000000000001" customHeight="1">
      <c r="AF934" s="1492"/>
      <c r="AG934" s="389" t="s">
        <v>1564</v>
      </c>
      <c r="AH934" s="1497" t="s">
        <v>1570</v>
      </c>
      <c r="AI934" s="1498"/>
      <c r="AJ934" s="1499"/>
      <c r="AK934" s="345">
        <v>0</v>
      </c>
      <c r="AL934" s="272">
        <f t="shared" ref="AL934:BN934" si="1144">IF($A$115=1,-AL642,0)</f>
        <v>0</v>
      </c>
      <c r="AM934" s="272">
        <f t="shared" si="1144"/>
        <v>0</v>
      </c>
      <c r="AN934" s="272">
        <f t="shared" si="1144"/>
        <v>0</v>
      </c>
      <c r="AO934" s="272">
        <f t="shared" si="1144"/>
        <v>0</v>
      </c>
      <c r="AP934" s="272">
        <f t="shared" si="1144"/>
        <v>0</v>
      </c>
      <c r="AQ934" s="272">
        <f t="shared" si="1144"/>
        <v>0</v>
      </c>
      <c r="AR934" s="272">
        <f t="shared" si="1144"/>
        <v>0</v>
      </c>
      <c r="AS934" s="272">
        <f t="shared" si="1144"/>
        <v>0</v>
      </c>
      <c r="AT934" s="272">
        <f t="shared" si="1144"/>
        <v>0</v>
      </c>
      <c r="AU934" s="272">
        <f t="shared" si="1144"/>
        <v>0</v>
      </c>
      <c r="AV934" s="272">
        <f t="shared" si="1144"/>
        <v>0</v>
      </c>
      <c r="AW934" s="272">
        <f t="shared" si="1144"/>
        <v>0</v>
      </c>
      <c r="AX934" s="272">
        <f t="shared" si="1144"/>
        <v>0</v>
      </c>
      <c r="AY934" s="272">
        <f t="shared" si="1144"/>
        <v>0</v>
      </c>
      <c r="AZ934" s="272">
        <f t="shared" si="1144"/>
        <v>0</v>
      </c>
      <c r="BA934" s="272">
        <f t="shared" si="1144"/>
        <v>0</v>
      </c>
      <c r="BB934" s="272">
        <f t="shared" si="1144"/>
        <v>0</v>
      </c>
      <c r="BC934" s="272">
        <f t="shared" si="1144"/>
        <v>0</v>
      </c>
      <c r="BD934" s="272">
        <f t="shared" si="1144"/>
        <v>0</v>
      </c>
      <c r="BE934" s="272">
        <f t="shared" si="1144"/>
        <v>0</v>
      </c>
      <c r="BF934" s="272">
        <f t="shared" si="1144"/>
        <v>0</v>
      </c>
      <c r="BG934" s="272">
        <f t="shared" si="1144"/>
        <v>0</v>
      </c>
      <c r="BH934" s="272">
        <f t="shared" si="1144"/>
        <v>0</v>
      </c>
      <c r="BI934" s="272">
        <f t="shared" si="1144"/>
        <v>0</v>
      </c>
      <c r="BJ934" s="272">
        <f t="shared" si="1144"/>
        <v>0</v>
      </c>
      <c r="BK934" s="272">
        <f t="shared" si="1144"/>
        <v>0</v>
      </c>
      <c r="BL934" s="272">
        <f t="shared" si="1144"/>
        <v>0</v>
      </c>
      <c r="BM934" s="272">
        <f t="shared" si="1144"/>
        <v>0</v>
      </c>
      <c r="BN934" s="324">
        <f t="shared" si="1144"/>
        <v>0</v>
      </c>
    </row>
    <row r="935" spans="32:66" ht="20.100000000000001" customHeight="1">
      <c r="AF935" s="1492"/>
      <c r="AG935" s="389" t="s">
        <v>1564</v>
      </c>
      <c r="AH935" s="1497" t="s">
        <v>1571</v>
      </c>
      <c r="AI935" s="1498"/>
      <c r="AJ935" s="1499"/>
      <c r="AK935" s="345">
        <v>0</v>
      </c>
      <c r="AL935" s="272">
        <f t="shared" ref="AL935:BN935" si="1145">IF($A$116=1,-AL653,0)</f>
        <v>0</v>
      </c>
      <c r="AM935" s="272">
        <f t="shared" si="1145"/>
        <v>0</v>
      </c>
      <c r="AN935" s="272">
        <f t="shared" si="1145"/>
        <v>0</v>
      </c>
      <c r="AO935" s="272">
        <f t="shared" si="1145"/>
        <v>0</v>
      </c>
      <c r="AP935" s="272">
        <f t="shared" si="1145"/>
        <v>0</v>
      </c>
      <c r="AQ935" s="272">
        <f t="shared" si="1145"/>
        <v>0</v>
      </c>
      <c r="AR935" s="272">
        <f t="shared" si="1145"/>
        <v>0</v>
      </c>
      <c r="AS935" s="272">
        <f t="shared" si="1145"/>
        <v>0</v>
      </c>
      <c r="AT935" s="272">
        <f t="shared" si="1145"/>
        <v>0</v>
      </c>
      <c r="AU935" s="272">
        <f t="shared" si="1145"/>
        <v>0</v>
      </c>
      <c r="AV935" s="272">
        <f t="shared" si="1145"/>
        <v>0</v>
      </c>
      <c r="AW935" s="272">
        <f t="shared" si="1145"/>
        <v>0</v>
      </c>
      <c r="AX935" s="272">
        <f t="shared" si="1145"/>
        <v>0</v>
      </c>
      <c r="AY935" s="272">
        <f t="shared" si="1145"/>
        <v>0</v>
      </c>
      <c r="AZ935" s="272">
        <f t="shared" si="1145"/>
        <v>0</v>
      </c>
      <c r="BA935" s="272">
        <f t="shared" si="1145"/>
        <v>0</v>
      </c>
      <c r="BB935" s="272">
        <f t="shared" si="1145"/>
        <v>0</v>
      </c>
      <c r="BC935" s="272">
        <f t="shared" si="1145"/>
        <v>0</v>
      </c>
      <c r="BD935" s="272">
        <f t="shared" si="1145"/>
        <v>0</v>
      </c>
      <c r="BE935" s="272">
        <f t="shared" si="1145"/>
        <v>0</v>
      </c>
      <c r="BF935" s="272">
        <f t="shared" si="1145"/>
        <v>0</v>
      </c>
      <c r="BG935" s="272">
        <f t="shared" si="1145"/>
        <v>0</v>
      </c>
      <c r="BH935" s="272">
        <f t="shared" si="1145"/>
        <v>0</v>
      </c>
      <c r="BI935" s="272">
        <f t="shared" si="1145"/>
        <v>0</v>
      </c>
      <c r="BJ935" s="272">
        <f t="shared" si="1145"/>
        <v>0</v>
      </c>
      <c r="BK935" s="272">
        <f t="shared" si="1145"/>
        <v>0</v>
      </c>
      <c r="BL935" s="272">
        <f t="shared" si="1145"/>
        <v>0</v>
      </c>
      <c r="BM935" s="272">
        <f t="shared" si="1145"/>
        <v>0</v>
      </c>
      <c r="BN935" s="324">
        <f t="shared" si="1145"/>
        <v>0</v>
      </c>
    </row>
    <row r="936" spans="32:66" ht="20.100000000000001" customHeight="1">
      <c r="AF936" s="1492"/>
      <c r="AG936" s="389" t="s">
        <v>1564</v>
      </c>
      <c r="AH936" s="1497" t="s">
        <v>1572</v>
      </c>
      <c r="AI936" s="1498"/>
      <c r="AJ936" s="1499"/>
      <c r="AK936" s="345">
        <v>0</v>
      </c>
      <c r="AL936" s="272">
        <f t="shared" ref="AL936:BN936" si="1146">IF($A$117=1,-AL664,0)</f>
        <v>0</v>
      </c>
      <c r="AM936" s="272">
        <f t="shared" si="1146"/>
        <v>0</v>
      </c>
      <c r="AN936" s="272">
        <f t="shared" si="1146"/>
        <v>0</v>
      </c>
      <c r="AO936" s="272">
        <f t="shared" si="1146"/>
        <v>0</v>
      </c>
      <c r="AP936" s="272">
        <f t="shared" si="1146"/>
        <v>0</v>
      </c>
      <c r="AQ936" s="272">
        <f t="shared" si="1146"/>
        <v>0</v>
      </c>
      <c r="AR936" s="272">
        <f t="shared" si="1146"/>
        <v>0</v>
      </c>
      <c r="AS936" s="272">
        <f t="shared" si="1146"/>
        <v>0</v>
      </c>
      <c r="AT936" s="272">
        <f t="shared" si="1146"/>
        <v>0</v>
      </c>
      <c r="AU936" s="272">
        <f t="shared" si="1146"/>
        <v>0</v>
      </c>
      <c r="AV936" s="272">
        <f t="shared" si="1146"/>
        <v>0</v>
      </c>
      <c r="AW936" s="272">
        <f t="shared" si="1146"/>
        <v>0</v>
      </c>
      <c r="AX936" s="272">
        <f t="shared" si="1146"/>
        <v>0</v>
      </c>
      <c r="AY936" s="272">
        <f t="shared" si="1146"/>
        <v>0</v>
      </c>
      <c r="AZ936" s="272">
        <f t="shared" si="1146"/>
        <v>0</v>
      </c>
      <c r="BA936" s="272">
        <f t="shared" si="1146"/>
        <v>0</v>
      </c>
      <c r="BB936" s="272">
        <f t="shared" si="1146"/>
        <v>0</v>
      </c>
      <c r="BC936" s="272">
        <f t="shared" si="1146"/>
        <v>0</v>
      </c>
      <c r="BD936" s="272">
        <f t="shared" si="1146"/>
        <v>0</v>
      </c>
      <c r="BE936" s="272">
        <f t="shared" si="1146"/>
        <v>0</v>
      </c>
      <c r="BF936" s="272">
        <f t="shared" si="1146"/>
        <v>0</v>
      </c>
      <c r="BG936" s="272">
        <f t="shared" si="1146"/>
        <v>0</v>
      </c>
      <c r="BH936" s="272">
        <f t="shared" si="1146"/>
        <v>0</v>
      </c>
      <c r="BI936" s="272">
        <f t="shared" si="1146"/>
        <v>0</v>
      </c>
      <c r="BJ936" s="272">
        <f t="shared" si="1146"/>
        <v>0</v>
      </c>
      <c r="BK936" s="272">
        <f t="shared" si="1146"/>
        <v>0</v>
      </c>
      <c r="BL936" s="272">
        <f t="shared" si="1146"/>
        <v>0</v>
      </c>
      <c r="BM936" s="272">
        <f t="shared" si="1146"/>
        <v>0</v>
      </c>
      <c r="BN936" s="324">
        <f t="shared" si="1146"/>
        <v>0</v>
      </c>
    </row>
    <row r="937" spans="32:66" ht="20.100000000000001" customHeight="1">
      <c r="AF937" s="1492"/>
      <c r="AG937" s="389" t="s">
        <v>1564</v>
      </c>
      <c r="AH937" s="1497" t="s">
        <v>1573</v>
      </c>
      <c r="AI937" s="1498"/>
      <c r="AJ937" s="1499"/>
      <c r="AK937" s="345">
        <v>0</v>
      </c>
      <c r="AL937" s="272">
        <f t="shared" ref="AL937:BN937" si="1147">IF($A$118=1,-AL675,0)</f>
        <v>0</v>
      </c>
      <c r="AM937" s="272">
        <f t="shared" si="1147"/>
        <v>0</v>
      </c>
      <c r="AN937" s="272">
        <f t="shared" si="1147"/>
        <v>0</v>
      </c>
      <c r="AO937" s="272">
        <f t="shared" si="1147"/>
        <v>0</v>
      </c>
      <c r="AP937" s="272">
        <f t="shared" si="1147"/>
        <v>0</v>
      </c>
      <c r="AQ937" s="272">
        <f t="shared" si="1147"/>
        <v>0</v>
      </c>
      <c r="AR937" s="272">
        <f t="shared" si="1147"/>
        <v>0</v>
      </c>
      <c r="AS937" s="272">
        <f t="shared" si="1147"/>
        <v>0</v>
      </c>
      <c r="AT937" s="272">
        <f t="shared" si="1147"/>
        <v>0</v>
      </c>
      <c r="AU937" s="272">
        <f t="shared" si="1147"/>
        <v>0</v>
      </c>
      <c r="AV937" s="272">
        <f t="shared" si="1147"/>
        <v>0</v>
      </c>
      <c r="AW937" s="272">
        <f t="shared" si="1147"/>
        <v>0</v>
      </c>
      <c r="AX937" s="272">
        <f t="shared" si="1147"/>
        <v>0</v>
      </c>
      <c r="AY937" s="272">
        <f t="shared" si="1147"/>
        <v>0</v>
      </c>
      <c r="AZ937" s="272">
        <f t="shared" si="1147"/>
        <v>0</v>
      </c>
      <c r="BA937" s="272">
        <f t="shared" si="1147"/>
        <v>0</v>
      </c>
      <c r="BB937" s="272">
        <f t="shared" si="1147"/>
        <v>0</v>
      </c>
      <c r="BC937" s="272">
        <f t="shared" si="1147"/>
        <v>0</v>
      </c>
      <c r="BD937" s="272">
        <f t="shared" si="1147"/>
        <v>0</v>
      </c>
      <c r="BE937" s="272">
        <f t="shared" si="1147"/>
        <v>0</v>
      </c>
      <c r="BF937" s="272">
        <f t="shared" si="1147"/>
        <v>0</v>
      </c>
      <c r="BG937" s="272">
        <f t="shared" si="1147"/>
        <v>0</v>
      </c>
      <c r="BH937" s="272">
        <f t="shared" si="1147"/>
        <v>0</v>
      </c>
      <c r="BI937" s="272">
        <f t="shared" si="1147"/>
        <v>0</v>
      </c>
      <c r="BJ937" s="272">
        <f t="shared" si="1147"/>
        <v>0</v>
      </c>
      <c r="BK937" s="272">
        <f t="shared" si="1147"/>
        <v>0</v>
      </c>
      <c r="BL937" s="272">
        <f t="shared" si="1147"/>
        <v>0</v>
      </c>
      <c r="BM937" s="272">
        <f t="shared" si="1147"/>
        <v>0</v>
      </c>
      <c r="BN937" s="324">
        <f t="shared" si="1147"/>
        <v>0</v>
      </c>
    </row>
    <row r="938" spans="32:66" ht="20.100000000000001" customHeight="1">
      <c r="AF938" s="1492"/>
      <c r="AG938" s="389" t="s">
        <v>1564</v>
      </c>
      <c r="AH938" s="1497" t="s">
        <v>1574</v>
      </c>
      <c r="AI938" s="1498"/>
      <c r="AJ938" s="1499"/>
      <c r="AK938" s="345">
        <v>0</v>
      </c>
      <c r="AL938" s="272">
        <f>IF($A$119=1,-AL725,0)</f>
        <v>0</v>
      </c>
      <c r="AM938" s="272">
        <f t="shared" ref="AM938:BN938" si="1148">IF($A$119=1,-AM725,0)</f>
        <v>0</v>
      </c>
      <c r="AN938" s="272">
        <f t="shared" si="1148"/>
        <v>0</v>
      </c>
      <c r="AO938" s="272">
        <f t="shared" si="1148"/>
        <v>0</v>
      </c>
      <c r="AP938" s="272">
        <f t="shared" si="1148"/>
        <v>0</v>
      </c>
      <c r="AQ938" s="272">
        <f t="shared" si="1148"/>
        <v>0</v>
      </c>
      <c r="AR938" s="272">
        <f t="shared" si="1148"/>
        <v>0</v>
      </c>
      <c r="AS938" s="272">
        <f t="shared" si="1148"/>
        <v>0</v>
      </c>
      <c r="AT938" s="272">
        <f t="shared" si="1148"/>
        <v>0</v>
      </c>
      <c r="AU938" s="272">
        <f t="shared" si="1148"/>
        <v>0</v>
      </c>
      <c r="AV938" s="272">
        <f t="shared" si="1148"/>
        <v>0</v>
      </c>
      <c r="AW938" s="272">
        <f t="shared" si="1148"/>
        <v>0</v>
      </c>
      <c r="AX938" s="272">
        <f t="shared" si="1148"/>
        <v>0</v>
      </c>
      <c r="AY938" s="272">
        <f t="shared" si="1148"/>
        <v>0</v>
      </c>
      <c r="AZ938" s="272">
        <f t="shared" si="1148"/>
        <v>0</v>
      </c>
      <c r="BA938" s="272">
        <f t="shared" si="1148"/>
        <v>0</v>
      </c>
      <c r="BB938" s="272">
        <f t="shared" si="1148"/>
        <v>0</v>
      </c>
      <c r="BC938" s="272">
        <f t="shared" si="1148"/>
        <v>0</v>
      </c>
      <c r="BD938" s="272">
        <f t="shared" si="1148"/>
        <v>0</v>
      </c>
      <c r="BE938" s="272">
        <f t="shared" si="1148"/>
        <v>0</v>
      </c>
      <c r="BF938" s="272">
        <f t="shared" si="1148"/>
        <v>0</v>
      </c>
      <c r="BG938" s="272">
        <f t="shared" si="1148"/>
        <v>0</v>
      </c>
      <c r="BH938" s="272">
        <f t="shared" si="1148"/>
        <v>0</v>
      </c>
      <c r="BI938" s="272">
        <f t="shared" si="1148"/>
        <v>0</v>
      </c>
      <c r="BJ938" s="272">
        <f t="shared" si="1148"/>
        <v>0</v>
      </c>
      <c r="BK938" s="272">
        <f t="shared" si="1148"/>
        <v>0</v>
      </c>
      <c r="BL938" s="272">
        <f t="shared" si="1148"/>
        <v>0</v>
      </c>
      <c r="BM938" s="272">
        <f t="shared" si="1148"/>
        <v>0</v>
      </c>
      <c r="BN938" s="324">
        <f t="shared" si="1148"/>
        <v>0</v>
      </c>
    </row>
    <row r="939" spans="32:66" ht="20.100000000000001" customHeight="1">
      <c r="AF939" s="1492"/>
      <c r="AG939" s="389" t="s">
        <v>1565</v>
      </c>
      <c r="AH939" s="1497" t="s">
        <v>1575</v>
      </c>
      <c r="AI939" s="1498"/>
      <c r="AJ939" s="1499"/>
      <c r="AK939" s="345">
        <v>0</v>
      </c>
      <c r="AL939" s="272">
        <f>IF($A$135=1,-AL804,0)</f>
        <v>0</v>
      </c>
      <c r="AM939" s="272">
        <f t="shared" ref="AM939:BN939" si="1149">IF($A$135=1,-AM804,0)</f>
        <v>0</v>
      </c>
      <c r="AN939" s="272">
        <f t="shared" si="1149"/>
        <v>0</v>
      </c>
      <c r="AO939" s="272">
        <f t="shared" si="1149"/>
        <v>0</v>
      </c>
      <c r="AP939" s="272">
        <f t="shared" si="1149"/>
        <v>0</v>
      </c>
      <c r="AQ939" s="272">
        <f t="shared" si="1149"/>
        <v>0</v>
      </c>
      <c r="AR939" s="272">
        <f t="shared" si="1149"/>
        <v>0</v>
      </c>
      <c r="AS939" s="272">
        <f t="shared" si="1149"/>
        <v>0</v>
      </c>
      <c r="AT939" s="272">
        <f t="shared" si="1149"/>
        <v>0</v>
      </c>
      <c r="AU939" s="272">
        <f t="shared" si="1149"/>
        <v>0</v>
      </c>
      <c r="AV939" s="272">
        <f t="shared" si="1149"/>
        <v>0</v>
      </c>
      <c r="AW939" s="272">
        <f t="shared" si="1149"/>
        <v>0</v>
      </c>
      <c r="AX939" s="272">
        <f t="shared" si="1149"/>
        <v>0</v>
      </c>
      <c r="AY939" s="272">
        <f t="shared" si="1149"/>
        <v>0</v>
      </c>
      <c r="AZ939" s="272">
        <f t="shared" si="1149"/>
        <v>0</v>
      </c>
      <c r="BA939" s="272">
        <f t="shared" si="1149"/>
        <v>0</v>
      </c>
      <c r="BB939" s="272">
        <f t="shared" si="1149"/>
        <v>0</v>
      </c>
      <c r="BC939" s="272">
        <f t="shared" si="1149"/>
        <v>0</v>
      </c>
      <c r="BD939" s="272">
        <f t="shared" si="1149"/>
        <v>0</v>
      </c>
      <c r="BE939" s="272">
        <f t="shared" si="1149"/>
        <v>0</v>
      </c>
      <c r="BF939" s="272">
        <f t="shared" si="1149"/>
        <v>0</v>
      </c>
      <c r="BG939" s="272">
        <f t="shared" si="1149"/>
        <v>0</v>
      </c>
      <c r="BH939" s="272">
        <f t="shared" si="1149"/>
        <v>0</v>
      </c>
      <c r="BI939" s="272">
        <f t="shared" si="1149"/>
        <v>0</v>
      </c>
      <c r="BJ939" s="272">
        <f t="shared" si="1149"/>
        <v>0</v>
      </c>
      <c r="BK939" s="272">
        <f t="shared" si="1149"/>
        <v>0</v>
      </c>
      <c r="BL939" s="272">
        <f t="shared" si="1149"/>
        <v>0</v>
      </c>
      <c r="BM939" s="272">
        <f t="shared" si="1149"/>
        <v>0</v>
      </c>
      <c r="BN939" s="324">
        <f t="shared" si="1149"/>
        <v>0</v>
      </c>
    </row>
    <row r="940" spans="32:66" ht="20.100000000000001" customHeight="1">
      <c r="AF940" s="1492"/>
      <c r="AG940" s="389" t="s">
        <v>1565</v>
      </c>
      <c r="AH940" s="1497" t="s">
        <v>1576</v>
      </c>
      <c r="AI940" s="1498"/>
      <c r="AJ940" s="1499"/>
      <c r="AK940" s="345">
        <v>0</v>
      </c>
      <c r="AL940" s="272">
        <f>IF($A$136=1,-AL815,0)</f>
        <v>0</v>
      </c>
      <c r="AM940" s="272">
        <f t="shared" ref="AM940:BN940" si="1150">IF($A$136=1,-AM815,0)</f>
        <v>0</v>
      </c>
      <c r="AN940" s="272">
        <f t="shared" si="1150"/>
        <v>0</v>
      </c>
      <c r="AO940" s="272">
        <f t="shared" si="1150"/>
        <v>0</v>
      </c>
      <c r="AP940" s="272">
        <f t="shared" si="1150"/>
        <v>0</v>
      </c>
      <c r="AQ940" s="272">
        <f t="shared" si="1150"/>
        <v>0</v>
      </c>
      <c r="AR940" s="272">
        <f t="shared" si="1150"/>
        <v>0</v>
      </c>
      <c r="AS940" s="272">
        <f t="shared" si="1150"/>
        <v>0</v>
      </c>
      <c r="AT940" s="272">
        <f t="shared" si="1150"/>
        <v>0</v>
      </c>
      <c r="AU940" s="272">
        <f t="shared" si="1150"/>
        <v>0</v>
      </c>
      <c r="AV940" s="272">
        <f t="shared" si="1150"/>
        <v>0</v>
      </c>
      <c r="AW940" s="272">
        <f t="shared" si="1150"/>
        <v>0</v>
      </c>
      <c r="AX940" s="272">
        <f t="shared" si="1150"/>
        <v>0</v>
      </c>
      <c r="AY940" s="272">
        <f t="shared" si="1150"/>
        <v>0</v>
      </c>
      <c r="AZ940" s="272">
        <f t="shared" si="1150"/>
        <v>0</v>
      </c>
      <c r="BA940" s="272">
        <f t="shared" si="1150"/>
        <v>0</v>
      </c>
      <c r="BB940" s="272">
        <f t="shared" si="1150"/>
        <v>0</v>
      </c>
      <c r="BC940" s="272">
        <f t="shared" si="1150"/>
        <v>0</v>
      </c>
      <c r="BD940" s="272">
        <f t="shared" si="1150"/>
        <v>0</v>
      </c>
      <c r="BE940" s="272">
        <f t="shared" si="1150"/>
        <v>0</v>
      </c>
      <c r="BF940" s="272">
        <f t="shared" si="1150"/>
        <v>0</v>
      </c>
      <c r="BG940" s="272">
        <f t="shared" si="1150"/>
        <v>0</v>
      </c>
      <c r="BH940" s="272">
        <f t="shared" si="1150"/>
        <v>0</v>
      </c>
      <c r="BI940" s="272">
        <f t="shared" si="1150"/>
        <v>0</v>
      </c>
      <c r="BJ940" s="272">
        <f t="shared" si="1150"/>
        <v>0</v>
      </c>
      <c r="BK940" s="272">
        <f t="shared" si="1150"/>
        <v>0</v>
      </c>
      <c r="BL940" s="272">
        <f t="shared" si="1150"/>
        <v>0</v>
      </c>
      <c r="BM940" s="272">
        <f t="shared" si="1150"/>
        <v>0</v>
      </c>
      <c r="BN940" s="324">
        <f t="shared" si="1150"/>
        <v>0</v>
      </c>
    </row>
    <row r="941" spans="32:66" ht="20.100000000000001" customHeight="1">
      <c r="AF941" s="1492"/>
      <c r="AG941" s="389" t="s">
        <v>1565</v>
      </c>
      <c r="AH941" s="1497" t="s">
        <v>1577</v>
      </c>
      <c r="AI941" s="1498"/>
      <c r="AJ941" s="1499"/>
      <c r="AK941" s="345">
        <v>0</v>
      </c>
      <c r="AL941" s="272">
        <f>IF($A$137=1,-AL826,0)</f>
        <v>0</v>
      </c>
      <c r="AM941" s="272">
        <f t="shared" ref="AM941:BN941" si="1151">IF($A$137=1,-AM826,0)</f>
        <v>0</v>
      </c>
      <c r="AN941" s="272">
        <f t="shared" si="1151"/>
        <v>0</v>
      </c>
      <c r="AO941" s="272">
        <f t="shared" si="1151"/>
        <v>0</v>
      </c>
      <c r="AP941" s="272">
        <f t="shared" si="1151"/>
        <v>0</v>
      </c>
      <c r="AQ941" s="272">
        <f t="shared" si="1151"/>
        <v>0</v>
      </c>
      <c r="AR941" s="272">
        <f t="shared" si="1151"/>
        <v>0</v>
      </c>
      <c r="AS941" s="272">
        <f t="shared" si="1151"/>
        <v>0</v>
      </c>
      <c r="AT941" s="272">
        <f t="shared" si="1151"/>
        <v>0</v>
      </c>
      <c r="AU941" s="272">
        <f t="shared" si="1151"/>
        <v>0</v>
      </c>
      <c r="AV941" s="272">
        <f t="shared" si="1151"/>
        <v>0</v>
      </c>
      <c r="AW941" s="272">
        <f t="shared" si="1151"/>
        <v>0</v>
      </c>
      <c r="AX941" s="272">
        <f t="shared" si="1151"/>
        <v>0</v>
      </c>
      <c r="AY941" s="272">
        <f t="shared" si="1151"/>
        <v>0</v>
      </c>
      <c r="AZ941" s="272">
        <f t="shared" si="1151"/>
        <v>0</v>
      </c>
      <c r="BA941" s="272">
        <f t="shared" si="1151"/>
        <v>0</v>
      </c>
      <c r="BB941" s="272">
        <f t="shared" si="1151"/>
        <v>0</v>
      </c>
      <c r="BC941" s="272">
        <f t="shared" si="1151"/>
        <v>0</v>
      </c>
      <c r="BD941" s="272">
        <f t="shared" si="1151"/>
        <v>0</v>
      </c>
      <c r="BE941" s="272">
        <f t="shared" si="1151"/>
        <v>0</v>
      </c>
      <c r="BF941" s="272">
        <f t="shared" si="1151"/>
        <v>0</v>
      </c>
      <c r="BG941" s="272">
        <f t="shared" si="1151"/>
        <v>0</v>
      </c>
      <c r="BH941" s="272">
        <f t="shared" si="1151"/>
        <v>0</v>
      </c>
      <c r="BI941" s="272">
        <f t="shared" si="1151"/>
        <v>0</v>
      </c>
      <c r="BJ941" s="272">
        <f t="shared" si="1151"/>
        <v>0</v>
      </c>
      <c r="BK941" s="272">
        <f t="shared" si="1151"/>
        <v>0</v>
      </c>
      <c r="BL941" s="272">
        <f t="shared" si="1151"/>
        <v>0</v>
      </c>
      <c r="BM941" s="272">
        <f t="shared" si="1151"/>
        <v>0</v>
      </c>
      <c r="BN941" s="324">
        <f t="shared" si="1151"/>
        <v>0</v>
      </c>
    </row>
    <row r="942" spans="32:66" ht="20.100000000000001" customHeight="1">
      <c r="AF942" s="1492"/>
      <c r="AG942" s="389" t="s">
        <v>1565</v>
      </c>
      <c r="AH942" s="1497" t="s">
        <v>1578</v>
      </c>
      <c r="AI942" s="1498"/>
      <c r="AJ942" s="1499"/>
      <c r="AK942" s="345">
        <v>0</v>
      </c>
      <c r="AL942" s="272">
        <f>IF($A$138=1,-AL837,0)</f>
        <v>0</v>
      </c>
      <c r="AM942" s="272">
        <f t="shared" ref="AM942:BN942" si="1152">IF($A$138=1,-AM837,0)</f>
        <v>0</v>
      </c>
      <c r="AN942" s="272">
        <f t="shared" si="1152"/>
        <v>0</v>
      </c>
      <c r="AO942" s="272">
        <f t="shared" si="1152"/>
        <v>0</v>
      </c>
      <c r="AP942" s="272">
        <f t="shared" si="1152"/>
        <v>0</v>
      </c>
      <c r="AQ942" s="272">
        <f t="shared" si="1152"/>
        <v>0</v>
      </c>
      <c r="AR942" s="272">
        <f t="shared" si="1152"/>
        <v>0</v>
      </c>
      <c r="AS942" s="272">
        <f t="shared" si="1152"/>
        <v>0</v>
      </c>
      <c r="AT942" s="272">
        <f t="shared" si="1152"/>
        <v>0</v>
      </c>
      <c r="AU942" s="272">
        <f t="shared" si="1152"/>
        <v>0</v>
      </c>
      <c r="AV942" s="272">
        <f t="shared" si="1152"/>
        <v>0</v>
      </c>
      <c r="AW942" s="272">
        <f t="shared" si="1152"/>
        <v>0</v>
      </c>
      <c r="AX942" s="272">
        <f t="shared" si="1152"/>
        <v>0</v>
      </c>
      <c r="AY942" s="272">
        <f t="shared" si="1152"/>
        <v>0</v>
      </c>
      <c r="AZ942" s="272">
        <f t="shared" si="1152"/>
        <v>0</v>
      </c>
      <c r="BA942" s="272">
        <f t="shared" si="1152"/>
        <v>0</v>
      </c>
      <c r="BB942" s="272">
        <f t="shared" si="1152"/>
        <v>0</v>
      </c>
      <c r="BC942" s="272">
        <f t="shared" si="1152"/>
        <v>0</v>
      </c>
      <c r="BD942" s="272">
        <f t="shared" si="1152"/>
        <v>0</v>
      </c>
      <c r="BE942" s="272">
        <f t="shared" si="1152"/>
        <v>0</v>
      </c>
      <c r="BF942" s="272">
        <f t="shared" si="1152"/>
        <v>0</v>
      </c>
      <c r="BG942" s="272">
        <f t="shared" si="1152"/>
        <v>0</v>
      </c>
      <c r="BH942" s="272">
        <f t="shared" si="1152"/>
        <v>0</v>
      </c>
      <c r="BI942" s="272">
        <f t="shared" si="1152"/>
        <v>0</v>
      </c>
      <c r="BJ942" s="272">
        <f t="shared" si="1152"/>
        <v>0</v>
      </c>
      <c r="BK942" s="272">
        <f t="shared" si="1152"/>
        <v>0</v>
      </c>
      <c r="BL942" s="272">
        <f t="shared" si="1152"/>
        <v>0</v>
      </c>
      <c r="BM942" s="272">
        <f t="shared" si="1152"/>
        <v>0</v>
      </c>
      <c r="BN942" s="324">
        <f t="shared" si="1152"/>
        <v>0</v>
      </c>
    </row>
    <row r="943" spans="32:66" ht="20.100000000000001" customHeight="1">
      <c r="AF943" s="1492"/>
      <c r="AG943" s="389" t="s">
        <v>1565</v>
      </c>
      <c r="AH943" s="1497" t="s">
        <v>1579</v>
      </c>
      <c r="AI943" s="1498"/>
      <c r="AJ943" s="1499"/>
      <c r="AK943" s="345">
        <v>0</v>
      </c>
      <c r="AL943" s="272">
        <f>IF($A$139=1,-AL848,0)</f>
        <v>0</v>
      </c>
      <c r="AM943" s="272">
        <f t="shared" ref="AM943:BN943" si="1153">IF($A$139=1,-AM848,0)</f>
        <v>0</v>
      </c>
      <c r="AN943" s="272">
        <f t="shared" si="1153"/>
        <v>0</v>
      </c>
      <c r="AO943" s="272">
        <f t="shared" si="1153"/>
        <v>0</v>
      </c>
      <c r="AP943" s="272">
        <f t="shared" si="1153"/>
        <v>0</v>
      </c>
      <c r="AQ943" s="272">
        <f t="shared" si="1153"/>
        <v>0</v>
      </c>
      <c r="AR943" s="272">
        <f t="shared" si="1153"/>
        <v>0</v>
      </c>
      <c r="AS943" s="272">
        <f t="shared" si="1153"/>
        <v>0</v>
      </c>
      <c r="AT943" s="272">
        <f t="shared" si="1153"/>
        <v>0</v>
      </c>
      <c r="AU943" s="272">
        <f t="shared" si="1153"/>
        <v>0</v>
      </c>
      <c r="AV943" s="272">
        <f t="shared" si="1153"/>
        <v>0</v>
      </c>
      <c r="AW943" s="272">
        <f t="shared" si="1153"/>
        <v>0</v>
      </c>
      <c r="AX943" s="272">
        <f t="shared" si="1153"/>
        <v>0</v>
      </c>
      <c r="AY943" s="272">
        <f t="shared" si="1153"/>
        <v>0</v>
      </c>
      <c r="AZ943" s="272">
        <f t="shared" si="1153"/>
        <v>0</v>
      </c>
      <c r="BA943" s="272">
        <f t="shared" si="1153"/>
        <v>0</v>
      </c>
      <c r="BB943" s="272">
        <f t="shared" si="1153"/>
        <v>0</v>
      </c>
      <c r="BC943" s="272">
        <f t="shared" si="1153"/>
        <v>0</v>
      </c>
      <c r="BD943" s="272">
        <f t="shared" si="1153"/>
        <v>0</v>
      </c>
      <c r="BE943" s="272">
        <f t="shared" si="1153"/>
        <v>0</v>
      </c>
      <c r="BF943" s="272">
        <f t="shared" si="1153"/>
        <v>0</v>
      </c>
      <c r="BG943" s="272">
        <f t="shared" si="1153"/>
        <v>0</v>
      </c>
      <c r="BH943" s="272">
        <f t="shared" si="1153"/>
        <v>0</v>
      </c>
      <c r="BI943" s="272">
        <f t="shared" si="1153"/>
        <v>0</v>
      </c>
      <c r="BJ943" s="272">
        <f t="shared" si="1153"/>
        <v>0</v>
      </c>
      <c r="BK943" s="272">
        <f t="shared" si="1153"/>
        <v>0</v>
      </c>
      <c r="BL943" s="272">
        <f t="shared" si="1153"/>
        <v>0</v>
      </c>
      <c r="BM943" s="272">
        <f t="shared" si="1153"/>
        <v>0</v>
      </c>
      <c r="BN943" s="324">
        <f t="shared" si="1153"/>
        <v>0</v>
      </c>
    </row>
    <row r="944" spans="32:66" ht="20.100000000000001" customHeight="1">
      <c r="AF944" s="1492"/>
      <c r="AG944" s="389" t="s">
        <v>1565</v>
      </c>
      <c r="AH944" s="1497" t="s">
        <v>1580</v>
      </c>
      <c r="AI944" s="1498"/>
      <c r="AJ944" s="1499"/>
      <c r="AK944" s="345">
        <v>0</v>
      </c>
      <c r="AL944" s="272">
        <f>IF($A$140=1,-AL859,0)</f>
        <v>0</v>
      </c>
      <c r="AM944" s="272">
        <f t="shared" ref="AM944:BN944" si="1154">IF($A$140=1,-AM859,0)</f>
        <v>0</v>
      </c>
      <c r="AN944" s="272">
        <f t="shared" si="1154"/>
        <v>0</v>
      </c>
      <c r="AO944" s="272">
        <f t="shared" si="1154"/>
        <v>0</v>
      </c>
      <c r="AP944" s="272">
        <f t="shared" si="1154"/>
        <v>0</v>
      </c>
      <c r="AQ944" s="272">
        <f t="shared" si="1154"/>
        <v>0</v>
      </c>
      <c r="AR944" s="272">
        <f t="shared" si="1154"/>
        <v>0</v>
      </c>
      <c r="AS944" s="272">
        <f t="shared" si="1154"/>
        <v>0</v>
      </c>
      <c r="AT944" s="272">
        <f t="shared" si="1154"/>
        <v>0</v>
      </c>
      <c r="AU944" s="272">
        <f t="shared" si="1154"/>
        <v>0</v>
      </c>
      <c r="AV944" s="272">
        <f t="shared" si="1154"/>
        <v>0</v>
      </c>
      <c r="AW944" s="272">
        <f t="shared" si="1154"/>
        <v>0</v>
      </c>
      <c r="AX944" s="272">
        <f t="shared" si="1154"/>
        <v>0</v>
      </c>
      <c r="AY944" s="272">
        <f t="shared" si="1154"/>
        <v>0</v>
      </c>
      <c r="AZ944" s="272">
        <f t="shared" si="1154"/>
        <v>0</v>
      </c>
      <c r="BA944" s="272">
        <f t="shared" si="1154"/>
        <v>0</v>
      </c>
      <c r="BB944" s="272">
        <f t="shared" si="1154"/>
        <v>0</v>
      </c>
      <c r="BC944" s="272">
        <f t="shared" si="1154"/>
        <v>0</v>
      </c>
      <c r="BD944" s="272">
        <f t="shared" si="1154"/>
        <v>0</v>
      </c>
      <c r="BE944" s="272">
        <f t="shared" si="1154"/>
        <v>0</v>
      </c>
      <c r="BF944" s="272">
        <f t="shared" si="1154"/>
        <v>0</v>
      </c>
      <c r="BG944" s="272">
        <f t="shared" si="1154"/>
        <v>0</v>
      </c>
      <c r="BH944" s="272">
        <f t="shared" si="1154"/>
        <v>0</v>
      </c>
      <c r="BI944" s="272">
        <f t="shared" si="1154"/>
        <v>0</v>
      </c>
      <c r="BJ944" s="272">
        <f t="shared" si="1154"/>
        <v>0</v>
      </c>
      <c r="BK944" s="272">
        <f t="shared" si="1154"/>
        <v>0</v>
      </c>
      <c r="BL944" s="272">
        <f t="shared" si="1154"/>
        <v>0</v>
      </c>
      <c r="BM944" s="272">
        <f t="shared" si="1154"/>
        <v>0</v>
      </c>
      <c r="BN944" s="324">
        <f t="shared" si="1154"/>
        <v>0</v>
      </c>
    </row>
    <row r="945" spans="32:66" ht="20.100000000000001" customHeight="1">
      <c r="AF945" s="1492"/>
      <c r="AG945" s="389" t="s">
        <v>1566</v>
      </c>
      <c r="AH945" s="1497" t="s">
        <v>1581</v>
      </c>
      <c r="AI945" s="1498"/>
      <c r="AJ945" s="1499"/>
      <c r="AK945" s="345">
        <v>0</v>
      </c>
      <c r="AL945" s="272">
        <f>IF($C$135=1,AL804,0)</f>
        <v>0</v>
      </c>
      <c r="AM945" s="272">
        <f t="shared" ref="AM945:BN945" si="1155">IF($C$135=1,AM804,0)</f>
        <v>0</v>
      </c>
      <c r="AN945" s="272">
        <f t="shared" si="1155"/>
        <v>0</v>
      </c>
      <c r="AO945" s="272">
        <f t="shared" si="1155"/>
        <v>0</v>
      </c>
      <c r="AP945" s="272">
        <f t="shared" si="1155"/>
        <v>0</v>
      </c>
      <c r="AQ945" s="272">
        <f t="shared" si="1155"/>
        <v>0</v>
      </c>
      <c r="AR945" s="272">
        <f t="shared" si="1155"/>
        <v>0</v>
      </c>
      <c r="AS945" s="272">
        <f t="shared" si="1155"/>
        <v>0</v>
      </c>
      <c r="AT945" s="272">
        <f t="shared" si="1155"/>
        <v>0</v>
      </c>
      <c r="AU945" s="272">
        <f t="shared" si="1155"/>
        <v>0</v>
      </c>
      <c r="AV945" s="272">
        <f t="shared" si="1155"/>
        <v>0</v>
      </c>
      <c r="AW945" s="272">
        <f t="shared" si="1155"/>
        <v>0</v>
      </c>
      <c r="AX945" s="272">
        <f t="shared" si="1155"/>
        <v>0</v>
      </c>
      <c r="AY945" s="272">
        <f t="shared" si="1155"/>
        <v>0</v>
      </c>
      <c r="AZ945" s="272">
        <f t="shared" si="1155"/>
        <v>0</v>
      </c>
      <c r="BA945" s="272">
        <f t="shared" si="1155"/>
        <v>0</v>
      </c>
      <c r="BB945" s="272">
        <f t="shared" si="1155"/>
        <v>0</v>
      </c>
      <c r="BC945" s="272">
        <f t="shared" si="1155"/>
        <v>0</v>
      </c>
      <c r="BD945" s="272">
        <f t="shared" si="1155"/>
        <v>0</v>
      </c>
      <c r="BE945" s="272">
        <f t="shared" si="1155"/>
        <v>0</v>
      </c>
      <c r="BF945" s="272">
        <f t="shared" si="1155"/>
        <v>0</v>
      </c>
      <c r="BG945" s="272">
        <f t="shared" si="1155"/>
        <v>0</v>
      </c>
      <c r="BH945" s="272">
        <f t="shared" si="1155"/>
        <v>0</v>
      </c>
      <c r="BI945" s="272">
        <f t="shared" si="1155"/>
        <v>0</v>
      </c>
      <c r="BJ945" s="272">
        <f t="shared" si="1155"/>
        <v>0</v>
      </c>
      <c r="BK945" s="272">
        <f t="shared" si="1155"/>
        <v>0</v>
      </c>
      <c r="BL945" s="272">
        <f t="shared" si="1155"/>
        <v>0</v>
      </c>
      <c r="BM945" s="272">
        <f t="shared" si="1155"/>
        <v>0</v>
      </c>
      <c r="BN945" s="324">
        <f t="shared" si="1155"/>
        <v>0</v>
      </c>
    </row>
    <row r="946" spans="32:66" ht="20.100000000000001" customHeight="1">
      <c r="AF946" s="1492"/>
      <c r="AG946" s="389" t="s">
        <v>1566</v>
      </c>
      <c r="AH946" s="1497" t="s">
        <v>1582</v>
      </c>
      <c r="AI946" s="1498"/>
      <c r="AJ946" s="1499"/>
      <c r="AK946" s="345">
        <v>0</v>
      </c>
      <c r="AL946" s="272">
        <f>IF($C$136=1,AL815,0)</f>
        <v>0</v>
      </c>
      <c r="AM946" s="272">
        <f t="shared" ref="AM946:BN946" si="1156">IF($C$136=1,AM815,0)</f>
        <v>0</v>
      </c>
      <c r="AN946" s="272">
        <f t="shared" si="1156"/>
        <v>0</v>
      </c>
      <c r="AO946" s="272">
        <f t="shared" si="1156"/>
        <v>0</v>
      </c>
      <c r="AP946" s="272">
        <f t="shared" si="1156"/>
        <v>0</v>
      </c>
      <c r="AQ946" s="272">
        <f t="shared" si="1156"/>
        <v>0</v>
      </c>
      <c r="AR946" s="272">
        <f t="shared" si="1156"/>
        <v>0</v>
      </c>
      <c r="AS946" s="272">
        <f t="shared" si="1156"/>
        <v>0</v>
      </c>
      <c r="AT946" s="272">
        <f t="shared" si="1156"/>
        <v>0</v>
      </c>
      <c r="AU946" s="272">
        <f t="shared" si="1156"/>
        <v>0</v>
      </c>
      <c r="AV946" s="272">
        <f t="shared" si="1156"/>
        <v>0</v>
      </c>
      <c r="AW946" s="272">
        <f t="shared" si="1156"/>
        <v>0</v>
      </c>
      <c r="AX946" s="272">
        <f t="shared" si="1156"/>
        <v>0</v>
      </c>
      <c r="AY946" s="272">
        <f t="shared" si="1156"/>
        <v>0</v>
      </c>
      <c r="AZ946" s="272">
        <f t="shared" si="1156"/>
        <v>0</v>
      </c>
      <c r="BA946" s="272">
        <f t="shared" si="1156"/>
        <v>0</v>
      </c>
      <c r="BB946" s="272">
        <f t="shared" si="1156"/>
        <v>0</v>
      </c>
      <c r="BC946" s="272">
        <f t="shared" si="1156"/>
        <v>0</v>
      </c>
      <c r="BD946" s="272">
        <f t="shared" si="1156"/>
        <v>0</v>
      </c>
      <c r="BE946" s="272">
        <f t="shared" si="1156"/>
        <v>0</v>
      </c>
      <c r="BF946" s="272">
        <f t="shared" si="1156"/>
        <v>0</v>
      </c>
      <c r="BG946" s="272">
        <f t="shared" si="1156"/>
        <v>0</v>
      </c>
      <c r="BH946" s="272">
        <f t="shared" si="1156"/>
        <v>0</v>
      </c>
      <c r="BI946" s="272">
        <f t="shared" si="1156"/>
        <v>0</v>
      </c>
      <c r="BJ946" s="272">
        <f t="shared" si="1156"/>
        <v>0</v>
      </c>
      <c r="BK946" s="272">
        <f t="shared" si="1156"/>
        <v>0</v>
      </c>
      <c r="BL946" s="272">
        <f t="shared" si="1156"/>
        <v>0</v>
      </c>
      <c r="BM946" s="272">
        <f t="shared" si="1156"/>
        <v>0</v>
      </c>
      <c r="BN946" s="324">
        <f t="shared" si="1156"/>
        <v>0</v>
      </c>
    </row>
    <row r="947" spans="32:66" ht="20.100000000000001" customHeight="1">
      <c r="AF947" s="1492"/>
      <c r="AG947" s="389" t="s">
        <v>1566</v>
      </c>
      <c r="AH947" s="1497" t="s">
        <v>1583</v>
      </c>
      <c r="AI947" s="1498"/>
      <c r="AJ947" s="1499"/>
      <c r="AK947" s="345">
        <v>0</v>
      </c>
      <c r="AL947" s="272">
        <f>IF($C$137=1,AL826,0)</f>
        <v>0</v>
      </c>
      <c r="AM947" s="272">
        <f t="shared" ref="AM947:BN947" si="1157">IF($C$137=1,AM826,0)</f>
        <v>0</v>
      </c>
      <c r="AN947" s="272">
        <f t="shared" si="1157"/>
        <v>0</v>
      </c>
      <c r="AO947" s="272">
        <f t="shared" si="1157"/>
        <v>0</v>
      </c>
      <c r="AP947" s="272">
        <f t="shared" si="1157"/>
        <v>0</v>
      </c>
      <c r="AQ947" s="272">
        <f t="shared" si="1157"/>
        <v>0</v>
      </c>
      <c r="AR947" s="272">
        <f t="shared" si="1157"/>
        <v>0</v>
      </c>
      <c r="AS947" s="272">
        <f t="shared" si="1157"/>
        <v>0</v>
      </c>
      <c r="AT947" s="272">
        <f t="shared" si="1157"/>
        <v>0</v>
      </c>
      <c r="AU947" s="272">
        <f t="shared" si="1157"/>
        <v>0</v>
      </c>
      <c r="AV947" s="272">
        <f t="shared" si="1157"/>
        <v>0</v>
      </c>
      <c r="AW947" s="272">
        <f t="shared" si="1157"/>
        <v>0</v>
      </c>
      <c r="AX947" s="272">
        <f t="shared" si="1157"/>
        <v>0</v>
      </c>
      <c r="AY947" s="272">
        <f t="shared" si="1157"/>
        <v>0</v>
      </c>
      <c r="AZ947" s="272">
        <f t="shared" si="1157"/>
        <v>0</v>
      </c>
      <c r="BA947" s="272">
        <f t="shared" si="1157"/>
        <v>0</v>
      </c>
      <c r="BB947" s="272">
        <f t="shared" si="1157"/>
        <v>0</v>
      </c>
      <c r="BC947" s="272">
        <f t="shared" si="1157"/>
        <v>0</v>
      </c>
      <c r="BD947" s="272">
        <f t="shared" si="1157"/>
        <v>0</v>
      </c>
      <c r="BE947" s="272">
        <f t="shared" si="1157"/>
        <v>0</v>
      </c>
      <c r="BF947" s="272">
        <f t="shared" si="1157"/>
        <v>0</v>
      </c>
      <c r="BG947" s="272">
        <f t="shared" si="1157"/>
        <v>0</v>
      </c>
      <c r="BH947" s="272">
        <f t="shared" si="1157"/>
        <v>0</v>
      </c>
      <c r="BI947" s="272">
        <f t="shared" si="1157"/>
        <v>0</v>
      </c>
      <c r="BJ947" s="272">
        <f t="shared" si="1157"/>
        <v>0</v>
      </c>
      <c r="BK947" s="272">
        <f t="shared" si="1157"/>
        <v>0</v>
      </c>
      <c r="BL947" s="272">
        <f t="shared" si="1157"/>
        <v>0</v>
      </c>
      <c r="BM947" s="272">
        <f t="shared" si="1157"/>
        <v>0</v>
      </c>
      <c r="BN947" s="324">
        <f t="shared" si="1157"/>
        <v>0</v>
      </c>
    </row>
    <row r="948" spans="32:66" ht="20.100000000000001" customHeight="1">
      <c r="AF948" s="1492"/>
      <c r="AG948" s="389" t="s">
        <v>1566</v>
      </c>
      <c r="AH948" s="1497" t="s">
        <v>1584</v>
      </c>
      <c r="AI948" s="1498"/>
      <c r="AJ948" s="1499"/>
      <c r="AK948" s="345">
        <v>0</v>
      </c>
      <c r="AL948" s="272">
        <f>IF($C$138=1,AL837,0)</f>
        <v>0</v>
      </c>
      <c r="AM948" s="272">
        <f t="shared" ref="AM948:BN948" si="1158">IF($C$138=1,AM837,0)</f>
        <v>0</v>
      </c>
      <c r="AN948" s="272">
        <f t="shared" si="1158"/>
        <v>0</v>
      </c>
      <c r="AO948" s="272">
        <f t="shared" si="1158"/>
        <v>0</v>
      </c>
      <c r="AP948" s="272">
        <f t="shared" si="1158"/>
        <v>0</v>
      </c>
      <c r="AQ948" s="272">
        <f t="shared" si="1158"/>
        <v>0</v>
      </c>
      <c r="AR948" s="272">
        <f t="shared" si="1158"/>
        <v>0</v>
      </c>
      <c r="AS948" s="272">
        <f t="shared" si="1158"/>
        <v>0</v>
      </c>
      <c r="AT948" s="272">
        <f t="shared" si="1158"/>
        <v>0</v>
      </c>
      <c r="AU948" s="272">
        <f t="shared" si="1158"/>
        <v>0</v>
      </c>
      <c r="AV948" s="272">
        <f t="shared" si="1158"/>
        <v>0</v>
      </c>
      <c r="AW948" s="272">
        <f t="shared" si="1158"/>
        <v>0</v>
      </c>
      <c r="AX948" s="272">
        <f t="shared" si="1158"/>
        <v>0</v>
      </c>
      <c r="AY948" s="272">
        <f t="shared" si="1158"/>
        <v>0</v>
      </c>
      <c r="AZ948" s="272">
        <f t="shared" si="1158"/>
        <v>0</v>
      </c>
      <c r="BA948" s="272">
        <f t="shared" si="1158"/>
        <v>0</v>
      </c>
      <c r="BB948" s="272">
        <f t="shared" si="1158"/>
        <v>0</v>
      </c>
      <c r="BC948" s="272">
        <f t="shared" si="1158"/>
        <v>0</v>
      </c>
      <c r="BD948" s="272">
        <f t="shared" si="1158"/>
        <v>0</v>
      </c>
      <c r="BE948" s="272">
        <f t="shared" si="1158"/>
        <v>0</v>
      </c>
      <c r="BF948" s="272">
        <f t="shared" si="1158"/>
        <v>0</v>
      </c>
      <c r="BG948" s="272">
        <f t="shared" si="1158"/>
        <v>0</v>
      </c>
      <c r="BH948" s="272">
        <f t="shared" si="1158"/>
        <v>0</v>
      </c>
      <c r="BI948" s="272">
        <f t="shared" si="1158"/>
        <v>0</v>
      </c>
      <c r="BJ948" s="272">
        <f t="shared" si="1158"/>
        <v>0</v>
      </c>
      <c r="BK948" s="272">
        <f t="shared" si="1158"/>
        <v>0</v>
      </c>
      <c r="BL948" s="272">
        <f t="shared" si="1158"/>
        <v>0</v>
      </c>
      <c r="BM948" s="272">
        <f t="shared" si="1158"/>
        <v>0</v>
      </c>
      <c r="BN948" s="324">
        <f t="shared" si="1158"/>
        <v>0</v>
      </c>
    </row>
    <row r="949" spans="32:66" ht="20.100000000000001" customHeight="1">
      <c r="AF949" s="1492"/>
      <c r="AG949" s="389" t="s">
        <v>1566</v>
      </c>
      <c r="AH949" s="1497" t="s">
        <v>1585</v>
      </c>
      <c r="AI949" s="1498"/>
      <c r="AJ949" s="1499"/>
      <c r="AK949" s="345">
        <v>0</v>
      </c>
      <c r="AL949" s="272">
        <f>IF($C$139=1,AL848,0)</f>
        <v>0</v>
      </c>
      <c r="AM949" s="272">
        <f t="shared" ref="AM949:BN949" si="1159">IF($C$139=1,AM848,0)</f>
        <v>0</v>
      </c>
      <c r="AN949" s="272">
        <f t="shared" si="1159"/>
        <v>0</v>
      </c>
      <c r="AO949" s="272">
        <f t="shared" si="1159"/>
        <v>0</v>
      </c>
      <c r="AP949" s="272">
        <f t="shared" si="1159"/>
        <v>0</v>
      </c>
      <c r="AQ949" s="272">
        <f t="shared" si="1159"/>
        <v>0</v>
      </c>
      <c r="AR949" s="272">
        <f t="shared" si="1159"/>
        <v>0</v>
      </c>
      <c r="AS949" s="272">
        <f t="shared" si="1159"/>
        <v>0</v>
      </c>
      <c r="AT949" s="272">
        <f t="shared" si="1159"/>
        <v>0</v>
      </c>
      <c r="AU949" s="272">
        <f t="shared" si="1159"/>
        <v>0</v>
      </c>
      <c r="AV949" s="272">
        <f t="shared" si="1159"/>
        <v>0</v>
      </c>
      <c r="AW949" s="272">
        <f t="shared" si="1159"/>
        <v>0</v>
      </c>
      <c r="AX949" s="272">
        <f t="shared" si="1159"/>
        <v>0</v>
      </c>
      <c r="AY949" s="272">
        <f t="shared" si="1159"/>
        <v>0</v>
      </c>
      <c r="AZ949" s="272">
        <f t="shared" si="1159"/>
        <v>0</v>
      </c>
      <c r="BA949" s="272">
        <f t="shared" si="1159"/>
        <v>0</v>
      </c>
      <c r="BB949" s="272">
        <f t="shared" si="1159"/>
        <v>0</v>
      </c>
      <c r="BC949" s="272">
        <f t="shared" si="1159"/>
        <v>0</v>
      </c>
      <c r="BD949" s="272">
        <f t="shared" si="1159"/>
        <v>0</v>
      </c>
      <c r="BE949" s="272">
        <f t="shared" si="1159"/>
        <v>0</v>
      </c>
      <c r="BF949" s="272">
        <f t="shared" si="1159"/>
        <v>0</v>
      </c>
      <c r="BG949" s="272">
        <f t="shared" si="1159"/>
        <v>0</v>
      </c>
      <c r="BH949" s="272">
        <f t="shared" si="1159"/>
        <v>0</v>
      </c>
      <c r="BI949" s="272">
        <f t="shared" si="1159"/>
        <v>0</v>
      </c>
      <c r="BJ949" s="272">
        <f t="shared" si="1159"/>
        <v>0</v>
      </c>
      <c r="BK949" s="272">
        <f t="shared" si="1159"/>
        <v>0</v>
      </c>
      <c r="BL949" s="272">
        <f t="shared" si="1159"/>
        <v>0</v>
      </c>
      <c r="BM949" s="272">
        <f t="shared" si="1159"/>
        <v>0</v>
      </c>
      <c r="BN949" s="324">
        <f t="shared" si="1159"/>
        <v>0</v>
      </c>
    </row>
    <row r="950" spans="32:66" ht="20.100000000000001" customHeight="1" thickBot="1">
      <c r="AF950" s="1493"/>
      <c r="AG950" s="390" t="s">
        <v>1566</v>
      </c>
      <c r="AH950" s="1485" t="s">
        <v>1586</v>
      </c>
      <c r="AI950" s="1486"/>
      <c r="AJ950" s="1487"/>
      <c r="AK950" s="391">
        <v>0</v>
      </c>
      <c r="AL950" s="325">
        <f>IF($C$140=1,AL859,0)</f>
        <v>0</v>
      </c>
      <c r="AM950" s="325">
        <f t="shared" ref="AM950:BN950" si="1160">IF($C$140=1,AM859,0)</f>
        <v>0</v>
      </c>
      <c r="AN950" s="325">
        <f t="shared" si="1160"/>
        <v>0</v>
      </c>
      <c r="AO950" s="325">
        <f t="shared" si="1160"/>
        <v>0</v>
      </c>
      <c r="AP950" s="325">
        <f t="shared" si="1160"/>
        <v>0</v>
      </c>
      <c r="AQ950" s="325">
        <f t="shared" si="1160"/>
        <v>0</v>
      </c>
      <c r="AR950" s="325">
        <f t="shared" si="1160"/>
        <v>0</v>
      </c>
      <c r="AS950" s="325">
        <f t="shared" si="1160"/>
        <v>0</v>
      </c>
      <c r="AT950" s="325">
        <f t="shared" si="1160"/>
        <v>0</v>
      </c>
      <c r="AU950" s="325">
        <f t="shared" si="1160"/>
        <v>0</v>
      </c>
      <c r="AV950" s="325">
        <f t="shared" si="1160"/>
        <v>0</v>
      </c>
      <c r="AW950" s="325">
        <f t="shared" si="1160"/>
        <v>0</v>
      </c>
      <c r="AX950" s="325">
        <f t="shared" si="1160"/>
        <v>0</v>
      </c>
      <c r="AY950" s="325">
        <f t="shared" si="1160"/>
        <v>0</v>
      </c>
      <c r="AZ950" s="325">
        <f t="shared" si="1160"/>
        <v>0</v>
      </c>
      <c r="BA950" s="325">
        <f t="shared" si="1160"/>
        <v>0</v>
      </c>
      <c r="BB950" s="325">
        <f t="shared" si="1160"/>
        <v>0</v>
      </c>
      <c r="BC950" s="325">
        <f t="shared" si="1160"/>
        <v>0</v>
      </c>
      <c r="BD950" s="325">
        <f t="shared" si="1160"/>
        <v>0</v>
      </c>
      <c r="BE950" s="325">
        <f t="shared" si="1160"/>
        <v>0</v>
      </c>
      <c r="BF950" s="325">
        <f t="shared" si="1160"/>
        <v>0</v>
      </c>
      <c r="BG950" s="325">
        <f t="shared" si="1160"/>
        <v>0</v>
      </c>
      <c r="BH950" s="325">
        <f t="shared" si="1160"/>
        <v>0</v>
      </c>
      <c r="BI950" s="325">
        <f t="shared" si="1160"/>
        <v>0</v>
      </c>
      <c r="BJ950" s="325">
        <f t="shared" si="1160"/>
        <v>0</v>
      </c>
      <c r="BK950" s="325">
        <f t="shared" si="1160"/>
        <v>0</v>
      </c>
      <c r="BL950" s="325">
        <f t="shared" si="1160"/>
        <v>0</v>
      </c>
      <c r="BM950" s="325">
        <f t="shared" si="1160"/>
        <v>0</v>
      </c>
      <c r="BN950" s="326">
        <f t="shared" si="1160"/>
        <v>0</v>
      </c>
    </row>
    <row r="951" spans="32:66" ht="20.100000000000001" customHeight="1">
      <c r="AF951" s="332"/>
      <c r="AG951" s="1488" t="s">
        <v>1454</v>
      </c>
      <c r="AH951" s="1489"/>
      <c r="AI951" s="1489"/>
      <c r="AJ951" s="1490"/>
      <c r="AK951" s="344">
        <v>0</v>
      </c>
      <c r="AL951" s="327">
        <f>IF(AL929&gt;START!$C$2+2020,SUM(AL930:AL950),0)</f>
        <v>0</v>
      </c>
      <c r="AM951" s="327">
        <f>IF(AM929&gt;START!$C$2+2020,SUM(AM930:AM950),0)</f>
        <v>119258.03736097951</v>
      </c>
      <c r="AN951" s="327">
        <f>IF(AN929&gt;START!$C$2+2020,SUM(AN930:AN950),0)</f>
        <v>118903.2457699808</v>
      </c>
      <c r="AO951" s="327">
        <f>IF(AO929&gt;START!$C$2+2020,SUM(AO930:AO950),0)</f>
        <v>118552.00209489209</v>
      </c>
      <c r="AP951" s="327">
        <f>IF(AP929&gt;START!$C$2+2020,SUM(AP930:AP950),0)</f>
        <v>118204.27085655424</v>
      </c>
      <c r="AQ951" s="327">
        <f>IF(AQ929&gt;START!$C$2+2020,SUM(AQ930:AQ950),0)</f>
        <v>117860.0169305998</v>
      </c>
      <c r="AR951" s="327">
        <f>IF(AR929&gt;START!$C$2+2020,SUM(AR930:AR950),0)</f>
        <v>117519.20554390489</v>
      </c>
      <c r="AS951" s="327">
        <f>IF(AS929&gt;START!$C$2+2020,SUM(AS930:AS950),0)</f>
        <v>117181.80227107693</v>
      </c>
      <c r="AT951" s="327">
        <f>IF(AT929&gt;START!$C$2+2020,SUM(AT930:AT950),0)</f>
        <v>116847.77303097726</v>
      </c>
      <c r="AU951" s="327">
        <f>IF(AU929&gt;START!$C$2+2020,SUM(AU930:AU950),0)</f>
        <v>115028.9838186345</v>
      </c>
      <c r="AV951" s="327">
        <f>IF(AV929&gt;START!$C$2+2020,SUM(AV930:AV950),0)</f>
        <v>113310.22801297059</v>
      </c>
      <c r="AW951" s="327">
        <f>IF(AW929&gt;START!$C$2+2020,SUM(AW930:AW950),0)</f>
        <v>111686.00377661819</v>
      </c>
      <c r="AX951" s="327">
        <f>IF(AX929&gt;START!$C$2+2020,SUM(AX930:AX950),0)</f>
        <v>110151.11187326518</v>
      </c>
      <c r="AY951" s="327">
        <f>IF(AY929&gt;START!$C$2+2020,SUM(AY930:AY950),0)</f>
        <v>108700.6390245966</v>
      </c>
      <c r="AZ951" s="327">
        <f>IF(AZ929&gt;START!$C$2+2020,SUM(AZ930:AZ950),0)</f>
        <v>107329.94218260478</v>
      </c>
      <c r="BA951" s="327">
        <f>IF(BA929&gt;START!$C$2+2020,SUM(BA930:BA950),0)</f>
        <v>106034.63366692251</v>
      </c>
      <c r="BB951" s="327">
        <f>IF(BB929&gt;START!$C$2+2020,SUM(BB930:BB950),0)</f>
        <v>104810.56711960275</v>
      </c>
      <c r="BC951" s="327">
        <f>IF(BC929&gt;START!$C$2+2020,SUM(BC930:BC950),0)</f>
        <v>103653.8242323856</v>
      </c>
      <c r="BD951" s="327">
        <f>IF(BD929&gt;START!$C$2+2020,SUM(BD930:BD950),0)</f>
        <v>102560.70220396538</v>
      </c>
      <c r="BE951" s="327">
        <f>IF(BE929&gt;START!$C$2+2020,SUM(BE930:BE950),0)</f>
        <v>101527.70188710827</v>
      </c>
      <c r="BF951" s="327">
        <f>IF(BF929&gt;START!$C$2+2020,SUM(BF930:BF950),0)</f>
        <v>100551.51658767831</v>
      </c>
      <c r="BG951" s="327">
        <f>IF(BG929&gt;START!$C$2+2020,SUM(BG930:BG950),0)</f>
        <v>99629.02147971699</v>
      </c>
      <c r="BH951" s="327">
        <f>IF(BH929&gt;START!$C$2+2020,SUM(BH930:BH950),0)</f>
        <v>98757.263602693565</v>
      </c>
      <c r="BI951" s="327">
        <f>IF(BI929&gt;START!$C$2+2020,SUM(BI930:BI950),0)</f>
        <v>97933.452408906393</v>
      </c>
      <c r="BJ951" s="327">
        <f>IF(BJ929&gt;START!$C$2+2020,SUM(BJ930:BJ950),0)</f>
        <v>97154.95083077754</v>
      </c>
      <c r="BK951" s="327">
        <f>IF(BK929&gt;START!$C$2+2020,SUM(BK930:BK950),0)</f>
        <v>96419.266839445772</v>
      </c>
      <c r="BL951" s="327">
        <f>IF(BL929&gt;START!$C$2+2020,SUM(BL930:BL950),0)</f>
        <v>95724.045467637246</v>
      </c>
      <c r="BM951" s="327">
        <f>IF(BM929&gt;START!$C$2+2020,SUM(BM930:BM950),0)</f>
        <v>95067.061271278188</v>
      </c>
      <c r="BN951" s="327">
        <f>IF(BN929&gt;START!$C$2+2020,SUM(BN930:BN950),0)</f>
        <v>94446.211205718879</v>
      </c>
    </row>
    <row r="953" spans="32:66" ht="20.100000000000001" customHeight="1">
      <c r="AF953" s="290" t="s">
        <v>1559</v>
      </c>
      <c r="AG953" s="279"/>
      <c r="AH953" s="279"/>
      <c r="AI953" s="279"/>
      <c r="AJ953" s="279"/>
      <c r="AK953" s="279"/>
      <c r="AL953" s="279"/>
      <c r="AM953" s="279"/>
    </row>
    <row r="954" spans="32:66" ht="20.100000000000001" customHeight="1" thickBot="1">
      <c r="AF954" s="306" t="s">
        <v>1561</v>
      </c>
      <c r="AG954" s="307"/>
      <c r="AH954" s="307"/>
      <c r="AI954" s="314"/>
      <c r="AJ954" s="340"/>
      <c r="AK954" s="341">
        <v>2021</v>
      </c>
      <c r="AL954" s="284">
        <v>2022</v>
      </c>
      <c r="AM954" s="284">
        <f>AL954+1</f>
        <v>2023</v>
      </c>
      <c r="AN954" s="284">
        <f t="shared" ref="AN954" si="1161">AM954+1</f>
        <v>2024</v>
      </c>
      <c r="AO954" s="284">
        <f t="shared" ref="AO954" si="1162">AN954+1</f>
        <v>2025</v>
      </c>
      <c r="AP954" s="284">
        <f t="shared" ref="AP954" si="1163">AO954+1</f>
        <v>2026</v>
      </c>
      <c r="AQ954" s="284">
        <f t="shared" ref="AQ954" si="1164">AP954+1</f>
        <v>2027</v>
      </c>
      <c r="AR954" s="284">
        <f t="shared" ref="AR954" si="1165">AQ954+1</f>
        <v>2028</v>
      </c>
      <c r="AS954" s="284">
        <f t="shared" ref="AS954" si="1166">AR954+1</f>
        <v>2029</v>
      </c>
      <c r="AT954" s="284">
        <f t="shared" ref="AT954" si="1167">AS954+1</f>
        <v>2030</v>
      </c>
      <c r="AU954" s="284">
        <f t="shared" ref="AU954" si="1168">AT954+1</f>
        <v>2031</v>
      </c>
      <c r="AV954" s="284">
        <f t="shared" ref="AV954" si="1169">AU954+1</f>
        <v>2032</v>
      </c>
      <c r="AW954" s="284">
        <f t="shared" ref="AW954" si="1170">AV954+1</f>
        <v>2033</v>
      </c>
      <c r="AX954" s="284">
        <f t="shared" ref="AX954" si="1171">AW954+1</f>
        <v>2034</v>
      </c>
      <c r="AY954" s="284">
        <f t="shared" ref="AY954" si="1172">AX954+1</f>
        <v>2035</v>
      </c>
      <c r="AZ954" s="284">
        <f t="shared" ref="AZ954" si="1173">AY954+1</f>
        <v>2036</v>
      </c>
      <c r="BA954" s="284">
        <f t="shared" ref="BA954" si="1174">AZ954+1</f>
        <v>2037</v>
      </c>
      <c r="BB954" s="284">
        <f t="shared" ref="BB954" si="1175">BA954+1</f>
        <v>2038</v>
      </c>
      <c r="BC954" s="284">
        <f t="shared" ref="BC954" si="1176">BB954+1</f>
        <v>2039</v>
      </c>
      <c r="BD954" s="284">
        <f t="shared" ref="BD954" si="1177">BC954+1</f>
        <v>2040</v>
      </c>
      <c r="BE954" s="284">
        <f t="shared" ref="BE954" si="1178">BD954+1</f>
        <v>2041</v>
      </c>
      <c r="BF954" s="284">
        <f t="shared" ref="BF954" si="1179">BE954+1</f>
        <v>2042</v>
      </c>
      <c r="BG954" s="284">
        <f t="shared" ref="BG954" si="1180">BF954+1</f>
        <v>2043</v>
      </c>
      <c r="BH954" s="284">
        <f t="shared" ref="BH954" si="1181">BG954+1</f>
        <v>2044</v>
      </c>
      <c r="BI954" s="284">
        <f t="shared" ref="BI954" si="1182">BH954+1</f>
        <v>2045</v>
      </c>
      <c r="BJ954" s="284">
        <f t="shared" ref="BJ954" si="1183">BI954+1</f>
        <v>2046</v>
      </c>
      <c r="BK954" s="284">
        <f t="shared" ref="BK954" si="1184">BJ954+1</f>
        <v>2047</v>
      </c>
      <c r="BL954" s="284">
        <f t="shared" ref="BL954" si="1185">BK954+1</f>
        <v>2048</v>
      </c>
      <c r="BM954" s="284">
        <f t="shared" ref="BM954" si="1186">BL954+1</f>
        <v>2049</v>
      </c>
      <c r="BN954" s="284">
        <f t="shared" ref="BN954" si="1187">BM954+1</f>
        <v>2050</v>
      </c>
    </row>
    <row r="955" spans="32:66" ht="20.100000000000001" customHeight="1">
      <c r="AF955" s="1491" t="s">
        <v>1228</v>
      </c>
      <c r="AG955" s="286" t="s">
        <v>1560</v>
      </c>
      <c r="AH955" s="1494" t="s">
        <v>1590</v>
      </c>
      <c r="AI955" s="1495"/>
      <c r="AJ955" s="1496"/>
      <c r="AK955" s="343">
        <v>0</v>
      </c>
      <c r="AL955" s="328">
        <f t="shared" ref="AL955:BN955" si="1188">AL248</f>
        <v>0</v>
      </c>
      <c r="AM955" s="328">
        <f t="shared" si="1188"/>
        <v>0</v>
      </c>
      <c r="AN955" s="328">
        <f t="shared" si="1188"/>
        <v>0</v>
      </c>
      <c r="AO955" s="328">
        <f t="shared" si="1188"/>
        <v>0</v>
      </c>
      <c r="AP955" s="328">
        <f t="shared" si="1188"/>
        <v>0</v>
      </c>
      <c r="AQ955" s="328">
        <f t="shared" si="1188"/>
        <v>0</v>
      </c>
      <c r="AR955" s="328">
        <f t="shared" si="1188"/>
        <v>0</v>
      </c>
      <c r="AS955" s="328">
        <f t="shared" si="1188"/>
        <v>0</v>
      </c>
      <c r="AT955" s="328">
        <f t="shared" si="1188"/>
        <v>0</v>
      </c>
      <c r="AU955" s="328">
        <f t="shared" si="1188"/>
        <v>0</v>
      </c>
      <c r="AV955" s="328">
        <f t="shared" si="1188"/>
        <v>0</v>
      </c>
      <c r="AW955" s="328">
        <f t="shared" si="1188"/>
        <v>0</v>
      </c>
      <c r="AX955" s="328">
        <f t="shared" si="1188"/>
        <v>0</v>
      </c>
      <c r="AY955" s="328">
        <f t="shared" si="1188"/>
        <v>0</v>
      </c>
      <c r="AZ955" s="328">
        <f t="shared" si="1188"/>
        <v>0</v>
      </c>
      <c r="BA955" s="328">
        <f t="shared" si="1188"/>
        <v>0</v>
      </c>
      <c r="BB955" s="328">
        <f t="shared" si="1188"/>
        <v>0</v>
      </c>
      <c r="BC955" s="328">
        <f t="shared" si="1188"/>
        <v>0</v>
      </c>
      <c r="BD955" s="328">
        <f t="shared" si="1188"/>
        <v>0</v>
      </c>
      <c r="BE955" s="328">
        <f t="shared" si="1188"/>
        <v>0</v>
      </c>
      <c r="BF955" s="328">
        <f t="shared" si="1188"/>
        <v>0</v>
      </c>
      <c r="BG955" s="328">
        <f t="shared" si="1188"/>
        <v>0</v>
      </c>
      <c r="BH955" s="328">
        <f t="shared" si="1188"/>
        <v>0</v>
      </c>
      <c r="BI955" s="328">
        <f t="shared" si="1188"/>
        <v>0</v>
      </c>
      <c r="BJ955" s="328">
        <f t="shared" si="1188"/>
        <v>0</v>
      </c>
      <c r="BK955" s="328">
        <f t="shared" si="1188"/>
        <v>0</v>
      </c>
      <c r="BL955" s="328">
        <f t="shared" si="1188"/>
        <v>0</v>
      </c>
      <c r="BM955" s="328">
        <f t="shared" si="1188"/>
        <v>0</v>
      </c>
      <c r="BN955" s="328">
        <f t="shared" si="1188"/>
        <v>0</v>
      </c>
    </row>
    <row r="956" spans="32:66" ht="20.100000000000001" customHeight="1">
      <c r="AF956" s="1492"/>
      <c r="AG956" s="389" t="s">
        <v>1562</v>
      </c>
      <c r="AH956" s="1497" t="s">
        <v>1567</v>
      </c>
      <c r="AI956" s="1498"/>
      <c r="AJ956" s="1499"/>
      <c r="AK956" s="345">
        <v>0</v>
      </c>
      <c r="AL956" s="272">
        <f t="shared" ref="AL956:BN956" si="1189">AL363</f>
        <v>0</v>
      </c>
      <c r="AM956" s="272">
        <f t="shared" si="1189"/>
        <v>0</v>
      </c>
      <c r="AN956" s="272">
        <f t="shared" si="1189"/>
        <v>0</v>
      </c>
      <c r="AO956" s="272">
        <f t="shared" si="1189"/>
        <v>0</v>
      </c>
      <c r="AP956" s="272">
        <f t="shared" si="1189"/>
        <v>0</v>
      </c>
      <c r="AQ956" s="272">
        <f t="shared" si="1189"/>
        <v>0</v>
      </c>
      <c r="AR956" s="272">
        <f t="shared" si="1189"/>
        <v>0</v>
      </c>
      <c r="AS956" s="272">
        <f t="shared" si="1189"/>
        <v>0</v>
      </c>
      <c r="AT956" s="272">
        <f t="shared" si="1189"/>
        <v>0</v>
      </c>
      <c r="AU956" s="272">
        <f t="shared" si="1189"/>
        <v>0</v>
      </c>
      <c r="AV956" s="272">
        <f t="shared" si="1189"/>
        <v>0</v>
      </c>
      <c r="AW956" s="272">
        <f t="shared" si="1189"/>
        <v>0</v>
      </c>
      <c r="AX956" s="272">
        <f t="shared" si="1189"/>
        <v>0</v>
      </c>
      <c r="AY956" s="272">
        <f t="shared" si="1189"/>
        <v>0</v>
      </c>
      <c r="AZ956" s="272">
        <f t="shared" si="1189"/>
        <v>0</v>
      </c>
      <c r="BA956" s="272">
        <f t="shared" si="1189"/>
        <v>0</v>
      </c>
      <c r="BB956" s="272">
        <f t="shared" si="1189"/>
        <v>0</v>
      </c>
      <c r="BC956" s="272">
        <f t="shared" si="1189"/>
        <v>0</v>
      </c>
      <c r="BD956" s="272">
        <f t="shared" si="1189"/>
        <v>0</v>
      </c>
      <c r="BE956" s="272">
        <f t="shared" si="1189"/>
        <v>0</v>
      </c>
      <c r="BF956" s="272">
        <f t="shared" si="1189"/>
        <v>0</v>
      </c>
      <c r="BG956" s="272">
        <f t="shared" si="1189"/>
        <v>0</v>
      </c>
      <c r="BH956" s="272">
        <f t="shared" si="1189"/>
        <v>0</v>
      </c>
      <c r="BI956" s="272">
        <f t="shared" si="1189"/>
        <v>0</v>
      </c>
      <c r="BJ956" s="272">
        <f t="shared" si="1189"/>
        <v>0</v>
      </c>
      <c r="BK956" s="272">
        <f t="shared" si="1189"/>
        <v>0</v>
      </c>
      <c r="BL956" s="272">
        <f t="shared" si="1189"/>
        <v>0</v>
      </c>
      <c r="BM956" s="272">
        <f t="shared" si="1189"/>
        <v>0</v>
      </c>
      <c r="BN956" s="324">
        <f t="shared" si="1189"/>
        <v>0</v>
      </c>
    </row>
    <row r="957" spans="32:66" ht="20.100000000000001" customHeight="1">
      <c r="AF957" s="1492"/>
      <c r="AG957" s="389" t="s">
        <v>1563</v>
      </c>
      <c r="AH957" s="1497" t="s">
        <v>1568</v>
      </c>
      <c r="AI957" s="1498"/>
      <c r="AJ957" s="1499"/>
      <c r="AK957" s="345">
        <v>0</v>
      </c>
      <c r="AL957" s="272">
        <f t="shared" ref="AL957:BN957" si="1190">AL501</f>
        <v>0</v>
      </c>
      <c r="AM957" s="272">
        <f t="shared" si="1190"/>
        <v>0</v>
      </c>
      <c r="AN957" s="272">
        <f t="shared" si="1190"/>
        <v>0</v>
      </c>
      <c r="AO957" s="272">
        <f t="shared" si="1190"/>
        <v>0</v>
      </c>
      <c r="AP957" s="272">
        <f t="shared" si="1190"/>
        <v>0</v>
      </c>
      <c r="AQ957" s="272">
        <f t="shared" si="1190"/>
        <v>0</v>
      </c>
      <c r="AR957" s="272">
        <f t="shared" si="1190"/>
        <v>0</v>
      </c>
      <c r="AS957" s="272">
        <f t="shared" si="1190"/>
        <v>0</v>
      </c>
      <c r="AT957" s="272">
        <f t="shared" si="1190"/>
        <v>0</v>
      </c>
      <c r="AU957" s="272">
        <f t="shared" si="1190"/>
        <v>0</v>
      </c>
      <c r="AV957" s="272">
        <f t="shared" si="1190"/>
        <v>0</v>
      </c>
      <c r="AW957" s="272">
        <f t="shared" si="1190"/>
        <v>0</v>
      </c>
      <c r="AX957" s="272">
        <f t="shared" si="1190"/>
        <v>0</v>
      </c>
      <c r="AY957" s="272">
        <f t="shared" si="1190"/>
        <v>0</v>
      </c>
      <c r="AZ957" s="272">
        <f t="shared" si="1190"/>
        <v>0</v>
      </c>
      <c r="BA957" s="272">
        <f t="shared" si="1190"/>
        <v>0</v>
      </c>
      <c r="BB957" s="272">
        <f t="shared" si="1190"/>
        <v>0</v>
      </c>
      <c r="BC957" s="272">
        <f t="shared" si="1190"/>
        <v>0</v>
      </c>
      <c r="BD957" s="272">
        <f t="shared" si="1190"/>
        <v>0</v>
      </c>
      <c r="BE957" s="272">
        <f t="shared" si="1190"/>
        <v>0</v>
      </c>
      <c r="BF957" s="272">
        <f t="shared" si="1190"/>
        <v>0</v>
      </c>
      <c r="BG957" s="272">
        <f t="shared" si="1190"/>
        <v>0</v>
      </c>
      <c r="BH957" s="272">
        <f t="shared" si="1190"/>
        <v>0</v>
      </c>
      <c r="BI957" s="272">
        <f t="shared" si="1190"/>
        <v>0</v>
      </c>
      <c r="BJ957" s="272">
        <f t="shared" si="1190"/>
        <v>0</v>
      </c>
      <c r="BK957" s="272">
        <f t="shared" si="1190"/>
        <v>0</v>
      </c>
      <c r="BL957" s="272">
        <f t="shared" si="1190"/>
        <v>0</v>
      </c>
      <c r="BM957" s="272">
        <f t="shared" si="1190"/>
        <v>0</v>
      </c>
      <c r="BN957" s="324">
        <f t="shared" si="1190"/>
        <v>0</v>
      </c>
    </row>
    <row r="958" spans="32:66" ht="20.100000000000001" customHeight="1">
      <c r="AF958" s="1492"/>
      <c r="AG958" s="389" t="s">
        <v>1564</v>
      </c>
      <c r="AH958" s="1497" t="s">
        <v>1569</v>
      </c>
      <c r="AI958" s="1498"/>
      <c r="AJ958" s="1499"/>
      <c r="AK958" s="345">
        <v>0</v>
      </c>
      <c r="AL958" s="272">
        <f t="shared" ref="AL958:BN958" si="1191">IF($A$114=1,-AL656,0)</f>
        <v>0</v>
      </c>
      <c r="AM958" s="272">
        <f t="shared" si="1191"/>
        <v>0</v>
      </c>
      <c r="AN958" s="272">
        <f t="shared" si="1191"/>
        <v>0</v>
      </c>
      <c r="AO958" s="272">
        <f t="shared" si="1191"/>
        <v>0</v>
      </c>
      <c r="AP958" s="272">
        <f t="shared" si="1191"/>
        <v>0</v>
      </c>
      <c r="AQ958" s="272">
        <f t="shared" si="1191"/>
        <v>0</v>
      </c>
      <c r="AR958" s="272">
        <f t="shared" si="1191"/>
        <v>0</v>
      </c>
      <c r="AS958" s="272">
        <f t="shared" si="1191"/>
        <v>0</v>
      </c>
      <c r="AT958" s="272">
        <f t="shared" si="1191"/>
        <v>0</v>
      </c>
      <c r="AU958" s="272">
        <f t="shared" si="1191"/>
        <v>0</v>
      </c>
      <c r="AV958" s="272">
        <f t="shared" si="1191"/>
        <v>0</v>
      </c>
      <c r="AW958" s="272">
        <f t="shared" si="1191"/>
        <v>0</v>
      </c>
      <c r="AX958" s="272">
        <f t="shared" si="1191"/>
        <v>0</v>
      </c>
      <c r="AY958" s="272">
        <f t="shared" si="1191"/>
        <v>0</v>
      </c>
      <c r="AZ958" s="272">
        <f t="shared" si="1191"/>
        <v>0</v>
      </c>
      <c r="BA958" s="272">
        <f t="shared" si="1191"/>
        <v>0</v>
      </c>
      <c r="BB958" s="272">
        <f t="shared" si="1191"/>
        <v>0</v>
      </c>
      <c r="BC958" s="272">
        <f t="shared" si="1191"/>
        <v>0</v>
      </c>
      <c r="BD958" s="272">
        <f t="shared" si="1191"/>
        <v>0</v>
      </c>
      <c r="BE958" s="272">
        <f t="shared" si="1191"/>
        <v>0</v>
      </c>
      <c r="BF958" s="272">
        <f t="shared" si="1191"/>
        <v>0</v>
      </c>
      <c r="BG958" s="272">
        <f t="shared" si="1191"/>
        <v>0</v>
      </c>
      <c r="BH958" s="272">
        <f t="shared" si="1191"/>
        <v>0</v>
      </c>
      <c r="BI958" s="272">
        <f t="shared" si="1191"/>
        <v>0</v>
      </c>
      <c r="BJ958" s="272">
        <f t="shared" si="1191"/>
        <v>0</v>
      </c>
      <c r="BK958" s="272">
        <f t="shared" si="1191"/>
        <v>0</v>
      </c>
      <c r="BL958" s="272">
        <f t="shared" si="1191"/>
        <v>0</v>
      </c>
      <c r="BM958" s="272">
        <f t="shared" si="1191"/>
        <v>0</v>
      </c>
      <c r="BN958" s="324">
        <f t="shared" si="1191"/>
        <v>0</v>
      </c>
    </row>
    <row r="959" spans="32:66" ht="20.100000000000001" customHeight="1">
      <c r="AF959" s="1492"/>
      <c r="AG959" s="389" t="s">
        <v>1564</v>
      </c>
      <c r="AH959" s="1497" t="s">
        <v>1570</v>
      </c>
      <c r="AI959" s="1498"/>
      <c r="AJ959" s="1499"/>
      <c r="AK959" s="345">
        <v>0</v>
      </c>
      <c r="AL959" s="272">
        <f t="shared" ref="AL959:BN959" si="1192">IF($A$115=1,-AL667,0)</f>
        <v>0</v>
      </c>
      <c r="AM959" s="272">
        <f t="shared" si="1192"/>
        <v>0</v>
      </c>
      <c r="AN959" s="272">
        <f t="shared" si="1192"/>
        <v>0</v>
      </c>
      <c r="AO959" s="272">
        <f t="shared" si="1192"/>
        <v>0</v>
      </c>
      <c r="AP959" s="272">
        <f t="shared" si="1192"/>
        <v>0</v>
      </c>
      <c r="AQ959" s="272">
        <f t="shared" si="1192"/>
        <v>0</v>
      </c>
      <c r="AR959" s="272">
        <f t="shared" si="1192"/>
        <v>0</v>
      </c>
      <c r="AS959" s="272">
        <f t="shared" si="1192"/>
        <v>0</v>
      </c>
      <c r="AT959" s="272">
        <f t="shared" si="1192"/>
        <v>0</v>
      </c>
      <c r="AU959" s="272">
        <f t="shared" si="1192"/>
        <v>0</v>
      </c>
      <c r="AV959" s="272">
        <f t="shared" si="1192"/>
        <v>0</v>
      </c>
      <c r="AW959" s="272">
        <f t="shared" si="1192"/>
        <v>0</v>
      </c>
      <c r="AX959" s="272">
        <f t="shared" si="1192"/>
        <v>0</v>
      </c>
      <c r="AY959" s="272">
        <f t="shared" si="1192"/>
        <v>0</v>
      </c>
      <c r="AZ959" s="272">
        <f t="shared" si="1192"/>
        <v>0</v>
      </c>
      <c r="BA959" s="272">
        <f t="shared" si="1192"/>
        <v>0</v>
      </c>
      <c r="BB959" s="272">
        <f t="shared" si="1192"/>
        <v>0</v>
      </c>
      <c r="BC959" s="272">
        <f t="shared" si="1192"/>
        <v>0</v>
      </c>
      <c r="BD959" s="272">
        <f t="shared" si="1192"/>
        <v>0</v>
      </c>
      <c r="BE959" s="272">
        <f t="shared" si="1192"/>
        <v>0</v>
      </c>
      <c r="BF959" s="272">
        <f t="shared" si="1192"/>
        <v>0</v>
      </c>
      <c r="BG959" s="272">
        <f t="shared" si="1192"/>
        <v>0</v>
      </c>
      <c r="BH959" s="272">
        <f t="shared" si="1192"/>
        <v>0</v>
      </c>
      <c r="BI959" s="272">
        <f t="shared" si="1192"/>
        <v>0</v>
      </c>
      <c r="BJ959" s="272">
        <f t="shared" si="1192"/>
        <v>0</v>
      </c>
      <c r="BK959" s="272">
        <f t="shared" si="1192"/>
        <v>0</v>
      </c>
      <c r="BL959" s="272">
        <f t="shared" si="1192"/>
        <v>0</v>
      </c>
      <c r="BM959" s="272">
        <f t="shared" si="1192"/>
        <v>0</v>
      </c>
      <c r="BN959" s="324">
        <f t="shared" si="1192"/>
        <v>0</v>
      </c>
    </row>
    <row r="960" spans="32:66" ht="20.100000000000001" customHeight="1">
      <c r="AF960" s="1492"/>
      <c r="AG960" s="389" t="s">
        <v>1564</v>
      </c>
      <c r="AH960" s="1497" t="s">
        <v>1571</v>
      </c>
      <c r="AI960" s="1498"/>
      <c r="AJ960" s="1499"/>
      <c r="AK960" s="345">
        <v>0</v>
      </c>
      <c r="AL960" s="272">
        <f t="shared" ref="AL960:BN960" si="1193">IF($A$116=1,-AL678,0)</f>
        <v>0</v>
      </c>
      <c r="AM960" s="272">
        <f t="shared" si="1193"/>
        <v>0</v>
      </c>
      <c r="AN960" s="272">
        <f t="shared" si="1193"/>
        <v>0</v>
      </c>
      <c r="AO960" s="272">
        <f t="shared" si="1193"/>
        <v>0</v>
      </c>
      <c r="AP960" s="272">
        <f t="shared" si="1193"/>
        <v>0</v>
      </c>
      <c r="AQ960" s="272">
        <f t="shared" si="1193"/>
        <v>0</v>
      </c>
      <c r="AR960" s="272">
        <f t="shared" si="1193"/>
        <v>0</v>
      </c>
      <c r="AS960" s="272">
        <f t="shared" si="1193"/>
        <v>0</v>
      </c>
      <c r="AT960" s="272">
        <f t="shared" si="1193"/>
        <v>0</v>
      </c>
      <c r="AU960" s="272">
        <f t="shared" si="1193"/>
        <v>0</v>
      </c>
      <c r="AV960" s="272">
        <f t="shared" si="1193"/>
        <v>0</v>
      </c>
      <c r="AW960" s="272">
        <f t="shared" si="1193"/>
        <v>0</v>
      </c>
      <c r="AX960" s="272">
        <f t="shared" si="1193"/>
        <v>0</v>
      </c>
      <c r="AY960" s="272">
        <f t="shared" si="1193"/>
        <v>0</v>
      </c>
      <c r="AZ960" s="272">
        <f t="shared" si="1193"/>
        <v>0</v>
      </c>
      <c r="BA960" s="272">
        <f t="shared" si="1193"/>
        <v>0</v>
      </c>
      <c r="BB960" s="272">
        <f t="shared" si="1193"/>
        <v>0</v>
      </c>
      <c r="BC960" s="272">
        <f t="shared" si="1193"/>
        <v>0</v>
      </c>
      <c r="BD960" s="272">
        <f t="shared" si="1193"/>
        <v>0</v>
      </c>
      <c r="BE960" s="272">
        <f t="shared" si="1193"/>
        <v>0</v>
      </c>
      <c r="BF960" s="272">
        <f t="shared" si="1193"/>
        <v>0</v>
      </c>
      <c r="BG960" s="272">
        <f t="shared" si="1193"/>
        <v>0</v>
      </c>
      <c r="BH960" s="272">
        <f t="shared" si="1193"/>
        <v>0</v>
      </c>
      <c r="BI960" s="272">
        <f t="shared" si="1193"/>
        <v>0</v>
      </c>
      <c r="BJ960" s="272">
        <f t="shared" si="1193"/>
        <v>0</v>
      </c>
      <c r="BK960" s="272">
        <f t="shared" si="1193"/>
        <v>0</v>
      </c>
      <c r="BL960" s="272">
        <f t="shared" si="1193"/>
        <v>0</v>
      </c>
      <c r="BM960" s="272">
        <f t="shared" si="1193"/>
        <v>0</v>
      </c>
      <c r="BN960" s="324">
        <f t="shared" si="1193"/>
        <v>0</v>
      </c>
    </row>
    <row r="961" spans="32:66" ht="20.100000000000001" customHeight="1">
      <c r="AF961" s="1492"/>
      <c r="AG961" s="389" t="s">
        <v>1564</v>
      </c>
      <c r="AH961" s="1497" t="s">
        <v>1572</v>
      </c>
      <c r="AI961" s="1498"/>
      <c r="AJ961" s="1499"/>
      <c r="AK961" s="345">
        <v>0</v>
      </c>
      <c r="AL961" s="272">
        <f>IF($A$117=1,-AL728,0)</f>
        <v>0</v>
      </c>
      <c r="AM961" s="272">
        <f t="shared" ref="AM961:BN961" si="1194">IF($A$117=1,-AM728,0)</f>
        <v>0</v>
      </c>
      <c r="AN961" s="272">
        <f t="shared" si="1194"/>
        <v>0</v>
      </c>
      <c r="AO961" s="272">
        <f t="shared" si="1194"/>
        <v>0</v>
      </c>
      <c r="AP961" s="272">
        <f t="shared" si="1194"/>
        <v>0</v>
      </c>
      <c r="AQ961" s="272">
        <f t="shared" si="1194"/>
        <v>0</v>
      </c>
      <c r="AR961" s="272">
        <f t="shared" si="1194"/>
        <v>0</v>
      </c>
      <c r="AS961" s="272">
        <f t="shared" si="1194"/>
        <v>0</v>
      </c>
      <c r="AT961" s="272">
        <f t="shared" si="1194"/>
        <v>0</v>
      </c>
      <c r="AU961" s="272">
        <f t="shared" si="1194"/>
        <v>0</v>
      </c>
      <c r="AV961" s="272">
        <f t="shared" si="1194"/>
        <v>0</v>
      </c>
      <c r="AW961" s="272">
        <f t="shared" si="1194"/>
        <v>0</v>
      </c>
      <c r="AX961" s="272">
        <f t="shared" si="1194"/>
        <v>0</v>
      </c>
      <c r="AY961" s="272">
        <f t="shared" si="1194"/>
        <v>0</v>
      </c>
      <c r="AZ961" s="272">
        <f t="shared" si="1194"/>
        <v>0</v>
      </c>
      <c r="BA961" s="272">
        <f t="shared" si="1194"/>
        <v>0</v>
      </c>
      <c r="BB961" s="272">
        <f t="shared" si="1194"/>
        <v>0</v>
      </c>
      <c r="BC961" s="272">
        <f t="shared" si="1194"/>
        <v>0</v>
      </c>
      <c r="BD961" s="272">
        <f t="shared" si="1194"/>
        <v>0</v>
      </c>
      <c r="BE961" s="272">
        <f t="shared" si="1194"/>
        <v>0</v>
      </c>
      <c r="BF961" s="272">
        <f t="shared" si="1194"/>
        <v>0</v>
      </c>
      <c r="BG961" s="272">
        <f t="shared" si="1194"/>
        <v>0</v>
      </c>
      <c r="BH961" s="272">
        <f t="shared" si="1194"/>
        <v>0</v>
      </c>
      <c r="BI961" s="272">
        <f t="shared" si="1194"/>
        <v>0</v>
      </c>
      <c r="BJ961" s="272">
        <f t="shared" si="1194"/>
        <v>0</v>
      </c>
      <c r="BK961" s="272">
        <f t="shared" si="1194"/>
        <v>0</v>
      </c>
      <c r="BL961" s="272">
        <f t="shared" si="1194"/>
        <v>0</v>
      </c>
      <c r="BM961" s="272">
        <f t="shared" si="1194"/>
        <v>0</v>
      </c>
      <c r="BN961" s="324">
        <f t="shared" si="1194"/>
        <v>0</v>
      </c>
    </row>
    <row r="962" spans="32:66" ht="20.100000000000001" customHeight="1">
      <c r="AF962" s="1492"/>
      <c r="AG962" s="389" t="s">
        <v>1564</v>
      </c>
      <c r="AH962" s="1497" t="s">
        <v>1573</v>
      </c>
      <c r="AI962" s="1498"/>
      <c r="AJ962" s="1499"/>
      <c r="AK962" s="345">
        <v>0</v>
      </c>
      <c r="AL962" s="272">
        <f>IF($A$118=1,-AL739,0)</f>
        <v>0</v>
      </c>
      <c r="AM962" s="272">
        <f t="shared" ref="AM962:BN962" si="1195">IF($A$118=1,-AM739,0)</f>
        <v>0</v>
      </c>
      <c r="AN962" s="272">
        <f t="shared" si="1195"/>
        <v>0</v>
      </c>
      <c r="AO962" s="272">
        <f t="shared" si="1195"/>
        <v>0</v>
      </c>
      <c r="AP962" s="272">
        <f t="shared" si="1195"/>
        <v>0</v>
      </c>
      <c r="AQ962" s="272">
        <f t="shared" si="1195"/>
        <v>0</v>
      </c>
      <c r="AR962" s="272">
        <f t="shared" si="1195"/>
        <v>0</v>
      </c>
      <c r="AS962" s="272">
        <f t="shared" si="1195"/>
        <v>0</v>
      </c>
      <c r="AT962" s="272">
        <f t="shared" si="1195"/>
        <v>0</v>
      </c>
      <c r="AU962" s="272">
        <f t="shared" si="1195"/>
        <v>0</v>
      </c>
      <c r="AV962" s="272">
        <f t="shared" si="1195"/>
        <v>0</v>
      </c>
      <c r="AW962" s="272">
        <f t="shared" si="1195"/>
        <v>0</v>
      </c>
      <c r="AX962" s="272">
        <f t="shared" si="1195"/>
        <v>0</v>
      </c>
      <c r="AY962" s="272">
        <f t="shared" si="1195"/>
        <v>0</v>
      </c>
      <c r="AZ962" s="272">
        <f t="shared" si="1195"/>
        <v>0</v>
      </c>
      <c r="BA962" s="272">
        <f t="shared" si="1195"/>
        <v>0</v>
      </c>
      <c r="BB962" s="272">
        <f t="shared" si="1195"/>
        <v>0</v>
      </c>
      <c r="BC962" s="272">
        <f t="shared" si="1195"/>
        <v>0</v>
      </c>
      <c r="BD962" s="272">
        <f t="shared" si="1195"/>
        <v>0</v>
      </c>
      <c r="BE962" s="272">
        <f t="shared" si="1195"/>
        <v>0</v>
      </c>
      <c r="BF962" s="272">
        <f t="shared" si="1195"/>
        <v>0</v>
      </c>
      <c r="BG962" s="272">
        <f t="shared" si="1195"/>
        <v>0</v>
      </c>
      <c r="BH962" s="272">
        <f t="shared" si="1195"/>
        <v>0</v>
      </c>
      <c r="BI962" s="272">
        <f t="shared" si="1195"/>
        <v>0</v>
      </c>
      <c r="BJ962" s="272">
        <f t="shared" si="1195"/>
        <v>0</v>
      </c>
      <c r="BK962" s="272">
        <f t="shared" si="1195"/>
        <v>0</v>
      </c>
      <c r="BL962" s="272">
        <f t="shared" si="1195"/>
        <v>0</v>
      </c>
      <c r="BM962" s="272">
        <f t="shared" si="1195"/>
        <v>0</v>
      </c>
      <c r="BN962" s="324">
        <f t="shared" si="1195"/>
        <v>0</v>
      </c>
    </row>
    <row r="963" spans="32:66" ht="20.100000000000001" customHeight="1">
      <c r="AF963" s="1492"/>
      <c r="AG963" s="389" t="s">
        <v>1564</v>
      </c>
      <c r="AH963" s="1497" t="s">
        <v>1574</v>
      </c>
      <c r="AI963" s="1498"/>
      <c r="AJ963" s="1499"/>
      <c r="AK963" s="345">
        <v>0</v>
      </c>
      <c r="AL963" s="272">
        <f>IF($A$119=1,-AL750,0)</f>
        <v>0</v>
      </c>
      <c r="AM963" s="272">
        <f t="shared" ref="AM963:BN963" si="1196">IF($A$119=1,-AM750,0)</f>
        <v>0</v>
      </c>
      <c r="AN963" s="272">
        <f t="shared" si="1196"/>
        <v>0</v>
      </c>
      <c r="AO963" s="272">
        <f t="shared" si="1196"/>
        <v>0</v>
      </c>
      <c r="AP963" s="272">
        <f t="shared" si="1196"/>
        <v>0</v>
      </c>
      <c r="AQ963" s="272">
        <f t="shared" si="1196"/>
        <v>0</v>
      </c>
      <c r="AR963" s="272">
        <f t="shared" si="1196"/>
        <v>0</v>
      </c>
      <c r="AS963" s="272">
        <f t="shared" si="1196"/>
        <v>0</v>
      </c>
      <c r="AT963" s="272">
        <f t="shared" si="1196"/>
        <v>0</v>
      </c>
      <c r="AU963" s="272">
        <f t="shared" si="1196"/>
        <v>0</v>
      </c>
      <c r="AV963" s="272">
        <f t="shared" si="1196"/>
        <v>0</v>
      </c>
      <c r="AW963" s="272">
        <f t="shared" si="1196"/>
        <v>0</v>
      </c>
      <c r="AX963" s="272">
        <f t="shared" si="1196"/>
        <v>0</v>
      </c>
      <c r="AY963" s="272">
        <f t="shared" si="1196"/>
        <v>0</v>
      </c>
      <c r="AZ963" s="272">
        <f t="shared" si="1196"/>
        <v>0</v>
      </c>
      <c r="BA963" s="272">
        <f t="shared" si="1196"/>
        <v>0</v>
      </c>
      <c r="BB963" s="272">
        <f t="shared" si="1196"/>
        <v>0</v>
      </c>
      <c r="BC963" s="272">
        <f t="shared" si="1196"/>
        <v>0</v>
      </c>
      <c r="BD963" s="272">
        <f t="shared" si="1196"/>
        <v>0</v>
      </c>
      <c r="BE963" s="272">
        <f t="shared" si="1196"/>
        <v>0</v>
      </c>
      <c r="BF963" s="272">
        <f t="shared" si="1196"/>
        <v>0</v>
      </c>
      <c r="BG963" s="272">
        <f t="shared" si="1196"/>
        <v>0</v>
      </c>
      <c r="BH963" s="272">
        <f t="shared" si="1196"/>
        <v>0</v>
      </c>
      <c r="BI963" s="272">
        <f t="shared" si="1196"/>
        <v>0</v>
      </c>
      <c r="BJ963" s="272">
        <f t="shared" si="1196"/>
        <v>0</v>
      </c>
      <c r="BK963" s="272">
        <f t="shared" si="1196"/>
        <v>0</v>
      </c>
      <c r="BL963" s="272">
        <f t="shared" si="1196"/>
        <v>0</v>
      </c>
      <c r="BM963" s="272">
        <f t="shared" si="1196"/>
        <v>0</v>
      </c>
      <c r="BN963" s="324">
        <f t="shared" si="1196"/>
        <v>0</v>
      </c>
    </row>
    <row r="964" spans="32:66" ht="20.100000000000001" customHeight="1">
      <c r="AF964" s="1492"/>
      <c r="AG964" s="389" t="s">
        <v>1565</v>
      </c>
      <c r="AH964" s="1497" t="s">
        <v>1575</v>
      </c>
      <c r="AI964" s="1498"/>
      <c r="AJ964" s="1499"/>
      <c r="AK964" s="345">
        <v>0</v>
      </c>
      <c r="AL964" s="272">
        <f>IF($A$135=1,-AL829,0)</f>
        <v>0</v>
      </c>
      <c r="AM964" s="272">
        <f t="shared" ref="AM964:BN964" si="1197">IF($A$135=1,-AM829,0)</f>
        <v>0</v>
      </c>
      <c r="AN964" s="272">
        <f t="shared" si="1197"/>
        <v>0</v>
      </c>
      <c r="AO964" s="272">
        <f t="shared" si="1197"/>
        <v>0</v>
      </c>
      <c r="AP964" s="272">
        <f t="shared" si="1197"/>
        <v>0</v>
      </c>
      <c r="AQ964" s="272">
        <f t="shared" si="1197"/>
        <v>0</v>
      </c>
      <c r="AR964" s="272">
        <f t="shared" si="1197"/>
        <v>0</v>
      </c>
      <c r="AS964" s="272">
        <f t="shared" si="1197"/>
        <v>0</v>
      </c>
      <c r="AT964" s="272">
        <f t="shared" si="1197"/>
        <v>0</v>
      </c>
      <c r="AU964" s="272">
        <f t="shared" si="1197"/>
        <v>0</v>
      </c>
      <c r="AV964" s="272">
        <f t="shared" si="1197"/>
        <v>0</v>
      </c>
      <c r="AW964" s="272">
        <f t="shared" si="1197"/>
        <v>0</v>
      </c>
      <c r="AX964" s="272">
        <f t="shared" si="1197"/>
        <v>0</v>
      </c>
      <c r="AY964" s="272">
        <f t="shared" si="1197"/>
        <v>0</v>
      </c>
      <c r="AZ964" s="272">
        <f t="shared" si="1197"/>
        <v>0</v>
      </c>
      <c r="BA964" s="272">
        <f t="shared" si="1197"/>
        <v>0</v>
      </c>
      <c r="BB964" s="272">
        <f t="shared" si="1197"/>
        <v>0</v>
      </c>
      <c r="BC964" s="272">
        <f t="shared" si="1197"/>
        <v>0</v>
      </c>
      <c r="BD964" s="272">
        <f t="shared" si="1197"/>
        <v>0</v>
      </c>
      <c r="BE964" s="272">
        <f t="shared" si="1197"/>
        <v>0</v>
      </c>
      <c r="BF964" s="272">
        <f t="shared" si="1197"/>
        <v>0</v>
      </c>
      <c r="BG964" s="272">
        <f t="shared" si="1197"/>
        <v>0</v>
      </c>
      <c r="BH964" s="272">
        <f t="shared" si="1197"/>
        <v>0</v>
      </c>
      <c r="BI964" s="272">
        <f t="shared" si="1197"/>
        <v>0</v>
      </c>
      <c r="BJ964" s="272">
        <f t="shared" si="1197"/>
        <v>0</v>
      </c>
      <c r="BK964" s="272">
        <f t="shared" si="1197"/>
        <v>0</v>
      </c>
      <c r="BL964" s="272">
        <f t="shared" si="1197"/>
        <v>0</v>
      </c>
      <c r="BM964" s="272">
        <f t="shared" si="1197"/>
        <v>0</v>
      </c>
      <c r="BN964" s="324">
        <f t="shared" si="1197"/>
        <v>0</v>
      </c>
    </row>
    <row r="965" spans="32:66" ht="20.100000000000001" customHeight="1">
      <c r="AF965" s="1492"/>
      <c r="AG965" s="389" t="s">
        <v>1565</v>
      </c>
      <c r="AH965" s="1497" t="s">
        <v>1576</v>
      </c>
      <c r="AI965" s="1498"/>
      <c r="AJ965" s="1499"/>
      <c r="AK965" s="345">
        <v>0</v>
      </c>
      <c r="AL965" s="272">
        <f>IF($A$136=1,-AL840,0)</f>
        <v>0</v>
      </c>
      <c r="AM965" s="272">
        <f t="shared" ref="AM965:BN965" si="1198">IF($A$136=1,-AM840,0)</f>
        <v>0</v>
      </c>
      <c r="AN965" s="272">
        <f t="shared" si="1198"/>
        <v>0</v>
      </c>
      <c r="AO965" s="272">
        <f t="shared" si="1198"/>
        <v>0</v>
      </c>
      <c r="AP965" s="272">
        <f t="shared" si="1198"/>
        <v>0</v>
      </c>
      <c r="AQ965" s="272">
        <f t="shared" si="1198"/>
        <v>0</v>
      </c>
      <c r="AR965" s="272">
        <f t="shared" si="1198"/>
        <v>0</v>
      </c>
      <c r="AS965" s="272">
        <f t="shared" si="1198"/>
        <v>0</v>
      </c>
      <c r="AT965" s="272">
        <f t="shared" si="1198"/>
        <v>0</v>
      </c>
      <c r="AU965" s="272">
        <f t="shared" si="1198"/>
        <v>0</v>
      </c>
      <c r="AV965" s="272">
        <f t="shared" si="1198"/>
        <v>0</v>
      </c>
      <c r="AW965" s="272">
        <f t="shared" si="1198"/>
        <v>0</v>
      </c>
      <c r="AX965" s="272">
        <f t="shared" si="1198"/>
        <v>0</v>
      </c>
      <c r="AY965" s="272">
        <f t="shared" si="1198"/>
        <v>0</v>
      </c>
      <c r="AZ965" s="272">
        <f t="shared" si="1198"/>
        <v>0</v>
      </c>
      <c r="BA965" s="272">
        <f t="shared" si="1198"/>
        <v>0</v>
      </c>
      <c r="BB965" s="272">
        <f t="shared" si="1198"/>
        <v>0</v>
      </c>
      <c r="BC965" s="272">
        <f t="shared" si="1198"/>
        <v>0</v>
      </c>
      <c r="BD965" s="272">
        <f t="shared" si="1198"/>
        <v>0</v>
      </c>
      <c r="BE965" s="272">
        <f t="shared" si="1198"/>
        <v>0</v>
      </c>
      <c r="BF965" s="272">
        <f t="shared" si="1198"/>
        <v>0</v>
      </c>
      <c r="BG965" s="272">
        <f t="shared" si="1198"/>
        <v>0</v>
      </c>
      <c r="BH965" s="272">
        <f t="shared" si="1198"/>
        <v>0</v>
      </c>
      <c r="BI965" s="272">
        <f t="shared" si="1198"/>
        <v>0</v>
      </c>
      <c r="BJ965" s="272">
        <f t="shared" si="1198"/>
        <v>0</v>
      </c>
      <c r="BK965" s="272">
        <f t="shared" si="1198"/>
        <v>0</v>
      </c>
      <c r="BL965" s="272">
        <f t="shared" si="1198"/>
        <v>0</v>
      </c>
      <c r="BM965" s="272">
        <f t="shared" si="1198"/>
        <v>0</v>
      </c>
      <c r="BN965" s="324">
        <f t="shared" si="1198"/>
        <v>0</v>
      </c>
    </row>
    <row r="966" spans="32:66" ht="20.100000000000001" customHeight="1">
      <c r="AF966" s="1492"/>
      <c r="AG966" s="389" t="s">
        <v>1565</v>
      </c>
      <c r="AH966" s="1497" t="s">
        <v>1577</v>
      </c>
      <c r="AI966" s="1498"/>
      <c r="AJ966" s="1499"/>
      <c r="AK966" s="345">
        <v>0</v>
      </c>
      <c r="AL966" s="272">
        <f>IF($A$137=1,-AL851,0)</f>
        <v>0</v>
      </c>
      <c r="AM966" s="272">
        <f t="shared" ref="AM966:BN966" si="1199">IF($A$137=1,-AM851,0)</f>
        <v>0</v>
      </c>
      <c r="AN966" s="272">
        <f t="shared" si="1199"/>
        <v>0</v>
      </c>
      <c r="AO966" s="272">
        <f t="shared" si="1199"/>
        <v>0</v>
      </c>
      <c r="AP966" s="272">
        <f t="shared" si="1199"/>
        <v>0</v>
      </c>
      <c r="AQ966" s="272">
        <f t="shared" si="1199"/>
        <v>0</v>
      </c>
      <c r="AR966" s="272">
        <f t="shared" si="1199"/>
        <v>0</v>
      </c>
      <c r="AS966" s="272">
        <f t="shared" si="1199"/>
        <v>0</v>
      </c>
      <c r="AT966" s="272">
        <f t="shared" si="1199"/>
        <v>0</v>
      </c>
      <c r="AU966" s="272">
        <f t="shared" si="1199"/>
        <v>0</v>
      </c>
      <c r="AV966" s="272">
        <f t="shared" si="1199"/>
        <v>0</v>
      </c>
      <c r="AW966" s="272">
        <f t="shared" si="1199"/>
        <v>0</v>
      </c>
      <c r="AX966" s="272">
        <f t="shared" si="1199"/>
        <v>0</v>
      </c>
      <c r="AY966" s="272">
        <f t="shared" si="1199"/>
        <v>0</v>
      </c>
      <c r="AZ966" s="272">
        <f t="shared" si="1199"/>
        <v>0</v>
      </c>
      <c r="BA966" s="272">
        <f t="shared" si="1199"/>
        <v>0</v>
      </c>
      <c r="BB966" s="272">
        <f t="shared" si="1199"/>
        <v>0</v>
      </c>
      <c r="BC966" s="272">
        <f t="shared" si="1199"/>
        <v>0</v>
      </c>
      <c r="BD966" s="272">
        <f t="shared" si="1199"/>
        <v>0</v>
      </c>
      <c r="BE966" s="272">
        <f t="shared" si="1199"/>
        <v>0</v>
      </c>
      <c r="BF966" s="272">
        <f t="shared" si="1199"/>
        <v>0</v>
      </c>
      <c r="BG966" s="272">
        <f t="shared" si="1199"/>
        <v>0</v>
      </c>
      <c r="BH966" s="272">
        <f t="shared" si="1199"/>
        <v>0</v>
      </c>
      <c r="BI966" s="272">
        <f t="shared" si="1199"/>
        <v>0</v>
      </c>
      <c r="BJ966" s="272">
        <f t="shared" si="1199"/>
        <v>0</v>
      </c>
      <c r="BK966" s="272">
        <f t="shared" si="1199"/>
        <v>0</v>
      </c>
      <c r="BL966" s="272">
        <f t="shared" si="1199"/>
        <v>0</v>
      </c>
      <c r="BM966" s="272">
        <f t="shared" si="1199"/>
        <v>0</v>
      </c>
      <c r="BN966" s="324">
        <f t="shared" si="1199"/>
        <v>0</v>
      </c>
    </row>
    <row r="967" spans="32:66" ht="20.100000000000001" customHeight="1">
      <c r="AF967" s="1492"/>
      <c r="AG967" s="389" t="s">
        <v>1565</v>
      </c>
      <c r="AH967" s="1497" t="s">
        <v>1578</v>
      </c>
      <c r="AI967" s="1498"/>
      <c r="AJ967" s="1499"/>
      <c r="AK967" s="345">
        <v>0</v>
      </c>
      <c r="AL967" s="272">
        <f>IF($A$138=1,-AL862,0)</f>
        <v>0</v>
      </c>
      <c r="AM967" s="272">
        <f t="shared" ref="AM967:BN967" si="1200">IF($A$138=1,-AM862,0)</f>
        <v>0</v>
      </c>
      <c r="AN967" s="272">
        <f t="shared" si="1200"/>
        <v>0</v>
      </c>
      <c r="AO967" s="272">
        <f t="shared" si="1200"/>
        <v>0</v>
      </c>
      <c r="AP967" s="272">
        <f t="shared" si="1200"/>
        <v>0</v>
      </c>
      <c r="AQ967" s="272">
        <f t="shared" si="1200"/>
        <v>0</v>
      </c>
      <c r="AR967" s="272">
        <f t="shared" si="1200"/>
        <v>0</v>
      </c>
      <c r="AS967" s="272">
        <f t="shared" si="1200"/>
        <v>0</v>
      </c>
      <c r="AT967" s="272">
        <f t="shared" si="1200"/>
        <v>0</v>
      </c>
      <c r="AU967" s="272">
        <f t="shared" si="1200"/>
        <v>0</v>
      </c>
      <c r="AV967" s="272">
        <f t="shared" si="1200"/>
        <v>0</v>
      </c>
      <c r="AW967" s="272">
        <f t="shared" si="1200"/>
        <v>0</v>
      </c>
      <c r="AX967" s="272">
        <f t="shared" si="1200"/>
        <v>0</v>
      </c>
      <c r="AY967" s="272">
        <f t="shared" si="1200"/>
        <v>0</v>
      </c>
      <c r="AZ967" s="272">
        <f t="shared" si="1200"/>
        <v>0</v>
      </c>
      <c r="BA967" s="272">
        <f t="shared" si="1200"/>
        <v>0</v>
      </c>
      <c r="BB967" s="272">
        <f t="shared" si="1200"/>
        <v>0</v>
      </c>
      <c r="BC967" s="272">
        <f t="shared" si="1200"/>
        <v>0</v>
      </c>
      <c r="BD967" s="272">
        <f t="shared" si="1200"/>
        <v>0</v>
      </c>
      <c r="BE967" s="272">
        <f t="shared" si="1200"/>
        <v>0</v>
      </c>
      <c r="BF967" s="272">
        <f t="shared" si="1200"/>
        <v>0</v>
      </c>
      <c r="BG967" s="272">
        <f t="shared" si="1200"/>
        <v>0</v>
      </c>
      <c r="BH967" s="272">
        <f t="shared" si="1200"/>
        <v>0</v>
      </c>
      <c r="BI967" s="272">
        <f t="shared" si="1200"/>
        <v>0</v>
      </c>
      <c r="BJ967" s="272">
        <f t="shared" si="1200"/>
        <v>0</v>
      </c>
      <c r="BK967" s="272">
        <f t="shared" si="1200"/>
        <v>0</v>
      </c>
      <c r="BL967" s="272">
        <f t="shared" si="1200"/>
        <v>0</v>
      </c>
      <c r="BM967" s="272">
        <f t="shared" si="1200"/>
        <v>0</v>
      </c>
      <c r="BN967" s="324">
        <f t="shared" si="1200"/>
        <v>0</v>
      </c>
    </row>
    <row r="968" spans="32:66" ht="20.100000000000001" customHeight="1">
      <c r="AF968" s="1492"/>
      <c r="AG968" s="389" t="s">
        <v>1565</v>
      </c>
      <c r="AH968" s="1497" t="s">
        <v>1579</v>
      </c>
      <c r="AI968" s="1498"/>
      <c r="AJ968" s="1499"/>
      <c r="AK968" s="345">
        <v>0</v>
      </c>
      <c r="AL968" s="272">
        <f>IF($A$139=1,-AL873,0)</f>
        <v>0</v>
      </c>
      <c r="AM968" s="272">
        <f t="shared" ref="AM968:BN968" si="1201">IF($A$139=1,-AM873,0)</f>
        <v>0</v>
      </c>
      <c r="AN968" s="272">
        <f t="shared" si="1201"/>
        <v>0</v>
      </c>
      <c r="AO968" s="272">
        <f t="shared" si="1201"/>
        <v>0</v>
      </c>
      <c r="AP968" s="272">
        <f t="shared" si="1201"/>
        <v>0</v>
      </c>
      <c r="AQ968" s="272">
        <f t="shared" si="1201"/>
        <v>0</v>
      </c>
      <c r="AR968" s="272">
        <f t="shared" si="1201"/>
        <v>0</v>
      </c>
      <c r="AS968" s="272">
        <f t="shared" si="1201"/>
        <v>0</v>
      </c>
      <c r="AT968" s="272">
        <f t="shared" si="1201"/>
        <v>0</v>
      </c>
      <c r="AU968" s="272">
        <f t="shared" si="1201"/>
        <v>0</v>
      </c>
      <c r="AV968" s="272">
        <f t="shared" si="1201"/>
        <v>0</v>
      </c>
      <c r="AW968" s="272">
        <f t="shared" si="1201"/>
        <v>0</v>
      </c>
      <c r="AX968" s="272">
        <f t="shared" si="1201"/>
        <v>0</v>
      </c>
      <c r="AY968" s="272">
        <f t="shared" si="1201"/>
        <v>0</v>
      </c>
      <c r="AZ968" s="272">
        <f t="shared" si="1201"/>
        <v>0</v>
      </c>
      <c r="BA968" s="272">
        <f t="shared" si="1201"/>
        <v>0</v>
      </c>
      <c r="BB968" s="272">
        <f t="shared" si="1201"/>
        <v>0</v>
      </c>
      <c r="BC968" s="272">
        <f t="shared" si="1201"/>
        <v>0</v>
      </c>
      <c r="BD968" s="272">
        <f t="shared" si="1201"/>
        <v>0</v>
      </c>
      <c r="BE968" s="272">
        <f t="shared" si="1201"/>
        <v>0</v>
      </c>
      <c r="BF968" s="272">
        <f t="shared" si="1201"/>
        <v>0</v>
      </c>
      <c r="BG968" s="272">
        <f t="shared" si="1201"/>
        <v>0</v>
      </c>
      <c r="BH968" s="272">
        <f t="shared" si="1201"/>
        <v>0</v>
      </c>
      <c r="BI968" s="272">
        <f t="shared" si="1201"/>
        <v>0</v>
      </c>
      <c r="BJ968" s="272">
        <f t="shared" si="1201"/>
        <v>0</v>
      </c>
      <c r="BK968" s="272">
        <f t="shared" si="1201"/>
        <v>0</v>
      </c>
      <c r="BL968" s="272">
        <f t="shared" si="1201"/>
        <v>0</v>
      </c>
      <c r="BM968" s="272">
        <f t="shared" si="1201"/>
        <v>0</v>
      </c>
      <c r="BN968" s="324">
        <f t="shared" si="1201"/>
        <v>0</v>
      </c>
    </row>
    <row r="969" spans="32:66" ht="20.100000000000001" customHeight="1">
      <c r="AF969" s="1492"/>
      <c r="AG969" s="389" t="s">
        <v>1565</v>
      </c>
      <c r="AH969" s="1497" t="s">
        <v>1580</v>
      </c>
      <c r="AI969" s="1498"/>
      <c r="AJ969" s="1499"/>
      <c r="AK969" s="345">
        <v>0</v>
      </c>
      <c r="AL969" s="272">
        <f>IF($A$140=1,-AL884,0)</f>
        <v>0</v>
      </c>
      <c r="AM969" s="272">
        <f t="shared" ref="AM969:BN969" si="1202">IF($A$140=1,-AM884,0)</f>
        <v>0</v>
      </c>
      <c r="AN969" s="272">
        <f t="shared" si="1202"/>
        <v>0</v>
      </c>
      <c r="AO969" s="272">
        <f t="shared" si="1202"/>
        <v>0</v>
      </c>
      <c r="AP969" s="272">
        <f t="shared" si="1202"/>
        <v>0</v>
      </c>
      <c r="AQ969" s="272">
        <f t="shared" si="1202"/>
        <v>0</v>
      </c>
      <c r="AR969" s="272">
        <f t="shared" si="1202"/>
        <v>0</v>
      </c>
      <c r="AS969" s="272">
        <f t="shared" si="1202"/>
        <v>0</v>
      </c>
      <c r="AT969" s="272">
        <f t="shared" si="1202"/>
        <v>0</v>
      </c>
      <c r="AU969" s="272">
        <f t="shared" si="1202"/>
        <v>0</v>
      </c>
      <c r="AV969" s="272">
        <f t="shared" si="1202"/>
        <v>0</v>
      </c>
      <c r="AW969" s="272">
        <f t="shared" si="1202"/>
        <v>0</v>
      </c>
      <c r="AX969" s="272">
        <f t="shared" si="1202"/>
        <v>0</v>
      </c>
      <c r="AY969" s="272">
        <f t="shared" si="1202"/>
        <v>0</v>
      </c>
      <c r="AZ969" s="272">
        <f t="shared" si="1202"/>
        <v>0</v>
      </c>
      <c r="BA969" s="272">
        <f t="shared" si="1202"/>
        <v>0</v>
      </c>
      <c r="BB969" s="272">
        <f t="shared" si="1202"/>
        <v>0</v>
      </c>
      <c r="BC969" s="272">
        <f t="shared" si="1202"/>
        <v>0</v>
      </c>
      <c r="BD969" s="272">
        <f t="shared" si="1202"/>
        <v>0</v>
      </c>
      <c r="BE969" s="272">
        <f t="shared" si="1202"/>
        <v>0</v>
      </c>
      <c r="BF969" s="272">
        <f t="shared" si="1202"/>
        <v>0</v>
      </c>
      <c r="BG969" s="272">
        <f t="shared" si="1202"/>
        <v>0</v>
      </c>
      <c r="BH969" s="272">
        <f t="shared" si="1202"/>
        <v>0</v>
      </c>
      <c r="BI969" s="272">
        <f t="shared" si="1202"/>
        <v>0</v>
      </c>
      <c r="BJ969" s="272">
        <f t="shared" si="1202"/>
        <v>0</v>
      </c>
      <c r="BK969" s="272">
        <f t="shared" si="1202"/>
        <v>0</v>
      </c>
      <c r="BL969" s="272">
        <f t="shared" si="1202"/>
        <v>0</v>
      </c>
      <c r="BM969" s="272">
        <f t="shared" si="1202"/>
        <v>0</v>
      </c>
      <c r="BN969" s="324">
        <f t="shared" si="1202"/>
        <v>0</v>
      </c>
    </row>
    <row r="970" spans="32:66" ht="20.100000000000001" customHeight="1">
      <c r="AF970" s="1492"/>
      <c r="AG970" s="389" t="s">
        <v>1566</v>
      </c>
      <c r="AH970" s="1497" t="s">
        <v>1581</v>
      </c>
      <c r="AI970" s="1498"/>
      <c r="AJ970" s="1499"/>
      <c r="AK970" s="345">
        <v>0</v>
      </c>
      <c r="AL970" s="272">
        <f>IF($C$135=1,AL829,0)</f>
        <v>0</v>
      </c>
      <c r="AM970" s="272">
        <f t="shared" ref="AM970:BN970" si="1203">IF($C$135=1,AM829,0)</f>
        <v>0</v>
      </c>
      <c r="AN970" s="272">
        <f t="shared" si="1203"/>
        <v>0</v>
      </c>
      <c r="AO970" s="272">
        <f t="shared" si="1203"/>
        <v>0</v>
      </c>
      <c r="AP970" s="272">
        <f t="shared" si="1203"/>
        <v>0</v>
      </c>
      <c r="AQ970" s="272">
        <f t="shared" si="1203"/>
        <v>0</v>
      </c>
      <c r="AR970" s="272">
        <f t="shared" si="1203"/>
        <v>0</v>
      </c>
      <c r="AS970" s="272">
        <f t="shared" si="1203"/>
        <v>0</v>
      </c>
      <c r="AT970" s="272">
        <f t="shared" si="1203"/>
        <v>0</v>
      </c>
      <c r="AU970" s="272">
        <f t="shared" si="1203"/>
        <v>0</v>
      </c>
      <c r="AV970" s="272">
        <f t="shared" si="1203"/>
        <v>0</v>
      </c>
      <c r="AW970" s="272">
        <f t="shared" si="1203"/>
        <v>0</v>
      </c>
      <c r="AX970" s="272">
        <f t="shared" si="1203"/>
        <v>0</v>
      </c>
      <c r="AY970" s="272">
        <f t="shared" si="1203"/>
        <v>0</v>
      </c>
      <c r="AZ970" s="272">
        <f t="shared" si="1203"/>
        <v>0</v>
      </c>
      <c r="BA970" s="272">
        <f t="shared" si="1203"/>
        <v>0</v>
      </c>
      <c r="BB970" s="272">
        <f t="shared" si="1203"/>
        <v>0</v>
      </c>
      <c r="BC970" s="272">
        <f t="shared" si="1203"/>
        <v>0</v>
      </c>
      <c r="BD970" s="272">
        <f t="shared" si="1203"/>
        <v>0</v>
      </c>
      <c r="BE970" s="272">
        <f t="shared" si="1203"/>
        <v>0</v>
      </c>
      <c r="BF970" s="272">
        <f t="shared" si="1203"/>
        <v>0</v>
      </c>
      <c r="BG970" s="272">
        <f t="shared" si="1203"/>
        <v>0</v>
      </c>
      <c r="BH970" s="272">
        <f t="shared" si="1203"/>
        <v>0</v>
      </c>
      <c r="BI970" s="272">
        <f t="shared" si="1203"/>
        <v>0</v>
      </c>
      <c r="BJ970" s="272">
        <f t="shared" si="1203"/>
        <v>0</v>
      </c>
      <c r="BK970" s="272">
        <f t="shared" si="1203"/>
        <v>0</v>
      </c>
      <c r="BL970" s="272">
        <f t="shared" si="1203"/>
        <v>0</v>
      </c>
      <c r="BM970" s="272">
        <f t="shared" si="1203"/>
        <v>0</v>
      </c>
      <c r="BN970" s="324">
        <f t="shared" si="1203"/>
        <v>0</v>
      </c>
    </row>
    <row r="971" spans="32:66" ht="20.100000000000001" customHeight="1">
      <c r="AF971" s="1492"/>
      <c r="AG971" s="389" t="s">
        <v>1566</v>
      </c>
      <c r="AH971" s="1497" t="s">
        <v>1582</v>
      </c>
      <c r="AI971" s="1498"/>
      <c r="AJ971" s="1499"/>
      <c r="AK971" s="345">
        <v>0</v>
      </c>
      <c r="AL971" s="272">
        <f>IF($C$136=1,AL840,0)</f>
        <v>0</v>
      </c>
      <c r="AM971" s="272">
        <f t="shared" ref="AM971:BN971" si="1204">IF($C$136=1,AM840,0)</f>
        <v>0</v>
      </c>
      <c r="AN971" s="272">
        <f t="shared" si="1204"/>
        <v>0</v>
      </c>
      <c r="AO971" s="272">
        <f t="shared" si="1204"/>
        <v>0</v>
      </c>
      <c r="AP971" s="272">
        <f t="shared" si="1204"/>
        <v>0</v>
      </c>
      <c r="AQ971" s="272">
        <f t="shared" si="1204"/>
        <v>0</v>
      </c>
      <c r="AR971" s="272">
        <f t="shared" si="1204"/>
        <v>0</v>
      </c>
      <c r="AS971" s="272">
        <f t="shared" si="1204"/>
        <v>0</v>
      </c>
      <c r="AT971" s="272">
        <f t="shared" si="1204"/>
        <v>0</v>
      </c>
      <c r="AU971" s="272">
        <f t="shared" si="1204"/>
        <v>0</v>
      </c>
      <c r="AV971" s="272">
        <f t="shared" si="1204"/>
        <v>0</v>
      </c>
      <c r="AW971" s="272">
        <f t="shared" si="1204"/>
        <v>0</v>
      </c>
      <c r="AX971" s="272">
        <f t="shared" si="1204"/>
        <v>0</v>
      </c>
      <c r="AY971" s="272">
        <f t="shared" si="1204"/>
        <v>0</v>
      </c>
      <c r="AZ971" s="272">
        <f t="shared" si="1204"/>
        <v>0</v>
      </c>
      <c r="BA971" s="272">
        <f t="shared" si="1204"/>
        <v>0</v>
      </c>
      <c r="BB971" s="272">
        <f t="shared" si="1204"/>
        <v>0</v>
      </c>
      <c r="BC971" s="272">
        <f t="shared" si="1204"/>
        <v>0</v>
      </c>
      <c r="BD971" s="272">
        <f t="shared" si="1204"/>
        <v>0</v>
      </c>
      <c r="BE971" s="272">
        <f t="shared" si="1204"/>
        <v>0</v>
      </c>
      <c r="BF971" s="272">
        <f t="shared" si="1204"/>
        <v>0</v>
      </c>
      <c r="BG971" s="272">
        <f t="shared" si="1204"/>
        <v>0</v>
      </c>
      <c r="BH971" s="272">
        <f t="shared" si="1204"/>
        <v>0</v>
      </c>
      <c r="BI971" s="272">
        <f t="shared" si="1204"/>
        <v>0</v>
      </c>
      <c r="BJ971" s="272">
        <f t="shared" si="1204"/>
        <v>0</v>
      </c>
      <c r="BK971" s="272">
        <f t="shared" si="1204"/>
        <v>0</v>
      </c>
      <c r="BL971" s="272">
        <f t="shared" si="1204"/>
        <v>0</v>
      </c>
      <c r="BM971" s="272">
        <f t="shared" si="1204"/>
        <v>0</v>
      </c>
      <c r="BN971" s="324">
        <f t="shared" si="1204"/>
        <v>0</v>
      </c>
    </row>
    <row r="972" spans="32:66" ht="20.100000000000001" customHeight="1">
      <c r="AF972" s="1492"/>
      <c r="AG972" s="389" t="s">
        <v>1566</v>
      </c>
      <c r="AH972" s="1497" t="s">
        <v>1583</v>
      </c>
      <c r="AI972" s="1498"/>
      <c r="AJ972" s="1499"/>
      <c r="AK972" s="345">
        <v>0</v>
      </c>
      <c r="AL972" s="272">
        <f>IF($C$137=1,AL851,0)</f>
        <v>0</v>
      </c>
      <c r="AM972" s="272">
        <f t="shared" ref="AM972:BN972" si="1205">IF($C$137=1,AM851,0)</f>
        <v>0</v>
      </c>
      <c r="AN972" s="272">
        <f t="shared" si="1205"/>
        <v>0</v>
      </c>
      <c r="AO972" s="272">
        <f t="shared" si="1205"/>
        <v>0</v>
      </c>
      <c r="AP972" s="272">
        <f t="shared" si="1205"/>
        <v>0</v>
      </c>
      <c r="AQ972" s="272">
        <f t="shared" si="1205"/>
        <v>0</v>
      </c>
      <c r="AR972" s="272">
        <f t="shared" si="1205"/>
        <v>0</v>
      </c>
      <c r="AS972" s="272">
        <f t="shared" si="1205"/>
        <v>0</v>
      </c>
      <c r="AT972" s="272">
        <f t="shared" si="1205"/>
        <v>0</v>
      </c>
      <c r="AU972" s="272">
        <f t="shared" si="1205"/>
        <v>0</v>
      </c>
      <c r="AV972" s="272">
        <f t="shared" si="1205"/>
        <v>0</v>
      </c>
      <c r="AW972" s="272">
        <f t="shared" si="1205"/>
        <v>0</v>
      </c>
      <c r="AX972" s="272">
        <f t="shared" si="1205"/>
        <v>0</v>
      </c>
      <c r="AY972" s="272">
        <f t="shared" si="1205"/>
        <v>0</v>
      </c>
      <c r="AZ972" s="272">
        <f t="shared" si="1205"/>
        <v>0</v>
      </c>
      <c r="BA972" s="272">
        <f t="shared" si="1205"/>
        <v>0</v>
      </c>
      <c r="BB972" s="272">
        <f t="shared" si="1205"/>
        <v>0</v>
      </c>
      <c r="BC972" s="272">
        <f t="shared" si="1205"/>
        <v>0</v>
      </c>
      <c r="BD972" s="272">
        <f t="shared" si="1205"/>
        <v>0</v>
      </c>
      <c r="BE972" s="272">
        <f t="shared" si="1205"/>
        <v>0</v>
      </c>
      <c r="BF972" s="272">
        <f t="shared" si="1205"/>
        <v>0</v>
      </c>
      <c r="BG972" s="272">
        <f t="shared" si="1205"/>
        <v>0</v>
      </c>
      <c r="BH972" s="272">
        <f t="shared" si="1205"/>
        <v>0</v>
      </c>
      <c r="BI972" s="272">
        <f t="shared" si="1205"/>
        <v>0</v>
      </c>
      <c r="BJ972" s="272">
        <f t="shared" si="1205"/>
        <v>0</v>
      </c>
      <c r="BK972" s="272">
        <f t="shared" si="1205"/>
        <v>0</v>
      </c>
      <c r="BL972" s="272">
        <f t="shared" si="1205"/>
        <v>0</v>
      </c>
      <c r="BM972" s="272">
        <f t="shared" si="1205"/>
        <v>0</v>
      </c>
      <c r="BN972" s="324">
        <f t="shared" si="1205"/>
        <v>0</v>
      </c>
    </row>
    <row r="973" spans="32:66" ht="20.100000000000001" customHeight="1">
      <c r="AF973" s="1492"/>
      <c r="AG973" s="389" t="s">
        <v>1566</v>
      </c>
      <c r="AH973" s="1497" t="s">
        <v>1584</v>
      </c>
      <c r="AI973" s="1498"/>
      <c r="AJ973" s="1499"/>
      <c r="AK973" s="345">
        <v>0</v>
      </c>
      <c r="AL973" s="272">
        <f>IF($C$138=1,AL862,0)</f>
        <v>0</v>
      </c>
      <c r="AM973" s="272">
        <f t="shared" ref="AM973:BN973" si="1206">IF($C$138=1,AM862,0)</f>
        <v>0</v>
      </c>
      <c r="AN973" s="272">
        <f t="shared" si="1206"/>
        <v>0</v>
      </c>
      <c r="AO973" s="272">
        <f t="shared" si="1206"/>
        <v>0</v>
      </c>
      <c r="AP973" s="272">
        <f t="shared" si="1206"/>
        <v>0</v>
      </c>
      <c r="AQ973" s="272">
        <f t="shared" si="1206"/>
        <v>0</v>
      </c>
      <c r="AR973" s="272">
        <f t="shared" si="1206"/>
        <v>0</v>
      </c>
      <c r="AS973" s="272">
        <f t="shared" si="1206"/>
        <v>0</v>
      </c>
      <c r="AT973" s="272">
        <f t="shared" si="1206"/>
        <v>0</v>
      </c>
      <c r="AU973" s="272">
        <f t="shared" si="1206"/>
        <v>0</v>
      </c>
      <c r="AV973" s="272">
        <f t="shared" si="1206"/>
        <v>0</v>
      </c>
      <c r="AW973" s="272">
        <f t="shared" si="1206"/>
        <v>0</v>
      </c>
      <c r="AX973" s="272">
        <f t="shared" si="1206"/>
        <v>0</v>
      </c>
      <c r="AY973" s="272">
        <f t="shared" si="1206"/>
        <v>0</v>
      </c>
      <c r="AZ973" s="272">
        <f t="shared" si="1206"/>
        <v>0</v>
      </c>
      <c r="BA973" s="272">
        <f t="shared" si="1206"/>
        <v>0</v>
      </c>
      <c r="BB973" s="272">
        <f t="shared" si="1206"/>
        <v>0</v>
      </c>
      <c r="BC973" s="272">
        <f t="shared" si="1206"/>
        <v>0</v>
      </c>
      <c r="BD973" s="272">
        <f t="shared" si="1206"/>
        <v>0</v>
      </c>
      <c r="BE973" s="272">
        <f t="shared" si="1206"/>
        <v>0</v>
      </c>
      <c r="BF973" s="272">
        <f t="shared" si="1206"/>
        <v>0</v>
      </c>
      <c r="BG973" s="272">
        <f t="shared" si="1206"/>
        <v>0</v>
      </c>
      <c r="BH973" s="272">
        <f t="shared" si="1206"/>
        <v>0</v>
      </c>
      <c r="BI973" s="272">
        <f t="shared" si="1206"/>
        <v>0</v>
      </c>
      <c r="BJ973" s="272">
        <f t="shared" si="1206"/>
        <v>0</v>
      </c>
      <c r="BK973" s="272">
        <f t="shared" si="1206"/>
        <v>0</v>
      </c>
      <c r="BL973" s="272">
        <f t="shared" si="1206"/>
        <v>0</v>
      </c>
      <c r="BM973" s="272">
        <f t="shared" si="1206"/>
        <v>0</v>
      </c>
      <c r="BN973" s="324">
        <f t="shared" si="1206"/>
        <v>0</v>
      </c>
    </row>
    <row r="974" spans="32:66" ht="20.100000000000001" customHeight="1">
      <c r="AF974" s="1492"/>
      <c r="AG974" s="389" t="s">
        <v>1566</v>
      </c>
      <c r="AH974" s="1497" t="s">
        <v>1585</v>
      </c>
      <c r="AI974" s="1498"/>
      <c r="AJ974" s="1499"/>
      <c r="AK974" s="345">
        <v>0</v>
      </c>
      <c r="AL974" s="272">
        <f>IF($C$139=1,AL873,0)</f>
        <v>0</v>
      </c>
      <c r="AM974" s="272">
        <f t="shared" ref="AM974:BN974" si="1207">IF($C$139=1,AM873,0)</f>
        <v>0</v>
      </c>
      <c r="AN974" s="272">
        <f t="shared" si="1207"/>
        <v>0</v>
      </c>
      <c r="AO974" s="272">
        <f t="shared" si="1207"/>
        <v>0</v>
      </c>
      <c r="AP974" s="272">
        <f t="shared" si="1207"/>
        <v>0</v>
      </c>
      <c r="AQ974" s="272">
        <f t="shared" si="1207"/>
        <v>0</v>
      </c>
      <c r="AR974" s="272">
        <f t="shared" si="1207"/>
        <v>0</v>
      </c>
      <c r="AS974" s="272">
        <f t="shared" si="1207"/>
        <v>0</v>
      </c>
      <c r="AT974" s="272">
        <f t="shared" si="1207"/>
        <v>0</v>
      </c>
      <c r="AU974" s="272">
        <f t="shared" si="1207"/>
        <v>0</v>
      </c>
      <c r="AV974" s="272">
        <f t="shared" si="1207"/>
        <v>0</v>
      </c>
      <c r="AW974" s="272">
        <f t="shared" si="1207"/>
        <v>0</v>
      </c>
      <c r="AX974" s="272">
        <f t="shared" si="1207"/>
        <v>0</v>
      </c>
      <c r="AY974" s="272">
        <f t="shared" si="1207"/>
        <v>0</v>
      </c>
      <c r="AZ974" s="272">
        <f t="shared" si="1207"/>
        <v>0</v>
      </c>
      <c r="BA974" s="272">
        <f t="shared" si="1207"/>
        <v>0</v>
      </c>
      <c r="BB974" s="272">
        <f t="shared" si="1207"/>
        <v>0</v>
      </c>
      <c r="BC974" s="272">
        <f t="shared" si="1207"/>
        <v>0</v>
      </c>
      <c r="BD974" s="272">
        <f t="shared" si="1207"/>
        <v>0</v>
      </c>
      <c r="BE974" s="272">
        <f t="shared" si="1207"/>
        <v>0</v>
      </c>
      <c r="BF974" s="272">
        <f t="shared" si="1207"/>
        <v>0</v>
      </c>
      <c r="BG974" s="272">
        <f t="shared" si="1207"/>
        <v>0</v>
      </c>
      <c r="BH974" s="272">
        <f t="shared" si="1207"/>
        <v>0</v>
      </c>
      <c r="BI974" s="272">
        <f t="shared" si="1207"/>
        <v>0</v>
      </c>
      <c r="BJ974" s="272">
        <f t="shared" si="1207"/>
        <v>0</v>
      </c>
      <c r="BK974" s="272">
        <f t="shared" si="1207"/>
        <v>0</v>
      </c>
      <c r="BL974" s="272">
        <f t="shared" si="1207"/>
        <v>0</v>
      </c>
      <c r="BM974" s="272">
        <f t="shared" si="1207"/>
        <v>0</v>
      </c>
      <c r="BN974" s="324">
        <f t="shared" si="1207"/>
        <v>0</v>
      </c>
    </row>
    <row r="975" spans="32:66" ht="20.100000000000001" customHeight="1" thickBot="1">
      <c r="AF975" s="1493"/>
      <c r="AG975" s="390" t="s">
        <v>1566</v>
      </c>
      <c r="AH975" s="1485" t="s">
        <v>1586</v>
      </c>
      <c r="AI975" s="1486"/>
      <c r="AJ975" s="1487"/>
      <c r="AK975" s="391">
        <v>0</v>
      </c>
      <c r="AL975" s="325">
        <f>IF($C$140=1,AL884,0)</f>
        <v>0</v>
      </c>
      <c r="AM975" s="325">
        <f t="shared" ref="AM975:BN975" si="1208">IF($C$140=1,AM884,0)</f>
        <v>0</v>
      </c>
      <c r="AN975" s="325">
        <f t="shared" si="1208"/>
        <v>0</v>
      </c>
      <c r="AO975" s="325">
        <f t="shared" si="1208"/>
        <v>0</v>
      </c>
      <c r="AP975" s="325">
        <f t="shared" si="1208"/>
        <v>0</v>
      </c>
      <c r="AQ975" s="325">
        <f t="shared" si="1208"/>
        <v>0</v>
      </c>
      <c r="AR975" s="325">
        <f t="shared" si="1208"/>
        <v>0</v>
      </c>
      <c r="AS975" s="325">
        <f t="shared" si="1208"/>
        <v>0</v>
      </c>
      <c r="AT975" s="325">
        <f t="shared" si="1208"/>
        <v>0</v>
      </c>
      <c r="AU975" s="325">
        <f t="shared" si="1208"/>
        <v>0</v>
      </c>
      <c r="AV975" s="325">
        <f t="shared" si="1208"/>
        <v>0</v>
      </c>
      <c r="AW975" s="325">
        <f t="shared" si="1208"/>
        <v>0</v>
      </c>
      <c r="AX975" s="325">
        <f t="shared" si="1208"/>
        <v>0</v>
      </c>
      <c r="AY975" s="325">
        <f t="shared" si="1208"/>
        <v>0</v>
      </c>
      <c r="AZ975" s="325">
        <f t="shared" si="1208"/>
        <v>0</v>
      </c>
      <c r="BA975" s="325">
        <f t="shared" si="1208"/>
        <v>0</v>
      </c>
      <c r="BB975" s="325">
        <f t="shared" si="1208"/>
        <v>0</v>
      </c>
      <c r="BC975" s="325">
        <f t="shared" si="1208"/>
        <v>0</v>
      </c>
      <c r="BD975" s="325">
        <f t="shared" si="1208"/>
        <v>0</v>
      </c>
      <c r="BE975" s="325">
        <f t="shared" si="1208"/>
        <v>0</v>
      </c>
      <c r="BF975" s="325">
        <f t="shared" si="1208"/>
        <v>0</v>
      </c>
      <c r="BG975" s="325">
        <f t="shared" si="1208"/>
        <v>0</v>
      </c>
      <c r="BH975" s="325">
        <f t="shared" si="1208"/>
        <v>0</v>
      </c>
      <c r="BI975" s="325">
        <f t="shared" si="1208"/>
        <v>0</v>
      </c>
      <c r="BJ975" s="325">
        <f t="shared" si="1208"/>
        <v>0</v>
      </c>
      <c r="BK975" s="325">
        <f t="shared" si="1208"/>
        <v>0</v>
      </c>
      <c r="BL975" s="325">
        <f t="shared" si="1208"/>
        <v>0</v>
      </c>
      <c r="BM975" s="325">
        <f t="shared" si="1208"/>
        <v>0</v>
      </c>
      <c r="BN975" s="326">
        <f t="shared" si="1208"/>
        <v>0</v>
      </c>
    </row>
    <row r="976" spans="32:66" ht="20.100000000000001" customHeight="1">
      <c r="AF976" s="332"/>
      <c r="AG976" s="1488" t="s">
        <v>1454</v>
      </c>
      <c r="AH976" s="1489"/>
      <c r="AI976" s="1489"/>
      <c r="AJ976" s="1490"/>
      <c r="AK976" s="344">
        <v>0</v>
      </c>
      <c r="AL976" s="327">
        <f>IF(AL954&gt;START!$C$2+2020,SUM(AL955:AL975),0)</f>
        <v>0</v>
      </c>
      <c r="AM976" s="327">
        <f>IF(AM954&gt;START!$C$2+2020,SUM(AM955:AM975),0)</f>
        <v>0</v>
      </c>
      <c r="AN976" s="327">
        <f>IF(AN954&gt;START!$C$2+2020,SUM(AN955:AN975),0)</f>
        <v>0</v>
      </c>
      <c r="AO976" s="327">
        <f>IF(AO954&gt;START!$C$2+2020,SUM(AO955:AO975),0)</f>
        <v>0</v>
      </c>
      <c r="AP976" s="327">
        <f>IF(AP954&gt;START!$C$2+2020,SUM(AP955:AP975),0)</f>
        <v>0</v>
      </c>
      <c r="AQ976" s="327">
        <f>IF(AQ954&gt;START!$C$2+2020,SUM(AQ955:AQ975),0)</f>
        <v>0</v>
      </c>
      <c r="AR976" s="327">
        <f>IF(AR954&gt;START!$C$2+2020,SUM(AR955:AR975),0)</f>
        <v>0</v>
      </c>
      <c r="AS976" s="327">
        <f>IF(AS954&gt;START!$C$2+2020,SUM(AS955:AS975),0)</f>
        <v>0</v>
      </c>
      <c r="AT976" s="327">
        <f>IF(AT954&gt;START!$C$2+2020,SUM(AT955:AT975),0)</f>
        <v>0</v>
      </c>
      <c r="AU976" s="327">
        <f>IF(AU954&gt;START!$C$2+2020,SUM(AU955:AU975),0)</f>
        <v>0</v>
      </c>
      <c r="AV976" s="327">
        <f>IF(AV954&gt;START!$C$2+2020,SUM(AV955:AV975),0)</f>
        <v>0</v>
      </c>
      <c r="AW976" s="327">
        <f>IF(AW954&gt;START!$C$2+2020,SUM(AW955:AW975),0)</f>
        <v>0</v>
      </c>
      <c r="AX976" s="327">
        <f>IF(AX954&gt;START!$C$2+2020,SUM(AX955:AX975),0)</f>
        <v>0</v>
      </c>
      <c r="AY976" s="327">
        <f>IF(AY954&gt;START!$C$2+2020,SUM(AY955:AY975),0)</f>
        <v>0</v>
      </c>
      <c r="AZ976" s="327">
        <f>IF(AZ954&gt;START!$C$2+2020,SUM(AZ955:AZ975),0)</f>
        <v>0</v>
      </c>
      <c r="BA976" s="327">
        <f>IF(BA954&gt;START!$C$2+2020,SUM(BA955:BA975),0)</f>
        <v>0</v>
      </c>
      <c r="BB976" s="327">
        <f>IF(BB954&gt;START!$C$2+2020,SUM(BB955:BB975),0)</f>
        <v>0</v>
      </c>
      <c r="BC976" s="327">
        <f>IF(BC954&gt;START!$C$2+2020,SUM(BC955:BC975),0)</f>
        <v>0</v>
      </c>
      <c r="BD976" s="327">
        <f>IF(BD954&gt;START!$C$2+2020,SUM(BD955:BD975),0)</f>
        <v>0</v>
      </c>
      <c r="BE976" s="327">
        <f>IF(BE954&gt;START!$C$2+2020,SUM(BE955:BE975),0)</f>
        <v>0</v>
      </c>
      <c r="BF976" s="327">
        <f>IF(BF954&gt;START!$C$2+2020,SUM(BF955:BF975),0)</f>
        <v>0</v>
      </c>
      <c r="BG976" s="327">
        <f>IF(BG954&gt;START!$C$2+2020,SUM(BG955:BG975),0)</f>
        <v>0</v>
      </c>
      <c r="BH976" s="327">
        <f>IF(BH954&gt;START!$C$2+2020,SUM(BH955:BH975),0)</f>
        <v>0</v>
      </c>
      <c r="BI976" s="327">
        <f>IF(BI954&gt;START!$C$2+2020,SUM(BI955:BI975),0)</f>
        <v>0</v>
      </c>
      <c r="BJ976" s="327">
        <f>IF(BJ954&gt;START!$C$2+2020,SUM(BJ955:BJ975),0)</f>
        <v>0</v>
      </c>
      <c r="BK976" s="327">
        <f>IF(BK954&gt;START!$C$2+2020,SUM(BK955:BK975),0)</f>
        <v>0</v>
      </c>
      <c r="BL976" s="327">
        <f>IF(BL954&gt;START!$C$2+2020,SUM(BL955:BL975),0)</f>
        <v>0</v>
      </c>
      <c r="BM976" s="327">
        <f>IF(BM954&gt;START!$C$2+2020,SUM(BM955:BM975),0)</f>
        <v>0</v>
      </c>
      <c r="BN976" s="327">
        <f>IF(BN954&gt;START!$C$2+2020,SUM(BN955:BN975),0)</f>
        <v>0</v>
      </c>
    </row>
    <row r="978" spans="14:66" ht="20.100000000000001" customHeight="1">
      <c r="AF978" s="290" t="s">
        <v>2633</v>
      </c>
      <c r="AL978" s="943"/>
    </row>
    <row r="979" spans="14:66" ht="20.100000000000001" customHeight="1">
      <c r="AF979" s="280" t="s">
        <v>2632</v>
      </c>
      <c r="AG979" s="366"/>
      <c r="AH979" s="366"/>
      <c r="AI979" s="366"/>
      <c r="AJ979" s="366"/>
      <c r="AK979" s="366"/>
      <c r="AL979" s="777">
        <v>2022</v>
      </c>
      <c r="AM979" s="777">
        <f>AL979+1</f>
        <v>2023</v>
      </c>
      <c r="AN979" s="777">
        <f t="shared" ref="AN979:BM979" si="1209">AM979+1</f>
        <v>2024</v>
      </c>
      <c r="AO979" s="777">
        <f t="shared" si="1209"/>
        <v>2025</v>
      </c>
      <c r="AP979" s="777">
        <f t="shared" si="1209"/>
        <v>2026</v>
      </c>
      <c r="AQ979" s="777">
        <f t="shared" si="1209"/>
        <v>2027</v>
      </c>
      <c r="AR979" s="777">
        <f t="shared" si="1209"/>
        <v>2028</v>
      </c>
      <c r="AS979" s="777">
        <f t="shared" si="1209"/>
        <v>2029</v>
      </c>
      <c r="AT979" s="777">
        <f t="shared" si="1209"/>
        <v>2030</v>
      </c>
      <c r="AU979" s="777">
        <f t="shared" si="1209"/>
        <v>2031</v>
      </c>
      <c r="AV979" s="777">
        <f t="shared" si="1209"/>
        <v>2032</v>
      </c>
      <c r="AW979" s="777">
        <f t="shared" si="1209"/>
        <v>2033</v>
      </c>
      <c r="AX979" s="777">
        <f t="shared" si="1209"/>
        <v>2034</v>
      </c>
      <c r="AY979" s="777">
        <f t="shared" si="1209"/>
        <v>2035</v>
      </c>
      <c r="AZ979" s="777">
        <f t="shared" si="1209"/>
        <v>2036</v>
      </c>
      <c r="BA979" s="777">
        <f t="shared" si="1209"/>
        <v>2037</v>
      </c>
      <c r="BB979" s="777">
        <f t="shared" si="1209"/>
        <v>2038</v>
      </c>
      <c r="BC979" s="777">
        <f t="shared" si="1209"/>
        <v>2039</v>
      </c>
      <c r="BD979" s="777">
        <f t="shared" si="1209"/>
        <v>2040</v>
      </c>
      <c r="BE979" s="777">
        <f t="shared" si="1209"/>
        <v>2041</v>
      </c>
      <c r="BF979" s="777">
        <f t="shared" si="1209"/>
        <v>2042</v>
      </c>
      <c r="BG979" s="777">
        <f t="shared" si="1209"/>
        <v>2043</v>
      </c>
      <c r="BH979" s="777">
        <f t="shared" si="1209"/>
        <v>2044</v>
      </c>
      <c r="BI979" s="777">
        <f t="shared" si="1209"/>
        <v>2045</v>
      </c>
      <c r="BJ979" s="777">
        <f t="shared" si="1209"/>
        <v>2046</v>
      </c>
      <c r="BK979" s="777">
        <f t="shared" si="1209"/>
        <v>2047</v>
      </c>
      <c r="BL979" s="777">
        <f t="shared" si="1209"/>
        <v>2048</v>
      </c>
      <c r="BM979" s="777">
        <f t="shared" si="1209"/>
        <v>2049</v>
      </c>
      <c r="BN979" s="777">
        <f>BM979+1</f>
        <v>2050</v>
      </c>
    </row>
    <row r="980" spans="14:66" ht="20.100000000000001" customHeight="1">
      <c r="N980" s="279"/>
      <c r="O980" s="279"/>
      <c r="P980" s="279"/>
      <c r="Q980" s="279"/>
      <c r="R980" s="279"/>
      <c r="S980" s="279"/>
      <c r="T980" s="279"/>
      <c r="U980" s="279"/>
      <c r="V980" s="279"/>
      <c r="W980" s="279"/>
      <c r="X980" s="279"/>
      <c r="Y980" s="279"/>
      <c r="Z980" s="279"/>
      <c r="AA980" s="279"/>
      <c r="AB980" s="279"/>
      <c r="AC980" s="279"/>
      <c r="AD980" s="279"/>
      <c r="AE980" s="279">
        <v>1</v>
      </c>
      <c r="AF980" s="280" t="str">
        <f>INDEX('DEFAULT DATA'!$AIU$9:$AJD$41,START!$C$3,1)</f>
        <v>Apartment</v>
      </c>
      <c r="AG980" s="366"/>
      <c r="AH980" s="366"/>
      <c r="AI980" s="366"/>
      <c r="AJ980" s="366"/>
      <c r="AK980" s="366"/>
      <c r="AL980" s="514" t="str">
        <f>IF(AL$979&gt;(2020+START!$C$2),AL220+AL263+AL382-IF($A$114=$AE980,AL523,0)-IF($A$115=$AE980,AL534,0)-IF($A$116=$AE980,AL545,0)-IF($A$117=$AE980,AL556,0)-IF($A$118=$AE980,AL567,0)-IF($A$119=$AE980,AL578,0)-IF($A$135=$AE980,AL729,0)-IF($A$136=$AE980,AL740,0)-IF($A$137=$AE980,AL751,0)-IF($A$138=$AE980,AL762,0)-IF($A$139=$AE980,AL773,0)-IF($A$140=$AE980,AL784,0)+IF($C$135=$AE980,AL796,0)+IF($C$136=$AE980,AL807,0)+IF($C$137=$AE980,AL818,0)+IF($C$138=$AE980,AL829,0)+IF($C$139=$AE980,AL840,0)+IF($C$140=$AE980,AL851,0),"")</f>
        <v/>
      </c>
      <c r="AM980" s="514">
        <f>IF(AM$979&gt;(2020+START!$C$2),AM220+AM263+AM382-IF($A$114=$AE980,AM523,0)-IF($A$115=$AE980,AM534,0)-IF($A$116=$AE980,AM545,0)-IF($A$117=$AE980,AM556,0)-IF($A$118=$AE980,AM567,0)-IF($A$119=$AE980,AM578,0),"")</f>
        <v>11952.759374890931</v>
      </c>
      <c r="AN980" s="514">
        <f>IF(AN$979&gt;(2020+START!$C$2),AN220+AN263+AN382-IF($A$114=$AE980,AN523,0)-IF($A$115=$AE980,AN534,0)-IF($A$116=$AE980,AN545,0)-IF($A$117=$AE980,AN556,0)-IF($A$118=$AE980,AN567,0)-IF($A$119=$AE980,AN578,0),"")</f>
        <v>11927.129903599831</v>
      </c>
      <c r="AO980" s="514">
        <f>IF(AO$979&gt;(2020+START!$C$2),AO220+AO263+AO382-IF($A$114=$AE980,AO523,0)-IF($A$115=$AE980,AO534,0)-IF($A$116=$AE980,AO545,0)-IF($A$117=$AE980,AO556,0)-IF($A$118=$AE980,AO567,0)-IF($A$119=$AE980,AO578,0),"")</f>
        <v>11901.756727021642</v>
      </c>
      <c r="AP980" s="514">
        <f>IF(AP$979&gt;(2020+START!$C$2),AP220+AP263+AP382-IF($A$114=$AE980,AP523,0)-IF($A$115=$AE980,AP534,0)-IF($A$116=$AE980,AP545,0)-IF($A$117=$AE980,AP556,0)-IF($A$118=$AE980,AP567,0)-IF($A$119=$AE980,AP578,0),"")</f>
        <v>11876.637282209234</v>
      </c>
      <c r="AQ980" s="514">
        <f>IF(AQ$979&gt;(2020+START!$C$2),AQ220+AQ263+AQ382-IF($A$114=$AE980,AQ523,0)-IF($A$115=$AE980,AQ534,0)-IF($A$116=$AE980,AQ545,0)-IF($A$117=$AE980,AQ556,0)-IF($A$118=$AE980,AQ567,0)-IF($A$119=$AE980,AQ578,0),"")</f>
        <v>11851.769031844949</v>
      </c>
      <c r="AR980" s="514">
        <f>IF(AR$979&gt;(2020+START!$C$2),AR220+AR263+AR382-IF($A$114=$AE980,AR523,0)-IF($A$115=$AE980,AR534,0)-IF($A$116=$AE980,AR545,0)-IF($A$117=$AE980,AR556,0)-IF($A$118=$AE980,AR567,0)-IF($A$119=$AE980,AR578,0),"")</f>
        <v>11827.149463984308</v>
      </c>
      <c r="AS980" s="514">
        <f>IF(AS$979&gt;(2020+START!$C$2),AS220+AS263+AS382-IF($A$114=$AE980,AS523,0)-IF($A$115=$AE980,AS534,0)-IF($A$116=$AE980,AS545,0)-IF($A$117=$AE980,AS556,0)-IF($A$118=$AE980,AS567,0)-IF($A$119=$AE980,AS578,0),"")</f>
        <v>11802.776091802274</v>
      </c>
      <c r="AT980" s="514">
        <f>IF(AT$979&gt;(2020+START!$C$2),AT220+AT263+AT382-IF($A$114=$AE980,AT523,0)-IF($A$115=$AE980,AT534,0)-IF($A$116=$AE980,AT545,0)-IF($A$117=$AE980,AT556,0)-IF($A$118=$AE980,AT567,0)-IF($A$119=$AE980,AT578,0),"")</f>
        <v>4482.5806765048528</v>
      </c>
      <c r="AU980" s="514">
        <f>IF(AU$979&gt;(2020+START!$C$2),AU220+AU263+AU382-IF($A$114=$AE980,AU523,0)-IF($A$115=$AE980,AU534,0)-IF($A$116=$AE980,AU545,0)-IF($A$117=$AE980,AU556,0)-IF($A$118=$AE980,AU567,0)-IF($A$119=$AE980,AU578,0),"")</f>
        <v>4351.1947950889862</v>
      </c>
      <c r="AV980" s="514">
        <f>IF(AV$979&gt;(2020+START!$C$2),AV220+AV263+AV382-IF($A$114=$AE980,AV523,0)-IF($A$115=$AE980,AV534,0)-IF($A$116=$AE980,AV545,0)-IF($A$117=$AE980,AV556,0)-IF($A$118=$AE980,AV567,0)-IF($A$119=$AE980,AV578,0),"")</f>
        <v>4227.0351371509933</v>
      </c>
      <c r="AW980" s="514">
        <f>IF(AW$979&gt;(2020+START!$C$2),AW220+AW263+AW382-IF($A$114=$AE980,AW523,0)-IF($A$115=$AE980,AW534,0)-IF($A$116=$AE980,AW545,0)-IF($A$117=$AE980,AW556,0)-IF($A$118=$AE980,AW567,0)-IF($A$119=$AE980,AW578,0),"")</f>
        <v>4109.7042603995906</v>
      </c>
      <c r="AX980" s="514">
        <f>IF(AX$979&gt;(2020+START!$C$2),AX220+AX263+AX382-IF($A$114=$AE980,AX523,0)-IF($A$115=$AE980,AX534,0)-IF($A$116=$AE980,AX545,0)-IF($A$117=$AE980,AX556,0)-IF($A$118=$AE980,AX567,0)-IF($A$119=$AE980,AX578,0),"")</f>
        <v>3998.8265818695127</v>
      </c>
      <c r="AY980" s="514">
        <f>IF(AY$979&gt;(2020+START!$C$2),AY220+AY263+AY382-IF($A$114=$AE980,AY523,0)-IF($A$115=$AE980,AY534,0)-IF($A$116=$AE980,AY545,0)-IF($A$117=$AE980,AY556,0)-IF($A$118=$AE980,AY567,0)-IF($A$119=$AE980,AY578,0),"")</f>
        <v>3894.0471756585903</v>
      </c>
      <c r="AZ980" s="514">
        <f>IF(AZ$979&gt;(2020+START!$C$2),AZ220+AZ263+AZ382-IF($A$114=$AE980,AZ523,0)-IF($A$115=$AE980,AZ534,0)-IF($A$116=$AE980,AZ545,0)-IF($A$117=$AE980,AZ556,0)-IF($A$118=$AE980,AZ567,0)-IF($A$119=$AE980,AZ578,0),"")</f>
        <v>3795.0306367892699</v>
      </c>
      <c r="BA980" s="514">
        <f>IF(BA$979&gt;(2020+START!$C$2),BA220+BA263+BA382-IF($A$114=$AE980,BA523,0)-IF($A$115=$AE980,BA534,0)-IF($A$116=$AE980,BA545,0)-IF($A$117=$AE980,BA556,0)-IF($A$118=$AE980,BA567,0)-IF($A$119=$AE980,BA578,0),"")</f>
        <v>3701.46000755776</v>
      </c>
      <c r="BB980" s="514">
        <f>IF(BB$979&gt;(2020+START!$C$2),BB220+BB263+BB382-IF($A$114=$AE980,BB523,0)-IF($A$115=$AE980,BB534,0)-IF($A$116=$AE980,BB545,0)-IF($A$117=$AE980,BB556,0)-IF($A$118=$AE980,BB567,0)-IF($A$119=$AE980,BB578,0),"")</f>
        <v>3613.0357629339833</v>
      </c>
      <c r="BC980" s="514">
        <f>IF(BC$979&gt;(2020+START!$C$2),BC220+BC263+BC382-IF($A$114=$AE980,BC523,0)-IF($A$115=$AE980,BC534,0)-IF($A$116=$AE980,BC545,0)-IF($A$117=$AE980,BC556,0)-IF($A$118=$AE980,BC567,0)-IF($A$119=$AE980,BC578,0),"")</f>
        <v>3529.4748517645166</v>
      </c>
      <c r="BD980" s="514">
        <f>IF(BD$979&gt;(2020+START!$C$2),BD220+BD263+BD382-IF($A$114=$AE980,BD523,0)-IF($A$115=$AE980,BD534,0)-IF($A$116=$AE980,BD545,0)-IF($A$117=$AE980,BD556,0)-IF($A$118=$AE980,BD567,0)-IF($A$119=$AE980,BD578,0),"")</f>
        <v>3450.5097907093677</v>
      </c>
      <c r="BE980" s="514">
        <f>IF(BE$979&gt;(2020+START!$C$2),BE220+BE263+BE382-IF($A$114=$AE980,BE523,0)-IF($A$115=$AE980,BE534,0)-IF($A$116=$AE980,BE545,0)-IF($A$117=$AE980,BE556,0)-IF($A$118=$AE980,BE567,0)-IF($A$119=$AE980,BE578,0),"")</f>
        <v>3375.8878080122522</v>
      </c>
      <c r="BF980" s="514">
        <f>IF(BF$979&gt;(2020+START!$C$2),BF220+BF263+BF382-IF($A$114=$AE980,BF523,0)-IF($A$115=$AE980,BF534,0)-IF($A$116=$AE980,BF545,0)-IF($A$117=$AE980,BF556,0)-IF($A$118=$AE980,BF567,0)-IF($A$119=$AE980,BF578,0),"")</f>
        <v>3305.370034363481</v>
      </c>
      <c r="BG980" s="514">
        <f>IF(BG$979&gt;(2020+START!$C$2),BG220+BG263+BG382-IF($A$114=$AE980,BG523,0)-IF($A$115=$AE980,BG534,0)-IF($A$116=$AE980,BG545,0)-IF($A$117=$AE980,BG556,0)-IF($A$118=$AE980,BG567,0)-IF($A$119=$AE980,BG578,0),"")</f>
        <v>3238.7307382653889</v>
      </c>
      <c r="BH980" s="514">
        <f>IF(BH$979&gt;(2020+START!$C$2),BH220+BH263+BH382-IF($A$114=$AE980,BH523,0)-IF($A$115=$AE980,BH534,0)-IF($A$116=$AE980,BH545,0)-IF($A$117=$AE980,BH556,0)-IF($A$118=$AE980,BH567,0)-IF($A$119=$AE980,BH578,0),"")</f>
        <v>3175.7566034526935</v>
      </c>
      <c r="BI980" s="514">
        <f>IF(BI$979&gt;(2020+START!$C$2),BI220+BI263+BI382-IF($A$114=$AE980,BI523,0)-IF($A$115=$AE980,BI534,0)-IF($A$116=$AE980,BI545,0)-IF($A$117=$AE980,BI556,0)-IF($A$118=$AE980,BI567,0)-IF($A$119=$AE980,BI578,0),"")</f>
        <v>3116.2460460546972</v>
      </c>
      <c r="BJ980" s="514">
        <f>IF(BJ$979&gt;(2020+START!$C$2),BJ220+BJ263+BJ382-IF($A$114=$AE980,BJ523,0)-IF($A$115=$AE980,BJ534,0)-IF($A$116=$AE980,BJ545,0)-IF($A$117=$AE980,BJ556,0)-IF($A$118=$AE980,BJ567,0)-IF($A$119=$AE980,BJ578,0),"")</f>
        <v>3060.0085693135879</v>
      </c>
      <c r="BK980" s="514">
        <f>IF(BK$979&gt;(2020+START!$C$2),BK220+BK263+BK382-IF($A$114=$AE980,BK523,0)-IF($A$115=$AE980,BK534,0)-IF($A$116=$AE980,BK545,0)-IF($A$117=$AE980,BK556,0)-IF($A$118=$AE980,BK567,0)-IF($A$119=$AE980,BK578,0),"")</f>
        <v>3006.8641537932417</v>
      </c>
      <c r="BL980" s="514">
        <f>IF(BL$979&gt;(2020+START!$C$2),BL220+BL263+BL382-IF($A$114=$AE980,BL523,0)-IF($A$115=$AE980,BL534,0)-IF($A$116=$AE980,BL545,0)-IF($A$117=$AE980,BL556,0)-IF($A$118=$AE980,BL567,0)-IF($A$119=$AE980,BL578,0),"")</f>
        <v>2956.6426811265155</v>
      </c>
      <c r="BM980" s="514">
        <f>IF(BM$979&gt;(2020+START!$C$2),BM220+BM263+BM382-IF($A$114=$AE980,BM523,0)-IF($A$115=$AE980,BM534,0)-IF($A$116=$AE980,BM545,0)-IF($A$117=$AE980,BM556,0)-IF($A$118=$AE980,BM567,0)-IF($A$119=$AE980,BM578,0),"")</f>
        <v>2909.183389456457</v>
      </c>
      <c r="BN980" s="514">
        <f>IF(BN$979&gt;(2020+START!$C$2),BN220+BN263+BN382-IF($A$114=$AE980,BN523,0)-IF($A$115=$AE980,BN534,0)-IF($A$116=$AE980,BN545,0)-IF($A$117=$AE980,BN556,0)-IF($A$118=$AE980,BN567,0)-IF($A$119=$AE980,BN578,0),"")</f>
        <v>2864.3343588282532</v>
      </c>
    </row>
    <row r="981" spans="14:66" ht="20.100000000000001" customHeight="1">
      <c r="N981" s="279"/>
      <c r="O981" s="279"/>
      <c r="P981" s="279"/>
      <c r="Q981" s="279"/>
      <c r="R981" s="279"/>
      <c r="S981" s="279"/>
      <c r="T981" s="279"/>
      <c r="U981" s="279"/>
      <c r="V981" s="279"/>
      <c r="W981" s="279"/>
      <c r="X981" s="279"/>
      <c r="Y981" s="279"/>
      <c r="Z981" s="279"/>
      <c r="AA981" s="279"/>
      <c r="AB981" s="279"/>
      <c r="AC981" s="279"/>
      <c r="AD981" s="279"/>
      <c r="AE981" s="279">
        <f>AE980+1</f>
        <v>2</v>
      </c>
      <c r="AF981" s="280" t="str">
        <f>INDEX('DEFAULT DATA'!$AIU$9:$AJD$41,START!$C$3,2)</f>
        <v>Terraced</v>
      </c>
      <c r="AG981" s="366"/>
      <c r="AH981" s="366"/>
      <c r="AI981" s="366"/>
      <c r="AJ981" s="366"/>
      <c r="AK981" s="366"/>
      <c r="AL981" s="514" t="str">
        <f>IF(AL$979&gt;(2020+START!$C$2),AL221+AL273+AL392-IF($A$114=$AE981,AL523,0)-IF($A$115=$AE981,AL534,0)-IF($A$116=$AE981,AL545,0)-IF($A$117=$AE981,AL556,0)-IF($A$118=$AE981,AL567,0)-IF($A$119=$AE981,AL578,0)-IF($A$135=$AE980,AL729,0)-IF($A$136=$AE980,AL740,0)-IF($A$137=$AE980,AL751,0)-IF($A$138=$AE980,AL762,0)-IF($A$139=$AE980,AL773,0)-IF($A$140=$AE980,AL784,0)+IF($C$135=$AE980,AL796,0)+IF($C$136=$AE980,AL807,0)+IF($C$137=$AE980,AL818,0)+IF($C$138=$AE980,AL829,0)+IF($C$139=$AE980,AL840,0)+IF($C$140=$AE980,AL851,0),"")</f>
        <v/>
      </c>
      <c r="AM981" s="514">
        <f>IF(AM$979&gt;(2020+START!$C$2),AM221+AM273+AM392-IF($A$114=$AE981,AM523,0)-IF($A$115=$AE981,AM534,0)-IF($A$116=$AE981,AM545,0)-IF($A$117=$AE981,AM556,0)-IF($A$118=$AE981,AM567,0)-IF($A$119=$AE981,AM578,0)-IF($A$135=$AE980,AM729,0)-IF($A$136=$AE980,AM740,0)-IF($A$137=$AE980,AM751,0)-IF($A$138=$AE980,AM762,0)-IF($A$139=$AE980,AM773,0)-IF($A$140=$AE980,AM784,0)+IF($C$135=$AE980,AM796,0)+IF($C$136=$AE980,AM807,0)+IF($C$137=$AE980,AM818,0)+IF($C$138=$AE980,AM829,0)+IF($C$139=$AE980,AM840,0)+IF($C$140=$AE980,AM851,0),"")</f>
        <v>18504.839515652016</v>
      </c>
      <c r="AN981" s="514">
        <f>IF(AN$979&gt;(2020+START!$C$2),AN221+AN273+AN392-IF($A$114=$AE981,AN523,0)-IF($A$115=$AE981,AN534,0)-IF($A$116=$AE981,AN545,0)-IF($A$117=$AE981,AN556,0)-IF($A$118=$AE981,AN567,0)-IF($A$119=$AE981,AN578,0)-IF($A$135=$AE980,AN729,0)-IF($A$136=$AE980,AN740,0)-IF($A$137=$AE980,AN751,0)-IF($A$138=$AE980,AN762,0)-IF($A$139=$AE980,AN773,0)-IF($A$140=$AE980,AN784,0)+IF($C$135=$AE980,AN796,0)+IF($C$136=$AE980,AN807,0)+IF($C$137=$AE980,AN818,0)+IF($C$138=$AE980,AN829,0)+IF($C$139=$AE980,AN840,0)+IF($C$140=$AE980,AN851,0),"")</f>
        <v>18465.160874240635</v>
      </c>
      <c r="AO981" s="514">
        <f>IF(AO$979&gt;(2020+START!$C$2),AO221+AO273+AO392-IF($A$114=$AE981,AO523,0)-IF($A$115=$AE981,AO534,0)-IF($A$116=$AE981,AO545,0)-IF($A$117=$AE981,AO556,0)-IF($A$118=$AE981,AO567,0)-IF($A$119=$AE981,AO578,0)-IF($A$135=$AE980,AO729,0)-IF($A$136=$AE980,AO740,0)-IF($A$137=$AE980,AO751,0)-IF($A$138=$AE980,AO762,0)-IF($A$139=$AE980,AO773,0)-IF($A$140=$AE980,AO784,0)+IF($C$135=$AE980,AO796,0)+IF($C$136=$AE980,AO807,0)+IF($C$137=$AE980,AO818,0)+IF($C$138=$AE980,AO829,0)+IF($C$139=$AE980,AO840,0)+IF($C$140=$AE980,AO851,0),"")</f>
        <v>18425.879019243366</v>
      </c>
      <c r="AP981" s="514">
        <f>IF(AP$979&gt;(2020+START!$C$2),AP221+AP273+AP392-IF($A$114=$AE981,AP523,0)-IF($A$115=$AE981,AP534,0)-IF($A$116=$AE981,AP545,0)-IF($A$117=$AE981,AP556,0)-IF($A$118=$AE981,AP567,0)-IF($A$119=$AE981,AP578,0)-IF($A$135=$AE980,AP729,0)-IF($A$136=$AE980,AP740,0)-IF($A$137=$AE980,AP751,0)-IF($A$138=$AE980,AP762,0)-IF($A$139=$AE980,AP773,0)-IF($A$140=$AE980,AP784,0)+IF($C$135=$AE980,AP796,0)+IF($C$136=$AE980,AP807,0)+IF($C$137=$AE980,AP818,0)+IF($C$138=$AE980,AP829,0)+IF($C$139=$AE980,AP840,0)+IF($C$140=$AE980,AP851,0),"")</f>
        <v>18386.989982796073</v>
      </c>
      <c r="AQ981" s="514">
        <f>IF(AQ$979&gt;(2020+START!$C$2),AQ221+AQ273+AQ392-IF($A$114=$AE981,AQ523,0)-IF($A$115=$AE981,AQ534,0)-IF($A$116=$AE981,AQ545,0)-IF($A$117=$AE981,AQ556,0)-IF($A$118=$AE981,AQ567,0)-IF($A$119=$AE981,AQ578,0)-IF($A$135=$AE980,AQ729,0)-IF($A$136=$AE980,AQ740,0)-IF($A$137=$AE980,AQ751,0)-IF($A$138=$AE980,AQ762,0)-IF($A$139=$AE980,AQ773,0)-IF($A$140=$AE980,AQ784,0)+IF($C$135=$AE980,AQ796,0)+IF($C$136=$AE980,AQ807,0)+IF($C$137=$AE980,AQ818,0)+IF($C$138=$AE980,AQ829,0)+IF($C$139=$AE980,AQ840,0)+IF($C$140=$AE980,AQ851,0),"")</f>
        <v>18348.489836713248</v>
      </c>
      <c r="AR981" s="514">
        <f>IF(AR$979&gt;(2020+START!$C$2),AR221+AR273+AR392-IF($A$114=$AE981,AR523,0)-IF($A$115=$AE981,AR534,0)-IF($A$116=$AE981,AR545,0)-IF($A$117=$AE981,AR556,0)-IF($A$118=$AE981,AR567,0)-IF($A$119=$AE981,AR578,0)-IF($A$135=$AE980,AR729,0)-IF($A$136=$AE980,AR740,0)-IF($A$137=$AE980,AR751,0)-IF($A$138=$AE980,AR762,0)-IF($A$139=$AE980,AR773,0)-IF($A$140=$AE980,AR784,0)+IF($C$135=$AE980,AR796,0)+IF($C$136=$AE980,AR807,0)+IF($C$137=$AE980,AR818,0)+IF($C$138=$AE980,AR829,0)+IF($C$139=$AE980,AR840,0)+IF($C$140=$AE980,AR851,0),"")</f>
        <v>18310.374692091256</v>
      </c>
      <c r="AS981" s="514">
        <f>IF(AS$979&gt;(2020+START!$C$2),AS221+AS273+AS392-IF($A$114=$AE981,AS523,0)-IF($A$115=$AE981,AS534,0)-IF($A$116=$AE981,AS545,0)-IF($A$117=$AE981,AS556,0)-IF($A$118=$AE981,AS567,0)-IF($A$119=$AE981,AS578,0)-IF($A$135=$AE980,AS729,0)-IF($A$136=$AE980,AS740,0)-IF($A$137=$AE980,AS751,0)-IF($A$138=$AE980,AS762,0)-IF($A$139=$AE980,AS773,0)-IF($A$140=$AE980,AS784,0)+IF($C$135=$AE980,AS796,0)+IF($C$136=$AE980,AS807,0)+IF($C$137=$AE980,AS818,0)+IF($C$138=$AE980,AS829,0)+IF($C$139=$AE980,AS840,0)+IF($C$140=$AE980,AS851,0),"")</f>
        <v>18272.640698915482</v>
      </c>
      <c r="AT981" s="514">
        <f>IF(AT$979&gt;(2020+START!$C$2),AT221+AT273+AT392-IF($A$114=$AE981,AT523,0)-IF($A$115=$AE981,AT534,0)-IF($A$116=$AE981,AT545,0)-IF($A$117=$AE981,AT556,0)-IF($A$118=$AE981,AT567,0)-IF($A$119=$AE981,AT578,0)-IF($A$135=$AE980,AT729,0)-IF($A$136=$AE980,AT740,0)-IF($A$137=$AE980,AT751,0)-IF($A$138=$AE980,AT762,0)-IF($A$139=$AE980,AT773,0)-IF($A$140=$AE980,AT784,0)+IF($C$135=$AE980,AT796,0)+IF($C$136=$AE980,AT807,0)+IF($C$137=$AE980,AT818,0)+IF($C$138=$AE980,AT829,0)+IF($C$139=$AE980,AT840,0)+IF($C$140=$AE980,AT851,0),"")</f>
        <v>18235.284045671462</v>
      </c>
      <c r="AU981" s="514">
        <f>IF(AU$979&gt;(2020+START!$C$2),AU221+AU273+AU392-IF($A$114=$AE981,AU523,0)-IF($A$115=$AE981,AU534,0)-IF($A$116=$AE981,AU545,0)-IF($A$117=$AE981,AU556,0)-IF($A$118=$AE981,AU567,0)-IF($A$119=$AE981,AU578,0)-IF($A$135=$AE980,AU729,0)-IF($A$136=$AE980,AU740,0)-IF($A$137=$AE980,AU751,0)-IF($A$138=$AE980,AU762,0)-IF($A$139=$AE980,AU773,0)-IF($A$140=$AE980,AU784,0)+IF($C$135=$AE980,AU796,0)+IF($C$136=$AE980,AU807,0)+IF($C$137=$AE980,AU818,0)+IF($C$138=$AE980,AU829,0)+IF($C$139=$AE980,AU840,0)+IF($C$140=$AE980,AU851,0),"")</f>
        <v>18031.877068757793</v>
      </c>
      <c r="AV981" s="514">
        <f>IF(AV$979&gt;(2020+START!$C$2),AV221+AV273+AV392-IF($A$114=$AE981,AV523,0)-IF($A$115=$AE981,AV534,0)-IF($A$116=$AE981,AV545,0)-IF($A$117=$AE981,AV556,0)-IF($A$118=$AE981,AV567,0)-IF($A$119=$AE981,AV578,0)-IF($A$135=$AE980,AV729,0)-IF($A$136=$AE980,AV740,0)-IF($A$137=$AE980,AV751,0)-IF($A$138=$AE980,AV762,0)-IF($A$139=$AE980,AV773,0)-IF($A$140=$AE980,AV784,0)+IF($C$135=$AE980,AV796,0)+IF($C$136=$AE980,AV807,0)+IF($C$137=$AE980,AV818,0)+IF($C$138=$AE980,AV829,0)+IF($C$139=$AE980,AV840,0)+IF($C$140=$AE980,AV851,0),"")</f>
        <v>17839.657475574379</v>
      </c>
      <c r="AW981" s="514">
        <f>IF(AW$979&gt;(2020+START!$C$2),AW221+AW273+AW392-IF($A$114=$AE981,AW523,0)-IF($A$115=$AE981,AW534,0)-IF($A$116=$AE981,AW545,0)-IF($A$117=$AE981,AW556,0)-IF($A$118=$AE981,AW567,0)-IF($A$119=$AE981,AW578,0)-IF($A$135=$AE980,AW729,0)-IF($A$136=$AE980,AW740,0)-IF($A$137=$AE980,AW751,0)-IF($A$138=$AE980,AW762,0)-IF($A$139=$AE980,AW773,0)-IF($A$140=$AE980,AW784,0)+IF($C$135=$AE980,AW796,0)+IF($C$136=$AE980,AW807,0)+IF($C$137=$AE980,AW818,0)+IF($C$138=$AE980,AW829,0)+IF($C$139=$AE980,AW840,0)+IF($C$140=$AE980,AW851,0),"")</f>
        <v>17658.009960016047</v>
      </c>
      <c r="AX981" s="514">
        <f>IF(AX$979&gt;(2020+START!$C$2),AX221+AX273+AX392-IF($A$114=$AE981,AX523,0)-IF($A$115=$AE981,AX534,0)-IF($A$116=$AE981,AX545,0)-IF($A$117=$AE981,AX556,0)-IF($A$118=$AE981,AX567,0)-IF($A$119=$AE981,AX578,0)-IF($A$135=$AE980,AX729,0)-IF($A$136=$AE980,AX740,0)-IF($A$137=$AE980,AX751,0)-IF($A$138=$AE980,AX762,0)-IF($A$139=$AE980,AX773,0)-IF($A$140=$AE980,AX784,0)+IF($C$135=$AE980,AX796,0)+IF($C$136=$AE980,AX807,0)+IF($C$137=$AE980,AX818,0)+IF($C$138=$AE980,AX829,0)+IF($C$139=$AE980,AX840,0)+IF($C$140=$AE980,AX851,0),"")</f>
        <v>17486.353057813423</v>
      </c>
      <c r="AY981" s="514">
        <f>IF(AY$979&gt;(2020+START!$C$2),AY221+AY273+AY392-IF($A$114=$AE981,AY523,0)-IF($A$115=$AE981,AY534,0)-IF($A$116=$AE981,AY545,0)-IF($A$117=$AE981,AY556,0)-IF($A$118=$AE981,AY567,0)-IF($A$119=$AE981,AY578,0)-IF($A$135=$AE980,AY729,0)-IF($A$136=$AE980,AY740,0)-IF($A$137=$AE980,AY751,0)-IF($A$138=$AE980,AY762,0)-IF($A$139=$AE980,AY773,0)-IF($A$140=$AE980,AY784,0)+IF($C$135=$AE980,AY796,0)+IF($C$136=$AE980,AY807,0)+IF($C$137=$AE980,AY818,0)+IF($C$138=$AE980,AY829,0)+IF($C$139=$AE980,AY840,0)+IF($C$140=$AE980,AY851,0),"")</f>
        <v>17324.137285231947</v>
      </c>
      <c r="AZ981" s="514">
        <f>IF(AZ$979&gt;(2020+START!$C$2),AZ221+AZ273+AZ392-IF($A$114=$AE981,AZ523,0)-IF($A$115=$AE981,AZ534,0)-IF($A$116=$AE981,AZ545,0)-IF($A$117=$AE981,AZ556,0)-IF($A$118=$AE981,AZ567,0)-IF($A$119=$AE981,AZ578,0)-IF($A$135=$AE980,AZ729,0)-IF($A$136=$AE980,AZ740,0)-IF($A$137=$AE980,AZ751,0)-IF($A$138=$AE980,AZ762,0)-IF($A$139=$AE980,AZ773,0)-IF($A$140=$AE980,AZ784,0)+IF($C$135=$AE980,AZ796,0)+IF($C$136=$AE980,AZ807,0)+IF($C$137=$AE980,AZ818,0)+IF($C$138=$AE980,AZ829,0)+IF($C$139=$AE980,AZ840,0)+IF($C$140=$AE980,AZ851,0),"")</f>
        <v>17170.843380142451</v>
      </c>
      <c r="BA981" s="514">
        <f>IF(BA$979&gt;(2020+START!$C$2),BA221+BA273+BA392-IF($A$114=$AE981,BA523,0)-IF($A$115=$AE981,BA534,0)-IF($A$116=$AE981,BA545,0)-IF($A$117=$AE981,BA556,0)-IF($A$118=$AE981,BA567,0)-IF($A$119=$AE981,BA578,0)-IF($A$135=$AE980,BA729,0)-IF($A$136=$AE980,BA740,0)-IF($A$137=$AE980,BA751,0)-IF($A$138=$AE980,BA762,0)-IF($A$139=$AE980,BA773,0)-IF($A$140=$AE980,BA784,0)+IF($C$135=$AE980,BA796,0)+IF($C$136=$AE980,BA807,0)+IF($C$137=$AE980,BA818,0)+IF($C$138=$AE980,BA829,0)+IF($C$139=$AE980,BA840,0)+IF($C$140=$AE980,BA851,0),"")</f>
        <v>17025.980639832876</v>
      </c>
      <c r="BB981" s="514">
        <f>IF(BB$979&gt;(2020+START!$C$2),BB221+BB273+BB392-IF($A$114=$AE981,BB523,0)-IF($A$115=$AE981,BB534,0)-IF($A$116=$AE981,BB545,0)-IF($A$117=$AE981,BB556,0)-IF($A$118=$AE981,BB567,0)-IF($A$119=$AE981,BB578,0)-IF($A$135=$AE980,BB729,0)-IF($A$136=$AE980,BB740,0)-IF($A$137=$AE980,BB751,0)-IF($A$138=$AE980,BB762,0)-IF($A$139=$AE980,BB773,0)-IF($A$140=$AE980,BB784,0)+IF($C$135=$AE980,BB796,0)+IF($C$136=$AE980,BB807,0)+IF($C$137=$AE980,BB818,0)+IF($C$138=$AE980,BB829,0)+IF($C$139=$AE980,BB840,0)+IF($C$140=$AE980,BB851,0),"")</f>
        <v>16889.08535024033</v>
      </c>
      <c r="BC981" s="514">
        <f>IF(BC$979&gt;(2020+START!$C$2),BC221+BC273+BC392-IF($A$114=$AE981,BC523,0)-IF($A$115=$AE981,BC534,0)-IF($A$116=$AE981,BC545,0)-IF($A$117=$AE981,BC556,0)-IF($A$118=$AE981,BC567,0)-IF($A$119=$AE981,BC578,0)-IF($A$135=$AE980,BC729,0)-IF($A$136=$AE980,BC740,0)-IF($A$137=$AE980,BC751,0)-IF($A$138=$AE980,BC762,0)-IF($A$139=$AE980,BC773,0)-IF($A$140=$AE980,BC784,0)+IF($C$135=$AE980,BC796,0)+IF($C$136=$AE980,BC807,0)+IF($C$137=$AE980,BC818,0)+IF($C$138=$AE980,BC829,0)+IF($C$139=$AE980,BC840,0)+IF($C$140=$AE980,BC851,0),"")</f>
        <v>16759.719301575373</v>
      </c>
      <c r="BD981" s="514">
        <f>IF(BD$979&gt;(2020+START!$C$2),BD221+BD273+BD392-IF($A$114=$AE981,BD523,0)-IF($A$115=$AE981,BD534,0)-IF($A$116=$AE981,BD545,0)-IF($A$117=$AE981,BD556,0)-IF($A$118=$AE981,BD567,0)-IF($A$119=$AE981,BD578,0)-IF($A$135=$AE980,BD729,0)-IF($A$136=$AE980,BD740,0)-IF($A$137=$AE980,BD751,0)-IF($A$138=$AE980,BD762,0)-IF($A$139=$AE980,BD773,0)-IF($A$140=$AE980,BD784,0)+IF($C$135=$AE980,BD796,0)+IF($C$136=$AE980,BD807,0)+IF($C$137=$AE980,BD818,0)+IF($C$138=$AE980,BD829,0)+IF($C$139=$AE980,BD840,0)+IF($C$140=$AE980,BD851,0),"")</f>
        <v>16637.468385586988</v>
      </c>
      <c r="BE981" s="514">
        <f>IF(BE$979&gt;(2020+START!$C$2),BE221+BE273+BE392-IF($A$114=$AE981,BE523,0)-IF($A$115=$AE981,BE534,0)-IF($A$116=$AE981,BE545,0)-IF($A$117=$AE981,BE556,0)-IF($A$118=$AE981,BE567,0)-IF($A$119=$AE981,BE578,0)-IF($A$135=$AE980,BE729,0)-IF($A$136=$AE980,BE740,0)-IF($A$137=$AE980,BE751,0)-IF($A$138=$AE980,BE762,0)-IF($A$139=$AE980,BE773,0)-IF($A$140=$AE980,BE784,0)+IF($C$135=$AE980,BE796,0)+IF($C$136=$AE980,BE807,0)+IF($C$137=$AE980,BE818,0)+IF($C$138=$AE980,BE829,0)+IF($C$139=$AE980,BE840,0)+IF($C$140=$AE980,BE851,0),"")</f>
        <v>16521.941269977964</v>
      </c>
      <c r="BF981" s="514">
        <f>IF(BF$979&gt;(2020+START!$C$2),BF221+BF273+BF392-IF($A$114=$AE981,BF523,0)-IF($A$115=$AE981,BF534,0)-IF($A$116=$AE981,BF545,0)-IF($A$117=$AE981,BF556,0)-IF($A$118=$AE981,BF567,0)-IF($A$119=$AE981,BF578,0)-IF($A$135=$AE980,BF729,0)-IF($A$136=$AE980,BF740,0)-IF($A$137=$AE980,BF751,0)-IF($A$138=$AE980,BF762,0)-IF($A$139=$AE980,BF773,0)-IF($A$140=$AE980,BF784,0)+IF($C$135=$AE980,BF796,0)+IF($C$136=$AE980,BF807,0)+IF($C$137=$AE980,BF818,0)+IF($C$138=$AE980,BF829,0)+IF($C$139=$AE980,BF840,0)+IF($C$140=$AE980,BF851,0),"")</f>
        <v>16412.768145727438</v>
      </c>
      <c r="BG981" s="514">
        <f>IF(BG$979&gt;(2020+START!$C$2),BG221+BG273+BG392-IF($A$114=$AE981,BG523,0)-IF($A$115=$AE981,BG534,0)-IF($A$116=$AE981,BG545,0)-IF($A$117=$AE981,BG556,0)-IF($A$118=$AE981,BG567,0)-IF($A$119=$AE981,BG578,0)-IF($A$135=$AE980,BG729,0)-IF($A$136=$AE980,BG740,0)-IF($A$137=$AE980,BG751,0)-IF($A$138=$AE980,BG762,0)-IF($A$139=$AE980,BG773,0)-IF($A$140=$AE980,BG784,0)+IF($C$135=$AE980,BG796,0)+IF($C$136=$AE980,BG807,0)+IF($C$137=$AE980,BG818,0)+IF($C$138=$AE980,BG829,0)+IF($C$139=$AE980,BG840,0)+IF($C$140=$AE980,BG851,0),"")</f>
        <v>16309.599543310689</v>
      </c>
      <c r="BH981" s="514">
        <f>IF(BH$979&gt;(2020+START!$C$2),BH221+BH273+BH392-IF($A$114=$AE981,BH523,0)-IF($A$115=$AE981,BH534,0)-IF($A$116=$AE981,BH545,0)-IF($A$117=$AE981,BH556,0)-IF($A$118=$AE981,BH567,0)-IF($A$119=$AE981,BH578,0)-IF($A$135=$AE980,BH729,0)-IF($A$136=$AE980,BH740,0)-IF($A$137=$AE980,BH751,0)-IF($A$138=$AE980,BH762,0)-IF($A$139=$AE980,BH773,0)-IF($A$140=$AE980,BH784,0)+IF($C$135=$AE980,BH796,0)+IF($C$136=$AE980,BH807,0)+IF($C$137=$AE980,BH818,0)+IF($C$138=$AE980,BH829,0)+IF($C$139=$AE980,BH840,0)+IF($C$140=$AE980,BH851,0),"")</f>
        <v>16212.105214026862</v>
      </c>
      <c r="BI981" s="514">
        <f>IF(BI$979&gt;(2020+START!$C$2),BI221+BI273+BI392-IF($A$114=$AE981,BI523,0)-IF($A$115=$AE981,BI534,0)-IF($A$116=$AE981,BI545,0)-IF($A$117=$AE981,BI556,0)-IF($A$118=$AE981,BI567,0)-IF($A$119=$AE981,BI578,0)-IF($A$135=$AE980,BI729,0)-IF($A$136=$AE980,BI740,0)-IF($A$137=$AE980,BI751,0)-IF($A$138=$AE980,BI762,0)-IF($A$139=$AE980,BI773,0)-IF($A$140=$AE980,BI784,0)+IF($C$135=$AE980,BI796,0)+IF($C$136=$AE980,BI807,0)+IF($C$137=$AE980,BI818,0)+IF($C$138=$AE980,BI829,0)+IF($C$139=$AE980,BI840,0)+IF($C$140=$AE980,BI851,0),"")</f>
        <v>16119.973072853645</v>
      </c>
      <c r="BJ981" s="514">
        <f>IF(BJ$979&gt;(2020+START!$C$2),BJ221+BJ273+BJ392-IF($A$114=$AE981,BJ523,0)-IF($A$115=$AE981,BJ534,0)-IF($A$116=$AE981,BJ545,0)-IF($A$117=$AE981,BJ556,0)-IF($A$118=$AE981,BJ567,0)-IF($A$119=$AE981,BJ578,0)-IF($A$135=$AE980,BJ729,0)-IF($A$136=$AE980,BJ740,0)-IF($A$137=$AE980,BJ751,0)-IF($A$138=$AE980,BJ762,0)-IF($A$139=$AE980,BJ773,0)-IF($A$140=$AE980,BJ784,0)+IF($C$135=$AE980,BJ796,0)+IF($C$136=$AE980,BJ807,0)+IF($C$137=$AE980,BJ818,0)+IF($C$138=$AE980,BJ829,0)+IF($C$139=$AE980,BJ840,0)+IF($C$140=$AE980,BJ851,0),"")</f>
        <v>16032.908199444955</v>
      </c>
      <c r="BK981" s="514">
        <f>IF(BK$979&gt;(2020+START!$C$2),BK221+BK273+BK392-IF($A$114=$AE981,BK523,0)-IF($A$115=$AE981,BK534,0)-IF($A$116=$AE981,BK545,0)-IF($A$117=$AE981,BK556,0)-IF($A$118=$AE981,BK567,0)-IF($A$119=$AE981,BK578,0)-IF($A$135=$AE980,BK729,0)-IF($A$136=$AE980,BK740,0)-IF($A$137=$AE980,BK751,0)-IF($A$138=$AE980,BK762,0)-IF($A$139=$AE980,BK773,0)-IF($A$140=$AE980,BK784,0)+IF($C$135=$AE980,BK796,0)+IF($C$136=$AE980,BK807,0)+IF($C$137=$AE980,BK818,0)+IF($C$138=$AE980,BK829,0)+IF($C$139=$AE980,BK840,0)+IF($C$140=$AE980,BK851,0),"")</f>
        <v>15950.631894073744</v>
      </c>
      <c r="BL981" s="514">
        <f>IF(BL$979&gt;(2020+START!$C$2),BL221+BL273+BL392-IF($A$114=$AE981,BL523,0)-IF($A$115=$AE981,BL534,0)-IF($A$116=$AE981,BL545,0)-IF($A$117=$AE981,BL556,0)-IF($A$118=$AE981,BL567,0)-IF($A$119=$AE981,BL578,0)-IF($A$135=$AE980,BL729,0)-IF($A$136=$AE980,BL740,0)-IF($A$137=$AE980,BL751,0)-IF($A$138=$AE980,BL762,0)-IF($A$139=$AE980,BL773,0)-IF($A$140=$AE980,BL784,0)+IF($C$135=$AE980,BL796,0)+IF($C$136=$AE980,BL807,0)+IF($C$137=$AE980,BL818,0)+IF($C$138=$AE980,BL829,0)+IF($C$139=$AE980,BL840,0)+IF($C$140=$AE980,BL851,0),"")</f>
        <v>15872.88078549795</v>
      </c>
      <c r="BM981" s="514">
        <f>IF(BM$979&gt;(2020+START!$C$2),BM221+BM273+BM392-IF($A$114=$AE981,BM523,0)-IF($A$115=$AE981,BM534,0)-IF($A$116=$AE981,BM545,0)-IF($A$117=$AE981,BM556,0)-IF($A$118=$AE981,BM567,0)-IF($A$119=$AE981,BM578,0)-IF($A$135=$AE980,BM729,0)-IF($A$136=$AE980,BM740,0)-IF($A$137=$AE980,BM751,0)-IF($A$138=$AE980,BM762,0)-IF($A$139=$AE980,BM773,0)-IF($A$140=$AE980,BM784,0)+IF($C$135=$AE980,BM796,0)+IF($C$136=$AE980,BM807,0)+IF($C$137=$AE980,BM818,0)+IF($C$138=$AE980,BM829,0)+IF($C$139=$AE980,BM840,0)+IF($C$140=$AE980,BM851,0),"")</f>
        <v>15799.405987893824</v>
      </c>
      <c r="BN981" s="514">
        <f>IF(BN$979&gt;(2020+START!$C$2),BN221+BN273+BN392-IF($A$114=$AE981,BN523,0)-IF($A$115=$AE981,BN534,0)-IF($A$116=$AE981,BN545,0)-IF($A$117=$AE981,BN556,0)-IF($A$118=$AE981,BN567,0)-IF($A$119=$AE981,BN578,0)-IF($A$135=$AE980,BN729,0)-IF($A$136=$AE980,BN740,0)-IF($A$137=$AE980,BN751,0)-IF($A$138=$AE980,BN762,0)-IF($A$139=$AE980,BN773,0)-IF($A$140=$AE980,BN784,0)+IF($C$135=$AE980,BN796,0)+IF($C$136=$AE980,BN807,0)+IF($C$137=$AE980,BN818,0)+IF($C$138=$AE980,BN829,0)+IF($C$139=$AE980,BN840,0)+IF($C$140=$AE980,BN851,0),"")</f>
        <v>15729.972304157924</v>
      </c>
    </row>
    <row r="982" spans="14:66" ht="20.100000000000001" customHeight="1">
      <c r="N982" s="279"/>
      <c r="O982" s="279"/>
      <c r="P982" s="279"/>
      <c r="Q982" s="279"/>
      <c r="R982" s="279"/>
      <c r="S982" s="279"/>
      <c r="T982" s="279"/>
      <c r="U982" s="279"/>
      <c r="V982" s="279"/>
      <c r="W982" s="279"/>
      <c r="X982" s="279"/>
      <c r="Y982" s="279"/>
      <c r="Z982" s="279"/>
      <c r="AA982" s="279"/>
      <c r="AB982" s="279"/>
      <c r="AC982" s="279"/>
      <c r="AD982" s="279"/>
      <c r="AE982" s="279">
        <f t="shared" ref="AE982:AE989" si="1210">AE981+1</f>
        <v>3</v>
      </c>
      <c r="AF982" s="280" t="str">
        <f>INDEX('DEFAULT DATA'!$AIU$9:$AJD$41,START!$C$3,3)</f>
        <v>Semi-detached</v>
      </c>
      <c r="AG982" s="366"/>
      <c r="AH982" s="366"/>
      <c r="AI982" s="366"/>
      <c r="AJ982" s="366"/>
      <c r="AK982" s="366"/>
      <c r="AL982" s="514" t="str">
        <f>IF(AL$979&gt;(2020+START!$C$2),AL222+AL283+AL402-IF($A$114=$AE982,AL523,0)-IF($A$115=$AE982,AL534,0)-IF($A$116=$AE982,AL545,0)-IF($A$117=$AE982,AL556,0)-IF($A$118=$AE982,AL567,0)-IF($A$119=$AE982,AL578,0)-IF($A$135=$AE980,AL729,0)-IF($A$136=$AE980,AL740,0)-IF($A$137=$AE980,AL751,0)-IF($A$138=$AE980,AL762,0)-IF($A$139=$AE980,AL773,0)-IF($A$140=$AE980,AL784,0)+IF($C$135=$AE980,AL796,0)+IF($C$136=$AE980,AL807,0)+IF($C$137=$AE980,AL818,0)+IF($C$138=$AE980,AL829,0)+IF($C$139=$AE980,AL840,0)+IF($C$140=$AE980,AL851,0),"")</f>
        <v/>
      </c>
      <c r="AM982" s="514">
        <f>IF(AM$979&gt;(2020+START!$C$2),AM222+AM283+AM402-IF($A$114=$AE982,AM523,0)-IF($A$115=$AE982,AM534,0)-IF($A$116=$AE982,AM545,0)-IF($A$117=$AE982,AM556,0)-IF($A$118=$AE982,AM567,0)-IF($A$119=$AE982,AM578,0)-IF($A$135=$AE980,AM729,0)-IF($A$136=$AE980,AM740,0)-IF($A$137=$AE980,AM751,0)-IF($A$138=$AE980,AM762,0)-IF($A$139=$AE980,AM773,0)-IF($A$140=$AE980,AM784,0)+IF($C$135=$AE980,AM796,0)+IF($C$136=$AE980,AM807,0)+IF($C$137=$AE980,AM818,0)+IF($C$138=$AE980,AM829,0)+IF($C$139=$AE980,AM840,0)+IF($C$140=$AE980,AM851,0),"")</f>
        <v>77893.050264105928</v>
      </c>
      <c r="AN982" s="514">
        <f>IF(AN$979&gt;(2020+START!$C$2),AN222+AN283+AN402-IF($A$114=$AE982,AN523,0)-IF($A$115=$AE982,AN534,0)-IF($A$116=$AE982,AN545,0)-IF($A$117=$AE982,AN556,0)-IF($A$118=$AE982,AN567,0)-IF($A$119=$AE982,AN578,0)-IF($A$135=$AE980,AN729,0)-IF($A$136=$AE980,AN740,0)-IF($A$137=$AE980,AN751,0)-IF($A$138=$AE980,AN762,0)-IF($A$139=$AE980,AN773,0)-IF($A$140=$AE980,AN784,0)+IF($C$135=$AE980,AN796,0)+IF($C$136=$AE980,AN807,0)+IF($C$137=$AE980,AN818,0)+IF($C$138=$AE980,AN829,0)+IF($C$139=$AE980,AN840,0)+IF($C$140=$AE980,AN851,0),"")</f>
        <v>77726.029609468314</v>
      </c>
      <c r="AO982" s="514">
        <f>IF(AO$979&gt;(2020+START!$C$2),AO222+AO283+AO402-IF($A$114=$AE982,AO523,0)-IF($A$115=$AE982,AO534,0)-IF($A$116=$AE982,AO545,0)-IF($A$117=$AE982,AO556,0)-IF($A$118=$AE982,AO567,0)-IF($A$119=$AE982,AO578,0)-IF($A$135=$AE980,AO729,0)-IF($A$136=$AE980,AO740,0)-IF($A$137=$AE980,AO751,0)-IF($A$138=$AE980,AO762,0)-IF($A$139=$AE980,AO773,0)-IF($A$140=$AE980,AO784,0)+IF($C$135=$AE980,AO796,0)+IF($C$136=$AE980,AO807,0)+IF($C$137=$AE980,AO818,0)+IF($C$138=$AE980,AO829,0)+IF($C$139=$AE980,AO840,0)+IF($C$140=$AE980,AO851,0),"")</f>
        <v>77560.679161377077</v>
      </c>
      <c r="AP982" s="514">
        <f>IF(AP$979&gt;(2020+START!$C$2),AP222+AP283+AP402-IF($A$114=$AE982,AP523,0)-IF($A$115=$AE982,AP534,0)-IF($A$116=$AE982,AP545,0)-IF($A$117=$AE982,AP556,0)-IF($A$118=$AE982,AP567,0)-IF($A$119=$AE982,AP578,0)-IF($A$135=$AE980,AP729,0)-IF($A$136=$AE980,AP740,0)-IF($A$137=$AE980,AP751,0)-IF($A$138=$AE980,AP762,0)-IF($A$139=$AE980,AP773,0)-IF($A$140=$AE980,AP784,0)+IF($C$135=$AE980,AP796,0)+IF($C$136=$AE980,AP807,0)+IF($C$137=$AE980,AP818,0)+IF($C$138=$AE980,AP829,0)+IF($C$139=$AE980,AP840,0)+IF($C$140=$AE980,AP851,0),"")</f>
        <v>77396.982217766752</v>
      </c>
      <c r="AQ982" s="514">
        <f>IF(AQ$979&gt;(2020+START!$C$2),AQ222+AQ283+AQ402-IF($A$114=$AE982,AQ523,0)-IF($A$115=$AE982,AQ534,0)-IF($A$116=$AE982,AQ545,0)-IF($A$117=$AE982,AQ556,0)-IF($A$118=$AE982,AQ567,0)-IF($A$119=$AE982,AQ578,0)-IF($A$135=$AE980,AQ729,0)-IF($A$136=$AE980,AQ740,0)-IF($A$137=$AE980,AQ751,0)-IF($A$138=$AE980,AQ762,0)-IF($A$139=$AE980,AQ773,0)-IF($A$140=$AE980,AQ784,0)+IF($C$135=$AE980,AQ796,0)+IF($C$136=$AE980,AQ807,0)+IF($C$137=$AE980,AQ818,0)+IF($C$138=$AE980,AQ829,0)+IF($C$139=$AE980,AQ840,0)+IF($C$140=$AE980,AQ851,0),"")</f>
        <v>77234.922243592533</v>
      </c>
      <c r="AR982" s="514">
        <f>IF(AR$979&gt;(2020+START!$C$2),AR222+AR283+AR402-IF($A$114=$AE982,AR523,0)-IF($A$115=$AE982,AR534,0)-IF($A$116=$AE982,AR545,0)-IF($A$117=$AE982,AR556,0)-IF($A$118=$AE982,AR567,0)-IF($A$119=$AE982,AR578,0)-IF($A$135=$AE980,AR729,0)-IF($A$136=$AE980,AR740,0)-IF($A$137=$AE980,AR751,0)-IF($A$138=$AE980,AR762,0)-IF($A$139=$AE980,AR773,0)-IF($A$140=$AE980,AR784,0)+IF($C$135=$AE980,AR796,0)+IF($C$136=$AE980,AR807,0)+IF($C$137=$AE980,AR818,0)+IF($C$138=$AE980,AR829,0)+IF($C$139=$AE980,AR840,0)+IF($C$140=$AE980,AR851,0),"")</f>
        <v>77074.482869160041</v>
      </c>
      <c r="AS982" s="514">
        <f>IF(AS$979&gt;(2020+START!$C$2),AS222+AS283+AS402-IF($A$114=$AE982,AS523,0)-IF($A$115=$AE982,AS534,0)-IF($A$116=$AE982,AS545,0)-IF($A$117=$AE982,AS556,0)-IF($A$118=$AE982,AS567,0)-IF($A$119=$AE982,AS578,0)-IF($A$135=$AE980,AS729,0)-IF($A$136=$AE980,AS740,0)-IF($A$137=$AE980,AS751,0)-IF($A$138=$AE980,AS762,0)-IF($A$139=$AE980,AS773,0)-IF($A$140=$AE980,AS784,0)+IF($C$135=$AE980,AS796,0)+IF($C$136=$AE980,AS807,0)+IF($C$137=$AE980,AS818,0)+IF($C$138=$AE980,AS829,0)+IF($C$139=$AE980,AS840,0)+IF($C$140=$AE980,AS851,0),"")</f>
        <v>76915.647888471896</v>
      </c>
      <c r="AT982" s="514">
        <f>IF(AT$979&gt;(2020+START!$C$2),AT222+AT283+AT402-IF($A$114=$AE982,AT523,0)-IF($A$115=$AE982,AT534,0)-IF($A$116=$AE982,AT545,0)-IF($A$117=$AE982,AT556,0)-IF($A$118=$AE982,AT567,0)-IF($A$119=$AE982,AT578,0)-IF($A$135=$AE980,AT729,0)-IF($A$136=$AE980,AT740,0)-IF($A$137=$AE980,AT751,0)-IF($A$138=$AE980,AT762,0)-IF($A$139=$AE980,AT773,0)-IF($A$140=$AE980,AT784,0)+IF($C$135=$AE980,AT796,0)+IF($C$136=$AE980,AT807,0)+IF($C$137=$AE980,AT818,0)+IF($C$138=$AE980,AT829,0)+IF($C$139=$AE980,AT840,0)+IF($C$140=$AE980,AT851,0),"")</f>
        <v>76758.401257590624</v>
      </c>
      <c r="AU982" s="514">
        <f>IF(AU$979&gt;(2020+START!$C$2),AU222+AU283+AU402-IF($A$114=$AE982,AU523,0)-IF($A$115=$AE982,AU534,0)-IF($A$116=$AE982,AU545,0)-IF($A$117=$AE982,AU556,0)-IF($A$118=$AE982,AU567,0)-IF($A$119=$AE982,AU578,0)-IF($A$135=$AE980,AU729,0)-IF($A$136=$AE980,AU740,0)-IF($A$137=$AE980,AU751,0)-IF($A$138=$AE980,AU762,0)-IF($A$139=$AE980,AU773,0)-IF($A$140=$AE980,AU784,0)+IF($C$135=$AE980,AU796,0)+IF($C$136=$AE980,AU807,0)+IF($C$137=$AE980,AU818,0)+IF($C$138=$AE980,AU829,0)+IF($C$139=$AE980,AU840,0)+IF($C$140=$AE980,AU851,0),"")</f>
        <v>75902.193352442089</v>
      </c>
      <c r="AV982" s="514">
        <f>IF(AV$979&gt;(2020+START!$C$2),AV222+AV283+AV402-IF($A$114=$AE982,AV523,0)-IF($A$115=$AE982,AV534,0)-IF($A$116=$AE982,AV545,0)-IF($A$117=$AE982,AV556,0)-IF($A$118=$AE982,AV567,0)-IF($A$119=$AE982,AV578,0)-IF($A$135=$AE980,AV729,0)-IF($A$136=$AE980,AV740,0)-IF($A$137=$AE980,AV751,0)-IF($A$138=$AE980,AV762,0)-IF($A$139=$AE980,AV773,0)-IF($A$140=$AE980,AV784,0)+IF($C$135=$AE980,AV796,0)+IF($C$136=$AE980,AV807,0)+IF($C$137=$AE980,AV818,0)+IF($C$138=$AE980,AV829,0)+IF($C$139=$AE980,AV840,0)+IF($C$140=$AE980,AV851,0),"")</f>
        <v>75093.076882076712</v>
      </c>
      <c r="AW982" s="514">
        <f>IF(AW$979&gt;(2020+START!$C$2),AW222+AW283+AW402-IF($A$114=$AE982,AW523,0)-IF($A$115=$AE982,AW534,0)-IF($A$116=$AE982,AW545,0)-IF($A$117=$AE982,AW556,0)-IF($A$118=$AE982,AW567,0)-IF($A$119=$AE982,AW578,0)-IF($A$135=$AE980,AW729,0)-IF($A$136=$AE980,AW740,0)-IF($A$137=$AE980,AW751,0)-IF($A$138=$AE980,AW762,0)-IF($A$139=$AE980,AW773,0)-IF($A$140=$AE980,AW784,0)+IF($C$135=$AE980,AW796,0)+IF($C$136=$AE980,AW807,0)+IF($C$137=$AE980,AW818,0)+IF($C$138=$AE980,AW829,0)+IF($C$139=$AE980,AW840,0)+IF($C$140=$AE980,AW851,0),"")</f>
        <v>74328.461817581439</v>
      </c>
      <c r="AX982" s="514">
        <f>IF(AX$979&gt;(2020+START!$C$2),AX222+AX283+AX402-IF($A$114=$AE982,AX523,0)-IF($A$115=$AE982,AX534,0)-IF($A$116=$AE982,AX545,0)-IF($A$117=$AE982,AX556,0)-IF($A$118=$AE982,AX567,0)-IF($A$119=$AE982,AX578,0)-IF($A$135=$AE980,AX729,0)-IF($A$136=$AE980,AX740,0)-IF($A$137=$AE980,AX751,0)-IF($A$138=$AE980,AX762,0)-IF($A$139=$AE980,AX773,0)-IF($A$140=$AE980,AX784,0)+IF($C$135=$AE980,AX796,0)+IF($C$136=$AE980,AX807,0)+IF($C$137=$AE980,AX818,0)+IF($C$138=$AE980,AX829,0)+IF($C$139=$AE980,AX840,0)+IF($C$140=$AE980,AX851,0),"")</f>
        <v>73605.90058163341</v>
      </c>
      <c r="AY982" s="514">
        <f>IF(AY$979&gt;(2020+START!$C$2),AY222+AY283+AY402-IF($A$114=$AE982,AY523,0)-IF($A$115=$AE982,AY534,0)-IF($A$116=$AE982,AY545,0)-IF($A$117=$AE982,AY556,0)-IF($A$118=$AE982,AY567,0)-IF($A$119=$AE982,AY578,0)-IF($A$135=$AE980,AY729,0)-IF($A$136=$AE980,AY740,0)-IF($A$137=$AE980,AY751,0)-IF($A$138=$AE980,AY762,0)-IF($A$139=$AE980,AY773,0)-IF($A$140=$AE980,AY784,0)+IF($C$135=$AE980,AY796,0)+IF($C$136=$AE980,AY807,0)+IF($C$137=$AE980,AY818,0)+IF($C$138=$AE980,AY829,0)+IF($C$139=$AE980,AY840,0)+IF($C$140=$AE980,AY851,0),"")</f>
        <v>72923.080213662513</v>
      </c>
      <c r="AZ982" s="514">
        <f>IF(AZ$979&gt;(2020+START!$C$2),AZ222+AZ283+AZ402-IF($A$114=$AE982,AZ523,0)-IF($A$115=$AE982,AZ534,0)-IF($A$116=$AE982,AZ545,0)-IF($A$117=$AE982,AZ556,0)-IF($A$118=$AE982,AZ567,0)-IF($A$119=$AE982,AZ578,0)-IF($A$135=$AE980,AZ729,0)-IF($A$136=$AE980,AZ740,0)-IF($A$137=$AE980,AZ751,0)-IF($A$138=$AE980,AZ762,0)-IF($A$139=$AE980,AZ773,0)-IF($A$140=$AE980,AZ784,0)+IF($C$135=$AE980,AZ796,0)+IF($C$136=$AE980,AZ807,0)+IF($C$137=$AE980,AZ818,0)+IF($C$138=$AE980,AZ829,0)+IF($C$139=$AE980,AZ840,0)+IF($C$140=$AE980,AZ851,0),"")</f>
        <v>72277.814965930011</v>
      </c>
      <c r="BA982" s="514">
        <f>IF(BA$979&gt;(2020+START!$C$2),BA222+BA283+BA402-IF($A$114=$AE982,BA523,0)-IF($A$115=$AE982,BA534,0)-IF($A$116=$AE982,BA545,0)-IF($A$117=$AE982,BA556,0)-IF($A$118=$AE982,BA567,0)-IF($A$119=$AE982,BA578,0)-IF($A$135=$AE980,BA729,0)-IF($A$136=$AE980,BA740,0)-IF($A$137=$AE980,BA751,0)-IF($A$138=$AE980,BA762,0)-IF($A$139=$AE980,BA773,0)-IF($A$140=$AE980,BA784,0)+IF($C$135=$AE980,BA796,0)+IF($C$136=$AE980,BA807,0)+IF($C$137=$AE980,BA818,0)+IF($C$138=$AE980,BA829,0)+IF($C$139=$AE980,BA840,0)+IF($C$140=$AE980,BA851,0),"")</f>
        <v>71668.039306822815</v>
      </c>
      <c r="BB982" s="514">
        <f>IF(BB$979&gt;(2020+START!$C$2),BB222+BB283+BB402-IF($A$114=$AE982,BB523,0)-IF($A$115=$AE982,BB534,0)-IF($A$116=$AE982,BB545,0)-IF($A$117=$AE982,BB556,0)-IF($A$118=$AE982,BB567,0)-IF($A$119=$AE982,BB578,0)-IF($A$135=$AE980,BB729,0)-IF($A$136=$AE980,BB740,0)-IF($A$137=$AE980,BB751,0)-IF($A$138=$AE980,BB762,0)-IF($A$139=$AE980,BB773,0)-IF($A$140=$AE980,BB784,0)+IF($C$135=$AE980,BB796,0)+IF($C$136=$AE980,BB807,0)+IF($C$137=$AE980,BB818,0)+IF($C$138=$AE980,BB829,0)+IF($C$139=$AE980,BB840,0)+IF($C$140=$AE980,BB851,0),"")</f>
        <v>71091.801308966504</v>
      </c>
      <c r="BC982" s="514">
        <f>IF(BC$979&gt;(2020+START!$C$2),BC222+BC283+BC402-IF($A$114=$AE982,BC523,0)-IF($A$115=$AE982,BC534,0)-IF($A$116=$AE982,BC545,0)-IF($A$117=$AE982,BC556,0)-IF($A$118=$AE982,BC567,0)-IF($A$119=$AE982,BC578,0)-IF($A$135=$AE980,BC729,0)-IF($A$136=$AE980,BC740,0)-IF($A$137=$AE980,BC751,0)-IF($A$138=$AE980,BC762,0)-IF($A$139=$AE980,BC773,0)-IF($A$140=$AE980,BC784,0)+IF($C$135=$AE980,BC796,0)+IF($C$136=$AE980,BC807,0)+IF($C$137=$AE980,BC818,0)+IF($C$138=$AE980,BC829,0)+IF($C$139=$AE980,BC840,0)+IF($C$140=$AE980,BC851,0),"")</f>
        <v>70547.256400992293</v>
      </c>
      <c r="BD982" s="514">
        <f>IF(BD$979&gt;(2020+START!$C$2),BD222+BD283+BD402-IF($A$114=$AE982,BD523,0)-IF($A$115=$AE982,BD534,0)-IF($A$116=$AE982,BD545,0)-IF($A$117=$AE982,BD556,0)-IF($A$118=$AE982,BD567,0)-IF($A$119=$AE982,BD578,0)-IF($A$135=$AE980,BD729,0)-IF($A$136=$AE980,BD740,0)-IF($A$137=$AE980,BD751,0)-IF($A$138=$AE980,BD762,0)-IF($A$139=$AE980,BD773,0)-IF($A$140=$AE980,BD784,0)+IF($C$135=$AE980,BD796,0)+IF($C$136=$AE980,BD807,0)+IF($C$137=$AE980,BD818,0)+IF($C$138=$AE980,BD829,0)+IF($C$139=$AE980,BD840,0)+IF($C$140=$AE980,BD851,0),"")</f>
        <v>70032.661462956661</v>
      </c>
      <c r="BE982" s="514">
        <f>IF(BE$979&gt;(2020+START!$C$2),BE222+BE283+BE402-IF($A$114=$AE982,BE523,0)-IF($A$115=$AE982,BE534,0)-IF($A$116=$AE982,BE545,0)-IF($A$117=$AE982,BE556,0)-IF($A$118=$AE982,BE567,0)-IF($A$119=$AE982,BE578,0)-IF($A$135=$AE980,BE729,0)-IF($A$136=$AE980,BE740,0)-IF($A$137=$AE980,BE751,0)-IF($A$138=$AE980,BE762,0)-IF($A$139=$AE980,BE773,0)-IF($A$140=$AE980,BE784,0)+IF($C$135=$AE980,BE796,0)+IF($C$136=$AE980,BE807,0)+IF($C$137=$AE980,BE818,0)+IF($C$138=$AE980,BE829,0)+IF($C$139=$AE980,BE840,0)+IF($C$140=$AE980,BE851,0),"")</f>
        <v>69546.369246512986</v>
      </c>
      <c r="BF982" s="514">
        <f>IF(BF$979&gt;(2020+START!$C$2),BF222+BF283+BF402-IF($A$114=$AE982,BF523,0)-IF($A$115=$AE982,BF534,0)-IF($A$116=$AE982,BF545,0)-IF($A$117=$AE982,BF556,0)-IF($A$118=$AE982,BF567,0)-IF($A$119=$AE982,BF578,0)-IF($A$135=$AE980,BF729,0)-IF($A$136=$AE980,BF740,0)-IF($A$137=$AE980,BF751,0)-IF($A$138=$AE980,BF762,0)-IF($A$139=$AE980,BF773,0)-IF($A$140=$AE980,BF784,0)+IF($C$135=$AE980,BF796,0)+IF($C$136=$AE980,BF807,0)+IF($C$137=$AE980,BF818,0)+IF($C$138=$AE980,BF829,0)+IF($C$139=$AE980,BF840,0)+IF($C$140=$AE980,BF851,0),"")</f>
        <v>69086.823101973714</v>
      </c>
      <c r="BG982" s="514">
        <f>IF(BG$979&gt;(2020+START!$C$2),BG222+BG283+BG402-IF($A$114=$AE982,BG523,0)-IF($A$115=$AE982,BG534,0)-IF($A$116=$AE982,BG545,0)-IF($A$117=$AE982,BG556,0)-IF($A$118=$AE982,BG567,0)-IF($A$119=$AE982,BG578,0)-IF($A$135=$AE980,BG729,0)-IF($A$136=$AE980,BG740,0)-IF($A$137=$AE980,BG751,0)-IF($A$138=$AE980,BG762,0)-IF($A$139=$AE980,BG773,0)-IF($A$140=$AE980,BG784,0)+IF($C$135=$AE980,BG796,0)+IF($C$136=$AE980,BG807,0)+IF($C$137=$AE980,BG818,0)+IF($C$138=$AE980,BG829,0)+IF($C$139=$AE980,BG840,0)+IF($C$140=$AE980,BG851,0),"")</f>
        <v>68652.551995384114</v>
      </c>
      <c r="BH982" s="514">
        <f>IF(BH$979&gt;(2020+START!$C$2),BH222+BH283+BH402-IF($A$114=$AE982,BH523,0)-IF($A$115=$AE982,BH534,0)-IF($A$116=$AE982,BH545,0)-IF($A$117=$AE982,BH556,0)-IF($A$118=$AE982,BH567,0)-IF($A$119=$AE982,BH578,0)-IF($A$135=$AE980,BH729,0)-IF($A$136=$AE980,BH740,0)-IF($A$137=$AE980,BH751,0)-IF($A$138=$AE980,BH762,0)-IF($A$139=$AE980,BH773,0)-IF($A$140=$AE980,BH784,0)+IF($C$135=$AE980,BH796,0)+IF($C$136=$AE980,BH807,0)+IF($C$137=$AE980,BH818,0)+IF($C$138=$AE980,BH829,0)+IF($C$139=$AE980,BH840,0)+IF($C$140=$AE980,BH851,0),"")</f>
        <v>68242.165799656941</v>
      </c>
      <c r="BI982" s="514">
        <f>IF(BI$979&gt;(2020+START!$C$2),BI222+BI283+BI402-IF($A$114=$AE982,BI523,0)-IF($A$115=$AE982,BI534,0)-IF($A$116=$AE982,BI545,0)-IF($A$117=$AE982,BI556,0)-IF($A$118=$AE982,BI567,0)-IF($A$119=$AE982,BI578,0)-IF($A$135=$AE980,BI729,0)-IF($A$136=$AE980,BI740,0)-IF($A$137=$AE980,BI751,0)-IF($A$138=$AE980,BI762,0)-IF($A$139=$AE980,BI773,0)-IF($A$140=$AE980,BI784,0)+IF($C$135=$AE980,BI796,0)+IF($C$136=$AE980,BI807,0)+IF($C$137=$AE980,BI818,0)+IF($C$138=$AE980,BI829,0)+IF($C$139=$AE980,BI840,0)+IF($C$140=$AE980,BI851,0),"")</f>
        <v>67854.350844694738</v>
      </c>
      <c r="BJ982" s="514">
        <f>IF(BJ$979&gt;(2020+START!$C$2),BJ222+BJ283+BJ402-IF($A$114=$AE982,BJ523,0)-IF($A$115=$AE982,BJ534,0)-IF($A$116=$AE982,BJ545,0)-IF($A$117=$AE982,BJ556,0)-IF($A$118=$AE982,BJ567,0)-IF($A$119=$AE982,BJ578,0)-IF($A$135=$AE980,BJ729,0)-IF($A$136=$AE980,BJ740,0)-IF($A$137=$AE980,BJ751,0)-IF($A$138=$AE980,BJ762,0)-IF($A$139=$AE980,BJ773,0)-IF($A$140=$AE980,BJ784,0)+IF($C$135=$AE980,BJ796,0)+IF($C$136=$AE980,BJ807,0)+IF($C$137=$AE980,BJ818,0)+IF($C$138=$AE980,BJ829,0)+IF($C$139=$AE980,BJ840,0)+IF($C$140=$AE980,BJ851,0),"")</f>
        <v>67487.865712255472</v>
      </c>
      <c r="BK982" s="514">
        <f>IF(BK$979&gt;(2020+START!$C$2),BK222+BK283+BK402-IF($A$114=$AE982,BK523,0)-IF($A$115=$AE982,BK534,0)-IF($A$116=$AE982,BK545,0)-IF($A$117=$AE982,BK556,0)-IF($A$118=$AE982,BK567,0)-IF($A$119=$AE982,BK578,0)-IF($A$135=$AE980,BK729,0)-IF($A$136=$AE980,BK740,0)-IF($A$137=$AE980,BK751,0)-IF($A$138=$AE980,BK762,0)-IF($A$139=$AE980,BK773,0)-IF($A$140=$AE980,BK784,0)+IF($C$135=$AE980,BK796,0)+IF($C$136=$AE980,BK807,0)+IF($C$137=$AE980,BK818,0)+IF($C$138=$AE980,BK829,0)+IF($C$139=$AE980,BK840,0)+IF($C$140=$AE980,BK851,0),"")</f>
        <v>67141.537262100377</v>
      </c>
      <c r="BL982" s="514">
        <f>IF(BL$979&gt;(2020+START!$C$2),BL222+BL283+BL402-IF($A$114=$AE982,BL523,0)-IF($A$115=$AE982,BL534,0)-IF($A$116=$AE982,BL545,0)-IF($A$117=$AE982,BL556,0)-IF($A$118=$AE982,BL567,0)-IF($A$119=$AE982,BL578,0)-IF($A$135=$AE980,BL729,0)-IF($A$136=$AE980,BL740,0)-IF($A$137=$AE980,BL751,0)-IF($A$138=$AE980,BL762,0)-IF($A$139=$AE980,BL773,0)-IF($A$140=$AE980,BL784,0)+IF($C$135=$AE980,BL796,0)+IF($C$136=$AE980,BL807,0)+IF($C$137=$AE980,BL818,0)+IF($C$138=$AE980,BL829,0)+IF($C$139=$AE980,BL840,0)+IF($C$140=$AE980,BL851,0),"")</f>
        <v>66814.256876703803</v>
      </c>
      <c r="BM982" s="514">
        <f>IF(BM$979&gt;(2020+START!$C$2),BM222+BM283+BM402-IF($A$114=$AE982,BM523,0)-IF($A$115=$AE982,BM534,0)-IF($A$116=$AE982,BM545,0)-IF($A$117=$AE982,BM556,0)-IF($A$118=$AE982,BM567,0)-IF($A$119=$AE982,BM578,0)-IF($A$135=$AE980,BM729,0)-IF($A$136=$AE980,BM740,0)-IF($A$137=$AE980,BM751,0)-IF($A$138=$AE980,BM762,0)-IF($A$139=$AE980,BM773,0)-IF($A$140=$AE980,BM784,0)+IF($C$135=$AE980,BM796,0)+IF($C$136=$AE980,BM807,0)+IF($C$137=$AE980,BM818,0)+IF($C$138=$AE980,BM829,0)+IF($C$139=$AE980,BM840,0)+IF($C$140=$AE980,BM851,0),"")</f>
        <v>66504.976912504033</v>
      </c>
      <c r="BN982" s="514">
        <f>IF(BN$979&gt;(2020+START!$C$2),BN222+BN283+BN402-IF($A$114=$AE982,BN523,0)-IF($A$115=$AE982,BN534,0)-IF($A$116=$AE982,BN545,0)-IF($A$117=$AE982,BN556,0)-IF($A$118=$AE982,BN567,0)-IF($A$119=$AE982,BN578,0)-IF($A$135=$AE980,BN729,0)-IF($A$136=$AE980,BN740,0)-IF($A$137=$AE980,BN751,0)-IF($A$138=$AE980,BN762,0)-IF($A$139=$AE980,BN773,0)-IF($A$140=$AE980,BN784,0)+IF($C$135=$AE980,BN796,0)+IF($C$136=$AE980,BN807,0)+IF($C$137=$AE980,BN818,0)+IF($C$138=$AE980,BN829,0)+IF($C$139=$AE980,BN840,0)+IF($C$140=$AE980,BN851,0),"")</f>
        <v>66212.707346335257</v>
      </c>
    </row>
    <row r="983" spans="14:66" ht="20.100000000000001" customHeight="1">
      <c r="N983" s="279"/>
      <c r="O983" s="279"/>
      <c r="P983" s="279"/>
      <c r="Q983" s="279"/>
      <c r="R983" s="279"/>
      <c r="S983" s="279"/>
      <c r="T983" s="279"/>
      <c r="U983" s="279"/>
      <c r="V983" s="279"/>
      <c r="W983" s="279"/>
      <c r="X983" s="279"/>
      <c r="Y983" s="279"/>
      <c r="Z983" s="279"/>
      <c r="AA983" s="279"/>
      <c r="AB983" s="279"/>
      <c r="AC983" s="279"/>
      <c r="AD983" s="279"/>
      <c r="AE983" s="279">
        <f t="shared" si="1210"/>
        <v>4</v>
      </c>
      <c r="AF983" s="280" t="str">
        <f>INDEX('DEFAULT DATA'!$AIU$9:$AJD$41,START!$C$3,4)</f>
        <v>Detached</v>
      </c>
      <c r="AG983" s="366"/>
      <c r="AH983" s="366"/>
      <c r="AI983" s="366"/>
      <c r="AJ983" s="366"/>
      <c r="AK983" s="366"/>
      <c r="AL983" s="514" t="str">
        <f>IF(AL$979&gt;(2020+START!$C$2),AL223+AL293+AL412-IF($A$114=$AE983,AL523,0)-IF($A$115=$AE983,AL534,0)-IF($A$116=$AE983,AL545,0)-IF($A$117=$AE983,AL556,0)-IF($A$118=$AE983,AL567,0)-IF($A$119=$AE983,AL578,0)-IF($A$135=$AE980,AL729,0)-IF($A$136=$AE980,AL740,0)-IF($A$137=$AE980,AL751,0)-IF($A$138=$AE980,AL762,0)-IF($A$139=$AE980,AL773,0)-IF($A$140=$AE980,AL784,0)+IF($C$135=$AE980,AL796,0)+IF($C$136=$AE980,AL807,0)+IF($C$137=$AE980,AL818,0)+IF($C$138=$AE980,AL829,0)+IF($C$139=$AE980,AL840,0)+IF($C$140=$AE980,AL851,0),"")</f>
        <v/>
      </c>
      <c r="AM983" s="514">
        <f>IF(AM$979&gt;(2020+START!$C$2),AM223+AM293+AM412-IF($A$114=$AE983,AM523,0)-IF($A$115=$AE983,AM534,0)-IF($A$116=$AE983,AM545,0)-IF($A$117=$AE983,AM556,0)-IF($A$118=$AE983,AM567,0)-IF($A$119=$AE983,AM578,0)-IF($A$135=$AE980,AM729,0)-IF($A$136=$AE980,AM740,0)-IF($A$137=$AE980,AM751,0)-IF($A$138=$AE980,AM762,0)-IF($A$139=$AE980,AM773,0)-IF($A$140=$AE980,AM784,0)+IF($C$135=$AE980,AM796,0)+IF($C$136=$AE980,AM807,0)+IF($C$137=$AE980,AM818,0)+IF($C$138=$AE980,AM829,0)+IF($C$139=$AE980,AM840,0)+IF($C$140=$AE980,AM851,0),"")</f>
        <v>119258.03736097951</v>
      </c>
      <c r="AN983" s="514">
        <f>IF(AN$979&gt;(2020+START!$C$2),AN223+AN293+AN412-IF($A$114=$AE983,AN523,0)-IF($A$115=$AE983,AN534,0)-IF($A$116=$AE983,AN545,0)-IF($A$117=$AE983,AN556,0)-IF($A$118=$AE983,AN567,0)-IF($A$119=$AE983,AN578,0)-IF($A$135=$AE980,AN729,0)-IF($A$136=$AE980,AN740,0)-IF($A$137=$AE980,AN751,0)-IF($A$138=$AE980,AN762,0)-IF($A$139=$AE980,AN773,0)-IF($A$140=$AE980,AN784,0)+IF($C$135=$AE980,AN796,0)+IF($C$136=$AE980,AN807,0)+IF($C$137=$AE980,AN818,0)+IF($C$138=$AE980,AN829,0)+IF($C$139=$AE980,AN840,0)+IF($C$140=$AE980,AN851,0),"")</f>
        <v>118903.2457699808</v>
      </c>
      <c r="AO983" s="514">
        <f>IF(AO$979&gt;(2020+START!$C$2),AO223+AO293+AO412-IF($A$114=$AE983,AO523,0)-IF($A$115=$AE983,AO534,0)-IF($A$116=$AE983,AO545,0)-IF($A$117=$AE983,AO556,0)-IF($A$118=$AE983,AO567,0)-IF($A$119=$AE983,AO578,0)-IF($A$135=$AE980,AO729,0)-IF($A$136=$AE980,AO740,0)-IF($A$137=$AE980,AO751,0)-IF($A$138=$AE980,AO762,0)-IF($A$139=$AE980,AO773,0)-IF($A$140=$AE980,AO784,0)+IF($C$135=$AE980,AO796,0)+IF($C$136=$AE980,AO807,0)+IF($C$137=$AE980,AO818,0)+IF($C$138=$AE980,AO829,0)+IF($C$139=$AE980,AO840,0)+IF($C$140=$AE980,AO851,0),"")</f>
        <v>118552.00209489209</v>
      </c>
      <c r="AP983" s="514">
        <f>IF(AP$979&gt;(2020+START!$C$2),AP223+AP293+AP412-IF($A$114=$AE983,AP523,0)-IF($A$115=$AE983,AP534,0)-IF($A$116=$AE983,AP545,0)-IF($A$117=$AE983,AP556,0)-IF($A$118=$AE983,AP567,0)-IF($A$119=$AE983,AP578,0)-IF($A$135=$AE980,AP729,0)-IF($A$136=$AE980,AP740,0)-IF($A$137=$AE980,AP751,0)-IF($A$138=$AE980,AP762,0)-IF($A$139=$AE980,AP773,0)-IF($A$140=$AE980,AP784,0)+IF($C$135=$AE980,AP796,0)+IF($C$136=$AE980,AP807,0)+IF($C$137=$AE980,AP818,0)+IF($C$138=$AE980,AP829,0)+IF($C$139=$AE980,AP840,0)+IF($C$140=$AE980,AP851,0),"")</f>
        <v>118204.27085655424</v>
      </c>
      <c r="AQ983" s="514">
        <f>IF(AQ$979&gt;(2020+START!$C$2),AQ223+AQ293+AQ412-IF($A$114=$AE983,AQ523,0)-IF($A$115=$AE983,AQ534,0)-IF($A$116=$AE983,AQ545,0)-IF($A$117=$AE983,AQ556,0)-IF($A$118=$AE983,AQ567,0)-IF($A$119=$AE983,AQ578,0)-IF($A$135=$AE980,AQ729,0)-IF($A$136=$AE980,AQ740,0)-IF($A$137=$AE980,AQ751,0)-IF($A$138=$AE980,AQ762,0)-IF($A$139=$AE980,AQ773,0)-IF($A$140=$AE980,AQ784,0)+IF($C$135=$AE980,AQ796,0)+IF($C$136=$AE980,AQ807,0)+IF($C$137=$AE980,AQ818,0)+IF($C$138=$AE980,AQ829,0)+IF($C$139=$AE980,AQ840,0)+IF($C$140=$AE980,AQ851,0),"")</f>
        <v>117860.0169305998</v>
      </c>
      <c r="AR983" s="514">
        <f>IF(AR$979&gt;(2020+START!$C$2),AR223+AR293+AR412-IF($A$114=$AE983,AR523,0)-IF($A$115=$AE983,AR534,0)-IF($A$116=$AE983,AR545,0)-IF($A$117=$AE983,AR556,0)-IF($A$118=$AE983,AR567,0)-IF($A$119=$AE983,AR578,0)-IF($A$135=$AE980,AR729,0)-IF($A$136=$AE980,AR740,0)-IF($A$137=$AE980,AR751,0)-IF($A$138=$AE980,AR762,0)-IF($A$139=$AE980,AR773,0)-IF($A$140=$AE980,AR784,0)+IF($C$135=$AE980,AR796,0)+IF($C$136=$AE980,AR807,0)+IF($C$137=$AE980,AR818,0)+IF($C$138=$AE980,AR829,0)+IF($C$139=$AE980,AR840,0)+IF($C$140=$AE980,AR851,0),"")</f>
        <v>117519.20554390489</v>
      </c>
      <c r="AS983" s="514">
        <f>IF(AS$979&gt;(2020+START!$C$2),AS223+AS293+AS412-IF($A$114=$AE983,AS523,0)-IF($A$115=$AE983,AS534,0)-IF($A$116=$AE983,AS545,0)-IF($A$117=$AE983,AS556,0)-IF($A$118=$AE983,AS567,0)-IF($A$119=$AE983,AS578,0)-IF($A$135=$AE980,AS729,0)-IF($A$136=$AE980,AS740,0)-IF($A$137=$AE980,AS751,0)-IF($A$138=$AE980,AS762,0)-IF($A$139=$AE980,AS773,0)-IF($A$140=$AE980,AS784,0)+IF($C$135=$AE980,AS796,0)+IF($C$136=$AE980,AS807,0)+IF($C$137=$AE980,AS818,0)+IF($C$138=$AE980,AS829,0)+IF($C$139=$AE980,AS840,0)+IF($C$140=$AE980,AS851,0),"")</f>
        <v>117181.80227107693</v>
      </c>
      <c r="AT983" s="514">
        <f>IF(AT$979&gt;(2020+START!$C$2),AT223+AT293+AT412-IF($A$114=$AE983,AT523,0)-IF($A$115=$AE983,AT534,0)-IF($A$116=$AE983,AT545,0)-IF($A$117=$AE983,AT556,0)-IF($A$118=$AE983,AT567,0)-IF($A$119=$AE983,AT578,0)-IF($A$135=$AE980,AT729,0)-IF($A$136=$AE980,AT740,0)-IF($A$137=$AE980,AT751,0)-IF($A$138=$AE980,AT762,0)-IF($A$139=$AE980,AT773,0)-IF($A$140=$AE980,AT784,0)+IF($C$135=$AE980,AT796,0)+IF($C$136=$AE980,AT807,0)+IF($C$137=$AE980,AT818,0)+IF($C$138=$AE980,AT829,0)+IF($C$139=$AE980,AT840,0)+IF($C$140=$AE980,AT851,0),"")</f>
        <v>105527.27211486653</v>
      </c>
      <c r="AU983" s="514">
        <f>IF(AU$979&gt;(2020+START!$C$2),AU223+AU293+AU412-IF($A$114=$AE983,AU523,0)-IF($A$115=$AE983,AU534,0)-IF($A$116=$AE983,AU545,0)-IF($A$117=$AE983,AU556,0)-IF($A$118=$AE983,AU567,0)-IF($A$119=$AE983,AU578,0)-IF($A$135=$AE980,AU729,0)-IF($A$136=$AE980,AU740,0)-IF($A$137=$AE980,AU751,0)-IF($A$138=$AE980,AU762,0)-IF($A$139=$AE980,AU773,0)-IF($A$140=$AE980,AU784,0)+IF($C$135=$AE980,AU796,0)+IF($C$136=$AE980,AU807,0)+IF($C$137=$AE980,AU818,0)+IF($C$138=$AE980,AU829,0)+IF($C$139=$AE980,AU840,0)+IF($C$140=$AE980,AU851,0),"")</f>
        <v>92512.535315663976</v>
      </c>
      <c r="AV983" s="514">
        <f>IF(AV$979&gt;(2020+START!$C$2),AV223+AV293+AV412-IF($A$114=$AE983,AV523,0)-IF($A$115=$AE983,AV534,0)-IF($A$116=$AE983,AV545,0)-IF($A$117=$AE983,AV556,0)-IF($A$118=$AE983,AV567,0)-IF($A$119=$AE983,AV578,0)-IF($A$135=$AE980,AV729,0)-IF($A$136=$AE980,AV740,0)-IF($A$137=$AE980,AV751,0)-IF($A$138=$AE980,AV762,0)-IF($A$139=$AE980,AV773,0)-IF($A$140=$AE980,AV784,0)+IF($C$135=$AE980,AV796,0)+IF($C$136=$AE980,AV807,0)+IF($C$137=$AE980,AV818,0)+IF($C$138=$AE980,AV829,0)+IF($C$139=$AE980,AV840,0)+IF($C$140=$AE980,AV851,0),"")</f>
        <v>79715.534819282373</v>
      </c>
      <c r="AW983" s="514">
        <f>IF(AW$979&gt;(2020+START!$C$2),AW223+AW293+AW412-IF($A$114=$AE983,AW523,0)-IF($A$115=$AE983,AW534,0)-IF($A$116=$AE983,AW545,0)-IF($A$117=$AE983,AW556,0)-IF($A$118=$AE983,AW567,0)-IF($A$119=$AE983,AW578,0)-IF($A$135=$AE980,AW729,0)-IF($A$136=$AE980,AW740,0)-IF($A$137=$AE980,AW751,0)-IF($A$138=$AE980,AW762,0)-IF($A$139=$AE980,AW773,0)-IF($A$140=$AE980,AW784,0)+IF($C$135=$AE980,AW796,0)+IF($C$136=$AE980,AW807,0)+IF($C$137=$AE980,AW818,0)+IF($C$138=$AE980,AW829,0)+IF($C$139=$AE980,AW840,0)+IF($C$140=$AE980,AW851,0),"")</f>
        <v>67124.295129066595</v>
      </c>
      <c r="AX983" s="514">
        <f>IF(AX$979&gt;(2020+START!$C$2),AX223+AX293+AX412-IF($A$114=$AE983,AX523,0)-IF($A$115=$AE983,AX534,0)-IF($A$116=$AE983,AX545,0)-IF($A$117=$AE983,AX556,0)-IF($A$118=$AE983,AX567,0)-IF($A$119=$AE983,AX578,0)-IF($A$135=$AE980,AX729,0)-IF($A$136=$AE980,AX740,0)-IF($A$137=$AE980,AX751,0)-IF($A$138=$AE980,AX762,0)-IF($A$139=$AE980,AX773,0)-IF($A$140=$AE980,AX784,0)+IF($C$135=$AE980,AX796,0)+IF($C$136=$AE980,AX807,0)+IF($C$137=$AE980,AX818,0)+IF($C$138=$AE980,AX829,0)+IF($C$139=$AE980,AX840,0)+IF($C$140=$AE980,AX851,0),"")</f>
        <v>54727.499400677501</v>
      </c>
      <c r="AY983" s="514">
        <f>IF(AY$979&gt;(2020+START!$C$2),AY223+AY293+AY412-IF($A$114=$AE983,AY523,0)-IF($A$115=$AE983,AY534,0)-IF($A$116=$AE983,AY545,0)-IF($A$117=$AE983,AY556,0)-IF($A$118=$AE983,AY567,0)-IF($A$119=$AE983,AY578,0)-IF($A$135=$AE980,AY729,0)-IF($A$136=$AE980,AY740,0)-IF($A$137=$AE980,AY751,0)-IF($A$138=$AE980,AY762,0)-IF($A$139=$AE980,AY773,0)-IF($A$140=$AE980,AY784,0)+IF($C$135=$AE980,AY796,0)+IF($C$136=$AE980,AY807,0)+IF($C$137=$AE980,AY818,0)+IF($C$138=$AE980,AY829,0)+IF($C$139=$AE980,AY840,0)+IF($C$140=$AE980,AY851,0),"")</f>
        <v>42514.453216214664</v>
      </c>
      <c r="AZ983" s="514">
        <f>IF(AZ$979&gt;(2020+START!$C$2),AZ223+AZ293+AZ412-IF($A$114=$AE983,AZ523,0)-IF($A$115=$AE983,AZ534,0)-IF($A$116=$AE983,AZ545,0)-IF($A$117=$AE983,AZ556,0)-IF($A$118=$AE983,AZ567,0)-IF($A$119=$AE983,AZ578,0)-IF($A$135=$AE980,AZ729,0)-IF($A$136=$AE980,AZ740,0)-IF($A$137=$AE980,AZ751,0)-IF($A$138=$AE980,AZ762,0)-IF($A$139=$AE980,AZ773,0)-IF($A$140=$AE980,AZ784,0)+IF($C$135=$AE980,AZ796,0)+IF($C$136=$AE980,AZ807,0)+IF($C$137=$AE980,AZ818,0)+IF($C$138=$AE980,AZ829,0)+IF($C$139=$AE980,AZ840,0)+IF($C$140=$AE980,AZ851,0),"")</f>
        <v>41143.756374222838</v>
      </c>
      <c r="BA983" s="514">
        <f>IF(BA$979&gt;(2020+START!$C$2),BA223+BA293+BA412-IF($A$114=$AE983,BA523,0)-IF($A$115=$AE983,BA534,0)-IF($A$116=$AE983,BA545,0)-IF($A$117=$AE983,BA556,0)-IF($A$118=$AE983,BA567,0)-IF($A$119=$AE983,BA578,0)-IF($A$135=$AE980,BA729,0)-IF($A$136=$AE980,BA740,0)-IF($A$137=$AE980,BA751,0)-IF($A$138=$AE980,BA762,0)-IF($A$139=$AE980,BA773,0)-IF($A$140=$AE980,BA784,0)+IF($C$135=$AE980,BA796,0)+IF($C$136=$AE980,BA807,0)+IF($C$137=$AE980,BA818,0)+IF($C$138=$AE980,BA829,0)+IF($C$139=$AE980,BA840,0)+IF($C$140=$AE980,BA851,0),"")</f>
        <v>39848.447858540574</v>
      </c>
      <c r="BB983" s="514">
        <f>IF(BB$979&gt;(2020+START!$C$2),BB223+BB293+BB412-IF($A$114=$AE983,BB523,0)-IF($A$115=$AE983,BB534,0)-IF($A$116=$AE983,BB545,0)-IF($A$117=$AE983,BB556,0)-IF($A$118=$AE983,BB567,0)-IF($A$119=$AE983,BB578,0)-IF($A$135=$AE980,BB729,0)-IF($A$136=$AE980,BB740,0)-IF($A$137=$AE980,BB751,0)-IF($A$138=$AE980,BB762,0)-IF($A$139=$AE980,BB773,0)-IF($A$140=$AE980,BB784,0)+IF($C$135=$AE980,BB796,0)+IF($C$136=$AE980,BB807,0)+IF($C$137=$AE980,BB818,0)+IF($C$138=$AE980,BB829,0)+IF($C$139=$AE980,BB840,0)+IF($C$140=$AE980,BB851,0),"")</f>
        <v>38624.381311220815</v>
      </c>
      <c r="BC983" s="514">
        <f>IF(BC$979&gt;(2020+START!$C$2),BC223+BC293+BC412-IF($A$114=$AE983,BC523,0)-IF($A$115=$AE983,BC534,0)-IF($A$116=$AE983,BC545,0)-IF($A$117=$AE983,BC556,0)-IF($A$118=$AE983,BC567,0)-IF($A$119=$AE983,BC578,0)-IF($A$135=$AE980,BC729,0)-IF($A$136=$AE980,BC740,0)-IF($A$137=$AE980,BC751,0)-IF($A$138=$AE980,BC762,0)-IF($A$139=$AE980,BC773,0)-IF($A$140=$AE980,BC784,0)+IF($C$135=$AE980,BC796,0)+IF($C$136=$AE980,BC807,0)+IF($C$137=$AE980,BC818,0)+IF($C$138=$AE980,BC829,0)+IF($C$139=$AE980,BC840,0)+IF($C$140=$AE980,BC851,0),"")</f>
        <v>37467.638424003657</v>
      </c>
      <c r="BD983" s="514">
        <f>IF(BD$979&gt;(2020+START!$C$2),BD223+BD293+BD412-IF($A$114=$AE983,BD523,0)-IF($A$115=$AE983,BD534,0)-IF($A$116=$AE983,BD545,0)-IF($A$117=$AE983,BD556,0)-IF($A$118=$AE983,BD567,0)-IF($A$119=$AE983,BD578,0)-IF($A$135=$AE980,BD729,0)-IF($A$136=$AE980,BD740,0)-IF($A$137=$AE980,BD751,0)-IF($A$138=$AE980,BD762,0)-IF($A$139=$AE980,BD773,0)-IF($A$140=$AE980,BD784,0)+IF($C$135=$AE980,BD796,0)+IF($C$136=$AE980,BD807,0)+IF($C$137=$AE980,BD818,0)+IF($C$138=$AE980,BD829,0)+IF($C$139=$AE980,BD840,0)+IF($C$140=$AE980,BD851,0),"")</f>
        <v>36374.516395583443</v>
      </c>
      <c r="BE983" s="514">
        <f>IF(BE$979&gt;(2020+START!$C$2),BE223+BE293+BE412-IF($A$114=$AE983,BE523,0)-IF($A$115=$AE983,BE534,0)-IF($A$116=$AE983,BE545,0)-IF($A$117=$AE983,BE556,0)-IF($A$118=$AE983,BE567,0)-IF($A$119=$AE983,BE578,0)-IF($A$135=$AE980,BE729,0)-IF($A$136=$AE980,BE740,0)-IF($A$137=$AE980,BE751,0)-IF($A$138=$AE980,BE762,0)-IF($A$139=$AE980,BE773,0)-IF($A$140=$AE980,BE784,0)+IF($C$135=$AE980,BE796,0)+IF($C$136=$AE980,BE807,0)+IF($C$137=$AE980,BE818,0)+IF($C$138=$AE980,BE829,0)+IF($C$139=$AE980,BE840,0)+IF($C$140=$AE980,BE851,0),"")</f>
        <v>35341.51607872633</v>
      </c>
      <c r="BF983" s="514">
        <f>IF(BF$979&gt;(2020+START!$C$2),BF223+BF293+BF412-IF($A$114=$AE983,BF523,0)-IF($A$115=$AE983,BF534,0)-IF($A$116=$AE983,BF545,0)-IF($A$117=$AE983,BF556,0)-IF($A$118=$AE983,BF567,0)-IF($A$119=$AE983,BF578,0)-IF($A$135=$AE980,BF729,0)-IF($A$136=$AE980,BF740,0)-IF($A$137=$AE980,BF751,0)-IF($A$138=$AE980,BF762,0)-IF($A$139=$AE980,BF773,0)-IF($A$140=$AE980,BF784,0)+IF($C$135=$AE980,BF796,0)+IF($C$136=$AE980,BF807,0)+IF($C$137=$AE980,BF818,0)+IF($C$138=$AE980,BF829,0)+IF($C$139=$AE980,BF840,0)+IF($C$140=$AE980,BF851,0),"")</f>
        <v>34365.330779296375</v>
      </c>
      <c r="BG983" s="514">
        <f>IF(BG$979&gt;(2020+START!$C$2),BG223+BG293+BG412-IF($A$114=$AE983,BG523,0)-IF($A$115=$AE983,BG534,0)-IF($A$116=$AE983,BG545,0)-IF($A$117=$AE983,BG556,0)-IF($A$118=$AE983,BG567,0)-IF($A$119=$AE983,BG578,0)-IF($A$135=$AE980,BG729,0)-IF($A$136=$AE980,BG740,0)-IF($A$137=$AE980,BG751,0)-IF($A$138=$AE980,BG762,0)-IF($A$139=$AE980,BG773,0)-IF($A$140=$AE980,BG784,0)+IF($C$135=$AE980,BG796,0)+IF($C$136=$AE980,BG807,0)+IF($C$137=$AE980,BG818,0)+IF($C$138=$AE980,BG829,0)+IF($C$139=$AE980,BG840,0)+IF($C$140=$AE980,BG851,0),"")</f>
        <v>33442.835671335051</v>
      </c>
      <c r="BH983" s="514">
        <f>IF(BH$979&gt;(2020+START!$C$2),BH223+BH293+BH412-IF($A$114=$AE983,BH523,0)-IF($A$115=$AE983,BH534,0)-IF($A$116=$AE983,BH545,0)-IF($A$117=$AE983,BH556,0)-IF($A$118=$AE983,BH567,0)-IF($A$119=$AE983,BH578,0)-IF($A$135=$AE980,BH729,0)-IF($A$136=$AE980,BH740,0)-IF($A$137=$AE980,BH751,0)-IF($A$138=$AE980,BH762,0)-IF($A$139=$AE980,BH773,0)-IF($A$140=$AE980,BH784,0)+IF($C$135=$AE980,BH796,0)+IF($C$136=$AE980,BH807,0)+IF($C$137=$AE980,BH818,0)+IF($C$138=$AE980,BH829,0)+IF($C$139=$AE980,BH840,0)+IF($C$140=$AE980,BH851,0),"")</f>
        <v>32571.077794311626</v>
      </c>
      <c r="BI983" s="514">
        <f>IF(BI$979&gt;(2020+START!$C$2),BI223+BI293+BI412-IF($A$114=$AE983,BI523,0)-IF($A$115=$AE983,BI534,0)-IF($A$116=$AE983,BI545,0)-IF($A$117=$AE983,BI556,0)-IF($A$118=$AE983,BI567,0)-IF($A$119=$AE983,BI578,0)-IF($A$135=$AE980,BI729,0)-IF($A$136=$AE980,BI740,0)-IF($A$137=$AE980,BI751,0)-IF($A$138=$AE980,BI762,0)-IF($A$139=$AE980,BI773,0)-IF($A$140=$AE980,BI784,0)+IF($C$135=$AE980,BI796,0)+IF($C$136=$AE980,BI807,0)+IF($C$137=$AE980,BI818,0)+IF($C$138=$AE980,BI829,0)+IF($C$139=$AE980,BI840,0)+IF($C$140=$AE980,BI851,0),"")</f>
        <v>31747.266600524454</v>
      </c>
      <c r="BJ983" s="514">
        <f>IF(BJ$979&gt;(2020+START!$C$2),BJ223+BJ293+BJ412-IF($A$114=$AE983,BJ523,0)-IF($A$115=$AE983,BJ534,0)-IF($A$116=$AE983,BJ545,0)-IF($A$117=$AE983,BJ556,0)-IF($A$118=$AE983,BJ567,0)-IF($A$119=$AE983,BJ578,0)-IF($A$135=$AE980,BJ729,0)-IF($A$136=$AE980,BJ740,0)-IF($A$137=$AE980,BJ751,0)-IF($A$138=$AE980,BJ762,0)-IF($A$139=$AE980,BJ773,0)-IF($A$140=$AE980,BJ784,0)+IF($C$135=$AE980,BJ796,0)+IF($C$136=$AE980,BJ807,0)+IF($C$137=$AE980,BJ818,0)+IF($C$138=$AE980,BJ829,0)+IF($C$139=$AE980,BJ840,0)+IF($C$140=$AE980,BJ851,0),"")</f>
        <v>30968.765022395601</v>
      </c>
      <c r="BK983" s="514">
        <f>IF(BK$979&gt;(2020+START!$C$2),BK223+BK293+BK412-IF($A$114=$AE983,BK523,0)-IF($A$115=$AE983,BK534,0)-IF($A$116=$AE983,BK545,0)-IF($A$117=$AE983,BK556,0)-IF($A$118=$AE983,BK567,0)-IF($A$119=$AE983,BK578,0)-IF($A$135=$AE980,BK729,0)-IF($A$136=$AE980,BK740,0)-IF($A$137=$AE980,BK751,0)-IF($A$138=$AE980,BK762,0)-IF($A$139=$AE980,BK773,0)-IF($A$140=$AE980,BK784,0)+IF($C$135=$AE980,BK796,0)+IF($C$136=$AE980,BK807,0)+IF($C$137=$AE980,BK818,0)+IF($C$138=$AE980,BK829,0)+IF($C$139=$AE980,BK840,0)+IF($C$140=$AE980,BK851,0),"")</f>
        <v>30233.081031063834</v>
      </c>
      <c r="BL983" s="514">
        <f>IF(BL$979&gt;(2020+START!$C$2),BL223+BL293+BL412-IF($A$114=$AE983,BL523,0)-IF($A$115=$AE983,BL534,0)-IF($A$116=$AE983,BL545,0)-IF($A$117=$AE983,BL556,0)-IF($A$118=$AE983,BL567,0)-IF($A$119=$AE983,BL578,0)-IF($A$135=$AE980,BL729,0)-IF($A$136=$AE980,BL740,0)-IF($A$137=$AE980,BL751,0)-IF($A$138=$AE980,BL762,0)-IF($A$139=$AE980,BL773,0)-IF($A$140=$AE980,BL784,0)+IF($C$135=$AE980,BL796,0)+IF($C$136=$AE980,BL807,0)+IF($C$137=$AE980,BL818,0)+IF($C$138=$AE980,BL829,0)+IF($C$139=$AE980,BL840,0)+IF($C$140=$AE980,BL851,0),"")</f>
        <v>29537.859659255308</v>
      </c>
      <c r="BM983" s="514">
        <f>IF(BM$979&gt;(2020+START!$C$2),BM223+BM293+BM412-IF($A$114=$AE983,BM523,0)-IF($A$115=$AE983,BM534,0)-IF($A$116=$AE983,BM545,0)-IF($A$117=$AE983,BM556,0)-IF($A$118=$AE983,BM567,0)-IF($A$119=$AE983,BM578,0)-IF($A$135=$AE980,BM729,0)-IF($A$136=$AE980,BM740,0)-IF($A$137=$AE980,BM751,0)-IF($A$138=$AE980,BM762,0)-IF($A$139=$AE980,BM773,0)-IF($A$140=$AE980,BM784,0)+IF($C$135=$AE980,BM796,0)+IF($C$136=$AE980,BM807,0)+IF($C$137=$AE980,BM818,0)+IF($C$138=$AE980,BM829,0)+IF($C$139=$AE980,BM840,0)+IF($C$140=$AE980,BM851,0),"")</f>
        <v>28880.875462896249</v>
      </c>
      <c r="BN983" s="514">
        <f>IF(BN$979&gt;(2020+START!$C$2),BN223+BN293+BN412-IF($A$114=$AE983,BN523,0)-IF($A$115=$AE983,BN534,0)-IF($A$116=$AE983,BN545,0)-IF($A$117=$AE983,BN556,0)-IF($A$118=$AE983,BN567,0)-IF($A$119=$AE983,BN578,0)-IF($A$135=$AE980,BN729,0)-IF($A$136=$AE980,BN740,0)-IF($A$137=$AE980,BN751,0)-IF($A$138=$AE980,BN762,0)-IF($A$139=$AE980,BN773,0)-IF($A$140=$AE980,BN784,0)+IF($C$135=$AE980,BN796,0)+IF($C$136=$AE980,BN807,0)+IF($C$137=$AE980,BN818,0)+IF($C$138=$AE980,BN829,0)+IF($C$139=$AE980,BN840,0)+IF($C$140=$AE980,BN851,0),"")</f>
        <v>28260.02539733694</v>
      </c>
    </row>
    <row r="984" spans="14:66" ht="20.100000000000001" customHeight="1">
      <c r="N984" s="279"/>
      <c r="O984" s="279"/>
      <c r="P984" s="279"/>
      <c r="Q984" s="279"/>
      <c r="R984" s="279"/>
      <c r="S984" s="279"/>
      <c r="T984" s="279"/>
      <c r="U984" s="279"/>
      <c r="V984" s="279"/>
      <c r="W984" s="279"/>
      <c r="X984" s="279"/>
      <c r="Y984" s="279"/>
      <c r="Z984" s="279"/>
      <c r="AA984" s="279"/>
      <c r="AB984" s="279"/>
      <c r="AC984" s="279"/>
      <c r="AD984" s="279"/>
      <c r="AE984" s="279">
        <f t="shared" si="1210"/>
        <v>5</v>
      </c>
      <c r="AF984" s="280" t="str">
        <f>INDEX('DEFAULT DATA'!$AIU$9:$AJD$41,START!$C$3,5)</f>
        <v>Retail</v>
      </c>
      <c r="AG984" s="366"/>
      <c r="AH984" s="366"/>
      <c r="AI984" s="366"/>
      <c r="AJ984" s="366"/>
      <c r="AK984" s="366"/>
      <c r="AL984" s="514" t="str">
        <f>IF(AL$979&gt;(2020+START!$C$2),AL224+AL305+AL422-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
      </c>
      <c r="AM984" s="514">
        <f>IF(AM$979&gt;(2020+START!$C$2),AM224+AM305+AM422-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0</v>
      </c>
      <c r="AN984" s="514">
        <f>IF(AN$979&gt;(2020+START!$C$2),AN224+AN305+AN422-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0</v>
      </c>
      <c r="AO984" s="514">
        <f>IF(AO$979&gt;(2020+START!$C$2),AO224+AO305+AO422-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0</v>
      </c>
      <c r="AP984" s="514">
        <f>IF(AP$979&gt;(2020+START!$C$2),AP224+AP305+AP422-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0</v>
      </c>
      <c r="AQ984" s="514">
        <f>IF(AQ$979&gt;(2020+START!$C$2),AQ224+AQ305+AQ422-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0</v>
      </c>
      <c r="AR984" s="514">
        <f>IF(AR$979&gt;(2020+START!$C$2),AR224+AR305+AR422-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0</v>
      </c>
      <c r="AS984" s="514">
        <f>IF(AS$979&gt;(2020+START!$C$2),AS224+AS305+AS422-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0</v>
      </c>
      <c r="AT984" s="514">
        <f>IF(AT$979&gt;(2020+START!$C$2),AT224+AT305+AT422-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0</v>
      </c>
      <c r="AU984" s="514">
        <f>IF(AU$979&gt;(2020+START!$C$2),AU224+AU305+AU422-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0</v>
      </c>
      <c r="AV984" s="514">
        <f>IF(AV$979&gt;(2020+START!$C$2),AV224+AV305+AV422-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0</v>
      </c>
      <c r="AW984" s="514">
        <f>IF(AW$979&gt;(2020+START!$C$2),AW224+AW305+AW422-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0</v>
      </c>
      <c r="AX984" s="514">
        <f>IF(AX$979&gt;(2020+START!$C$2),AX224+AX305+AX422-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0</v>
      </c>
      <c r="AY984" s="514">
        <f>IF(AY$979&gt;(2020+START!$C$2),AY224+AY305+AY422-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0</v>
      </c>
      <c r="AZ984" s="514">
        <f>IF(AZ$979&gt;(2020+START!$C$2),AZ224+AZ305+AZ422-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0</v>
      </c>
      <c r="BA984" s="514">
        <f>IF(BA$979&gt;(2020+START!$C$2),BA224+BA305+BA422-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0</v>
      </c>
      <c r="BB984" s="514">
        <f>IF(BB$979&gt;(2020+START!$C$2),BB224+BB305+BB422-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0</v>
      </c>
      <c r="BC984" s="514">
        <f>IF(BC$979&gt;(2020+START!$C$2),BC224+BC305+BC422-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0</v>
      </c>
      <c r="BD984" s="514">
        <f>IF(BD$979&gt;(2020+START!$C$2),BD224+BD305+BD422-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0</v>
      </c>
      <c r="BE984" s="514">
        <f>IF(BE$979&gt;(2020+START!$C$2),BE224+BE305+BE422-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0</v>
      </c>
      <c r="BF984" s="514">
        <f>IF(BF$979&gt;(2020+START!$C$2),BF224+BF305+BF422-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0</v>
      </c>
      <c r="BG984" s="514">
        <f>IF(BG$979&gt;(2020+START!$C$2),BG224+BG305+BG422-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0</v>
      </c>
      <c r="BH984" s="514">
        <f>IF(BH$979&gt;(2020+START!$C$2),BH224+BH305+BH422-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0</v>
      </c>
      <c r="BI984" s="514">
        <f>IF(BI$979&gt;(2020+START!$C$2),BI224+BI305+BI422-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0</v>
      </c>
      <c r="BJ984" s="514">
        <f>IF(BJ$979&gt;(2020+START!$C$2),BJ224+BJ305+BJ422-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0</v>
      </c>
      <c r="BK984" s="514">
        <f>IF(BK$979&gt;(2020+START!$C$2),BK224+BK305+BK422-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0</v>
      </c>
      <c r="BL984" s="514">
        <f>IF(BL$979&gt;(2020+START!$C$2),BL224+BL305+BL422-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0</v>
      </c>
      <c r="BM984" s="514">
        <f>IF(BM$979&gt;(2020+START!$C$2),BM224+BM305+BM422-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0</v>
      </c>
      <c r="BN984" s="514">
        <f>IF(BN$979&gt;(2020+START!$C$2),BN224+BN305+BN422-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0</v>
      </c>
    </row>
    <row r="985" spans="14:66" ht="20.100000000000001" customHeight="1">
      <c r="N985" s="279"/>
      <c r="O985" s="279"/>
      <c r="P985" s="279"/>
      <c r="Q985" s="279"/>
      <c r="R985" s="279"/>
      <c r="S985" s="279"/>
      <c r="T985" s="279"/>
      <c r="U985" s="279"/>
      <c r="V985" s="279"/>
      <c r="W985" s="279"/>
      <c r="X985" s="279"/>
      <c r="Y985" s="279"/>
      <c r="Z985" s="279"/>
      <c r="AA985" s="279"/>
      <c r="AB985" s="279"/>
      <c r="AC985" s="279"/>
      <c r="AD985" s="279"/>
      <c r="AE985" s="279">
        <f t="shared" si="1210"/>
        <v>6</v>
      </c>
      <c r="AF985" s="280" t="str">
        <f>INDEX('DEFAULT DATA'!$AIU$9:$AJD$41,START!$C$3,6)</f>
        <v>Health</v>
      </c>
      <c r="AG985" s="366"/>
      <c r="AH985" s="366"/>
      <c r="AI985" s="366"/>
      <c r="AJ985" s="366"/>
      <c r="AK985" s="366"/>
      <c r="AL985" s="272" t="str">
        <f>IF(AL$979&gt;(2020+START!$C$2),AL225+AL315+AL432-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
      </c>
      <c r="AM985" s="272">
        <f>IF(AM$979&gt;(2020+START!$C$2),AM225+AM315+AM432-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0</v>
      </c>
      <c r="AN985" s="272">
        <f>IF(AN$979&gt;(2020+START!$C$2),AN225+AN315+AN432-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0</v>
      </c>
      <c r="AO985" s="272">
        <f>IF(AO$979&gt;(2020+START!$C$2),AO225+AO315+AO432-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0</v>
      </c>
      <c r="AP985" s="272">
        <f>IF(AP$979&gt;(2020+START!$C$2),AP225+AP315+AP432-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0</v>
      </c>
      <c r="AQ985" s="272">
        <f>IF(AQ$979&gt;(2020+START!$C$2),AQ225+AQ315+AQ432-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0</v>
      </c>
      <c r="AR985" s="272">
        <f>IF(AR$979&gt;(2020+START!$C$2),AR225+AR315+AR432-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0</v>
      </c>
      <c r="AS985" s="272">
        <f>IF(AS$979&gt;(2020+START!$C$2),AS225+AS315+AS432-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0</v>
      </c>
      <c r="AT985" s="272">
        <f>IF(AT$979&gt;(2020+START!$C$2),AT225+AT315+AT432-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0</v>
      </c>
      <c r="AU985" s="272">
        <f>IF(AU$979&gt;(2020+START!$C$2),AU225+AU315+AU432-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0</v>
      </c>
      <c r="AV985" s="272">
        <f>IF(AV$979&gt;(2020+START!$C$2),AV225+AV315+AV432-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0</v>
      </c>
      <c r="AW985" s="272">
        <f>IF(AW$979&gt;(2020+START!$C$2),AW225+AW315+AW432-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0</v>
      </c>
      <c r="AX985" s="272">
        <f>IF(AX$979&gt;(2020+START!$C$2),AX225+AX315+AX432-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0</v>
      </c>
      <c r="AY985" s="272">
        <f>IF(AY$979&gt;(2020+START!$C$2),AY225+AY315+AY432-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0</v>
      </c>
      <c r="AZ985" s="272">
        <f>IF(AZ$979&gt;(2020+START!$C$2),AZ225+AZ315+AZ432-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0</v>
      </c>
      <c r="BA985" s="272">
        <f>IF(BA$979&gt;(2020+START!$C$2),BA225+BA315+BA432-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0</v>
      </c>
      <c r="BB985" s="272">
        <f>IF(BB$979&gt;(2020+START!$C$2),BB225+BB315+BB432-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0</v>
      </c>
      <c r="BC985" s="272">
        <f>IF(BC$979&gt;(2020+START!$C$2),BC225+BC315+BC432-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0</v>
      </c>
      <c r="BD985" s="272">
        <f>IF(BD$979&gt;(2020+START!$C$2),BD225+BD315+BD432-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0</v>
      </c>
      <c r="BE985" s="272">
        <f>IF(BE$979&gt;(2020+START!$C$2),BE225+BE315+BE432-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0</v>
      </c>
      <c r="BF985" s="272">
        <f>IF(BF$979&gt;(2020+START!$C$2),BF225+BF315+BF432-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0</v>
      </c>
      <c r="BG985" s="272">
        <f>IF(BG$979&gt;(2020+START!$C$2),BG225+BG315+BG432-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0</v>
      </c>
      <c r="BH985" s="272">
        <f>IF(BH$979&gt;(2020+START!$C$2),BH225+BH315+BH432-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0</v>
      </c>
      <c r="BI985" s="272">
        <f>IF(BI$979&gt;(2020+START!$C$2),BI225+BI315+BI432-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0</v>
      </c>
      <c r="BJ985" s="272">
        <f>IF(BJ$979&gt;(2020+START!$C$2),BJ225+BJ315+BJ432-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0</v>
      </c>
      <c r="BK985" s="272">
        <f>IF(BK$979&gt;(2020+START!$C$2),BK225+BK315+BK432-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0</v>
      </c>
      <c r="BL985" s="272">
        <f>IF(BL$979&gt;(2020+START!$C$2),BL225+BL315+BL432-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0</v>
      </c>
      <c r="BM985" s="272">
        <f>IF(BM$979&gt;(2020+START!$C$2),BM225+BM315+BM432-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0</v>
      </c>
      <c r="BN985" s="272">
        <f>IF(BN$979&gt;(2020+START!$C$2),BN225+BN315+BN432-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0</v>
      </c>
    </row>
    <row r="986" spans="14:66" ht="20.100000000000001" customHeight="1">
      <c r="N986" s="279"/>
      <c r="O986" s="279"/>
      <c r="P986" s="279"/>
      <c r="Q986" s="279"/>
      <c r="R986" s="279"/>
      <c r="S986" s="279"/>
      <c r="T986" s="279"/>
      <c r="U986" s="279"/>
      <c r="V986" s="279"/>
      <c r="W986" s="279"/>
      <c r="X986" s="279"/>
      <c r="Y986" s="279"/>
      <c r="Z986" s="279"/>
      <c r="AA986" s="279"/>
      <c r="AB986" s="279"/>
      <c r="AC986" s="279"/>
      <c r="AD986" s="279"/>
      <c r="AE986" s="279">
        <f t="shared" si="1210"/>
        <v>7</v>
      </c>
      <c r="AF986" s="280" t="str">
        <f>INDEX('DEFAULT DATA'!$AIU$9:$AJD$41,START!$C$3,7)</f>
        <v>Hospitality</v>
      </c>
      <c r="AG986" s="366"/>
      <c r="AH986" s="366"/>
      <c r="AI986" s="366"/>
      <c r="AJ986" s="366"/>
      <c r="AK986" s="366"/>
      <c r="AL986" s="272" t="str">
        <f>IF(AL$979&gt;(2020+START!$C$2),AL226+AL325+AL442-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
      </c>
      <c r="AM986" s="272">
        <f>IF(AM$979&gt;(2020+START!$C$2),AM226+AM325+AM442-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0</v>
      </c>
      <c r="AN986" s="272">
        <f>IF(AN$979&gt;(2020+START!$C$2),AN226+AN325+AN442-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0</v>
      </c>
      <c r="AO986" s="272">
        <f>IF(AO$979&gt;(2020+START!$C$2),AO226+AO325+AO442-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0</v>
      </c>
      <c r="AP986" s="272">
        <f>IF(AP$979&gt;(2020+START!$C$2),AP226+AP325+AP442-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0</v>
      </c>
      <c r="AQ986" s="272">
        <f>IF(AQ$979&gt;(2020+START!$C$2),AQ226+AQ325+AQ442-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0</v>
      </c>
      <c r="AR986" s="272">
        <f>IF(AR$979&gt;(2020+START!$C$2),AR226+AR325+AR442-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0</v>
      </c>
      <c r="AS986" s="272">
        <f>IF(AS$979&gt;(2020+START!$C$2),AS226+AS325+AS442-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0</v>
      </c>
      <c r="AT986" s="272">
        <f>IF(AT$979&gt;(2020+START!$C$2),AT226+AT325+AT442-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0</v>
      </c>
      <c r="AU986" s="272">
        <f>IF(AU$979&gt;(2020+START!$C$2),AU226+AU325+AU442-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0</v>
      </c>
      <c r="AV986" s="272">
        <f>IF(AV$979&gt;(2020+START!$C$2),AV226+AV325+AV442-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0</v>
      </c>
      <c r="AW986" s="272">
        <f>IF(AW$979&gt;(2020+START!$C$2),AW226+AW325+AW442-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0</v>
      </c>
      <c r="AX986" s="272">
        <f>IF(AX$979&gt;(2020+START!$C$2),AX226+AX325+AX442-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0</v>
      </c>
      <c r="AY986" s="272">
        <f>IF(AY$979&gt;(2020+START!$C$2),AY226+AY325+AY442-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0</v>
      </c>
      <c r="AZ986" s="272">
        <f>IF(AZ$979&gt;(2020+START!$C$2),AZ226+AZ325+AZ442-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0</v>
      </c>
      <c r="BA986" s="272">
        <f>IF(BA$979&gt;(2020+START!$C$2),BA226+BA325+BA442-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0</v>
      </c>
      <c r="BB986" s="272">
        <f>IF(BB$979&gt;(2020+START!$C$2),BB226+BB325+BB442-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0</v>
      </c>
      <c r="BC986" s="272">
        <f>IF(BC$979&gt;(2020+START!$C$2),BC226+BC325+BC442-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0</v>
      </c>
      <c r="BD986" s="272">
        <f>IF(BD$979&gt;(2020+START!$C$2),BD226+BD325+BD442-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0</v>
      </c>
      <c r="BE986" s="272">
        <f>IF(BE$979&gt;(2020+START!$C$2),BE226+BE325+BE442-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0</v>
      </c>
      <c r="BF986" s="272">
        <f>IF(BF$979&gt;(2020+START!$C$2),BF226+BF325+BF442-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0</v>
      </c>
      <c r="BG986" s="272">
        <f>IF(BG$979&gt;(2020+START!$C$2),BG226+BG325+BG442-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0</v>
      </c>
      <c r="BH986" s="272">
        <f>IF(BH$979&gt;(2020+START!$C$2),BH226+BH325+BH442-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0</v>
      </c>
      <c r="BI986" s="272">
        <f>IF(BI$979&gt;(2020+START!$C$2),BI226+BI325+BI442-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0</v>
      </c>
      <c r="BJ986" s="272">
        <f>IF(BJ$979&gt;(2020+START!$C$2),BJ226+BJ325+BJ442-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0</v>
      </c>
      <c r="BK986" s="272">
        <f>IF(BK$979&gt;(2020+START!$C$2),BK226+BK325+BK442-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0</v>
      </c>
      <c r="BL986" s="272">
        <f>IF(BL$979&gt;(2020+START!$C$2),BL226+BL325+BL442-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0</v>
      </c>
      <c r="BM986" s="272">
        <f>IF(BM$979&gt;(2020+START!$C$2),BM226+BM325+BM442-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0</v>
      </c>
      <c r="BN986" s="272">
        <f>IF(BN$979&gt;(2020+START!$C$2),BN226+BN325+BN442-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0</v>
      </c>
    </row>
    <row r="987" spans="14:66" ht="20.100000000000001" customHeight="1">
      <c r="N987" s="279"/>
      <c r="O987" s="279"/>
      <c r="P987" s="279"/>
      <c r="Q987" s="279"/>
      <c r="R987" s="279"/>
      <c r="S987" s="279"/>
      <c r="T987" s="279"/>
      <c r="U987" s="279"/>
      <c r="V987" s="279"/>
      <c r="W987" s="279"/>
      <c r="X987" s="279"/>
      <c r="Y987" s="279"/>
      <c r="Z987" s="279"/>
      <c r="AA987" s="279"/>
      <c r="AB987" s="279"/>
      <c r="AC987" s="279"/>
      <c r="AD987" s="279"/>
      <c r="AE987" s="279">
        <f t="shared" si="1210"/>
        <v>8</v>
      </c>
      <c r="AF987" s="280" t="str">
        <f>INDEX('DEFAULT DATA'!$AIU$9:$AJD$41,START!$C$3,8)</f>
        <v>Offices</v>
      </c>
      <c r="AG987" s="366"/>
      <c r="AH987" s="366"/>
      <c r="AI987" s="366"/>
      <c r="AJ987" s="366"/>
      <c r="AK987" s="366"/>
      <c r="AL987" s="272" t="str">
        <f>IF(AL$979&gt;(2020+START!$C$2),AL227+AL335+AL452-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
      </c>
      <c r="AM987" s="272">
        <f>IF(AM$979&gt;(2020+START!$C$2),AM227+AM335+AM452-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0</v>
      </c>
      <c r="AN987" s="272">
        <f>IF(AN$979&gt;(2020+START!$C$2),AN227+AN335+AN452-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0</v>
      </c>
      <c r="AO987" s="272">
        <f>IF(AO$979&gt;(2020+START!$C$2),AO227+AO335+AO452-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0</v>
      </c>
      <c r="AP987" s="272">
        <f>IF(AP$979&gt;(2020+START!$C$2),AP227+AP335+AP452-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0</v>
      </c>
      <c r="AQ987" s="272">
        <f>IF(AQ$979&gt;(2020+START!$C$2),AQ227+AQ335+AQ452-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0</v>
      </c>
      <c r="AR987" s="272">
        <f>IF(AR$979&gt;(2020+START!$C$2),AR227+AR335+AR452-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0</v>
      </c>
      <c r="AS987" s="272">
        <f>IF(AS$979&gt;(2020+START!$C$2),AS227+AS335+AS452-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0</v>
      </c>
      <c r="AT987" s="272">
        <f>IF(AT$979&gt;(2020+START!$C$2),AT227+AT335+AT452-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0</v>
      </c>
      <c r="AU987" s="272">
        <f>IF(AU$979&gt;(2020+START!$C$2),AU227+AU335+AU452-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0</v>
      </c>
      <c r="AV987" s="272">
        <f>IF(AV$979&gt;(2020+START!$C$2),AV227+AV335+AV452-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0</v>
      </c>
      <c r="AW987" s="272">
        <f>IF(AW$979&gt;(2020+START!$C$2),AW227+AW335+AW452-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0</v>
      </c>
      <c r="AX987" s="272">
        <f>IF(AX$979&gt;(2020+START!$C$2),AX227+AX335+AX452-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0</v>
      </c>
      <c r="AY987" s="272">
        <f>IF(AY$979&gt;(2020+START!$C$2),AY227+AY335+AY452-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0</v>
      </c>
      <c r="AZ987" s="272">
        <f>IF(AZ$979&gt;(2020+START!$C$2),AZ227+AZ335+AZ452-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0</v>
      </c>
      <c r="BA987" s="272">
        <f>IF(BA$979&gt;(2020+START!$C$2),BA227+BA335+BA452-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0</v>
      </c>
      <c r="BB987" s="272">
        <f>IF(BB$979&gt;(2020+START!$C$2),BB227+BB335+BB452-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0</v>
      </c>
      <c r="BC987" s="272">
        <f>IF(BC$979&gt;(2020+START!$C$2),BC227+BC335+BC452-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0</v>
      </c>
      <c r="BD987" s="272">
        <f>IF(BD$979&gt;(2020+START!$C$2),BD227+BD335+BD452-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0</v>
      </c>
      <c r="BE987" s="272">
        <f>IF(BE$979&gt;(2020+START!$C$2),BE227+BE335+BE452-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0</v>
      </c>
      <c r="BF987" s="272">
        <f>IF(BF$979&gt;(2020+START!$C$2),BF227+BF335+BF452-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0</v>
      </c>
      <c r="BG987" s="272">
        <f>IF(BG$979&gt;(2020+START!$C$2),BG227+BG335+BG452-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0</v>
      </c>
      <c r="BH987" s="272">
        <f>IF(BH$979&gt;(2020+START!$C$2),BH227+BH335+BH452-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0</v>
      </c>
      <c r="BI987" s="272">
        <f>IF(BI$979&gt;(2020+START!$C$2),BI227+BI335+BI452-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0</v>
      </c>
      <c r="BJ987" s="272">
        <f>IF(BJ$979&gt;(2020+START!$C$2),BJ227+BJ335+BJ452-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0</v>
      </c>
      <c r="BK987" s="272">
        <f>IF(BK$979&gt;(2020+START!$C$2),BK227+BK335+BK452-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0</v>
      </c>
      <c r="BL987" s="272">
        <f>IF(BL$979&gt;(2020+START!$C$2),BL227+BL335+BL452-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0</v>
      </c>
      <c r="BM987" s="272">
        <f>IF(BM$979&gt;(2020+START!$C$2),BM227+BM335+BM452-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0</v>
      </c>
      <c r="BN987" s="272">
        <f>IF(BN$979&gt;(2020+START!$C$2),BN227+BN335+BN452-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0</v>
      </c>
    </row>
    <row r="988" spans="14:66" ht="20.100000000000001" customHeight="1">
      <c r="N988" s="279"/>
      <c r="O988" s="279"/>
      <c r="P988" s="279"/>
      <c r="Q988" s="279"/>
      <c r="R988" s="279"/>
      <c r="S988" s="279"/>
      <c r="T988" s="279"/>
      <c r="U988" s="279"/>
      <c r="V988" s="279"/>
      <c r="W988" s="279"/>
      <c r="X988" s="279"/>
      <c r="Y988" s="279"/>
      <c r="Z988" s="279"/>
      <c r="AA988" s="279"/>
      <c r="AB988" s="279"/>
      <c r="AC988" s="279"/>
      <c r="AD988" s="279"/>
      <c r="AE988" s="279">
        <f t="shared" si="1210"/>
        <v>9</v>
      </c>
      <c r="AF988" s="280" t="str">
        <f>INDEX('DEFAULT DATA'!$AIU$9:$AJD$41,START!$C$3,9)</f>
        <v>Industrial</v>
      </c>
      <c r="AG988" s="366"/>
      <c r="AH988" s="366"/>
      <c r="AI988" s="366"/>
      <c r="AJ988" s="366"/>
      <c r="AK988" s="366"/>
      <c r="AL988" s="272" t="str">
        <f>IF(AL$979&gt;(2020+START!$C$2),AL228+AL345+AL462-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
      </c>
      <c r="AM988" s="272">
        <f>IF(AM$979&gt;(2020+START!$C$2),AM228+AM345+AM462-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0</v>
      </c>
      <c r="AN988" s="272">
        <f>IF(AN$979&gt;(2020+START!$C$2),AN228+AN345+AN462-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0</v>
      </c>
      <c r="AO988" s="272">
        <f>IF(AO$979&gt;(2020+START!$C$2),AO228+AO345+AO462-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0</v>
      </c>
      <c r="AP988" s="272">
        <f>IF(AP$979&gt;(2020+START!$C$2),AP228+AP345+AP462-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0</v>
      </c>
      <c r="AQ988" s="272">
        <f>IF(AQ$979&gt;(2020+START!$C$2),AQ228+AQ345+AQ462-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0</v>
      </c>
      <c r="AR988" s="272">
        <f>IF(AR$979&gt;(2020+START!$C$2),AR228+AR345+AR462-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0</v>
      </c>
      <c r="AS988" s="272">
        <f>IF(AS$979&gt;(2020+START!$C$2),AS228+AS345+AS462-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0</v>
      </c>
      <c r="AT988" s="272">
        <f>IF(AT$979&gt;(2020+START!$C$2),AT228+AT345+AT462-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0</v>
      </c>
      <c r="AU988" s="272">
        <f>IF(AU$979&gt;(2020+START!$C$2),AU228+AU345+AU462-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0</v>
      </c>
      <c r="AV988" s="272">
        <f>IF(AV$979&gt;(2020+START!$C$2),AV228+AV345+AV462-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0</v>
      </c>
      <c r="AW988" s="272">
        <f>IF(AW$979&gt;(2020+START!$C$2),AW228+AW345+AW462-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0</v>
      </c>
      <c r="AX988" s="272">
        <f>IF(AX$979&gt;(2020+START!$C$2),AX228+AX345+AX462-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0</v>
      </c>
      <c r="AY988" s="272">
        <f>IF(AY$979&gt;(2020+START!$C$2),AY228+AY345+AY462-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0</v>
      </c>
      <c r="AZ988" s="272">
        <f>IF(AZ$979&gt;(2020+START!$C$2),AZ228+AZ345+AZ462-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0</v>
      </c>
      <c r="BA988" s="272">
        <f>IF(BA$979&gt;(2020+START!$C$2),BA228+BA345+BA462-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0</v>
      </c>
      <c r="BB988" s="272">
        <f>IF(BB$979&gt;(2020+START!$C$2),BB228+BB345+BB462-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0</v>
      </c>
      <c r="BC988" s="272">
        <f>IF(BC$979&gt;(2020+START!$C$2),BC228+BC345+BC462-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0</v>
      </c>
      <c r="BD988" s="272">
        <f>IF(BD$979&gt;(2020+START!$C$2),BD228+BD345+BD462-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0</v>
      </c>
      <c r="BE988" s="272">
        <f>IF(BE$979&gt;(2020+START!$C$2),BE228+BE345+BE462-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0</v>
      </c>
      <c r="BF988" s="272">
        <f>IF(BF$979&gt;(2020+START!$C$2),BF228+BF345+BF462-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0</v>
      </c>
      <c r="BG988" s="272">
        <f>IF(BG$979&gt;(2020+START!$C$2),BG228+BG345+BG462-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0</v>
      </c>
      <c r="BH988" s="272">
        <f>IF(BH$979&gt;(2020+START!$C$2),BH228+BH345+BH462-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0</v>
      </c>
      <c r="BI988" s="272">
        <f>IF(BI$979&gt;(2020+START!$C$2),BI228+BI345+BI462-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0</v>
      </c>
      <c r="BJ988" s="272">
        <f>IF(BJ$979&gt;(2020+START!$C$2),BJ228+BJ345+BJ462-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0</v>
      </c>
      <c r="BK988" s="272">
        <f>IF(BK$979&gt;(2020+START!$C$2),BK228+BK345+BK462-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0</v>
      </c>
      <c r="BL988" s="272">
        <f>IF(BL$979&gt;(2020+START!$C$2),BL228+BL345+BL462-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0</v>
      </c>
      <c r="BM988" s="272">
        <f>IF(BM$979&gt;(2020+START!$C$2),BM228+BM345+BM462-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0</v>
      </c>
      <c r="BN988" s="272">
        <f>IF(BN$979&gt;(2020+START!$C$2),BN228+BN345+BN462-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0</v>
      </c>
    </row>
    <row r="989" spans="14:66" ht="20.100000000000001" customHeight="1">
      <c r="N989" s="279"/>
      <c r="O989" s="279"/>
      <c r="P989" s="279"/>
      <c r="Q989" s="279"/>
      <c r="R989" s="279"/>
      <c r="S989" s="279"/>
      <c r="T989" s="279"/>
      <c r="U989" s="279"/>
      <c r="V989" s="279"/>
      <c r="W989" s="279"/>
      <c r="X989" s="279"/>
      <c r="Y989" s="279"/>
      <c r="Z989" s="279"/>
      <c r="AA989" s="279"/>
      <c r="AB989" s="279"/>
      <c r="AC989" s="279"/>
      <c r="AD989" s="279"/>
      <c r="AE989" s="279">
        <f t="shared" si="1210"/>
        <v>10</v>
      </c>
      <c r="AF989" s="488" t="str">
        <f>INDEX('DEFAULT DATA'!$AIU$9:$AJD$41,START!$C$3,10)</f>
        <v>Warehouses</v>
      </c>
      <c r="AG989" s="819"/>
      <c r="AH989" s="819"/>
      <c r="AI989" s="819"/>
      <c r="AJ989" s="819"/>
      <c r="AK989" s="819"/>
      <c r="AL989" s="272" t="str">
        <f>IF(AL$979&gt;(2020+START!$C$2),AL229+AL355+AL472-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
      </c>
      <c r="AM989" s="272">
        <f>IF(AM$979&gt;(2020+START!$C$2),AM229+AM355+AM472-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0</v>
      </c>
      <c r="AN989" s="272">
        <f>IF(AN$979&gt;(2020+START!$C$2),AN229+AN355+AN472-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0</v>
      </c>
      <c r="AO989" s="272">
        <f>IF(AO$979&gt;(2020+START!$C$2),AO229+AO355+AO472-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0</v>
      </c>
      <c r="AP989" s="272">
        <f>IF(AP$979&gt;(2020+START!$C$2),AP229+AP355+AP472-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0</v>
      </c>
      <c r="AQ989" s="272">
        <f>IF(AQ$979&gt;(2020+START!$C$2),AQ229+AQ355+AQ472-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0</v>
      </c>
      <c r="AR989" s="272">
        <f>IF(AR$979&gt;(2020+START!$C$2),AR229+AR355+AR472-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0</v>
      </c>
      <c r="AS989" s="272">
        <f>IF(AS$979&gt;(2020+START!$C$2),AS229+AS355+AS472-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0</v>
      </c>
      <c r="AT989" s="272">
        <f>IF(AT$979&gt;(2020+START!$C$2),AT229+AT355+AT472-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0</v>
      </c>
      <c r="AU989" s="272">
        <f>IF(AU$979&gt;(2020+START!$C$2),AU229+AU355+AU472-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0</v>
      </c>
      <c r="AV989" s="272">
        <f>IF(AV$979&gt;(2020+START!$C$2),AV229+AV355+AV472-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0</v>
      </c>
      <c r="AW989" s="272">
        <f>IF(AW$979&gt;(2020+START!$C$2),AW229+AW355+AW472-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0</v>
      </c>
      <c r="AX989" s="272">
        <f>IF(AX$979&gt;(2020+START!$C$2),AX229+AX355+AX472-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0</v>
      </c>
      <c r="AY989" s="272">
        <f>IF(AY$979&gt;(2020+START!$C$2),AY229+AY355+AY472-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0</v>
      </c>
      <c r="AZ989" s="272">
        <f>IF(AZ$979&gt;(2020+START!$C$2),AZ229+AZ355+AZ472-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0</v>
      </c>
      <c r="BA989" s="272">
        <f>IF(BA$979&gt;(2020+START!$C$2),BA229+BA355+BA472-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0</v>
      </c>
      <c r="BB989" s="272">
        <f>IF(BB$979&gt;(2020+START!$C$2),BB229+BB355+BB472-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0</v>
      </c>
      <c r="BC989" s="272">
        <f>IF(BC$979&gt;(2020+START!$C$2),BC229+BC355+BC472-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0</v>
      </c>
      <c r="BD989" s="272">
        <f>IF(BD$979&gt;(2020+START!$C$2),BD229+BD355+BD472-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0</v>
      </c>
      <c r="BE989" s="272">
        <f>IF(BE$979&gt;(2020+START!$C$2),BE229+BE355+BE472-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0</v>
      </c>
      <c r="BF989" s="272">
        <f>IF(BF$979&gt;(2020+START!$C$2),BF229+BF355+BF472-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0</v>
      </c>
      <c r="BG989" s="272">
        <f>IF(BG$979&gt;(2020+START!$C$2),BG229+BG355+BG472-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0</v>
      </c>
      <c r="BH989" s="272">
        <f>IF(BH$979&gt;(2020+START!$C$2),BH229+BH355+BH472-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0</v>
      </c>
      <c r="BI989" s="272">
        <f>IF(BI$979&gt;(2020+START!$C$2),BI229+BI355+BI472-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0</v>
      </c>
      <c r="BJ989" s="272">
        <f>IF(BJ$979&gt;(2020+START!$C$2),BJ229+BJ355+BJ472-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0</v>
      </c>
      <c r="BK989" s="272">
        <f>IF(BK$979&gt;(2020+START!$C$2),BK229+BK355+BK472-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0</v>
      </c>
      <c r="BL989" s="272">
        <f>IF(BL$979&gt;(2020+START!$C$2),BL229+BL355+BL472-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0</v>
      </c>
      <c r="BM989" s="272">
        <f>IF(BM$979&gt;(2020+START!$C$2),BM229+BM355+BM472-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0</v>
      </c>
      <c r="BN989" s="272">
        <f>IF(BN$979&gt;(2020+START!$C$2),BN229+BN355+BN472-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0</v>
      </c>
    </row>
    <row r="990" spans="14:66" ht="20.100000000000001" customHeight="1">
      <c r="AF990" s="280" t="s">
        <v>1516</v>
      </c>
      <c r="AG990" s="366"/>
      <c r="AH990" s="366"/>
      <c r="AI990" s="366"/>
      <c r="AJ990" s="366"/>
      <c r="AK990" s="366"/>
      <c r="AL990" s="272" t="str">
        <f t="shared" ref="AL990:BN990" si="1211">AL230</f>
        <v/>
      </c>
      <c r="AM990" s="272">
        <f t="shared" si="1211"/>
        <v>227608.68651562839</v>
      </c>
      <c r="AN990" s="272">
        <f t="shared" si="1211"/>
        <v>227021.56615728958</v>
      </c>
      <c r="AO990" s="272">
        <f t="shared" si="1211"/>
        <v>226440.31700253417</v>
      </c>
      <c r="AP990" s="272">
        <f t="shared" si="1211"/>
        <v>225864.88033932631</v>
      </c>
      <c r="AQ990" s="272">
        <f t="shared" si="1211"/>
        <v>225295.19804275053</v>
      </c>
      <c r="AR990" s="272">
        <f t="shared" si="1211"/>
        <v>224731.21256914048</v>
      </c>
      <c r="AS990" s="272">
        <f t="shared" si="1211"/>
        <v>224172.86695026659</v>
      </c>
      <c r="AT990" s="272">
        <f t="shared" si="1211"/>
        <v>223620.1047875814</v>
      </c>
      <c r="AU990" s="272">
        <f t="shared" si="1211"/>
        <v>220610.31481176056</v>
      </c>
      <c r="AV990" s="272">
        <f t="shared" si="1211"/>
        <v>217766.06328460987</v>
      </c>
      <c r="AW990" s="272">
        <f t="shared" si="1211"/>
        <v>215078.24559145246</v>
      </c>
      <c r="AX990" s="272">
        <f t="shared" si="1211"/>
        <v>212538.25787141873</v>
      </c>
      <c r="AY990" s="272">
        <f t="shared" si="1211"/>
        <v>210137.96947598684</v>
      </c>
      <c r="AZ990" s="272">
        <f t="shared" si="1211"/>
        <v>207869.69694230371</v>
      </c>
      <c r="BA990" s="272">
        <f t="shared" si="1211"/>
        <v>205726.17939797317</v>
      </c>
      <c r="BB990" s="272">
        <f t="shared" si="1211"/>
        <v>203700.55531858077</v>
      </c>
      <c r="BC990" s="272">
        <f t="shared" si="1211"/>
        <v>201786.34056355499</v>
      </c>
      <c r="BD990" s="272">
        <f t="shared" si="1211"/>
        <v>199977.4076200556</v>
      </c>
      <c r="BE990" s="272">
        <f t="shared" si="1211"/>
        <v>198267.96598844868</v>
      </c>
      <c r="BF990" s="272">
        <f t="shared" si="1211"/>
        <v>196652.54364658016</v>
      </c>
      <c r="BG990" s="272">
        <f t="shared" si="1211"/>
        <v>195125.96953351441</v>
      </c>
      <c r="BH990" s="272">
        <f t="shared" si="1211"/>
        <v>193683.35699666728</v>
      </c>
      <c r="BI990" s="272">
        <f t="shared" si="1211"/>
        <v>192320.08814934667</v>
      </c>
      <c r="BJ990" s="272">
        <f t="shared" si="1211"/>
        <v>191031.79908862876</v>
      </c>
      <c r="BK990" s="272">
        <f t="shared" si="1211"/>
        <v>189814.36592625035</v>
      </c>
      <c r="BL990" s="272">
        <f t="shared" si="1211"/>
        <v>188663.89158780273</v>
      </c>
      <c r="BM990" s="272">
        <f t="shared" si="1211"/>
        <v>187576.69333796971</v>
      </c>
      <c r="BN990" s="272">
        <f t="shared" si="1211"/>
        <v>186549.2909918775</v>
      </c>
    </row>
    <row r="991" spans="14:66" ht="20.100000000000001" customHeight="1">
      <c r="AF991" s="280" t="s">
        <v>2634</v>
      </c>
      <c r="AG991" s="366"/>
      <c r="AH991" s="366"/>
      <c r="AI991" s="366"/>
      <c r="AJ991" s="366"/>
      <c r="AK991" s="366"/>
      <c r="AL991" s="272">
        <f>SUM(AL980:AL989)</f>
        <v>0</v>
      </c>
      <c r="AM991" s="272">
        <f t="shared" ref="AM991:BN991" si="1212">SUM(AM980:AM989)</f>
        <v>227608.68651562839</v>
      </c>
      <c r="AN991" s="272">
        <f t="shared" si="1212"/>
        <v>227021.56615728958</v>
      </c>
      <c r="AO991" s="272">
        <f t="shared" si="1212"/>
        <v>226440.31700253417</v>
      </c>
      <c r="AP991" s="272">
        <f t="shared" si="1212"/>
        <v>225864.88033932631</v>
      </c>
      <c r="AQ991" s="272">
        <f t="shared" si="1212"/>
        <v>225295.19804275053</v>
      </c>
      <c r="AR991" s="272">
        <f t="shared" si="1212"/>
        <v>224731.21256914048</v>
      </c>
      <c r="AS991" s="272">
        <f t="shared" si="1212"/>
        <v>224172.86695026659</v>
      </c>
      <c r="AT991" s="272">
        <f t="shared" si="1212"/>
        <v>205003.53809463346</v>
      </c>
      <c r="AU991" s="272">
        <f t="shared" si="1212"/>
        <v>190797.80053195285</v>
      </c>
      <c r="AV991" s="272">
        <f t="shared" si="1212"/>
        <v>176875.30431408447</v>
      </c>
      <c r="AW991" s="272">
        <f t="shared" si="1212"/>
        <v>163220.47116706369</v>
      </c>
      <c r="AX991" s="272">
        <f t="shared" si="1212"/>
        <v>149818.57962199385</v>
      </c>
      <c r="AY991" s="272">
        <f t="shared" si="1212"/>
        <v>136655.71789076773</v>
      </c>
      <c r="AZ991" s="272">
        <f t="shared" si="1212"/>
        <v>134387.44535708457</v>
      </c>
      <c r="BA991" s="272">
        <f t="shared" si="1212"/>
        <v>132243.92781275403</v>
      </c>
      <c r="BB991" s="272">
        <f t="shared" si="1212"/>
        <v>130218.30373336162</v>
      </c>
      <c r="BC991" s="272">
        <f t="shared" si="1212"/>
        <v>128304.08897833584</v>
      </c>
      <c r="BD991" s="272">
        <f t="shared" si="1212"/>
        <v>126495.15603483646</v>
      </c>
      <c r="BE991" s="272">
        <f t="shared" si="1212"/>
        <v>124785.71440322953</v>
      </c>
      <c r="BF991" s="272">
        <f t="shared" si="1212"/>
        <v>123170.292061361</v>
      </c>
      <c r="BG991" s="272">
        <f t="shared" si="1212"/>
        <v>121643.71794829523</v>
      </c>
      <c r="BH991" s="272">
        <f t="shared" si="1212"/>
        <v>120201.10541144812</v>
      </c>
      <c r="BI991" s="272">
        <f t="shared" si="1212"/>
        <v>118837.83656412753</v>
      </c>
      <c r="BJ991" s="272">
        <f t="shared" si="1212"/>
        <v>117549.54750340962</v>
      </c>
      <c r="BK991" s="272">
        <f t="shared" si="1212"/>
        <v>116332.11434103119</v>
      </c>
      <c r="BL991" s="272">
        <f t="shared" si="1212"/>
        <v>115181.64000258358</v>
      </c>
      <c r="BM991" s="272">
        <f t="shared" si="1212"/>
        <v>114094.44175275057</v>
      </c>
      <c r="BN991" s="272">
        <f t="shared" si="1212"/>
        <v>113067.03940665837</v>
      </c>
    </row>
  </sheetData>
  <mergeCells count="659">
    <mergeCell ref="BQ848:CH848"/>
    <mergeCell ref="BQ849:CH849"/>
    <mergeCell ref="BQ850:CH850"/>
    <mergeCell ref="BQ835:CH835"/>
    <mergeCell ref="BQ836:CH836"/>
    <mergeCell ref="BQ837:CH837"/>
    <mergeCell ref="BQ838:CH838"/>
    <mergeCell ref="BQ839:CH839"/>
    <mergeCell ref="BQ843:CH843"/>
    <mergeCell ref="BQ844:CH844"/>
    <mergeCell ref="BQ845:CH845"/>
    <mergeCell ref="BQ846:CH846"/>
    <mergeCell ref="BQ824:CH824"/>
    <mergeCell ref="BQ825:CH825"/>
    <mergeCell ref="BQ826:CH826"/>
    <mergeCell ref="BQ827:CH827"/>
    <mergeCell ref="BQ828:CH828"/>
    <mergeCell ref="BQ832:CH832"/>
    <mergeCell ref="BQ833:CH833"/>
    <mergeCell ref="BQ834:CH834"/>
    <mergeCell ref="BQ847:CH847"/>
    <mergeCell ref="BQ812:CH812"/>
    <mergeCell ref="BQ813:CH813"/>
    <mergeCell ref="BQ814:CH814"/>
    <mergeCell ref="BQ815:CH815"/>
    <mergeCell ref="BQ816:CH816"/>
    <mergeCell ref="BQ817:CH817"/>
    <mergeCell ref="BQ821:CH821"/>
    <mergeCell ref="BQ822:CH822"/>
    <mergeCell ref="BQ823:CH823"/>
    <mergeCell ref="BQ800:CH800"/>
    <mergeCell ref="BQ801:CH801"/>
    <mergeCell ref="BQ802:CH802"/>
    <mergeCell ref="BQ803:CH803"/>
    <mergeCell ref="BQ804:CH804"/>
    <mergeCell ref="BQ805:CH805"/>
    <mergeCell ref="BQ806:CH806"/>
    <mergeCell ref="BQ810:CH810"/>
    <mergeCell ref="BQ811:CH811"/>
    <mergeCell ref="BQ788:CH788"/>
    <mergeCell ref="BQ789:CH789"/>
    <mergeCell ref="BQ790:CH790"/>
    <mergeCell ref="BQ791:CH791"/>
    <mergeCell ref="BQ792:CH792"/>
    <mergeCell ref="BQ793:CH793"/>
    <mergeCell ref="BQ794:CH794"/>
    <mergeCell ref="BQ795:CH795"/>
    <mergeCell ref="BQ799:CH799"/>
    <mergeCell ref="BQ772:CH772"/>
    <mergeCell ref="BQ776:CH776"/>
    <mergeCell ref="BQ777:CH777"/>
    <mergeCell ref="BQ778:CH778"/>
    <mergeCell ref="BQ779:CH779"/>
    <mergeCell ref="BQ780:CH780"/>
    <mergeCell ref="BQ781:CH781"/>
    <mergeCell ref="BQ782:CH782"/>
    <mergeCell ref="BQ783:CH783"/>
    <mergeCell ref="BQ760:CH760"/>
    <mergeCell ref="BQ761:CH761"/>
    <mergeCell ref="BQ765:CH765"/>
    <mergeCell ref="BQ766:CH766"/>
    <mergeCell ref="BQ767:CH767"/>
    <mergeCell ref="BQ768:CH768"/>
    <mergeCell ref="BQ769:CH769"/>
    <mergeCell ref="BQ770:CH770"/>
    <mergeCell ref="BQ771:CH771"/>
    <mergeCell ref="BQ748:CH748"/>
    <mergeCell ref="BQ749:CH749"/>
    <mergeCell ref="BQ750:CH750"/>
    <mergeCell ref="BQ754:CH754"/>
    <mergeCell ref="BQ755:CH755"/>
    <mergeCell ref="BQ756:CH756"/>
    <mergeCell ref="BQ757:CH757"/>
    <mergeCell ref="BQ758:CH758"/>
    <mergeCell ref="BQ759:CH759"/>
    <mergeCell ref="BQ736:CH736"/>
    <mergeCell ref="BQ737:CH737"/>
    <mergeCell ref="BQ738:CH738"/>
    <mergeCell ref="BQ739:CH739"/>
    <mergeCell ref="BQ743:CH743"/>
    <mergeCell ref="BQ744:CH744"/>
    <mergeCell ref="BQ745:CH745"/>
    <mergeCell ref="BQ746:CH746"/>
    <mergeCell ref="BQ747:CH747"/>
    <mergeCell ref="BQ303:CG303"/>
    <mergeCell ref="BQ304:CG304"/>
    <mergeCell ref="BQ290:CG290"/>
    <mergeCell ref="BQ291:CG291"/>
    <mergeCell ref="BQ292:CG292"/>
    <mergeCell ref="BQ297:CG297"/>
    <mergeCell ref="BQ298:CG298"/>
    <mergeCell ref="BQ299:CG299"/>
    <mergeCell ref="BQ300:CG300"/>
    <mergeCell ref="BQ301:CG301"/>
    <mergeCell ref="BQ302:CG302"/>
    <mergeCell ref="BQ279:CG279"/>
    <mergeCell ref="BQ280:CG280"/>
    <mergeCell ref="BQ281:CG281"/>
    <mergeCell ref="BQ282:CG282"/>
    <mergeCell ref="BQ285:CG285"/>
    <mergeCell ref="BQ286:CG286"/>
    <mergeCell ref="BQ287:CG287"/>
    <mergeCell ref="BQ288:CG288"/>
    <mergeCell ref="BQ289:CG289"/>
    <mergeCell ref="BQ268:CG268"/>
    <mergeCell ref="BQ269:CG269"/>
    <mergeCell ref="BQ270:CG270"/>
    <mergeCell ref="BQ271:CG271"/>
    <mergeCell ref="BQ272:CG272"/>
    <mergeCell ref="BQ275:CG275"/>
    <mergeCell ref="BQ276:CG276"/>
    <mergeCell ref="BQ277:CG277"/>
    <mergeCell ref="BQ278:CG278"/>
    <mergeCell ref="BQ257:CG257"/>
    <mergeCell ref="BQ258:CG258"/>
    <mergeCell ref="BQ259:CG259"/>
    <mergeCell ref="BQ260:CG260"/>
    <mergeCell ref="BQ261:CG261"/>
    <mergeCell ref="BQ262:CG262"/>
    <mergeCell ref="BQ265:CG265"/>
    <mergeCell ref="BQ266:CG266"/>
    <mergeCell ref="BQ267:CG267"/>
    <mergeCell ref="BQ256:CG256"/>
    <mergeCell ref="CH140:CH141"/>
    <mergeCell ref="CH153:CH154"/>
    <mergeCell ref="CH166:CH167"/>
    <mergeCell ref="CH179:CH180"/>
    <mergeCell ref="CH192:CH193"/>
    <mergeCell ref="CH205:CH206"/>
    <mergeCell ref="AG116:AN116"/>
    <mergeCell ref="AG117:AN117"/>
    <mergeCell ref="AG118:AN118"/>
    <mergeCell ref="AG119:AN119"/>
    <mergeCell ref="AG120:AN120"/>
    <mergeCell ref="AG121:AN121"/>
    <mergeCell ref="AG122:AN122"/>
    <mergeCell ref="AG123:AN123"/>
    <mergeCell ref="AG124:AN124"/>
    <mergeCell ref="AO127:AS127"/>
    <mergeCell ref="AG20:AY20"/>
    <mergeCell ref="AG19:AY19"/>
    <mergeCell ref="AG18:AY18"/>
    <mergeCell ref="AG17:AY17"/>
    <mergeCell ref="AG16:AY16"/>
    <mergeCell ref="CH252:CH253"/>
    <mergeCell ref="BQ255:CG255"/>
    <mergeCell ref="AG15:AY15"/>
    <mergeCell ref="AO125:AS125"/>
    <mergeCell ref="AG36:AJ36"/>
    <mergeCell ref="AG37:AJ37"/>
    <mergeCell ref="AG38:AJ38"/>
    <mergeCell ref="AG39:AJ39"/>
    <mergeCell ref="AG40:AJ40"/>
    <mergeCell ref="AG10:AY10"/>
    <mergeCell ref="AG12:AY12"/>
    <mergeCell ref="AG50:AJ50"/>
    <mergeCell ref="AG51:AJ51"/>
    <mergeCell ref="AG48:AJ48"/>
    <mergeCell ref="AG143:AJ143"/>
    <mergeCell ref="AG138:AJ138"/>
    <mergeCell ref="AG142:AJ142"/>
    <mergeCell ref="AG55:AJ55"/>
    <mergeCell ref="AG137:AJ137"/>
    <mergeCell ref="AO119:AS119"/>
    <mergeCell ref="AO120:AS120"/>
    <mergeCell ref="AO121:AS121"/>
    <mergeCell ref="AG67:AJ67"/>
    <mergeCell ref="AG68:AJ68"/>
    <mergeCell ref="AG111:AM111"/>
    <mergeCell ref="AG112:AM112"/>
    <mergeCell ref="AO115:AS115"/>
    <mergeCell ref="AO116:AS116"/>
    <mergeCell ref="AO117:AS117"/>
    <mergeCell ref="AO118:AS118"/>
    <mergeCell ref="AO126:AS126"/>
    <mergeCell ref="AO124:AS124"/>
    <mergeCell ref="AG21:AY23"/>
    <mergeCell ref="AL3:AT3"/>
    <mergeCell ref="AU3:BD3"/>
    <mergeCell ref="BE3:BN3"/>
    <mergeCell ref="AG11:AY11"/>
    <mergeCell ref="AF265:AF272"/>
    <mergeCell ref="AO122:AS122"/>
    <mergeCell ref="AO123:AS123"/>
    <mergeCell ref="AG235:AG236"/>
    <mergeCell ref="AH235:AH236"/>
    <mergeCell ref="AI235:AI236"/>
    <mergeCell ref="AJ235:AJ236"/>
    <mergeCell ref="AK235:AK236"/>
    <mergeCell ref="AG148:AJ148"/>
    <mergeCell ref="AG149:AJ149"/>
    <mergeCell ref="AG150:AJ150"/>
    <mergeCell ref="AG6:AJ6"/>
    <mergeCell ref="AG65:AJ65"/>
    <mergeCell ref="AG144:AJ144"/>
    <mergeCell ref="AG131:AJ131"/>
    <mergeCell ref="AG145:AJ145"/>
    <mergeCell ref="AG146:AJ146"/>
    <mergeCell ref="AG147:AJ147"/>
    <mergeCell ref="AG49:AJ49"/>
    <mergeCell ref="AG9:AY9"/>
    <mergeCell ref="AF414:AF421"/>
    <mergeCell ref="AF307:AF314"/>
    <mergeCell ref="AF132:AF137"/>
    <mergeCell ref="AF297:AF304"/>
    <mergeCell ref="AF317:AF324"/>
    <mergeCell ref="AF327:AF334"/>
    <mergeCell ref="AF337:AF344"/>
    <mergeCell ref="AF347:AF354"/>
    <mergeCell ref="AF404:AF411"/>
    <mergeCell ref="AF275:AF282"/>
    <mergeCell ref="AF285:AF292"/>
    <mergeCell ref="AF374:AF381"/>
    <mergeCell ref="AF384:AF391"/>
    <mergeCell ref="AF394:AF401"/>
    <mergeCell ref="AF255:AF262"/>
    <mergeCell ref="AF208:AF215"/>
    <mergeCell ref="AF195:AF202"/>
    <mergeCell ref="AF143:AF150"/>
    <mergeCell ref="AG115:AN115"/>
    <mergeCell ref="AG85:AJ85"/>
    <mergeCell ref="AG43:AJ43"/>
    <mergeCell ref="AG44:AJ44"/>
    <mergeCell ref="AF61:AF68"/>
    <mergeCell ref="AG45:AJ45"/>
    <mergeCell ref="AG64:AJ64"/>
    <mergeCell ref="AG98:AJ98"/>
    <mergeCell ref="AG101:AJ101"/>
    <mergeCell ref="AF73:AF75"/>
    <mergeCell ref="AG105:AJ105"/>
    <mergeCell ref="AF93:AF95"/>
    <mergeCell ref="AF99:AF106"/>
    <mergeCell ref="AF110:AF113"/>
    <mergeCell ref="AG107:AJ107"/>
    <mergeCell ref="AG102:AJ102"/>
    <mergeCell ref="AG81:AJ81"/>
    <mergeCell ref="AF25:AF33"/>
    <mergeCell ref="AG82:AJ82"/>
    <mergeCell ref="AG69:AJ69"/>
    <mergeCell ref="AG66:AJ66"/>
    <mergeCell ref="D81:E82"/>
    <mergeCell ref="AG28:AW28"/>
    <mergeCell ref="AG29:AW29"/>
    <mergeCell ref="AF37:AF39"/>
    <mergeCell ref="AG30:AW30"/>
    <mergeCell ref="AG31:AW31"/>
    <mergeCell ref="AG33:AW33"/>
    <mergeCell ref="AF79:AF86"/>
    <mergeCell ref="B92:B93"/>
    <mergeCell ref="C92:C93"/>
    <mergeCell ref="D99:E100"/>
    <mergeCell ref="F99:F100"/>
    <mergeCell ref="B99:B100"/>
    <mergeCell ref="AG113:AM113"/>
    <mergeCell ref="AG106:AJ106"/>
    <mergeCell ref="AG4:AJ4"/>
    <mergeCell ref="AG32:AW32"/>
    <mergeCell ref="A70:K70"/>
    <mergeCell ref="A109:K109"/>
    <mergeCell ref="F73:F74"/>
    <mergeCell ref="F81:F82"/>
    <mergeCell ref="D73:E74"/>
    <mergeCell ref="AG5:AJ5"/>
    <mergeCell ref="AG54:AJ54"/>
    <mergeCell ref="AG58:AJ58"/>
    <mergeCell ref="AG60:AJ60"/>
    <mergeCell ref="AG61:AJ61"/>
    <mergeCell ref="AG62:AJ62"/>
    <mergeCell ref="AG63:AJ63"/>
    <mergeCell ref="AG86:AJ86"/>
    <mergeCell ref="AG87:AJ87"/>
    <mergeCell ref="I122:J123"/>
    <mergeCell ref="D92:E93"/>
    <mergeCell ref="F92:F93"/>
    <mergeCell ref="I133:J134"/>
    <mergeCell ref="C99:C100"/>
    <mergeCell ref="G112:H112"/>
    <mergeCell ref="I112:J113"/>
    <mergeCell ref="D112:E112"/>
    <mergeCell ref="F112:F113"/>
    <mergeCell ref="C112:C113"/>
    <mergeCell ref="C122:C123"/>
    <mergeCell ref="E122:E123"/>
    <mergeCell ref="F122:F123"/>
    <mergeCell ref="G122:H122"/>
    <mergeCell ref="AF9:AF23"/>
    <mergeCell ref="AF234:AK234"/>
    <mergeCell ref="AG42:AJ42"/>
    <mergeCell ref="AG56:AJ56"/>
    <mergeCell ref="AG78:AJ78"/>
    <mergeCell ref="AG79:AJ79"/>
    <mergeCell ref="AG80:AJ80"/>
    <mergeCell ref="AG83:AJ83"/>
    <mergeCell ref="AG84:AJ84"/>
    <mergeCell ref="AG46:AJ46"/>
    <mergeCell ref="AG47:AJ47"/>
    <mergeCell ref="AG151:AJ151"/>
    <mergeCell ref="AG103:AJ103"/>
    <mergeCell ref="AG104:AJ104"/>
    <mergeCell ref="AG99:AJ99"/>
    <mergeCell ref="AG100:AJ100"/>
    <mergeCell ref="AG134:AJ134"/>
    <mergeCell ref="AG135:AJ135"/>
    <mergeCell ref="AG136:AJ136"/>
    <mergeCell ref="AG132:AJ132"/>
    <mergeCell ref="AG133:AJ133"/>
    <mergeCell ref="AG110:AM110"/>
    <mergeCell ref="AF43:AF50"/>
    <mergeCell ref="AF55:AF57"/>
    <mergeCell ref="AF515:AF522"/>
    <mergeCell ref="AF526:AF533"/>
    <mergeCell ref="AF537:AF544"/>
    <mergeCell ref="AF548:AF555"/>
    <mergeCell ref="AF559:AF566"/>
    <mergeCell ref="AF570:AF577"/>
    <mergeCell ref="AF615:AF622"/>
    <mergeCell ref="AF434:AF441"/>
    <mergeCell ref="AF444:AF451"/>
    <mergeCell ref="AF454:AF461"/>
    <mergeCell ref="AF464:AF471"/>
    <mergeCell ref="AF116:AF122"/>
    <mergeCell ref="AG125:AN125"/>
    <mergeCell ref="AG126:AN126"/>
    <mergeCell ref="AG127:AN127"/>
    <mergeCell ref="AF182:AF189"/>
    <mergeCell ref="AF169:AF176"/>
    <mergeCell ref="AF156:AF163"/>
    <mergeCell ref="AH897:AJ897"/>
    <mergeCell ref="AF424:AF431"/>
    <mergeCell ref="AH874:AJ874"/>
    <mergeCell ref="AH875:AJ875"/>
    <mergeCell ref="AF855:AF875"/>
    <mergeCell ref="AH855:AJ855"/>
    <mergeCell ref="AF626:AF633"/>
    <mergeCell ref="AF637:AF644"/>
    <mergeCell ref="AF648:AF655"/>
    <mergeCell ref="AF659:AF666"/>
    <mergeCell ref="AF670:AF677"/>
    <mergeCell ref="AH865:AJ865"/>
    <mergeCell ref="AH866:AJ866"/>
    <mergeCell ref="AH867:AJ867"/>
    <mergeCell ref="AH868:AJ868"/>
    <mergeCell ref="AH869:AJ869"/>
    <mergeCell ref="AH870:AJ870"/>
    <mergeCell ref="AH871:AJ871"/>
    <mergeCell ref="AH872:AJ872"/>
    <mergeCell ref="AH873:AJ873"/>
    <mergeCell ref="AH856:AJ856"/>
    <mergeCell ref="AH857:AJ857"/>
    <mergeCell ref="AH858:AJ858"/>
    <mergeCell ref="AH859:AJ859"/>
    <mergeCell ref="AH923:AJ923"/>
    <mergeCell ref="AH861:AJ861"/>
    <mergeCell ref="AH862:AJ862"/>
    <mergeCell ref="AH863:AJ863"/>
    <mergeCell ref="AH864:AJ864"/>
    <mergeCell ref="AG876:AJ876"/>
    <mergeCell ref="AH860:AJ860"/>
    <mergeCell ref="AF880:AF900"/>
    <mergeCell ref="AH880:AJ880"/>
    <mergeCell ref="AH881:AJ881"/>
    <mergeCell ref="AH882:AJ882"/>
    <mergeCell ref="AH883:AJ883"/>
    <mergeCell ref="AH884:AJ884"/>
    <mergeCell ref="AH885:AJ885"/>
    <mergeCell ref="AH886:AJ886"/>
    <mergeCell ref="AH887:AJ887"/>
    <mergeCell ref="AH888:AJ888"/>
    <mergeCell ref="AH889:AJ889"/>
    <mergeCell ref="AH890:AJ890"/>
    <mergeCell ref="AH891:AJ891"/>
    <mergeCell ref="AH892:AJ892"/>
    <mergeCell ref="AH893:AJ893"/>
    <mergeCell ref="AH894:AJ894"/>
    <mergeCell ref="AH895:AJ895"/>
    <mergeCell ref="AH896:AJ896"/>
    <mergeCell ref="AH949:AJ949"/>
    <mergeCell ref="AH898:AJ898"/>
    <mergeCell ref="AH899:AJ899"/>
    <mergeCell ref="AH900:AJ900"/>
    <mergeCell ref="AG901:AJ901"/>
    <mergeCell ref="AF905:AF925"/>
    <mergeCell ref="AH905:AJ905"/>
    <mergeCell ref="AH906:AJ906"/>
    <mergeCell ref="AH907:AJ907"/>
    <mergeCell ref="AH908:AJ908"/>
    <mergeCell ref="AH909:AJ909"/>
    <mergeCell ref="AH910:AJ910"/>
    <mergeCell ref="AH911:AJ911"/>
    <mergeCell ref="AH912:AJ912"/>
    <mergeCell ref="AH913:AJ913"/>
    <mergeCell ref="AH914:AJ914"/>
    <mergeCell ref="AH915:AJ915"/>
    <mergeCell ref="AH916:AJ916"/>
    <mergeCell ref="AH917:AJ917"/>
    <mergeCell ref="AH918:AJ918"/>
    <mergeCell ref="AH919:AJ919"/>
    <mergeCell ref="AH920:AJ920"/>
    <mergeCell ref="AH921:AJ921"/>
    <mergeCell ref="AH922:AJ922"/>
    <mergeCell ref="AH974:AJ974"/>
    <mergeCell ref="AH924:AJ924"/>
    <mergeCell ref="AH925:AJ925"/>
    <mergeCell ref="AG926:AJ926"/>
    <mergeCell ref="AF930:AF950"/>
    <mergeCell ref="AH930:AJ930"/>
    <mergeCell ref="AH931:AJ931"/>
    <mergeCell ref="AH932:AJ932"/>
    <mergeCell ref="AH933:AJ933"/>
    <mergeCell ref="AH934:AJ934"/>
    <mergeCell ref="AH935:AJ935"/>
    <mergeCell ref="AH936:AJ936"/>
    <mergeCell ref="AH937:AJ937"/>
    <mergeCell ref="AH938:AJ938"/>
    <mergeCell ref="AH939:AJ939"/>
    <mergeCell ref="AH940:AJ940"/>
    <mergeCell ref="AH941:AJ941"/>
    <mergeCell ref="AH942:AJ942"/>
    <mergeCell ref="AH943:AJ943"/>
    <mergeCell ref="AH944:AJ944"/>
    <mergeCell ref="AH945:AJ945"/>
    <mergeCell ref="AH946:AJ946"/>
    <mergeCell ref="AH947:AJ947"/>
    <mergeCell ref="AH948:AJ948"/>
    <mergeCell ref="AH975:AJ975"/>
    <mergeCell ref="AH950:AJ950"/>
    <mergeCell ref="AG976:AJ976"/>
    <mergeCell ref="AG951:AJ951"/>
    <mergeCell ref="AF955:AF975"/>
    <mergeCell ref="AH955:AJ955"/>
    <mergeCell ref="AH956:AJ956"/>
    <mergeCell ref="AH957:AJ957"/>
    <mergeCell ref="AH958:AJ958"/>
    <mergeCell ref="AH959:AJ959"/>
    <mergeCell ref="AH960:AJ960"/>
    <mergeCell ref="AH961:AJ961"/>
    <mergeCell ref="AH962:AJ962"/>
    <mergeCell ref="AH963:AJ963"/>
    <mergeCell ref="AH964:AJ964"/>
    <mergeCell ref="AH965:AJ965"/>
    <mergeCell ref="AH966:AJ966"/>
    <mergeCell ref="AH967:AJ967"/>
    <mergeCell ref="AH968:AJ968"/>
    <mergeCell ref="AH969:AJ969"/>
    <mergeCell ref="AH970:AJ970"/>
    <mergeCell ref="AH971:AJ971"/>
    <mergeCell ref="AH972:AJ972"/>
    <mergeCell ref="AH973:AJ973"/>
    <mergeCell ref="BQ307:CG307"/>
    <mergeCell ref="BQ308:CG308"/>
    <mergeCell ref="BQ309:CG309"/>
    <mergeCell ref="BQ310:CG310"/>
    <mergeCell ref="BQ311:CG311"/>
    <mergeCell ref="BQ312:CG312"/>
    <mergeCell ref="BQ313:CG313"/>
    <mergeCell ref="BQ314:CG314"/>
    <mergeCell ref="BQ317:CG317"/>
    <mergeCell ref="BQ318:CG318"/>
    <mergeCell ref="BQ319:CG319"/>
    <mergeCell ref="BQ320:CG320"/>
    <mergeCell ref="BQ321:CG321"/>
    <mergeCell ref="BQ322:CG322"/>
    <mergeCell ref="BQ323:CG323"/>
    <mergeCell ref="BQ324:CG324"/>
    <mergeCell ref="BQ327:CG327"/>
    <mergeCell ref="BQ328:CG328"/>
    <mergeCell ref="BQ329:CG329"/>
    <mergeCell ref="BQ330:CG330"/>
    <mergeCell ref="BQ331:CG331"/>
    <mergeCell ref="BQ332:CG332"/>
    <mergeCell ref="BQ333:CG333"/>
    <mergeCell ref="BQ334:CG334"/>
    <mergeCell ref="BQ337:CG337"/>
    <mergeCell ref="BQ338:CG338"/>
    <mergeCell ref="BQ339:CG339"/>
    <mergeCell ref="BQ351:CG351"/>
    <mergeCell ref="BQ352:CG352"/>
    <mergeCell ref="BQ353:CG353"/>
    <mergeCell ref="BQ354:CG354"/>
    <mergeCell ref="BQ340:CG340"/>
    <mergeCell ref="BQ341:CG341"/>
    <mergeCell ref="BQ342:CG342"/>
    <mergeCell ref="BQ343:CG343"/>
    <mergeCell ref="BQ344:CG344"/>
    <mergeCell ref="BQ347:CG347"/>
    <mergeCell ref="BQ348:CG348"/>
    <mergeCell ref="BQ349:CG349"/>
    <mergeCell ref="BQ350:CG350"/>
    <mergeCell ref="BQ515:CK515"/>
    <mergeCell ref="BQ516:CK516"/>
    <mergeCell ref="BQ517:CK517"/>
    <mergeCell ref="BQ518:CK518"/>
    <mergeCell ref="BQ519:CK519"/>
    <mergeCell ref="BQ520:CK520"/>
    <mergeCell ref="BQ521:CK521"/>
    <mergeCell ref="BQ522:CK522"/>
    <mergeCell ref="AL498:AO498"/>
    <mergeCell ref="AL499:AO499"/>
    <mergeCell ref="BQ526:CK526"/>
    <mergeCell ref="BQ527:CK527"/>
    <mergeCell ref="BQ528:CK528"/>
    <mergeCell ref="BQ529:CK529"/>
    <mergeCell ref="BQ530:CK530"/>
    <mergeCell ref="BQ531:CK531"/>
    <mergeCell ref="BQ532:CK532"/>
    <mergeCell ref="BQ533:CK533"/>
    <mergeCell ref="BQ537:CK537"/>
    <mergeCell ref="BQ538:CK538"/>
    <mergeCell ref="BQ539:CK539"/>
    <mergeCell ref="BQ540:CK540"/>
    <mergeCell ref="BQ541:CK541"/>
    <mergeCell ref="BQ542:CK542"/>
    <mergeCell ref="BQ543:CK543"/>
    <mergeCell ref="BQ544:CK544"/>
    <mergeCell ref="BQ548:CK548"/>
    <mergeCell ref="BQ549:CK549"/>
    <mergeCell ref="BQ550:CK550"/>
    <mergeCell ref="BQ551:CK551"/>
    <mergeCell ref="BQ552:CK552"/>
    <mergeCell ref="BQ553:CK553"/>
    <mergeCell ref="BQ554:CK554"/>
    <mergeCell ref="BQ555:CK555"/>
    <mergeCell ref="BQ559:CK559"/>
    <mergeCell ref="BQ560:CK560"/>
    <mergeCell ref="BQ561:CK561"/>
    <mergeCell ref="BQ574:CK574"/>
    <mergeCell ref="BQ575:CK575"/>
    <mergeCell ref="BQ576:CK576"/>
    <mergeCell ref="BQ577:CK577"/>
    <mergeCell ref="BQ562:CK562"/>
    <mergeCell ref="BQ563:CK563"/>
    <mergeCell ref="BQ564:CK564"/>
    <mergeCell ref="BQ565:CK565"/>
    <mergeCell ref="BQ566:CK566"/>
    <mergeCell ref="BQ570:CK570"/>
    <mergeCell ref="BQ571:CK571"/>
    <mergeCell ref="BQ572:CK572"/>
    <mergeCell ref="BQ573:CK573"/>
    <mergeCell ref="AI720:AJ720"/>
    <mergeCell ref="AI731:AJ731"/>
    <mergeCell ref="AI742:AJ742"/>
    <mergeCell ref="AI753:AJ753"/>
    <mergeCell ref="AI764:AJ764"/>
    <mergeCell ref="AI775:AJ775"/>
    <mergeCell ref="BQ639:CK639"/>
    <mergeCell ref="BQ644:CK644"/>
    <mergeCell ref="BQ652:CK652"/>
    <mergeCell ref="BQ660:CK660"/>
    <mergeCell ref="BQ665:CK665"/>
    <mergeCell ref="BQ673:CK673"/>
    <mergeCell ref="BQ721:CH721"/>
    <mergeCell ref="BQ722:CH722"/>
    <mergeCell ref="BQ723:CH723"/>
    <mergeCell ref="BQ724:CH724"/>
    <mergeCell ref="BQ725:CH725"/>
    <mergeCell ref="BQ726:CH726"/>
    <mergeCell ref="BQ727:CH727"/>
    <mergeCell ref="BQ728:CH728"/>
    <mergeCell ref="BQ732:CH732"/>
    <mergeCell ref="BQ733:CH733"/>
    <mergeCell ref="BQ734:CH734"/>
    <mergeCell ref="BQ735:CH735"/>
    <mergeCell ref="AI787:AJ787"/>
    <mergeCell ref="AI798:AJ798"/>
    <mergeCell ref="AI809:AJ809"/>
    <mergeCell ref="AI820:AJ820"/>
    <mergeCell ref="AI831:AJ831"/>
    <mergeCell ref="AI842:AJ842"/>
    <mergeCell ref="CM615:CN615"/>
    <mergeCell ref="BQ615:CK615"/>
    <mergeCell ref="BQ616:CK616"/>
    <mergeCell ref="BQ617:CK617"/>
    <mergeCell ref="BQ618:CK618"/>
    <mergeCell ref="BQ619:CK619"/>
    <mergeCell ref="BQ620:CK620"/>
    <mergeCell ref="BQ621:CK621"/>
    <mergeCell ref="BQ622:CK622"/>
    <mergeCell ref="BQ626:CK626"/>
    <mergeCell ref="CM626:CN626"/>
    <mergeCell ref="BQ627:CK627"/>
    <mergeCell ref="BQ628:CK628"/>
    <mergeCell ref="BQ629:CK629"/>
    <mergeCell ref="BQ630:CK630"/>
    <mergeCell ref="BQ631:CK631"/>
    <mergeCell ref="BQ632:CK632"/>
    <mergeCell ref="BQ633:CK633"/>
    <mergeCell ref="CM616:CN616"/>
    <mergeCell ref="CM617:CN617"/>
    <mergeCell ref="CM618:CN618"/>
    <mergeCell ref="CM619:CN619"/>
    <mergeCell ref="CM620:CN620"/>
    <mergeCell ref="CM621:CN621"/>
    <mergeCell ref="CM622:CN622"/>
    <mergeCell ref="CM627:CN627"/>
    <mergeCell ref="CM628:CN628"/>
    <mergeCell ref="CM629:CN629"/>
    <mergeCell ref="CM630:CN630"/>
    <mergeCell ref="CM631:CN631"/>
    <mergeCell ref="CM632:CN632"/>
    <mergeCell ref="CM633:CN633"/>
    <mergeCell ref="BQ637:CK637"/>
    <mergeCell ref="CM637:CN637"/>
    <mergeCell ref="BQ638:CK638"/>
    <mergeCell ref="CM638:CN638"/>
    <mergeCell ref="CM639:CN639"/>
    <mergeCell ref="BQ640:CK640"/>
    <mergeCell ref="CM640:CN640"/>
    <mergeCell ref="BQ641:CK641"/>
    <mergeCell ref="CM641:CN641"/>
    <mergeCell ref="BQ642:CK642"/>
    <mergeCell ref="CM642:CN642"/>
    <mergeCell ref="BQ643:CK643"/>
    <mergeCell ref="CM643:CN643"/>
    <mergeCell ref="CM644:CN644"/>
    <mergeCell ref="BQ648:CK648"/>
    <mergeCell ref="CM648:CN648"/>
    <mergeCell ref="BQ649:CK649"/>
    <mergeCell ref="CM649:CN649"/>
    <mergeCell ref="BQ650:CK650"/>
    <mergeCell ref="CM650:CN650"/>
    <mergeCell ref="BQ651:CK651"/>
    <mergeCell ref="CM651:CN651"/>
    <mergeCell ref="CM652:CN652"/>
    <mergeCell ref="BQ653:CK653"/>
    <mergeCell ref="CM653:CN653"/>
    <mergeCell ref="BQ654:CK654"/>
    <mergeCell ref="CM654:CN654"/>
    <mergeCell ref="BQ655:CK655"/>
    <mergeCell ref="CM655:CN655"/>
    <mergeCell ref="BQ659:CK659"/>
    <mergeCell ref="CM659:CN659"/>
    <mergeCell ref="CM660:CN660"/>
    <mergeCell ref="BQ661:CK661"/>
    <mergeCell ref="CM661:CN661"/>
    <mergeCell ref="BQ662:CK662"/>
    <mergeCell ref="CM662:CN662"/>
    <mergeCell ref="BQ663:CK663"/>
    <mergeCell ref="CM663:CN663"/>
    <mergeCell ref="BQ664:CK664"/>
    <mergeCell ref="CM664:CN664"/>
    <mergeCell ref="CM665:CN665"/>
    <mergeCell ref="BQ666:CK666"/>
    <mergeCell ref="CM666:CN666"/>
    <mergeCell ref="BQ670:CK670"/>
    <mergeCell ref="CM670:CN670"/>
    <mergeCell ref="BQ671:CK671"/>
    <mergeCell ref="CM671:CN671"/>
    <mergeCell ref="BQ672:CK672"/>
    <mergeCell ref="CM672:CN672"/>
    <mergeCell ref="CM678:CN678"/>
    <mergeCell ref="CM673:CN673"/>
    <mergeCell ref="BQ674:CK674"/>
    <mergeCell ref="CM674:CN674"/>
    <mergeCell ref="BQ675:CK675"/>
    <mergeCell ref="CM675:CN675"/>
    <mergeCell ref="BQ676:CK676"/>
    <mergeCell ref="CM676:CN676"/>
    <mergeCell ref="BQ677:CK677"/>
    <mergeCell ref="CM677:CN67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defaultSize="0" autoLine="0" autoPict="0">
                <anchor moveWithCells="1">
                  <from>
                    <xdr:col>4</xdr:col>
                    <xdr:colOff>19050</xdr:colOff>
                    <xdr:row>74</xdr:row>
                    <xdr:rowOff>9525</xdr:rowOff>
                  </from>
                  <to>
                    <xdr:col>4</xdr:col>
                    <xdr:colOff>838200</xdr:colOff>
                    <xdr:row>75</xdr:row>
                    <xdr:rowOff>0</xdr:rowOff>
                  </to>
                </anchor>
              </controlPr>
            </control>
          </mc:Choice>
        </mc:AlternateContent>
        <mc:AlternateContent xmlns:mc="http://schemas.openxmlformats.org/markup-compatibility/2006">
          <mc:Choice Requires="x14">
            <control shapeId="13337" r:id="rId5" name="Drop Down 25">
              <controlPr defaultSize="0" autoLine="0" autoPict="0">
                <anchor moveWithCells="1">
                  <from>
                    <xdr:col>3</xdr:col>
                    <xdr:colOff>28575</xdr:colOff>
                    <xdr:row>74</xdr:row>
                    <xdr:rowOff>9525</xdr:rowOff>
                  </from>
                  <to>
                    <xdr:col>4</xdr:col>
                    <xdr:colOff>0</xdr:colOff>
                    <xdr:row>75</xdr:row>
                    <xdr:rowOff>0</xdr:rowOff>
                  </to>
                </anchor>
              </controlPr>
            </control>
          </mc:Choice>
        </mc:AlternateContent>
        <mc:AlternateContent xmlns:mc="http://schemas.openxmlformats.org/markup-compatibility/2006">
          <mc:Choice Requires="x14">
            <control shapeId="13363" r:id="rId6" name="Drop Down 51">
              <controlPr defaultSize="0" autoLine="0" autoPict="0">
                <anchor moveWithCells="1">
                  <from>
                    <xdr:col>4</xdr:col>
                    <xdr:colOff>19050</xdr:colOff>
                    <xdr:row>75</xdr:row>
                    <xdr:rowOff>9525</xdr:rowOff>
                  </from>
                  <to>
                    <xdr:col>4</xdr:col>
                    <xdr:colOff>838200</xdr:colOff>
                    <xdr:row>76</xdr:row>
                    <xdr:rowOff>0</xdr:rowOff>
                  </to>
                </anchor>
              </controlPr>
            </control>
          </mc:Choice>
        </mc:AlternateContent>
        <mc:AlternateContent xmlns:mc="http://schemas.openxmlformats.org/markup-compatibility/2006">
          <mc:Choice Requires="x14">
            <control shapeId="13364" r:id="rId7" name="Drop Down 52">
              <controlPr defaultSize="0" autoLine="0" autoPict="0">
                <anchor moveWithCells="1">
                  <from>
                    <xdr:col>3</xdr:col>
                    <xdr:colOff>28575</xdr:colOff>
                    <xdr:row>75</xdr:row>
                    <xdr:rowOff>9525</xdr:rowOff>
                  </from>
                  <to>
                    <xdr:col>4</xdr:col>
                    <xdr:colOff>0</xdr:colOff>
                    <xdr:row>76</xdr:row>
                    <xdr:rowOff>0</xdr:rowOff>
                  </to>
                </anchor>
              </controlPr>
            </control>
          </mc:Choice>
        </mc:AlternateContent>
        <mc:AlternateContent xmlns:mc="http://schemas.openxmlformats.org/markup-compatibility/2006">
          <mc:Choice Requires="x14">
            <control shapeId="13365" r:id="rId8" name="Drop Down 53">
              <controlPr defaultSize="0" autoLine="0" autoPict="0">
                <anchor moveWithCells="1">
                  <from>
                    <xdr:col>4</xdr:col>
                    <xdr:colOff>19050</xdr:colOff>
                    <xdr:row>76</xdr:row>
                    <xdr:rowOff>9525</xdr:rowOff>
                  </from>
                  <to>
                    <xdr:col>4</xdr:col>
                    <xdr:colOff>838200</xdr:colOff>
                    <xdr:row>77</xdr:row>
                    <xdr:rowOff>0</xdr:rowOff>
                  </to>
                </anchor>
              </controlPr>
            </control>
          </mc:Choice>
        </mc:AlternateContent>
        <mc:AlternateContent xmlns:mc="http://schemas.openxmlformats.org/markup-compatibility/2006">
          <mc:Choice Requires="x14">
            <control shapeId="13366" r:id="rId9" name="Drop Down 54">
              <controlPr defaultSize="0" autoLine="0" autoPict="0">
                <anchor moveWithCells="1">
                  <from>
                    <xdr:col>3</xdr:col>
                    <xdr:colOff>28575</xdr:colOff>
                    <xdr:row>76</xdr:row>
                    <xdr:rowOff>9525</xdr:rowOff>
                  </from>
                  <to>
                    <xdr:col>4</xdr:col>
                    <xdr:colOff>0</xdr:colOff>
                    <xdr:row>77</xdr:row>
                    <xdr:rowOff>0</xdr:rowOff>
                  </to>
                </anchor>
              </controlPr>
            </control>
          </mc:Choice>
        </mc:AlternateContent>
        <mc:AlternateContent xmlns:mc="http://schemas.openxmlformats.org/markup-compatibility/2006">
          <mc:Choice Requires="x14">
            <control shapeId="13367" r:id="rId10" name="Drop Down 55">
              <controlPr defaultSize="0" autoLine="0" autoPict="0">
                <anchor moveWithCells="1">
                  <from>
                    <xdr:col>4</xdr:col>
                    <xdr:colOff>19050</xdr:colOff>
                    <xdr:row>77</xdr:row>
                    <xdr:rowOff>9525</xdr:rowOff>
                  </from>
                  <to>
                    <xdr:col>4</xdr:col>
                    <xdr:colOff>838200</xdr:colOff>
                    <xdr:row>78</xdr:row>
                    <xdr:rowOff>0</xdr:rowOff>
                  </to>
                </anchor>
              </controlPr>
            </control>
          </mc:Choice>
        </mc:AlternateContent>
        <mc:AlternateContent xmlns:mc="http://schemas.openxmlformats.org/markup-compatibility/2006">
          <mc:Choice Requires="x14">
            <control shapeId="13368" r:id="rId11" name="Drop Down 56">
              <controlPr defaultSize="0" autoLine="0" autoPict="0">
                <anchor moveWithCells="1">
                  <from>
                    <xdr:col>3</xdr:col>
                    <xdr:colOff>28575</xdr:colOff>
                    <xdr:row>77</xdr:row>
                    <xdr:rowOff>9525</xdr:rowOff>
                  </from>
                  <to>
                    <xdr:col>4</xdr:col>
                    <xdr:colOff>0</xdr:colOff>
                    <xdr:row>78</xdr:row>
                    <xdr:rowOff>0</xdr:rowOff>
                  </to>
                </anchor>
              </controlPr>
            </control>
          </mc:Choice>
        </mc:AlternateContent>
        <mc:AlternateContent xmlns:mc="http://schemas.openxmlformats.org/markup-compatibility/2006">
          <mc:Choice Requires="x14">
            <control shapeId="13369" r:id="rId12" name="Drop Down 57">
              <controlPr defaultSize="0" autoLine="0" autoPict="0">
                <anchor moveWithCells="1">
                  <from>
                    <xdr:col>4</xdr:col>
                    <xdr:colOff>19050</xdr:colOff>
                    <xdr:row>82</xdr:row>
                    <xdr:rowOff>9525</xdr:rowOff>
                  </from>
                  <to>
                    <xdr:col>4</xdr:col>
                    <xdr:colOff>838200</xdr:colOff>
                    <xdr:row>83</xdr:row>
                    <xdr:rowOff>0</xdr:rowOff>
                  </to>
                </anchor>
              </controlPr>
            </control>
          </mc:Choice>
        </mc:AlternateContent>
        <mc:AlternateContent xmlns:mc="http://schemas.openxmlformats.org/markup-compatibility/2006">
          <mc:Choice Requires="x14">
            <control shapeId="13370" r:id="rId13" name="Drop Down 58">
              <controlPr defaultSize="0" autoLine="0" autoPict="0">
                <anchor moveWithCells="1">
                  <from>
                    <xdr:col>3</xdr:col>
                    <xdr:colOff>28575</xdr:colOff>
                    <xdr:row>82</xdr:row>
                    <xdr:rowOff>9525</xdr:rowOff>
                  </from>
                  <to>
                    <xdr:col>4</xdr:col>
                    <xdr:colOff>0</xdr:colOff>
                    <xdr:row>83</xdr:row>
                    <xdr:rowOff>0</xdr:rowOff>
                  </to>
                </anchor>
              </controlPr>
            </control>
          </mc:Choice>
        </mc:AlternateContent>
        <mc:AlternateContent xmlns:mc="http://schemas.openxmlformats.org/markup-compatibility/2006">
          <mc:Choice Requires="x14">
            <control shapeId="13371" r:id="rId14" name="Drop Down 59">
              <controlPr defaultSize="0" autoLine="0" autoPict="0">
                <anchor moveWithCells="1">
                  <from>
                    <xdr:col>4</xdr:col>
                    <xdr:colOff>19050</xdr:colOff>
                    <xdr:row>83</xdr:row>
                    <xdr:rowOff>9525</xdr:rowOff>
                  </from>
                  <to>
                    <xdr:col>4</xdr:col>
                    <xdr:colOff>838200</xdr:colOff>
                    <xdr:row>84</xdr:row>
                    <xdr:rowOff>0</xdr:rowOff>
                  </to>
                </anchor>
              </controlPr>
            </control>
          </mc:Choice>
        </mc:AlternateContent>
        <mc:AlternateContent xmlns:mc="http://schemas.openxmlformats.org/markup-compatibility/2006">
          <mc:Choice Requires="x14">
            <control shapeId="13372" r:id="rId15" name="Drop Down 60">
              <controlPr defaultSize="0" autoLine="0" autoPict="0">
                <anchor moveWithCells="1">
                  <from>
                    <xdr:col>3</xdr:col>
                    <xdr:colOff>28575</xdr:colOff>
                    <xdr:row>83</xdr:row>
                    <xdr:rowOff>9525</xdr:rowOff>
                  </from>
                  <to>
                    <xdr:col>4</xdr:col>
                    <xdr:colOff>0</xdr:colOff>
                    <xdr:row>84</xdr:row>
                    <xdr:rowOff>0</xdr:rowOff>
                  </to>
                </anchor>
              </controlPr>
            </control>
          </mc:Choice>
        </mc:AlternateContent>
        <mc:AlternateContent xmlns:mc="http://schemas.openxmlformats.org/markup-compatibility/2006">
          <mc:Choice Requires="x14">
            <control shapeId="13373" r:id="rId16" name="Drop Down 61">
              <controlPr defaultSize="0" autoLine="0" autoPict="0">
                <anchor moveWithCells="1">
                  <from>
                    <xdr:col>4</xdr:col>
                    <xdr:colOff>19050</xdr:colOff>
                    <xdr:row>84</xdr:row>
                    <xdr:rowOff>9525</xdr:rowOff>
                  </from>
                  <to>
                    <xdr:col>4</xdr:col>
                    <xdr:colOff>838200</xdr:colOff>
                    <xdr:row>85</xdr:row>
                    <xdr:rowOff>0</xdr:rowOff>
                  </to>
                </anchor>
              </controlPr>
            </control>
          </mc:Choice>
        </mc:AlternateContent>
        <mc:AlternateContent xmlns:mc="http://schemas.openxmlformats.org/markup-compatibility/2006">
          <mc:Choice Requires="x14">
            <control shapeId="13374" r:id="rId17" name="Drop Down 62">
              <controlPr defaultSize="0" autoLine="0" autoPict="0">
                <anchor moveWithCells="1">
                  <from>
                    <xdr:col>3</xdr:col>
                    <xdr:colOff>28575</xdr:colOff>
                    <xdr:row>84</xdr:row>
                    <xdr:rowOff>9525</xdr:rowOff>
                  </from>
                  <to>
                    <xdr:col>4</xdr:col>
                    <xdr:colOff>0</xdr:colOff>
                    <xdr:row>85</xdr:row>
                    <xdr:rowOff>0</xdr:rowOff>
                  </to>
                </anchor>
              </controlPr>
            </control>
          </mc:Choice>
        </mc:AlternateContent>
        <mc:AlternateContent xmlns:mc="http://schemas.openxmlformats.org/markup-compatibility/2006">
          <mc:Choice Requires="x14">
            <control shapeId="13375" r:id="rId18" name="Drop Down 63">
              <controlPr defaultSize="0" autoLine="0" autoPict="0">
                <anchor moveWithCells="1">
                  <from>
                    <xdr:col>4</xdr:col>
                    <xdr:colOff>19050</xdr:colOff>
                    <xdr:row>85</xdr:row>
                    <xdr:rowOff>9525</xdr:rowOff>
                  </from>
                  <to>
                    <xdr:col>4</xdr:col>
                    <xdr:colOff>838200</xdr:colOff>
                    <xdr:row>86</xdr:row>
                    <xdr:rowOff>0</xdr:rowOff>
                  </to>
                </anchor>
              </controlPr>
            </control>
          </mc:Choice>
        </mc:AlternateContent>
        <mc:AlternateContent xmlns:mc="http://schemas.openxmlformats.org/markup-compatibility/2006">
          <mc:Choice Requires="x14">
            <control shapeId="13376" r:id="rId19" name="Drop Down 64">
              <controlPr defaultSize="0" autoLine="0" autoPict="0">
                <anchor moveWithCells="1">
                  <from>
                    <xdr:col>3</xdr:col>
                    <xdr:colOff>28575</xdr:colOff>
                    <xdr:row>85</xdr:row>
                    <xdr:rowOff>9525</xdr:rowOff>
                  </from>
                  <to>
                    <xdr:col>4</xdr:col>
                    <xdr:colOff>0</xdr:colOff>
                    <xdr:row>86</xdr:row>
                    <xdr:rowOff>0</xdr:rowOff>
                  </to>
                </anchor>
              </controlPr>
            </control>
          </mc:Choice>
        </mc:AlternateContent>
        <mc:AlternateContent xmlns:mc="http://schemas.openxmlformats.org/markup-compatibility/2006">
          <mc:Choice Requires="x14">
            <control shapeId="13377" r:id="rId20" name="Drop Down 65">
              <controlPr defaultSize="0" autoLine="0" autoPict="0">
                <anchor moveWithCells="1">
                  <from>
                    <xdr:col>4</xdr:col>
                    <xdr:colOff>19050</xdr:colOff>
                    <xdr:row>86</xdr:row>
                    <xdr:rowOff>9525</xdr:rowOff>
                  </from>
                  <to>
                    <xdr:col>4</xdr:col>
                    <xdr:colOff>838200</xdr:colOff>
                    <xdr:row>87</xdr:row>
                    <xdr:rowOff>0</xdr:rowOff>
                  </to>
                </anchor>
              </controlPr>
            </control>
          </mc:Choice>
        </mc:AlternateContent>
        <mc:AlternateContent xmlns:mc="http://schemas.openxmlformats.org/markup-compatibility/2006">
          <mc:Choice Requires="x14">
            <control shapeId="13378" r:id="rId21" name="Drop Down 66">
              <controlPr defaultSize="0" autoLine="0" autoPict="0">
                <anchor moveWithCells="1">
                  <from>
                    <xdr:col>3</xdr:col>
                    <xdr:colOff>28575</xdr:colOff>
                    <xdr:row>86</xdr:row>
                    <xdr:rowOff>9525</xdr:rowOff>
                  </from>
                  <to>
                    <xdr:col>4</xdr:col>
                    <xdr:colOff>0</xdr:colOff>
                    <xdr:row>87</xdr:row>
                    <xdr:rowOff>0</xdr:rowOff>
                  </to>
                </anchor>
              </controlPr>
            </control>
          </mc:Choice>
        </mc:AlternateContent>
        <mc:AlternateContent xmlns:mc="http://schemas.openxmlformats.org/markup-compatibility/2006">
          <mc:Choice Requires="x14">
            <control shapeId="13379" r:id="rId22" name="Drop Down 67">
              <controlPr defaultSize="0" autoLine="0" autoPict="0">
                <anchor moveWithCells="1">
                  <from>
                    <xdr:col>4</xdr:col>
                    <xdr:colOff>19050</xdr:colOff>
                    <xdr:row>87</xdr:row>
                    <xdr:rowOff>9525</xdr:rowOff>
                  </from>
                  <to>
                    <xdr:col>4</xdr:col>
                    <xdr:colOff>838200</xdr:colOff>
                    <xdr:row>88</xdr:row>
                    <xdr:rowOff>0</xdr:rowOff>
                  </to>
                </anchor>
              </controlPr>
            </control>
          </mc:Choice>
        </mc:AlternateContent>
        <mc:AlternateContent xmlns:mc="http://schemas.openxmlformats.org/markup-compatibility/2006">
          <mc:Choice Requires="x14">
            <control shapeId="13380" r:id="rId23" name="Drop Down 68">
              <controlPr defaultSize="0" autoLine="0" autoPict="0">
                <anchor moveWithCells="1">
                  <from>
                    <xdr:col>3</xdr:col>
                    <xdr:colOff>28575</xdr:colOff>
                    <xdr:row>87</xdr:row>
                    <xdr:rowOff>9525</xdr:rowOff>
                  </from>
                  <to>
                    <xdr:col>4</xdr:col>
                    <xdr:colOff>0</xdr:colOff>
                    <xdr:row>88</xdr:row>
                    <xdr:rowOff>0</xdr:rowOff>
                  </to>
                </anchor>
              </controlPr>
            </control>
          </mc:Choice>
        </mc:AlternateContent>
        <mc:AlternateContent xmlns:mc="http://schemas.openxmlformats.org/markup-compatibility/2006">
          <mc:Choice Requires="x14">
            <control shapeId="13381" r:id="rId24" name="Drop Down 69">
              <controlPr defaultSize="0" autoLine="0" autoPict="0">
                <anchor moveWithCells="1">
                  <from>
                    <xdr:col>4</xdr:col>
                    <xdr:colOff>19050</xdr:colOff>
                    <xdr:row>113</xdr:row>
                    <xdr:rowOff>9525</xdr:rowOff>
                  </from>
                  <to>
                    <xdr:col>4</xdr:col>
                    <xdr:colOff>838200</xdr:colOff>
                    <xdr:row>114</xdr:row>
                    <xdr:rowOff>0</xdr:rowOff>
                  </to>
                </anchor>
              </controlPr>
            </control>
          </mc:Choice>
        </mc:AlternateContent>
        <mc:AlternateContent xmlns:mc="http://schemas.openxmlformats.org/markup-compatibility/2006">
          <mc:Choice Requires="x14">
            <control shapeId="13382" r:id="rId25" name="Drop Down 70">
              <controlPr defaultSize="0" autoLine="0" autoPict="0">
                <anchor moveWithCells="1">
                  <from>
                    <xdr:col>3</xdr:col>
                    <xdr:colOff>28575</xdr:colOff>
                    <xdr:row>113</xdr:row>
                    <xdr:rowOff>9525</xdr:rowOff>
                  </from>
                  <to>
                    <xdr:col>4</xdr:col>
                    <xdr:colOff>0</xdr:colOff>
                    <xdr:row>114</xdr:row>
                    <xdr:rowOff>0</xdr:rowOff>
                  </to>
                </anchor>
              </controlPr>
            </control>
          </mc:Choice>
        </mc:AlternateContent>
        <mc:AlternateContent xmlns:mc="http://schemas.openxmlformats.org/markup-compatibility/2006">
          <mc:Choice Requires="x14">
            <control shapeId="13383" r:id="rId26" name="Drop Down 71">
              <controlPr defaultSize="0" autoLine="0" autoPict="0">
                <anchor moveWithCells="1">
                  <from>
                    <xdr:col>4</xdr:col>
                    <xdr:colOff>19050</xdr:colOff>
                    <xdr:row>114</xdr:row>
                    <xdr:rowOff>9525</xdr:rowOff>
                  </from>
                  <to>
                    <xdr:col>4</xdr:col>
                    <xdr:colOff>838200</xdr:colOff>
                    <xdr:row>115</xdr:row>
                    <xdr:rowOff>0</xdr:rowOff>
                  </to>
                </anchor>
              </controlPr>
            </control>
          </mc:Choice>
        </mc:AlternateContent>
        <mc:AlternateContent xmlns:mc="http://schemas.openxmlformats.org/markup-compatibility/2006">
          <mc:Choice Requires="x14">
            <control shapeId="13384" r:id="rId27" name="Drop Down 72">
              <controlPr defaultSize="0" autoLine="0" autoPict="0">
                <anchor moveWithCells="1">
                  <from>
                    <xdr:col>3</xdr:col>
                    <xdr:colOff>28575</xdr:colOff>
                    <xdr:row>114</xdr:row>
                    <xdr:rowOff>9525</xdr:rowOff>
                  </from>
                  <to>
                    <xdr:col>4</xdr:col>
                    <xdr:colOff>0</xdr:colOff>
                    <xdr:row>115</xdr:row>
                    <xdr:rowOff>0</xdr:rowOff>
                  </to>
                </anchor>
              </controlPr>
            </control>
          </mc:Choice>
        </mc:AlternateContent>
        <mc:AlternateContent xmlns:mc="http://schemas.openxmlformats.org/markup-compatibility/2006">
          <mc:Choice Requires="x14">
            <control shapeId="13385" r:id="rId28" name="Drop Down 73">
              <controlPr defaultSize="0" autoLine="0" autoPict="0">
                <anchor moveWithCells="1">
                  <from>
                    <xdr:col>4</xdr:col>
                    <xdr:colOff>19050</xdr:colOff>
                    <xdr:row>115</xdr:row>
                    <xdr:rowOff>9525</xdr:rowOff>
                  </from>
                  <to>
                    <xdr:col>4</xdr:col>
                    <xdr:colOff>838200</xdr:colOff>
                    <xdr:row>116</xdr:row>
                    <xdr:rowOff>0</xdr:rowOff>
                  </to>
                </anchor>
              </controlPr>
            </control>
          </mc:Choice>
        </mc:AlternateContent>
        <mc:AlternateContent xmlns:mc="http://schemas.openxmlformats.org/markup-compatibility/2006">
          <mc:Choice Requires="x14">
            <control shapeId="13386" r:id="rId29" name="Drop Down 74">
              <controlPr defaultSize="0" autoLine="0" autoPict="0">
                <anchor moveWithCells="1">
                  <from>
                    <xdr:col>3</xdr:col>
                    <xdr:colOff>28575</xdr:colOff>
                    <xdr:row>115</xdr:row>
                    <xdr:rowOff>9525</xdr:rowOff>
                  </from>
                  <to>
                    <xdr:col>4</xdr:col>
                    <xdr:colOff>0</xdr:colOff>
                    <xdr:row>116</xdr:row>
                    <xdr:rowOff>0</xdr:rowOff>
                  </to>
                </anchor>
              </controlPr>
            </control>
          </mc:Choice>
        </mc:AlternateContent>
        <mc:AlternateContent xmlns:mc="http://schemas.openxmlformats.org/markup-compatibility/2006">
          <mc:Choice Requires="x14">
            <control shapeId="13387" r:id="rId30" name="Drop Down 75">
              <controlPr defaultSize="0" autoLine="0" autoPict="0">
                <anchor moveWithCells="1">
                  <from>
                    <xdr:col>4</xdr:col>
                    <xdr:colOff>19050</xdr:colOff>
                    <xdr:row>116</xdr:row>
                    <xdr:rowOff>9525</xdr:rowOff>
                  </from>
                  <to>
                    <xdr:col>4</xdr:col>
                    <xdr:colOff>838200</xdr:colOff>
                    <xdr:row>117</xdr:row>
                    <xdr:rowOff>0</xdr:rowOff>
                  </to>
                </anchor>
              </controlPr>
            </control>
          </mc:Choice>
        </mc:AlternateContent>
        <mc:AlternateContent xmlns:mc="http://schemas.openxmlformats.org/markup-compatibility/2006">
          <mc:Choice Requires="x14">
            <control shapeId="13388" r:id="rId31" name="Drop Down 76">
              <controlPr defaultSize="0" autoLine="0" autoPict="0">
                <anchor moveWithCells="1">
                  <from>
                    <xdr:col>3</xdr:col>
                    <xdr:colOff>28575</xdr:colOff>
                    <xdr:row>116</xdr:row>
                    <xdr:rowOff>9525</xdr:rowOff>
                  </from>
                  <to>
                    <xdr:col>4</xdr:col>
                    <xdr:colOff>0</xdr:colOff>
                    <xdr:row>117</xdr:row>
                    <xdr:rowOff>0</xdr:rowOff>
                  </to>
                </anchor>
              </controlPr>
            </control>
          </mc:Choice>
        </mc:AlternateContent>
        <mc:AlternateContent xmlns:mc="http://schemas.openxmlformats.org/markup-compatibility/2006">
          <mc:Choice Requires="x14">
            <control shapeId="13389" r:id="rId32" name="Drop Down 77">
              <controlPr defaultSize="0" autoLine="0" autoPict="0">
                <anchor moveWithCells="1">
                  <from>
                    <xdr:col>4</xdr:col>
                    <xdr:colOff>19050</xdr:colOff>
                    <xdr:row>117</xdr:row>
                    <xdr:rowOff>9525</xdr:rowOff>
                  </from>
                  <to>
                    <xdr:col>4</xdr:col>
                    <xdr:colOff>838200</xdr:colOff>
                    <xdr:row>118</xdr:row>
                    <xdr:rowOff>0</xdr:rowOff>
                  </to>
                </anchor>
              </controlPr>
            </control>
          </mc:Choice>
        </mc:AlternateContent>
        <mc:AlternateContent xmlns:mc="http://schemas.openxmlformats.org/markup-compatibility/2006">
          <mc:Choice Requires="x14">
            <control shapeId="13390" r:id="rId33" name="Drop Down 78">
              <controlPr defaultSize="0" autoLine="0" autoPict="0">
                <anchor moveWithCells="1">
                  <from>
                    <xdr:col>3</xdr:col>
                    <xdr:colOff>28575</xdr:colOff>
                    <xdr:row>117</xdr:row>
                    <xdr:rowOff>9525</xdr:rowOff>
                  </from>
                  <to>
                    <xdr:col>4</xdr:col>
                    <xdr:colOff>0</xdr:colOff>
                    <xdr:row>118</xdr:row>
                    <xdr:rowOff>0</xdr:rowOff>
                  </to>
                </anchor>
              </controlPr>
            </control>
          </mc:Choice>
        </mc:AlternateContent>
        <mc:AlternateContent xmlns:mc="http://schemas.openxmlformats.org/markup-compatibility/2006">
          <mc:Choice Requires="x14">
            <control shapeId="13391" r:id="rId34" name="Drop Down 79">
              <controlPr defaultSize="0" autoLine="0" autoPict="0">
                <anchor moveWithCells="1">
                  <from>
                    <xdr:col>4</xdr:col>
                    <xdr:colOff>19050</xdr:colOff>
                    <xdr:row>118</xdr:row>
                    <xdr:rowOff>9525</xdr:rowOff>
                  </from>
                  <to>
                    <xdr:col>4</xdr:col>
                    <xdr:colOff>838200</xdr:colOff>
                    <xdr:row>119</xdr:row>
                    <xdr:rowOff>0</xdr:rowOff>
                  </to>
                </anchor>
              </controlPr>
            </control>
          </mc:Choice>
        </mc:AlternateContent>
        <mc:AlternateContent xmlns:mc="http://schemas.openxmlformats.org/markup-compatibility/2006">
          <mc:Choice Requires="x14">
            <control shapeId="13392" r:id="rId35" name="Drop Down 80">
              <controlPr defaultSize="0" autoLine="0" autoPict="0">
                <anchor moveWithCells="1">
                  <from>
                    <xdr:col>3</xdr:col>
                    <xdr:colOff>28575</xdr:colOff>
                    <xdr:row>118</xdr:row>
                    <xdr:rowOff>9525</xdr:rowOff>
                  </from>
                  <to>
                    <xdr:col>4</xdr:col>
                    <xdr:colOff>0</xdr:colOff>
                    <xdr:row>119</xdr:row>
                    <xdr:rowOff>0</xdr:rowOff>
                  </to>
                </anchor>
              </controlPr>
            </control>
          </mc:Choice>
        </mc:AlternateContent>
        <mc:AlternateContent xmlns:mc="http://schemas.openxmlformats.org/markup-compatibility/2006">
          <mc:Choice Requires="x14">
            <control shapeId="13393" r:id="rId36" name="Drop Down 81">
              <controlPr defaultSize="0" autoLine="0" autoPict="0">
                <anchor moveWithCells="1">
                  <from>
                    <xdr:col>0</xdr:col>
                    <xdr:colOff>38100</xdr:colOff>
                    <xdr:row>113</xdr:row>
                    <xdr:rowOff>9525</xdr:rowOff>
                  </from>
                  <to>
                    <xdr:col>1</xdr:col>
                    <xdr:colOff>180975</xdr:colOff>
                    <xdr:row>114</xdr:row>
                    <xdr:rowOff>0</xdr:rowOff>
                  </to>
                </anchor>
              </controlPr>
            </control>
          </mc:Choice>
        </mc:AlternateContent>
        <mc:AlternateContent xmlns:mc="http://schemas.openxmlformats.org/markup-compatibility/2006">
          <mc:Choice Requires="x14">
            <control shapeId="13394" r:id="rId37" name="Drop Down 82">
              <controlPr defaultSize="0" autoLine="0" autoPict="0">
                <anchor moveWithCells="1">
                  <from>
                    <xdr:col>0</xdr:col>
                    <xdr:colOff>38100</xdr:colOff>
                    <xdr:row>114</xdr:row>
                    <xdr:rowOff>9525</xdr:rowOff>
                  </from>
                  <to>
                    <xdr:col>1</xdr:col>
                    <xdr:colOff>180975</xdr:colOff>
                    <xdr:row>115</xdr:row>
                    <xdr:rowOff>0</xdr:rowOff>
                  </to>
                </anchor>
              </controlPr>
            </control>
          </mc:Choice>
        </mc:AlternateContent>
        <mc:AlternateContent xmlns:mc="http://schemas.openxmlformats.org/markup-compatibility/2006">
          <mc:Choice Requires="x14">
            <control shapeId="13395" r:id="rId38" name="Drop Down 83">
              <controlPr defaultSize="0" autoLine="0" autoPict="0">
                <anchor moveWithCells="1">
                  <from>
                    <xdr:col>0</xdr:col>
                    <xdr:colOff>38100</xdr:colOff>
                    <xdr:row>115</xdr:row>
                    <xdr:rowOff>9525</xdr:rowOff>
                  </from>
                  <to>
                    <xdr:col>1</xdr:col>
                    <xdr:colOff>180975</xdr:colOff>
                    <xdr:row>116</xdr:row>
                    <xdr:rowOff>0</xdr:rowOff>
                  </to>
                </anchor>
              </controlPr>
            </control>
          </mc:Choice>
        </mc:AlternateContent>
        <mc:AlternateContent xmlns:mc="http://schemas.openxmlformats.org/markup-compatibility/2006">
          <mc:Choice Requires="x14">
            <control shapeId="13396" r:id="rId39" name="Drop Down 84">
              <controlPr defaultSize="0" autoLine="0" autoPict="0">
                <anchor moveWithCells="1">
                  <from>
                    <xdr:col>0</xdr:col>
                    <xdr:colOff>38100</xdr:colOff>
                    <xdr:row>116</xdr:row>
                    <xdr:rowOff>9525</xdr:rowOff>
                  </from>
                  <to>
                    <xdr:col>1</xdr:col>
                    <xdr:colOff>180975</xdr:colOff>
                    <xdr:row>117</xdr:row>
                    <xdr:rowOff>0</xdr:rowOff>
                  </to>
                </anchor>
              </controlPr>
            </control>
          </mc:Choice>
        </mc:AlternateContent>
        <mc:AlternateContent xmlns:mc="http://schemas.openxmlformats.org/markup-compatibility/2006">
          <mc:Choice Requires="x14">
            <control shapeId="13397" r:id="rId40" name="Drop Down 85">
              <controlPr defaultSize="0" autoLine="0" autoPict="0">
                <anchor moveWithCells="1">
                  <from>
                    <xdr:col>0</xdr:col>
                    <xdr:colOff>38100</xdr:colOff>
                    <xdr:row>117</xdr:row>
                    <xdr:rowOff>9525</xdr:rowOff>
                  </from>
                  <to>
                    <xdr:col>1</xdr:col>
                    <xdr:colOff>180975</xdr:colOff>
                    <xdr:row>118</xdr:row>
                    <xdr:rowOff>0</xdr:rowOff>
                  </to>
                </anchor>
              </controlPr>
            </control>
          </mc:Choice>
        </mc:AlternateContent>
        <mc:AlternateContent xmlns:mc="http://schemas.openxmlformats.org/markup-compatibility/2006">
          <mc:Choice Requires="x14">
            <control shapeId="13398" r:id="rId41" name="Drop Down 86">
              <controlPr defaultSize="0" autoLine="0" autoPict="0">
                <anchor moveWithCells="1">
                  <from>
                    <xdr:col>0</xdr:col>
                    <xdr:colOff>38100</xdr:colOff>
                    <xdr:row>118</xdr:row>
                    <xdr:rowOff>9525</xdr:rowOff>
                  </from>
                  <to>
                    <xdr:col>1</xdr:col>
                    <xdr:colOff>180975</xdr:colOff>
                    <xdr:row>119</xdr:row>
                    <xdr:rowOff>0</xdr:rowOff>
                  </to>
                </anchor>
              </controlPr>
            </control>
          </mc:Choice>
        </mc:AlternateContent>
        <mc:AlternateContent xmlns:mc="http://schemas.openxmlformats.org/markup-compatibility/2006">
          <mc:Choice Requires="x14">
            <control shapeId="13399" r:id="rId42" name="Drop Down 87">
              <controlPr defaultSize="0" autoLine="0" autoPict="0">
                <anchor moveWithCells="1">
                  <from>
                    <xdr:col>0</xdr:col>
                    <xdr:colOff>38100</xdr:colOff>
                    <xdr:row>123</xdr:row>
                    <xdr:rowOff>9525</xdr:rowOff>
                  </from>
                  <to>
                    <xdr:col>1</xdr:col>
                    <xdr:colOff>180975</xdr:colOff>
                    <xdr:row>124</xdr:row>
                    <xdr:rowOff>0</xdr:rowOff>
                  </to>
                </anchor>
              </controlPr>
            </control>
          </mc:Choice>
        </mc:AlternateContent>
        <mc:AlternateContent xmlns:mc="http://schemas.openxmlformats.org/markup-compatibility/2006">
          <mc:Choice Requires="x14">
            <control shapeId="13400" r:id="rId43" name="Drop Down 88">
              <controlPr defaultSize="0" autoLine="0" autoPict="0">
                <anchor moveWithCells="1">
                  <from>
                    <xdr:col>0</xdr:col>
                    <xdr:colOff>38100</xdr:colOff>
                    <xdr:row>124</xdr:row>
                    <xdr:rowOff>9525</xdr:rowOff>
                  </from>
                  <to>
                    <xdr:col>1</xdr:col>
                    <xdr:colOff>180975</xdr:colOff>
                    <xdr:row>125</xdr:row>
                    <xdr:rowOff>0</xdr:rowOff>
                  </to>
                </anchor>
              </controlPr>
            </control>
          </mc:Choice>
        </mc:AlternateContent>
        <mc:AlternateContent xmlns:mc="http://schemas.openxmlformats.org/markup-compatibility/2006">
          <mc:Choice Requires="x14">
            <control shapeId="13401" r:id="rId44" name="Drop Down 89">
              <controlPr defaultSize="0" autoLine="0" autoPict="0">
                <anchor moveWithCells="1">
                  <from>
                    <xdr:col>0</xdr:col>
                    <xdr:colOff>38100</xdr:colOff>
                    <xdr:row>125</xdr:row>
                    <xdr:rowOff>9525</xdr:rowOff>
                  </from>
                  <to>
                    <xdr:col>1</xdr:col>
                    <xdr:colOff>180975</xdr:colOff>
                    <xdr:row>126</xdr:row>
                    <xdr:rowOff>0</xdr:rowOff>
                  </to>
                </anchor>
              </controlPr>
            </control>
          </mc:Choice>
        </mc:AlternateContent>
        <mc:AlternateContent xmlns:mc="http://schemas.openxmlformats.org/markup-compatibility/2006">
          <mc:Choice Requires="x14">
            <control shapeId="13402" r:id="rId45" name="Drop Down 90">
              <controlPr defaultSize="0" autoLine="0" autoPict="0">
                <anchor moveWithCells="1">
                  <from>
                    <xdr:col>0</xdr:col>
                    <xdr:colOff>38100</xdr:colOff>
                    <xdr:row>126</xdr:row>
                    <xdr:rowOff>9525</xdr:rowOff>
                  </from>
                  <to>
                    <xdr:col>1</xdr:col>
                    <xdr:colOff>180975</xdr:colOff>
                    <xdr:row>127</xdr:row>
                    <xdr:rowOff>0</xdr:rowOff>
                  </to>
                </anchor>
              </controlPr>
            </control>
          </mc:Choice>
        </mc:AlternateContent>
        <mc:AlternateContent xmlns:mc="http://schemas.openxmlformats.org/markup-compatibility/2006">
          <mc:Choice Requires="x14">
            <control shapeId="13403" r:id="rId46" name="Drop Down 91">
              <controlPr defaultSize="0" autoLine="0" autoPict="0">
                <anchor moveWithCells="1">
                  <from>
                    <xdr:col>0</xdr:col>
                    <xdr:colOff>38100</xdr:colOff>
                    <xdr:row>127</xdr:row>
                    <xdr:rowOff>9525</xdr:rowOff>
                  </from>
                  <to>
                    <xdr:col>1</xdr:col>
                    <xdr:colOff>180975</xdr:colOff>
                    <xdr:row>128</xdr:row>
                    <xdr:rowOff>0</xdr:rowOff>
                  </to>
                </anchor>
              </controlPr>
            </control>
          </mc:Choice>
        </mc:AlternateContent>
        <mc:AlternateContent xmlns:mc="http://schemas.openxmlformats.org/markup-compatibility/2006">
          <mc:Choice Requires="x14">
            <control shapeId="13404" r:id="rId47" name="Drop Down 92">
              <controlPr defaultSize="0" autoLine="0" autoPict="0">
                <anchor moveWithCells="1">
                  <from>
                    <xdr:col>0</xdr:col>
                    <xdr:colOff>38100</xdr:colOff>
                    <xdr:row>128</xdr:row>
                    <xdr:rowOff>9525</xdr:rowOff>
                  </from>
                  <to>
                    <xdr:col>1</xdr:col>
                    <xdr:colOff>180975</xdr:colOff>
                    <xdr:row>129</xdr:row>
                    <xdr:rowOff>0</xdr:rowOff>
                  </to>
                </anchor>
              </controlPr>
            </control>
          </mc:Choice>
        </mc:AlternateContent>
        <mc:AlternateContent xmlns:mc="http://schemas.openxmlformats.org/markup-compatibility/2006">
          <mc:Choice Requires="x14">
            <control shapeId="13409" r:id="rId48" name="Drop Down 97">
              <controlPr defaultSize="0" autoLine="0" autoPict="0">
                <anchor moveWithCells="1">
                  <from>
                    <xdr:col>9</xdr:col>
                    <xdr:colOff>19050</xdr:colOff>
                    <xdr:row>113</xdr:row>
                    <xdr:rowOff>9525</xdr:rowOff>
                  </from>
                  <to>
                    <xdr:col>9</xdr:col>
                    <xdr:colOff>838200</xdr:colOff>
                    <xdr:row>114</xdr:row>
                    <xdr:rowOff>0</xdr:rowOff>
                  </to>
                </anchor>
              </controlPr>
            </control>
          </mc:Choice>
        </mc:AlternateContent>
        <mc:AlternateContent xmlns:mc="http://schemas.openxmlformats.org/markup-compatibility/2006">
          <mc:Choice Requires="x14">
            <control shapeId="13410" r:id="rId49" name="Drop Down 98">
              <controlPr defaultSize="0" autoLine="0" autoPict="0">
                <anchor moveWithCells="1">
                  <from>
                    <xdr:col>8</xdr:col>
                    <xdr:colOff>28575</xdr:colOff>
                    <xdr:row>113</xdr:row>
                    <xdr:rowOff>9525</xdr:rowOff>
                  </from>
                  <to>
                    <xdr:col>9</xdr:col>
                    <xdr:colOff>0</xdr:colOff>
                    <xdr:row>114</xdr:row>
                    <xdr:rowOff>0</xdr:rowOff>
                  </to>
                </anchor>
              </controlPr>
            </control>
          </mc:Choice>
        </mc:AlternateContent>
        <mc:AlternateContent xmlns:mc="http://schemas.openxmlformats.org/markup-compatibility/2006">
          <mc:Choice Requires="x14">
            <control shapeId="13411" r:id="rId50" name="Drop Down 99">
              <controlPr defaultSize="0" autoLine="0" autoPict="0">
                <anchor moveWithCells="1">
                  <from>
                    <xdr:col>9</xdr:col>
                    <xdr:colOff>19050</xdr:colOff>
                    <xdr:row>114</xdr:row>
                    <xdr:rowOff>9525</xdr:rowOff>
                  </from>
                  <to>
                    <xdr:col>9</xdr:col>
                    <xdr:colOff>838200</xdr:colOff>
                    <xdr:row>115</xdr:row>
                    <xdr:rowOff>0</xdr:rowOff>
                  </to>
                </anchor>
              </controlPr>
            </control>
          </mc:Choice>
        </mc:AlternateContent>
        <mc:AlternateContent xmlns:mc="http://schemas.openxmlformats.org/markup-compatibility/2006">
          <mc:Choice Requires="x14">
            <control shapeId="13412" r:id="rId51" name="Drop Down 100">
              <controlPr defaultSize="0" autoLine="0" autoPict="0">
                <anchor moveWithCells="1">
                  <from>
                    <xdr:col>8</xdr:col>
                    <xdr:colOff>28575</xdr:colOff>
                    <xdr:row>114</xdr:row>
                    <xdr:rowOff>9525</xdr:rowOff>
                  </from>
                  <to>
                    <xdr:col>8</xdr:col>
                    <xdr:colOff>847725</xdr:colOff>
                    <xdr:row>115</xdr:row>
                    <xdr:rowOff>0</xdr:rowOff>
                  </to>
                </anchor>
              </controlPr>
            </control>
          </mc:Choice>
        </mc:AlternateContent>
        <mc:AlternateContent xmlns:mc="http://schemas.openxmlformats.org/markup-compatibility/2006">
          <mc:Choice Requires="x14">
            <control shapeId="13413" r:id="rId52" name="Drop Down 101">
              <controlPr defaultSize="0" autoLine="0" autoPict="0">
                <anchor moveWithCells="1">
                  <from>
                    <xdr:col>9</xdr:col>
                    <xdr:colOff>19050</xdr:colOff>
                    <xdr:row>115</xdr:row>
                    <xdr:rowOff>9525</xdr:rowOff>
                  </from>
                  <to>
                    <xdr:col>9</xdr:col>
                    <xdr:colOff>838200</xdr:colOff>
                    <xdr:row>116</xdr:row>
                    <xdr:rowOff>0</xdr:rowOff>
                  </to>
                </anchor>
              </controlPr>
            </control>
          </mc:Choice>
        </mc:AlternateContent>
        <mc:AlternateContent xmlns:mc="http://schemas.openxmlformats.org/markup-compatibility/2006">
          <mc:Choice Requires="x14">
            <control shapeId="13414" r:id="rId53" name="Drop Down 102">
              <controlPr defaultSize="0" autoLine="0" autoPict="0">
                <anchor moveWithCells="1">
                  <from>
                    <xdr:col>8</xdr:col>
                    <xdr:colOff>28575</xdr:colOff>
                    <xdr:row>115</xdr:row>
                    <xdr:rowOff>9525</xdr:rowOff>
                  </from>
                  <to>
                    <xdr:col>8</xdr:col>
                    <xdr:colOff>847725</xdr:colOff>
                    <xdr:row>116</xdr:row>
                    <xdr:rowOff>0</xdr:rowOff>
                  </to>
                </anchor>
              </controlPr>
            </control>
          </mc:Choice>
        </mc:AlternateContent>
        <mc:AlternateContent xmlns:mc="http://schemas.openxmlformats.org/markup-compatibility/2006">
          <mc:Choice Requires="x14">
            <control shapeId="13415" r:id="rId54" name="Drop Down 103">
              <controlPr defaultSize="0" autoLine="0" autoPict="0">
                <anchor moveWithCells="1">
                  <from>
                    <xdr:col>9</xdr:col>
                    <xdr:colOff>19050</xdr:colOff>
                    <xdr:row>116</xdr:row>
                    <xdr:rowOff>9525</xdr:rowOff>
                  </from>
                  <to>
                    <xdr:col>9</xdr:col>
                    <xdr:colOff>838200</xdr:colOff>
                    <xdr:row>117</xdr:row>
                    <xdr:rowOff>0</xdr:rowOff>
                  </to>
                </anchor>
              </controlPr>
            </control>
          </mc:Choice>
        </mc:AlternateContent>
        <mc:AlternateContent xmlns:mc="http://schemas.openxmlformats.org/markup-compatibility/2006">
          <mc:Choice Requires="x14">
            <control shapeId="13416" r:id="rId55" name="Drop Down 104">
              <controlPr defaultSize="0" autoLine="0" autoPict="0">
                <anchor moveWithCells="1">
                  <from>
                    <xdr:col>8</xdr:col>
                    <xdr:colOff>28575</xdr:colOff>
                    <xdr:row>116</xdr:row>
                    <xdr:rowOff>9525</xdr:rowOff>
                  </from>
                  <to>
                    <xdr:col>8</xdr:col>
                    <xdr:colOff>847725</xdr:colOff>
                    <xdr:row>117</xdr:row>
                    <xdr:rowOff>0</xdr:rowOff>
                  </to>
                </anchor>
              </controlPr>
            </control>
          </mc:Choice>
        </mc:AlternateContent>
        <mc:AlternateContent xmlns:mc="http://schemas.openxmlformats.org/markup-compatibility/2006">
          <mc:Choice Requires="x14">
            <control shapeId="13417" r:id="rId56" name="Drop Down 105">
              <controlPr defaultSize="0" autoLine="0" autoPict="0">
                <anchor moveWithCells="1">
                  <from>
                    <xdr:col>9</xdr:col>
                    <xdr:colOff>19050</xdr:colOff>
                    <xdr:row>117</xdr:row>
                    <xdr:rowOff>9525</xdr:rowOff>
                  </from>
                  <to>
                    <xdr:col>9</xdr:col>
                    <xdr:colOff>838200</xdr:colOff>
                    <xdr:row>118</xdr:row>
                    <xdr:rowOff>0</xdr:rowOff>
                  </to>
                </anchor>
              </controlPr>
            </control>
          </mc:Choice>
        </mc:AlternateContent>
        <mc:AlternateContent xmlns:mc="http://schemas.openxmlformats.org/markup-compatibility/2006">
          <mc:Choice Requires="x14">
            <control shapeId="13418" r:id="rId57" name="Drop Down 106">
              <controlPr defaultSize="0" autoLine="0" autoPict="0">
                <anchor moveWithCells="1">
                  <from>
                    <xdr:col>8</xdr:col>
                    <xdr:colOff>28575</xdr:colOff>
                    <xdr:row>117</xdr:row>
                    <xdr:rowOff>9525</xdr:rowOff>
                  </from>
                  <to>
                    <xdr:col>9</xdr:col>
                    <xdr:colOff>0</xdr:colOff>
                    <xdr:row>118</xdr:row>
                    <xdr:rowOff>0</xdr:rowOff>
                  </to>
                </anchor>
              </controlPr>
            </control>
          </mc:Choice>
        </mc:AlternateContent>
        <mc:AlternateContent xmlns:mc="http://schemas.openxmlformats.org/markup-compatibility/2006">
          <mc:Choice Requires="x14">
            <control shapeId="13419" r:id="rId58" name="Drop Down 107">
              <controlPr defaultSize="0" autoLine="0" autoPict="0">
                <anchor moveWithCells="1">
                  <from>
                    <xdr:col>9</xdr:col>
                    <xdr:colOff>19050</xdr:colOff>
                    <xdr:row>118</xdr:row>
                    <xdr:rowOff>9525</xdr:rowOff>
                  </from>
                  <to>
                    <xdr:col>9</xdr:col>
                    <xdr:colOff>838200</xdr:colOff>
                    <xdr:row>119</xdr:row>
                    <xdr:rowOff>0</xdr:rowOff>
                  </to>
                </anchor>
              </controlPr>
            </control>
          </mc:Choice>
        </mc:AlternateContent>
        <mc:AlternateContent xmlns:mc="http://schemas.openxmlformats.org/markup-compatibility/2006">
          <mc:Choice Requires="x14">
            <control shapeId="13420" r:id="rId59" name="Drop Down 108">
              <controlPr defaultSize="0" autoLine="0" autoPict="0">
                <anchor moveWithCells="1">
                  <from>
                    <xdr:col>8</xdr:col>
                    <xdr:colOff>28575</xdr:colOff>
                    <xdr:row>118</xdr:row>
                    <xdr:rowOff>9525</xdr:rowOff>
                  </from>
                  <to>
                    <xdr:col>9</xdr:col>
                    <xdr:colOff>0</xdr:colOff>
                    <xdr:row>119</xdr:row>
                    <xdr:rowOff>0</xdr:rowOff>
                  </to>
                </anchor>
              </controlPr>
            </control>
          </mc:Choice>
        </mc:AlternateContent>
        <mc:AlternateContent xmlns:mc="http://schemas.openxmlformats.org/markup-compatibility/2006">
          <mc:Choice Requires="x14">
            <control shapeId="13421" r:id="rId60" name="Drop Down 109">
              <controlPr defaultSize="0" autoLine="0" autoPict="0">
                <anchor moveWithCells="1">
                  <from>
                    <xdr:col>4</xdr:col>
                    <xdr:colOff>19050</xdr:colOff>
                    <xdr:row>93</xdr:row>
                    <xdr:rowOff>9525</xdr:rowOff>
                  </from>
                  <to>
                    <xdr:col>4</xdr:col>
                    <xdr:colOff>838200</xdr:colOff>
                    <xdr:row>94</xdr:row>
                    <xdr:rowOff>0</xdr:rowOff>
                  </to>
                </anchor>
              </controlPr>
            </control>
          </mc:Choice>
        </mc:AlternateContent>
        <mc:AlternateContent xmlns:mc="http://schemas.openxmlformats.org/markup-compatibility/2006">
          <mc:Choice Requires="x14">
            <control shapeId="13422" r:id="rId61" name="Drop Down 110">
              <controlPr defaultSize="0" autoLine="0" autoPict="0">
                <anchor moveWithCells="1">
                  <from>
                    <xdr:col>3</xdr:col>
                    <xdr:colOff>28575</xdr:colOff>
                    <xdr:row>93</xdr:row>
                    <xdr:rowOff>9525</xdr:rowOff>
                  </from>
                  <to>
                    <xdr:col>4</xdr:col>
                    <xdr:colOff>0</xdr:colOff>
                    <xdr:row>94</xdr:row>
                    <xdr:rowOff>0</xdr:rowOff>
                  </to>
                </anchor>
              </controlPr>
            </control>
          </mc:Choice>
        </mc:AlternateContent>
        <mc:AlternateContent xmlns:mc="http://schemas.openxmlformats.org/markup-compatibility/2006">
          <mc:Choice Requires="x14">
            <control shapeId="13423" r:id="rId62" name="Drop Down 111">
              <controlPr defaultSize="0" autoLine="0" autoPict="0">
                <anchor moveWithCells="1">
                  <from>
                    <xdr:col>4</xdr:col>
                    <xdr:colOff>19050</xdr:colOff>
                    <xdr:row>94</xdr:row>
                    <xdr:rowOff>9525</xdr:rowOff>
                  </from>
                  <to>
                    <xdr:col>4</xdr:col>
                    <xdr:colOff>838200</xdr:colOff>
                    <xdr:row>95</xdr:row>
                    <xdr:rowOff>0</xdr:rowOff>
                  </to>
                </anchor>
              </controlPr>
            </control>
          </mc:Choice>
        </mc:AlternateContent>
        <mc:AlternateContent xmlns:mc="http://schemas.openxmlformats.org/markup-compatibility/2006">
          <mc:Choice Requires="x14">
            <control shapeId="13424" r:id="rId63" name="Drop Down 112">
              <controlPr defaultSize="0" autoLine="0" autoPict="0">
                <anchor moveWithCells="1">
                  <from>
                    <xdr:col>3</xdr:col>
                    <xdr:colOff>28575</xdr:colOff>
                    <xdr:row>94</xdr:row>
                    <xdr:rowOff>9525</xdr:rowOff>
                  </from>
                  <to>
                    <xdr:col>4</xdr:col>
                    <xdr:colOff>0</xdr:colOff>
                    <xdr:row>95</xdr:row>
                    <xdr:rowOff>0</xdr:rowOff>
                  </to>
                </anchor>
              </controlPr>
            </control>
          </mc:Choice>
        </mc:AlternateContent>
        <mc:AlternateContent xmlns:mc="http://schemas.openxmlformats.org/markup-compatibility/2006">
          <mc:Choice Requires="x14">
            <control shapeId="13425" r:id="rId64" name="Drop Down 113">
              <controlPr defaultSize="0" autoLine="0" autoPict="0">
                <anchor moveWithCells="1">
                  <from>
                    <xdr:col>4</xdr:col>
                    <xdr:colOff>19050</xdr:colOff>
                    <xdr:row>95</xdr:row>
                    <xdr:rowOff>9525</xdr:rowOff>
                  </from>
                  <to>
                    <xdr:col>4</xdr:col>
                    <xdr:colOff>838200</xdr:colOff>
                    <xdr:row>96</xdr:row>
                    <xdr:rowOff>0</xdr:rowOff>
                  </to>
                </anchor>
              </controlPr>
            </control>
          </mc:Choice>
        </mc:AlternateContent>
        <mc:AlternateContent xmlns:mc="http://schemas.openxmlformats.org/markup-compatibility/2006">
          <mc:Choice Requires="x14">
            <control shapeId="13426" r:id="rId65" name="Drop Down 114">
              <controlPr defaultSize="0" autoLine="0" autoPict="0">
                <anchor moveWithCells="1">
                  <from>
                    <xdr:col>3</xdr:col>
                    <xdr:colOff>28575</xdr:colOff>
                    <xdr:row>95</xdr:row>
                    <xdr:rowOff>9525</xdr:rowOff>
                  </from>
                  <to>
                    <xdr:col>4</xdr:col>
                    <xdr:colOff>0</xdr:colOff>
                    <xdr:row>96</xdr:row>
                    <xdr:rowOff>0</xdr:rowOff>
                  </to>
                </anchor>
              </controlPr>
            </control>
          </mc:Choice>
        </mc:AlternateContent>
        <mc:AlternateContent xmlns:mc="http://schemas.openxmlformats.org/markup-compatibility/2006">
          <mc:Choice Requires="x14">
            <control shapeId="13427" r:id="rId66" name="Drop Down 115">
              <controlPr defaultSize="0" autoLine="0" autoPict="0">
                <anchor moveWithCells="1">
                  <from>
                    <xdr:col>4</xdr:col>
                    <xdr:colOff>19050</xdr:colOff>
                    <xdr:row>96</xdr:row>
                    <xdr:rowOff>9525</xdr:rowOff>
                  </from>
                  <to>
                    <xdr:col>4</xdr:col>
                    <xdr:colOff>838200</xdr:colOff>
                    <xdr:row>97</xdr:row>
                    <xdr:rowOff>0</xdr:rowOff>
                  </to>
                </anchor>
              </controlPr>
            </control>
          </mc:Choice>
        </mc:AlternateContent>
        <mc:AlternateContent xmlns:mc="http://schemas.openxmlformats.org/markup-compatibility/2006">
          <mc:Choice Requires="x14">
            <control shapeId="13428" r:id="rId67" name="Drop Down 116">
              <controlPr defaultSize="0" autoLine="0" autoPict="0">
                <anchor moveWithCells="1">
                  <from>
                    <xdr:col>3</xdr:col>
                    <xdr:colOff>28575</xdr:colOff>
                    <xdr:row>96</xdr:row>
                    <xdr:rowOff>9525</xdr:rowOff>
                  </from>
                  <to>
                    <xdr:col>4</xdr:col>
                    <xdr:colOff>0</xdr:colOff>
                    <xdr:row>97</xdr:row>
                    <xdr:rowOff>0</xdr:rowOff>
                  </to>
                </anchor>
              </controlPr>
            </control>
          </mc:Choice>
        </mc:AlternateContent>
        <mc:AlternateContent xmlns:mc="http://schemas.openxmlformats.org/markup-compatibility/2006">
          <mc:Choice Requires="x14">
            <control shapeId="13429" r:id="rId68" name="Drop Down 117">
              <controlPr defaultSize="0" autoLine="0" autoPict="0">
                <anchor moveWithCells="1">
                  <from>
                    <xdr:col>4</xdr:col>
                    <xdr:colOff>19050</xdr:colOff>
                    <xdr:row>100</xdr:row>
                    <xdr:rowOff>9525</xdr:rowOff>
                  </from>
                  <to>
                    <xdr:col>4</xdr:col>
                    <xdr:colOff>838200</xdr:colOff>
                    <xdr:row>101</xdr:row>
                    <xdr:rowOff>0</xdr:rowOff>
                  </to>
                </anchor>
              </controlPr>
            </control>
          </mc:Choice>
        </mc:AlternateContent>
        <mc:AlternateContent xmlns:mc="http://schemas.openxmlformats.org/markup-compatibility/2006">
          <mc:Choice Requires="x14">
            <control shapeId="13430" r:id="rId69" name="Drop Down 118">
              <controlPr defaultSize="0" autoLine="0" autoPict="0">
                <anchor moveWithCells="1">
                  <from>
                    <xdr:col>3</xdr:col>
                    <xdr:colOff>28575</xdr:colOff>
                    <xdr:row>100</xdr:row>
                    <xdr:rowOff>9525</xdr:rowOff>
                  </from>
                  <to>
                    <xdr:col>4</xdr:col>
                    <xdr:colOff>0</xdr:colOff>
                    <xdr:row>101</xdr:row>
                    <xdr:rowOff>0</xdr:rowOff>
                  </to>
                </anchor>
              </controlPr>
            </control>
          </mc:Choice>
        </mc:AlternateContent>
        <mc:AlternateContent xmlns:mc="http://schemas.openxmlformats.org/markup-compatibility/2006">
          <mc:Choice Requires="x14">
            <control shapeId="13431" r:id="rId70" name="Drop Down 119">
              <controlPr defaultSize="0" autoLine="0" autoPict="0">
                <anchor moveWithCells="1">
                  <from>
                    <xdr:col>4</xdr:col>
                    <xdr:colOff>19050</xdr:colOff>
                    <xdr:row>101</xdr:row>
                    <xdr:rowOff>9525</xdr:rowOff>
                  </from>
                  <to>
                    <xdr:col>4</xdr:col>
                    <xdr:colOff>838200</xdr:colOff>
                    <xdr:row>102</xdr:row>
                    <xdr:rowOff>0</xdr:rowOff>
                  </to>
                </anchor>
              </controlPr>
            </control>
          </mc:Choice>
        </mc:AlternateContent>
        <mc:AlternateContent xmlns:mc="http://schemas.openxmlformats.org/markup-compatibility/2006">
          <mc:Choice Requires="x14">
            <control shapeId="13432" r:id="rId71" name="Drop Down 120">
              <controlPr defaultSize="0" autoLine="0" autoPict="0">
                <anchor moveWithCells="1">
                  <from>
                    <xdr:col>3</xdr:col>
                    <xdr:colOff>28575</xdr:colOff>
                    <xdr:row>101</xdr:row>
                    <xdr:rowOff>9525</xdr:rowOff>
                  </from>
                  <to>
                    <xdr:col>4</xdr:col>
                    <xdr:colOff>0</xdr:colOff>
                    <xdr:row>102</xdr:row>
                    <xdr:rowOff>0</xdr:rowOff>
                  </to>
                </anchor>
              </controlPr>
            </control>
          </mc:Choice>
        </mc:AlternateContent>
        <mc:AlternateContent xmlns:mc="http://schemas.openxmlformats.org/markup-compatibility/2006">
          <mc:Choice Requires="x14">
            <control shapeId="13433" r:id="rId72" name="Drop Down 121">
              <controlPr defaultSize="0" autoLine="0" autoPict="0">
                <anchor moveWithCells="1">
                  <from>
                    <xdr:col>4</xdr:col>
                    <xdr:colOff>19050</xdr:colOff>
                    <xdr:row>102</xdr:row>
                    <xdr:rowOff>9525</xdr:rowOff>
                  </from>
                  <to>
                    <xdr:col>4</xdr:col>
                    <xdr:colOff>838200</xdr:colOff>
                    <xdr:row>103</xdr:row>
                    <xdr:rowOff>0</xdr:rowOff>
                  </to>
                </anchor>
              </controlPr>
            </control>
          </mc:Choice>
        </mc:AlternateContent>
        <mc:AlternateContent xmlns:mc="http://schemas.openxmlformats.org/markup-compatibility/2006">
          <mc:Choice Requires="x14">
            <control shapeId="13434" r:id="rId73" name="Drop Down 122">
              <controlPr defaultSize="0" autoLine="0" autoPict="0">
                <anchor moveWithCells="1">
                  <from>
                    <xdr:col>3</xdr:col>
                    <xdr:colOff>28575</xdr:colOff>
                    <xdr:row>102</xdr:row>
                    <xdr:rowOff>9525</xdr:rowOff>
                  </from>
                  <to>
                    <xdr:col>4</xdr:col>
                    <xdr:colOff>0</xdr:colOff>
                    <xdr:row>103</xdr:row>
                    <xdr:rowOff>0</xdr:rowOff>
                  </to>
                </anchor>
              </controlPr>
            </control>
          </mc:Choice>
        </mc:AlternateContent>
        <mc:AlternateContent xmlns:mc="http://schemas.openxmlformats.org/markup-compatibility/2006">
          <mc:Choice Requires="x14">
            <control shapeId="13435" r:id="rId74" name="Drop Down 123">
              <controlPr defaultSize="0" autoLine="0" autoPict="0">
                <anchor moveWithCells="1">
                  <from>
                    <xdr:col>4</xdr:col>
                    <xdr:colOff>19050</xdr:colOff>
                    <xdr:row>103</xdr:row>
                    <xdr:rowOff>9525</xdr:rowOff>
                  </from>
                  <to>
                    <xdr:col>4</xdr:col>
                    <xdr:colOff>838200</xdr:colOff>
                    <xdr:row>104</xdr:row>
                    <xdr:rowOff>0</xdr:rowOff>
                  </to>
                </anchor>
              </controlPr>
            </control>
          </mc:Choice>
        </mc:AlternateContent>
        <mc:AlternateContent xmlns:mc="http://schemas.openxmlformats.org/markup-compatibility/2006">
          <mc:Choice Requires="x14">
            <control shapeId="13436" r:id="rId75" name="Drop Down 124">
              <controlPr defaultSize="0" autoLine="0" autoPict="0">
                <anchor moveWithCells="1">
                  <from>
                    <xdr:col>3</xdr:col>
                    <xdr:colOff>28575</xdr:colOff>
                    <xdr:row>103</xdr:row>
                    <xdr:rowOff>9525</xdr:rowOff>
                  </from>
                  <to>
                    <xdr:col>4</xdr:col>
                    <xdr:colOff>0</xdr:colOff>
                    <xdr:row>104</xdr:row>
                    <xdr:rowOff>0</xdr:rowOff>
                  </to>
                </anchor>
              </controlPr>
            </control>
          </mc:Choice>
        </mc:AlternateContent>
        <mc:AlternateContent xmlns:mc="http://schemas.openxmlformats.org/markup-compatibility/2006">
          <mc:Choice Requires="x14">
            <control shapeId="13437" r:id="rId76" name="Drop Down 125">
              <controlPr defaultSize="0" autoLine="0" autoPict="0">
                <anchor moveWithCells="1">
                  <from>
                    <xdr:col>4</xdr:col>
                    <xdr:colOff>19050</xdr:colOff>
                    <xdr:row>104</xdr:row>
                    <xdr:rowOff>9525</xdr:rowOff>
                  </from>
                  <to>
                    <xdr:col>4</xdr:col>
                    <xdr:colOff>838200</xdr:colOff>
                    <xdr:row>105</xdr:row>
                    <xdr:rowOff>0</xdr:rowOff>
                  </to>
                </anchor>
              </controlPr>
            </control>
          </mc:Choice>
        </mc:AlternateContent>
        <mc:AlternateContent xmlns:mc="http://schemas.openxmlformats.org/markup-compatibility/2006">
          <mc:Choice Requires="x14">
            <control shapeId="13438" r:id="rId77" name="Drop Down 126">
              <controlPr defaultSize="0" autoLine="0" autoPict="0">
                <anchor moveWithCells="1">
                  <from>
                    <xdr:col>3</xdr:col>
                    <xdr:colOff>28575</xdr:colOff>
                    <xdr:row>104</xdr:row>
                    <xdr:rowOff>9525</xdr:rowOff>
                  </from>
                  <to>
                    <xdr:col>4</xdr:col>
                    <xdr:colOff>0</xdr:colOff>
                    <xdr:row>105</xdr:row>
                    <xdr:rowOff>0</xdr:rowOff>
                  </to>
                </anchor>
              </controlPr>
            </control>
          </mc:Choice>
        </mc:AlternateContent>
        <mc:AlternateContent xmlns:mc="http://schemas.openxmlformats.org/markup-compatibility/2006">
          <mc:Choice Requires="x14">
            <control shapeId="13439" r:id="rId78" name="Drop Down 127">
              <controlPr defaultSize="0" autoLine="0" autoPict="0">
                <anchor moveWithCells="1">
                  <from>
                    <xdr:col>4</xdr:col>
                    <xdr:colOff>19050</xdr:colOff>
                    <xdr:row>105</xdr:row>
                    <xdr:rowOff>9525</xdr:rowOff>
                  </from>
                  <to>
                    <xdr:col>4</xdr:col>
                    <xdr:colOff>838200</xdr:colOff>
                    <xdr:row>106</xdr:row>
                    <xdr:rowOff>0</xdr:rowOff>
                  </to>
                </anchor>
              </controlPr>
            </control>
          </mc:Choice>
        </mc:AlternateContent>
        <mc:AlternateContent xmlns:mc="http://schemas.openxmlformats.org/markup-compatibility/2006">
          <mc:Choice Requires="x14">
            <control shapeId="13440" r:id="rId79" name="Drop Down 128">
              <controlPr defaultSize="0" autoLine="0" autoPict="0">
                <anchor moveWithCells="1">
                  <from>
                    <xdr:col>3</xdr:col>
                    <xdr:colOff>28575</xdr:colOff>
                    <xdr:row>105</xdr:row>
                    <xdr:rowOff>9525</xdr:rowOff>
                  </from>
                  <to>
                    <xdr:col>4</xdr:col>
                    <xdr:colOff>0</xdr:colOff>
                    <xdr:row>106</xdr:row>
                    <xdr:rowOff>0</xdr:rowOff>
                  </to>
                </anchor>
              </controlPr>
            </control>
          </mc:Choice>
        </mc:AlternateContent>
        <mc:AlternateContent xmlns:mc="http://schemas.openxmlformats.org/markup-compatibility/2006">
          <mc:Choice Requires="x14">
            <control shapeId="13441" r:id="rId80" name="Drop Down 129">
              <controlPr defaultSize="0" autoLine="0" autoPict="0">
                <anchor moveWithCells="1">
                  <from>
                    <xdr:col>9</xdr:col>
                    <xdr:colOff>19050</xdr:colOff>
                    <xdr:row>123</xdr:row>
                    <xdr:rowOff>9525</xdr:rowOff>
                  </from>
                  <to>
                    <xdr:col>9</xdr:col>
                    <xdr:colOff>838200</xdr:colOff>
                    <xdr:row>124</xdr:row>
                    <xdr:rowOff>0</xdr:rowOff>
                  </to>
                </anchor>
              </controlPr>
            </control>
          </mc:Choice>
        </mc:AlternateContent>
        <mc:AlternateContent xmlns:mc="http://schemas.openxmlformats.org/markup-compatibility/2006">
          <mc:Choice Requires="x14">
            <control shapeId="13442" r:id="rId81" name="Drop Down 130">
              <controlPr defaultSize="0" autoLine="0" autoPict="0">
                <anchor moveWithCells="1">
                  <from>
                    <xdr:col>8</xdr:col>
                    <xdr:colOff>28575</xdr:colOff>
                    <xdr:row>123</xdr:row>
                    <xdr:rowOff>9525</xdr:rowOff>
                  </from>
                  <to>
                    <xdr:col>8</xdr:col>
                    <xdr:colOff>847725</xdr:colOff>
                    <xdr:row>124</xdr:row>
                    <xdr:rowOff>0</xdr:rowOff>
                  </to>
                </anchor>
              </controlPr>
            </control>
          </mc:Choice>
        </mc:AlternateContent>
        <mc:AlternateContent xmlns:mc="http://schemas.openxmlformats.org/markup-compatibility/2006">
          <mc:Choice Requires="x14">
            <control shapeId="13443" r:id="rId82" name="Drop Down 131">
              <controlPr defaultSize="0" autoLine="0" autoPict="0">
                <anchor moveWithCells="1">
                  <from>
                    <xdr:col>9</xdr:col>
                    <xdr:colOff>19050</xdr:colOff>
                    <xdr:row>124</xdr:row>
                    <xdr:rowOff>9525</xdr:rowOff>
                  </from>
                  <to>
                    <xdr:col>9</xdr:col>
                    <xdr:colOff>838200</xdr:colOff>
                    <xdr:row>125</xdr:row>
                    <xdr:rowOff>0</xdr:rowOff>
                  </to>
                </anchor>
              </controlPr>
            </control>
          </mc:Choice>
        </mc:AlternateContent>
        <mc:AlternateContent xmlns:mc="http://schemas.openxmlformats.org/markup-compatibility/2006">
          <mc:Choice Requires="x14">
            <control shapeId="13444" r:id="rId83" name="Drop Down 132">
              <controlPr defaultSize="0" autoLine="0" autoPict="0">
                <anchor moveWithCells="1">
                  <from>
                    <xdr:col>8</xdr:col>
                    <xdr:colOff>28575</xdr:colOff>
                    <xdr:row>124</xdr:row>
                    <xdr:rowOff>9525</xdr:rowOff>
                  </from>
                  <to>
                    <xdr:col>8</xdr:col>
                    <xdr:colOff>847725</xdr:colOff>
                    <xdr:row>125</xdr:row>
                    <xdr:rowOff>0</xdr:rowOff>
                  </to>
                </anchor>
              </controlPr>
            </control>
          </mc:Choice>
        </mc:AlternateContent>
        <mc:AlternateContent xmlns:mc="http://schemas.openxmlformats.org/markup-compatibility/2006">
          <mc:Choice Requires="x14">
            <control shapeId="13445" r:id="rId84" name="Drop Down 133">
              <controlPr defaultSize="0" autoLine="0" autoPict="0">
                <anchor moveWithCells="1">
                  <from>
                    <xdr:col>9</xdr:col>
                    <xdr:colOff>19050</xdr:colOff>
                    <xdr:row>125</xdr:row>
                    <xdr:rowOff>9525</xdr:rowOff>
                  </from>
                  <to>
                    <xdr:col>9</xdr:col>
                    <xdr:colOff>838200</xdr:colOff>
                    <xdr:row>126</xdr:row>
                    <xdr:rowOff>0</xdr:rowOff>
                  </to>
                </anchor>
              </controlPr>
            </control>
          </mc:Choice>
        </mc:AlternateContent>
        <mc:AlternateContent xmlns:mc="http://schemas.openxmlformats.org/markup-compatibility/2006">
          <mc:Choice Requires="x14">
            <control shapeId="13446" r:id="rId85" name="Drop Down 134">
              <controlPr defaultSize="0" autoLine="0" autoPict="0">
                <anchor moveWithCells="1">
                  <from>
                    <xdr:col>8</xdr:col>
                    <xdr:colOff>28575</xdr:colOff>
                    <xdr:row>125</xdr:row>
                    <xdr:rowOff>9525</xdr:rowOff>
                  </from>
                  <to>
                    <xdr:col>8</xdr:col>
                    <xdr:colOff>847725</xdr:colOff>
                    <xdr:row>126</xdr:row>
                    <xdr:rowOff>0</xdr:rowOff>
                  </to>
                </anchor>
              </controlPr>
            </control>
          </mc:Choice>
        </mc:AlternateContent>
        <mc:AlternateContent xmlns:mc="http://schemas.openxmlformats.org/markup-compatibility/2006">
          <mc:Choice Requires="x14">
            <control shapeId="13447" r:id="rId86" name="Drop Down 135">
              <controlPr defaultSize="0" autoLine="0" autoPict="0">
                <anchor moveWithCells="1">
                  <from>
                    <xdr:col>9</xdr:col>
                    <xdr:colOff>19050</xdr:colOff>
                    <xdr:row>126</xdr:row>
                    <xdr:rowOff>9525</xdr:rowOff>
                  </from>
                  <to>
                    <xdr:col>9</xdr:col>
                    <xdr:colOff>838200</xdr:colOff>
                    <xdr:row>127</xdr:row>
                    <xdr:rowOff>0</xdr:rowOff>
                  </to>
                </anchor>
              </controlPr>
            </control>
          </mc:Choice>
        </mc:AlternateContent>
        <mc:AlternateContent xmlns:mc="http://schemas.openxmlformats.org/markup-compatibility/2006">
          <mc:Choice Requires="x14">
            <control shapeId="13448" r:id="rId87" name="Drop Down 136">
              <controlPr defaultSize="0" autoLine="0" autoPict="0">
                <anchor moveWithCells="1">
                  <from>
                    <xdr:col>8</xdr:col>
                    <xdr:colOff>28575</xdr:colOff>
                    <xdr:row>126</xdr:row>
                    <xdr:rowOff>9525</xdr:rowOff>
                  </from>
                  <to>
                    <xdr:col>8</xdr:col>
                    <xdr:colOff>847725</xdr:colOff>
                    <xdr:row>127</xdr:row>
                    <xdr:rowOff>0</xdr:rowOff>
                  </to>
                </anchor>
              </controlPr>
            </control>
          </mc:Choice>
        </mc:AlternateContent>
        <mc:AlternateContent xmlns:mc="http://schemas.openxmlformats.org/markup-compatibility/2006">
          <mc:Choice Requires="x14">
            <control shapeId="13449" r:id="rId88" name="Drop Down 137">
              <controlPr defaultSize="0" autoLine="0" autoPict="0">
                <anchor moveWithCells="1">
                  <from>
                    <xdr:col>9</xdr:col>
                    <xdr:colOff>19050</xdr:colOff>
                    <xdr:row>127</xdr:row>
                    <xdr:rowOff>9525</xdr:rowOff>
                  </from>
                  <to>
                    <xdr:col>9</xdr:col>
                    <xdr:colOff>838200</xdr:colOff>
                    <xdr:row>128</xdr:row>
                    <xdr:rowOff>0</xdr:rowOff>
                  </to>
                </anchor>
              </controlPr>
            </control>
          </mc:Choice>
        </mc:AlternateContent>
        <mc:AlternateContent xmlns:mc="http://schemas.openxmlformats.org/markup-compatibility/2006">
          <mc:Choice Requires="x14">
            <control shapeId="13450" r:id="rId89" name="Drop Down 138">
              <controlPr defaultSize="0" autoLine="0" autoPict="0">
                <anchor moveWithCells="1">
                  <from>
                    <xdr:col>8</xdr:col>
                    <xdr:colOff>28575</xdr:colOff>
                    <xdr:row>127</xdr:row>
                    <xdr:rowOff>9525</xdr:rowOff>
                  </from>
                  <to>
                    <xdr:col>8</xdr:col>
                    <xdr:colOff>847725</xdr:colOff>
                    <xdr:row>128</xdr:row>
                    <xdr:rowOff>0</xdr:rowOff>
                  </to>
                </anchor>
              </controlPr>
            </control>
          </mc:Choice>
        </mc:AlternateContent>
        <mc:AlternateContent xmlns:mc="http://schemas.openxmlformats.org/markup-compatibility/2006">
          <mc:Choice Requires="x14">
            <control shapeId="13451" r:id="rId90" name="Drop Down 139">
              <controlPr defaultSize="0" autoLine="0" autoPict="0">
                <anchor moveWithCells="1">
                  <from>
                    <xdr:col>9</xdr:col>
                    <xdr:colOff>19050</xdr:colOff>
                    <xdr:row>128</xdr:row>
                    <xdr:rowOff>9525</xdr:rowOff>
                  </from>
                  <to>
                    <xdr:col>9</xdr:col>
                    <xdr:colOff>838200</xdr:colOff>
                    <xdr:row>129</xdr:row>
                    <xdr:rowOff>0</xdr:rowOff>
                  </to>
                </anchor>
              </controlPr>
            </control>
          </mc:Choice>
        </mc:AlternateContent>
        <mc:AlternateContent xmlns:mc="http://schemas.openxmlformats.org/markup-compatibility/2006">
          <mc:Choice Requires="x14">
            <control shapeId="13452" r:id="rId91" name="Drop Down 140">
              <controlPr defaultSize="0" autoLine="0" autoPict="0">
                <anchor moveWithCells="1">
                  <from>
                    <xdr:col>8</xdr:col>
                    <xdr:colOff>28575</xdr:colOff>
                    <xdr:row>128</xdr:row>
                    <xdr:rowOff>9525</xdr:rowOff>
                  </from>
                  <to>
                    <xdr:col>8</xdr:col>
                    <xdr:colOff>847725</xdr:colOff>
                    <xdr:row>129</xdr:row>
                    <xdr:rowOff>0</xdr:rowOff>
                  </to>
                </anchor>
              </controlPr>
            </control>
          </mc:Choice>
        </mc:AlternateContent>
        <mc:AlternateContent xmlns:mc="http://schemas.openxmlformats.org/markup-compatibility/2006">
          <mc:Choice Requires="x14">
            <control shapeId="13495" r:id="rId92" name="Drop Down 183">
              <controlPr defaultSize="0" autoLine="0" autoPict="0">
                <anchor moveWithCells="1">
                  <from>
                    <xdr:col>9</xdr:col>
                    <xdr:colOff>19050</xdr:colOff>
                    <xdr:row>134</xdr:row>
                    <xdr:rowOff>9525</xdr:rowOff>
                  </from>
                  <to>
                    <xdr:col>9</xdr:col>
                    <xdr:colOff>838200</xdr:colOff>
                    <xdr:row>135</xdr:row>
                    <xdr:rowOff>0</xdr:rowOff>
                  </to>
                </anchor>
              </controlPr>
            </control>
          </mc:Choice>
        </mc:AlternateContent>
        <mc:AlternateContent xmlns:mc="http://schemas.openxmlformats.org/markup-compatibility/2006">
          <mc:Choice Requires="x14">
            <control shapeId="13496" r:id="rId93" name="Drop Down 184">
              <controlPr defaultSize="0" autoLine="0" autoPict="0">
                <anchor moveWithCells="1">
                  <from>
                    <xdr:col>8</xdr:col>
                    <xdr:colOff>28575</xdr:colOff>
                    <xdr:row>134</xdr:row>
                    <xdr:rowOff>9525</xdr:rowOff>
                  </from>
                  <to>
                    <xdr:col>9</xdr:col>
                    <xdr:colOff>0</xdr:colOff>
                    <xdr:row>135</xdr:row>
                    <xdr:rowOff>0</xdr:rowOff>
                  </to>
                </anchor>
              </controlPr>
            </control>
          </mc:Choice>
        </mc:AlternateContent>
        <mc:AlternateContent xmlns:mc="http://schemas.openxmlformats.org/markup-compatibility/2006">
          <mc:Choice Requires="x14">
            <control shapeId="13497" r:id="rId94" name="Drop Down 185">
              <controlPr defaultSize="0" autoLine="0" autoPict="0">
                <anchor moveWithCells="1">
                  <from>
                    <xdr:col>9</xdr:col>
                    <xdr:colOff>19050</xdr:colOff>
                    <xdr:row>135</xdr:row>
                    <xdr:rowOff>9525</xdr:rowOff>
                  </from>
                  <to>
                    <xdr:col>9</xdr:col>
                    <xdr:colOff>838200</xdr:colOff>
                    <xdr:row>136</xdr:row>
                    <xdr:rowOff>0</xdr:rowOff>
                  </to>
                </anchor>
              </controlPr>
            </control>
          </mc:Choice>
        </mc:AlternateContent>
        <mc:AlternateContent xmlns:mc="http://schemas.openxmlformats.org/markup-compatibility/2006">
          <mc:Choice Requires="x14">
            <control shapeId="13498" r:id="rId95" name="Drop Down 186">
              <controlPr defaultSize="0" autoLine="0" autoPict="0">
                <anchor moveWithCells="1">
                  <from>
                    <xdr:col>8</xdr:col>
                    <xdr:colOff>28575</xdr:colOff>
                    <xdr:row>135</xdr:row>
                    <xdr:rowOff>9525</xdr:rowOff>
                  </from>
                  <to>
                    <xdr:col>9</xdr:col>
                    <xdr:colOff>0</xdr:colOff>
                    <xdr:row>136</xdr:row>
                    <xdr:rowOff>0</xdr:rowOff>
                  </to>
                </anchor>
              </controlPr>
            </control>
          </mc:Choice>
        </mc:AlternateContent>
        <mc:AlternateContent xmlns:mc="http://schemas.openxmlformats.org/markup-compatibility/2006">
          <mc:Choice Requires="x14">
            <control shapeId="13499" r:id="rId96" name="Drop Down 187">
              <controlPr defaultSize="0" autoLine="0" autoPict="0">
                <anchor moveWithCells="1">
                  <from>
                    <xdr:col>9</xdr:col>
                    <xdr:colOff>19050</xdr:colOff>
                    <xdr:row>136</xdr:row>
                    <xdr:rowOff>9525</xdr:rowOff>
                  </from>
                  <to>
                    <xdr:col>9</xdr:col>
                    <xdr:colOff>838200</xdr:colOff>
                    <xdr:row>137</xdr:row>
                    <xdr:rowOff>0</xdr:rowOff>
                  </to>
                </anchor>
              </controlPr>
            </control>
          </mc:Choice>
        </mc:AlternateContent>
        <mc:AlternateContent xmlns:mc="http://schemas.openxmlformats.org/markup-compatibility/2006">
          <mc:Choice Requires="x14">
            <control shapeId="13500" r:id="rId97" name="Drop Down 188">
              <controlPr defaultSize="0" autoLine="0" autoPict="0">
                <anchor moveWithCells="1">
                  <from>
                    <xdr:col>8</xdr:col>
                    <xdr:colOff>28575</xdr:colOff>
                    <xdr:row>136</xdr:row>
                    <xdr:rowOff>9525</xdr:rowOff>
                  </from>
                  <to>
                    <xdr:col>9</xdr:col>
                    <xdr:colOff>0</xdr:colOff>
                    <xdr:row>137</xdr:row>
                    <xdr:rowOff>0</xdr:rowOff>
                  </to>
                </anchor>
              </controlPr>
            </control>
          </mc:Choice>
        </mc:AlternateContent>
        <mc:AlternateContent xmlns:mc="http://schemas.openxmlformats.org/markup-compatibility/2006">
          <mc:Choice Requires="x14">
            <control shapeId="13501" r:id="rId98" name="Drop Down 189">
              <controlPr defaultSize="0" autoLine="0" autoPict="0">
                <anchor moveWithCells="1">
                  <from>
                    <xdr:col>9</xdr:col>
                    <xdr:colOff>19050</xdr:colOff>
                    <xdr:row>137</xdr:row>
                    <xdr:rowOff>9525</xdr:rowOff>
                  </from>
                  <to>
                    <xdr:col>9</xdr:col>
                    <xdr:colOff>838200</xdr:colOff>
                    <xdr:row>138</xdr:row>
                    <xdr:rowOff>0</xdr:rowOff>
                  </to>
                </anchor>
              </controlPr>
            </control>
          </mc:Choice>
        </mc:AlternateContent>
        <mc:AlternateContent xmlns:mc="http://schemas.openxmlformats.org/markup-compatibility/2006">
          <mc:Choice Requires="x14">
            <control shapeId="13502" r:id="rId99" name="Drop Down 190">
              <controlPr defaultSize="0" autoLine="0" autoPict="0">
                <anchor moveWithCells="1">
                  <from>
                    <xdr:col>8</xdr:col>
                    <xdr:colOff>28575</xdr:colOff>
                    <xdr:row>137</xdr:row>
                    <xdr:rowOff>9525</xdr:rowOff>
                  </from>
                  <to>
                    <xdr:col>9</xdr:col>
                    <xdr:colOff>0</xdr:colOff>
                    <xdr:row>138</xdr:row>
                    <xdr:rowOff>0</xdr:rowOff>
                  </to>
                </anchor>
              </controlPr>
            </control>
          </mc:Choice>
        </mc:AlternateContent>
        <mc:AlternateContent xmlns:mc="http://schemas.openxmlformats.org/markup-compatibility/2006">
          <mc:Choice Requires="x14">
            <control shapeId="13503" r:id="rId100" name="Drop Down 191">
              <controlPr defaultSize="0" autoLine="0" autoPict="0">
                <anchor moveWithCells="1">
                  <from>
                    <xdr:col>9</xdr:col>
                    <xdr:colOff>19050</xdr:colOff>
                    <xdr:row>138</xdr:row>
                    <xdr:rowOff>9525</xdr:rowOff>
                  </from>
                  <to>
                    <xdr:col>9</xdr:col>
                    <xdr:colOff>838200</xdr:colOff>
                    <xdr:row>139</xdr:row>
                    <xdr:rowOff>0</xdr:rowOff>
                  </to>
                </anchor>
              </controlPr>
            </control>
          </mc:Choice>
        </mc:AlternateContent>
        <mc:AlternateContent xmlns:mc="http://schemas.openxmlformats.org/markup-compatibility/2006">
          <mc:Choice Requires="x14">
            <control shapeId="13504" r:id="rId101" name="Drop Down 192">
              <controlPr defaultSize="0" autoLine="0" autoPict="0">
                <anchor moveWithCells="1">
                  <from>
                    <xdr:col>8</xdr:col>
                    <xdr:colOff>28575</xdr:colOff>
                    <xdr:row>138</xdr:row>
                    <xdr:rowOff>9525</xdr:rowOff>
                  </from>
                  <to>
                    <xdr:col>9</xdr:col>
                    <xdr:colOff>0</xdr:colOff>
                    <xdr:row>139</xdr:row>
                    <xdr:rowOff>0</xdr:rowOff>
                  </to>
                </anchor>
              </controlPr>
            </control>
          </mc:Choice>
        </mc:AlternateContent>
        <mc:AlternateContent xmlns:mc="http://schemas.openxmlformats.org/markup-compatibility/2006">
          <mc:Choice Requires="x14">
            <control shapeId="13505" r:id="rId102" name="Drop Down 193">
              <controlPr defaultSize="0" autoLine="0" autoPict="0">
                <anchor moveWithCells="1">
                  <from>
                    <xdr:col>9</xdr:col>
                    <xdr:colOff>19050</xdr:colOff>
                    <xdr:row>139</xdr:row>
                    <xdr:rowOff>9525</xdr:rowOff>
                  </from>
                  <to>
                    <xdr:col>9</xdr:col>
                    <xdr:colOff>838200</xdr:colOff>
                    <xdr:row>140</xdr:row>
                    <xdr:rowOff>0</xdr:rowOff>
                  </to>
                </anchor>
              </controlPr>
            </control>
          </mc:Choice>
        </mc:AlternateContent>
        <mc:AlternateContent xmlns:mc="http://schemas.openxmlformats.org/markup-compatibility/2006">
          <mc:Choice Requires="x14">
            <control shapeId="13506" r:id="rId103" name="Drop Down 194">
              <controlPr defaultSize="0" autoLine="0" autoPict="0">
                <anchor moveWithCells="1">
                  <from>
                    <xdr:col>8</xdr:col>
                    <xdr:colOff>28575</xdr:colOff>
                    <xdr:row>139</xdr:row>
                    <xdr:rowOff>9525</xdr:rowOff>
                  </from>
                  <to>
                    <xdr:col>9</xdr:col>
                    <xdr:colOff>0</xdr:colOff>
                    <xdr:row>140</xdr:row>
                    <xdr:rowOff>0</xdr:rowOff>
                  </to>
                </anchor>
              </controlPr>
            </control>
          </mc:Choice>
        </mc:AlternateContent>
        <mc:AlternateContent xmlns:mc="http://schemas.openxmlformats.org/markup-compatibility/2006">
          <mc:Choice Requires="x14">
            <control shapeId="13507" r:id="rId104" name="Drop Down 195">
              <controlPr defaultSize="0" autoLine="0" autoPict="0">
                <anchor moveWithCells="1">
                  <from>
                    <xdr:col>0</xdr:col>
                    <xdr:colOff>38100</xdr:colOff>
                    <xdr:row>134</xdr:row>
                    <xdr:rowOff>9525</xdr:rowOff>
                  </from>
                  <to>
                    <xdr:col>1</xdr:col>
                    <xdr:colOff>180975</xdr:colOff>
                    <xdr:row>135</xdr:row>
                    <xdr:rowOff>0</xdr:rowOff>
                  </to>
                </anchor>
              </controlPr>
            </control>
          </mc:Choice>
        </mc:AlternateContent>
        <mc:AlternateContent xmlns:mc="http://schemas.openxmlformats.org/markup-compatibility/2006">
          <mc:Choice Requires="x14">
            <control shapeId="13508" r:id="rId105" name="Drop Down 196">
              <controlPr defaultSize="0" autoLine="0" autoPict="0">
                <anchor moveWithCells="1">
                  <from>
                    <xdr:col>0</xdr:col>
                    <xdr:colOff>38100</xdr:colOff>
                    <xdr:row>135</xdr:row>
                    <xdr:rowOff>9525</xdr:rowOff>
                  </from>
                  <to>
                    <xdr:col>1</xdr:col>
                    <xdr:colOff>180975</xdr:colOff>
                    <xdr:row>136</xdr:row>
                    <xdr:rowOff>0</xdr:rowOff>
                  </to>
                </anchor>
              </controlPr>
            </control>
          </mc:Choice>
        </mc:AlternateContent>
        <mc:AlternateContent xmlns:mc="http://schemas.openxmlformats.org/markup-compatibility/2006">
          <mc:Choice Requires="x14">
            <control shapeId="13509" r:id="rId106" name="Drop Down 197">
              <controlPr defaultSize="0" autoLine="0" autoPict="0">
                <anchor moveWithCells="1">
                  <from>
                    <xdr:col>0</xdr:col>
                    <xdr:colOff>38100</xdr:colOff>
                    <xdr:row>136</xdr:row>
                    <xdr:rowOff>9525</xdr:rowOff>
                  </from>
                  <to>
                    <xdr:col>1</xdr:col>
                    <xdr:colOff>180975</xdr:colOff>
                    <xdr:row>137</xdr:row>
                    <xdr:rowOff>0</xdr:rowOff>
                  </to>
                </anchor>
              </controlPr>
            </control>
          </mc:Choice>
        </mc:AlternateContent>
        <mc:AlternateContent xmlns:mc="http://schemas.openxmlformats.org/markup-compatibility/2006">
          <mc:Choice Requires="x14">
            <control shapeId="13510" r:id="rId107" name="Drop Down 198">
              <controlPr defaultSize="0" autoLine="0" autoPict="0">
                <anchor moveWithCells="1">
                  <from>
                    <xdr:col>0</xdr:col>
                    <xdr:colOff>38100</xdr:colOff>
                    <xdr:row>137</xdr:row>
                    <xdr:rowOff>9525</xdr:rowOff>
                  </from>
                  <to>
                    <xdr:col>1</xdr:col>
                    <xdr:colOff>180975</xdr:colOff>
                    <xdr:row>138</xdr:row>
                    <xdr:rowOff>0</xdr:rowOff>
                  </to>
                </anchor>
              </controlPr>
            </control>
          </mc:Choice>
        </mc:AlternateContent>
        <mc:AlternateContent xmlns:mc="http://schemas.openxmlformats.org/markup-compatibility/2006">
          <mc:Choice Requires="x14">
            <control shapeId="13511" r:id="rId108" name="Drop Down 199">
              <controlPr defaultSize="0" autoLine="0" autoPict="0">
                <anchor moveWithCells="1">
                  <from>
                    <xdr:col>0</xdr:col>
                    <xdr:colOff>38100</xdr:colOff>
                    <xdr:row>138</xdr:row>
                    <xdr:rowOff>9525</xdr:rowOff>
                  </from>
                  <to>
                    <xdr:col>1</xdr:col>
                    <xdr:colOff>180975</xdr:colOff>
                    <xdr:row>139</xdr:row>
                    <xdr:rowOff>0</xdr:rowOff>
                  </to>
                </anchor>
              </controlPr>
            </control>
          </mc:Choice>
        </mc:AlternateContent>
        <mc:AlternateContent xmlns:mc="http://schemas.openxmlformats.org/markup-compatibility/2006">
          <mc:Choice Requires="x14">
            <control shapeId="13512" r:id="rId109" name="Drop Down 200">
              <controlPr defaultSize="0" autoLine="0" autoPict="0">
                <anchor moveWithCells="1">
                  <from>
                    <xdr:col>0</xdr:col>
                    <xdr:colOff>38100</xdr:colOff>
                    <xdr:row>139</xdr:row>
                    <xdr:rowOff>9525</xdr:rowOff>
                  </from>
                  <to>
                    <xdr:col>1</xdr:col>
                    <xdr:colOff>180975</xdr:colOff>
                    <xdr:row>140</xdr:row>
                    <xdr:rowOff>0</xdr:rowOff>
                  </to>
                </anchor>
              </controlPr>
            </control>
          </mc:Choice>
        </mc:AlternateContent>
        <mc:AlternateContent xmlns:mc="http://schemas.openxmlformats.org/markup-compatibility/2006">
          <mc:Choice Requires="x14">
            <control shapeId="13513" r:id="rId110" name="Drop Down 201">
              <controlPr defaultSize="0" autoLine="0" autoPict="0">
                <anchor moveWithCells="1">
                  <from>
                    <xdr:col>1</xdr:col>
                    <xdr:colOff>190500</xdr:colOff>
                    <xdr:row>134</xdr:row>
                    <xdr:rowOff>19050</xdr:rowOff>
                  </from>
                  <to>
                    <xdr:col>3</xdr:col>
                    <xdr:colOff>695325</xdr:colOff>
                    <xdr:row>135</xdr:row>
                    <xdr:rowOff>9525</xdr:rowOff>
                  </to>
                </anchor>
              </controlPr>
            </control>
          </mc:Choice>
        </mc:AlternateContent>
        <mc:AlternateContent xmlns:mc="http://schemas.openxmlformats.org/markup-compatibility/2006">
          <mc:Choice Requires="x14">
            <control shapeId="13526" r:id="rId111" name="Drop Down 214">
              <controlPr defaultSize="0" autoLine="0" autoPict="0">
                <anchor moveWithCells="1">
                  <from>
                    <xdr:col>1</xdr:col>
                    <xdr:colOff>190500</xdr:colOff>
                    <xdr:row>135</xdr:row>
                    <xdr:rowOff>19050</xdr:rowOff>
                  </from>
                  <to>
                    <xdr:col>3</xdr:col>
                    <xdr:colOff>685800</xdr:colOff>
                    <xdr:row>136</xdr:row>
                    <xdr:rowOff>9525</xdr:rowOff>
                  </to>
                </anchor>
              </controlPr>
            </control>
          </mc:Choice>
        </mc:AlternateContent>
        <mc:AlternateContent xmlns:mc="http://schemas.openxmlformats.org/markup-compatibility/2006">
          <mc:Choice Requires="x14">
            <control shapeId="13527" r:id="rId112" name="Drop Down 215">
              <controlPr defaultSize="0" autoLine="0" autoPict="0">
                <anchor moveWithCells="1">
                  <from>
                    <xdr:col>1</xdr:col>
                    <xdr:colOff>190500</xdr:colOff>
                    <xdr:row>136</xdr:row>
                    <xdr:rowOff>19050</xdr:rowOff>
                  </from>
                  <to>
                    <xdr:col>3</xdr:col>
                    <xdr:colOff>685800</xdr:colOff>
                    <xdr:row>137</xdr:row>
                    <xdr:rowOff>9525</xdr:rowOff>
                  </to>
                </anchor>
              </controlPr>
            </control>
          </mc:Choice>
        </mc:AlternateContent>
        <mc:AlternateContent xmlns:mc="http://schemas.openxmlformats.org/markup-compatibility/2006">
          <mc:Choice Requires="x14">
            <control shapeId="13528" r:id="rId113" name="Drop Down 216">
              <controlPr defaultSize="0" autoLine="0" autoPict="0">
                <anchor moveWithCells="1">
                  <from>
                    <xdr:col>1</xdr:col>
                    <xdr:colOff>190500</xdr:colOff>
                    <xdr:row>137</xdr:row>
                    <xdr:rowOff>19050</xdr:rowOff>
                  </from>
                  <to>
                    <xdr:col>3</xdr:col>
                    <xdr:colOff>685800</xdr:colOff>
                    <xdr:row>138</xdr:row>
                    <xdr:rowOff>9525</xdr:rowOff>
                  </to>
                </anchor>
              </controlPr>
            </control>
          </mc:Choice>
        </mc:AlternateContent>
        <mc:AlternateContent xmlns:mc="http://schemas.openxmlformats.org/markup-compatibility/2006">
          <mc:Choice Requires="x14">
            <control shapeId="13529" r:id="rId114" name="Drop Down 217">
              <controlPr defaultSize="0" autoLine="0" autoPict="0">
                <anchor moveWithCells="1">
                  <from>
                    <xdr:col>1</xdr:col>
                    <xdr:colOff>190500</xdr:colOff>
                    <xdr:row>138</xdr:row>
                    <xdr:rowOff>19050</xdr:rowOff>
                  </from>
                  <to>
                    <xdr:col>3</xdr:col>
                    <xdr:colOff>685800</xdr:colOff>
                    <xdr:row>139</xdr:row>
                    <xdr:rowOff>9525</xdr:rowOff>
                  </to>
                </anchor>
              </controlPr>
            </control>
          </mc:Choice>
        </mc:AlternateContent>
        <mc:AlternateContent xmlns:mc="http://schemas.openxmlformats.org/markup-compatibility/2006">
          <mc:Choice Requires="x14">
            <control shapeId="13530" r:id="rId115" name="Drop Down 218">
              <controlPr defaultSize="0" autoLine="0" autoPict="0">
                <anchor moveWithCells="1">
                  <from>
                    <xdr:col>1</xdr:col>
                    <xdr:colOff>190500</xdr:colOff>
                    <xdr:row>139</xdr:row>
                    <xdr:rowOff>19050</xdr:rowOff>
                  </from>
                  <to>
                    <xdr:col>3</xdr:col>
                    <xdr:colOff>685800</xdr:colOff>
                    <xdr:row>140</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AE25"/>
  <sheetViews>
    <sheetView showGridLines="0" showRowColHeaders="0" zoomScaleNormal="100" workbookViewId="0"/>
  </sheetViews>
  <sheetFormatPr defaultRowHeight="15"/>
  <cols>
    <col min="1" max="1" width="4.7109375" style="193" customWidth="1"/>
    <col min="2" max="2" width="20.7109375" style="193" customWidth="1"/>
    <col min="3" max="31" width="5.7109375" style="193" customWidth="1"/>
    <col min="32" max="32" width="6.7109375" style="193" customWidth="1"/>
    <col min="33" max="16384" width="9.140625" style="193"/>
  </cols>
  <sheetData>
    <row r="1" spans="2:31" s="969" customFormat="1" ht="30" customHeight="1">
      <c r="B1" s="12" t="s">
        <v>2641</v>
      </c>
    </row>
    <row r="2" spans="2:31">
      <c r="B2" s="193" t="s">
        <v>2645</v>
      </c>
    </row>
    <row r="3" spans="2:31">
      <c r="B3" s="193" t="s">
        <v>958</v>
      </c>
      <c r="C3" s="193" t="str">
        <f>INDEX('DEFAULT DATA'!A9:A41,START!C3,1)</f>
        <v>Finland</v>
      </c>
    </row>
    <row r="4" spans="2:31">
      <c r="B4" s="193" t="s">
        <v>1895</v>
      </c>
      <c r="C4" s="961">
        <f>2021+START!C2</f>
        <v>2023</v>
      </c>
    </row>
    <row r="5" spans="2:31">
      <c r="B5" s="961"/>
    </row>
    <row r="6" spans="2:31">
      <c r="B6" s="193" t="s">
        <v>2642</v>
      </c>
    </row>
    <row r="7" spans="2:31">
      <c r="B7" s="193" t="s">
        <v>2639</v>
      </c>
    </row>
    <row r="8" spans="2:31">
      <c r="B8" s="962"/>
      <c r="C8" s="963">
        <v>2022</v>
      </c>
      <c r="D8" s="963">
        <f>C8+1</f>
        <v>2023</v>
      </c>
      <c r="E8" s="963">
        <f t="shared" ref="E8:AE8" si="0">D8+1</f>
        <v>2024</v>
      </c>
      <c r="F8" s="963">
        <f t="shared" si="0"/>
        <v>2025</v>
      </c>
      <c r="G8" s="963">
        <f t="shared" si="0"/>
        <v>2026</v>
      </c>
      <c r="H8" s="963">
        <f t="shared" si="0"/>
        <v>2027</v>
      </c>
      <c r="I8" s="963">
        <f t="shared" si="0"/>
        <v>2028</v>
      </c>
      <c r="J8" s="963">
        <f t="shared" si="0"/>
        <v>2029</v>
      </c>
      <c r="K8" s="963">
        <f t="shared" si="0"/>
        <v>2030</v>
      </c>
      <c r="L8" s="963">
        <f t="shared" si="0"/>
        <v>2031</v>
      </c>
      <c r="M8" s="963">
        <f t="shared" si="0"/>
        <v>2032</v>
      </c>
      <c r="N8" s="963">
        <f t="shared" si="0"/>
        <v>2033</v>
      </c>
      <c r="O8" s="963">
        <f t="shared" si="0"/>
        <v>2034</v>
      </c>
      <c r="P8" s="963">
        <f t="shared" si="0"/>
        <v>2035</v>
      </c>
      <c r="Q8" s="963">
        <f t="shared" si="0"/>
        <v>2036</v>
      </c>
      <c r="R8" s="963">
        <f t="shared" si="0"/>
        <v>2037</v>
      </c>
      <c r="S8" s="963">
        <f>R8+1</f>
        <v>2038</v>
      </c>
      <c r="T8" s="963">
        <f t="shared" si="0"/>
        <v>2039</v>
      </c>
      <c r="U8" s="963">
        <f t="shared" si="0"/>
        <v>2040</v>
      </c>
      <c r="V8" s="963">
        <f t="shared" si="0"/>
        <v>2041</v>
      </c>
      <c r="W8" s="963">
        <f t="shared" si="0"/>
        <v>2042</v>
      </c>
      <c r="X8" s="963">
        <f t="shared" si="0"/>
        <v>2043</v>
      </c>
      <c r="Y8" s="963">
        <f t="shared" si="0"/>
        <v>2044</v>
      </c>
      <c r="Z8" s="963">
        <f t="shared" si="0"/>
        <v>2045</v>
      </c>
      <c r="AA8" s="963">
        <f t="shared" si="0"/>
        <v>2046</v>
      </c>
      <c r="AB8" s="963">
        <f t="shared" si="0"/>
        <v>2047</v>
      </c>
      <c r="AC8" s="963">
        <f t="shared" si="0"/>
        <v>2048</v>
      </c>
      <c r="AD8" s="963">
        <f t="shared" si="0"/>
        <v>2049</v>
      </c>
      <c r="AE8" s="963">
        <f t="shared" si="0"/>
        <v>2050</v>
      </c>
    </row>
    <row r="9" spans="2:31">
      <c r="B9" s="964" t="s">
        <v>2637</v>
      </c>
      <c r="C9" s="970">
        <f>TRANSPORT!Y616</f>
        <v>0</v>
      </c>
      <c r="D9" s="970">
        <f>TRANSPORT!Z616</f>
        <v>180367.52739132344</v>
      </c>
      <c r="E9" s="970">
        <f>TRANSPORT!AA616</f>
        <v>182033.98806182054</v>
      </c>
      <c r="F9" s="970">
        <f>TRANSPORT!AB616</f>
        <v>169984.95683776485</v>
      </c>
      <c r="G9" s="970">
        <f>TRANSPORT!AC616</f>
        <v>157684.78384951304</v>
      </c>
      <c r="H9" s="970">
        <f>TRANSPORT!AD616</f>
        <v>145149.0875214487</v>
      </c>
      <c r="I9" s="970">
        <f>TRANSPORT!AE616</f>
        <v>132374.58747127731</v>
      </c>
      <c r="J9" s="970">
        <f>TRANSPORT!AF616</f>
        <v>119357.97025874579</v>
      </c>
      <c r="K9" s="970">
        <f>TRANSPORT!AG616</f>
        <v>157416.7487155897</v>
      </c>
      <c r="L9" s="970">
        <f>TRANSPORT!AH616</f>
        <v>207369.21038216402</v>
      </c>
      <c r="M9" s="970">
        <f>TRANSPORT!AI616</f>
        <v>256182.78676784493</v>
      </c>
      <c r="N9" s="970">
        <f>TRANSPORT!AJ616</f>
        <v>304253.49955028569</v>
      </c>
      <c r="O9" s="970">
        <f>TRANSPORT!AK616</f>
        <v>351826.65044255776</v>
      </c>
      <c r="P9" s="970">
        <f>TRANSPORT!AL616</f>
        <v>399074.51052522135</v>
      </c>
      <c r="Q9" s="970">
        <f>TRANSPORT!AM616</f>
        <v>400669.86926899425</v>
      </c>
      <c r="R9" s="970">
        <f>TRANSPORT!AN616</f>
        <v>402272.46213672956</v>
      </c>
      <c r="S9" s="970">
        <f>TRANSPORT!AO616</f>
        <v>403882.29767089704</v>
      </c>
      <c r="T9" s="970">
        <f>TRANSPORT!AP616</f>
        <v>405497.99162402272</v>
      </c>
      <c r="U9" s="970">
        <f>TRANSPORT!AQ616</f>
        <v>407120.94222070102</v>
      </c>
      <c r="V9" s="970">
        <f>TRANSPORT!AR616</f>
        <v>408753.25422643125</v>
      </c>
      <c r="W9" s="970">
        <f>TRANSPORT!AS616</f>
        <v>410392.90101973573</v>
      </c>
      <c r="X9" s="970">
        <f>TRANSPORT!AT616</f>
        <v>412039.89296786999</v>
      </c>
      <c r="Y9" s="970">
        <f>TRANSPORT!AU616</f>
        <v>413692.83383465756</v>
      </c>
      <c r="Z9" s="970">
        <f>TRANSPORT!AV616</f>
        <v>415353.13743825053</v>
      </c>
      <c r="AA9" s="970">
        <f>TRANSPORT!AW616</f>
        <v>417017.43283429573</v>
      </c>
      <c r="AB9" s="970">
        <f>TRANSPORT!AX616</f>
        <v>418688.98914228834</v>
      </c>
      <c r="AC9" s="970">
        <f>TRANSPORT!AY616</f>
        <v>420367.89473451849</v>
      </c>
      <c r="AD9" s="970">
        <f>TRANSPORT!AZ616</f>
        <v>422054.16567620629</v>
      </c>
      <c r="AE9" s="970">
        <f>TRANSPORT!BA616</f>
        <v>423746.39433144539</v>
      </c>
    </row>
    <row r="10" spans="2:31">
      <c r="B10" s="964" t="s">
        <v>2646</v>
      </c>
      <c r="C10" s="970">
        <f>'LAND USE CHANGE'!Q102</f>
        <v>0</v>
      </c>
      <c r="D10" s="970">
        <f>'LAND USE CHANGE'!R102</f>
        <v>0</v>
      </c>
      <c r="E10" s="970">
        <f>'LAND USE CHANGE'!S102</f>
        <v>0</v>
      </c>
      <c r="F10" s="970">
        <f>'LAND USE CHANGE'!T102</f>
        <v>0</v>
      </c>
      <c r="G10" s="970">
        <f>'LAND USE CHANGE'!U102</f>
        <v>0</v>
      </c>
      <c r="H10" s="970">
        <f>'LAND USE CHANGE'!V102</f>
        <v>0</v>
      </c>
      <c r="I10" s="970">
        <f>'LAND USE CHANGE'!W102</f>
        <v>0</v>
      </c>
      <c r="J10" s="970">
        <f>'LAND USE CHANGE'!X102</f>
        <v>0</v>
      </c>
      <c r="K10" s="970">
        <f>'LAND USE CHANGE'!Y102</f>
        <v>0</v>
      </c>
      <c r="L10" s="970">
        <f>'LAND USE CHANGE'!Z102</f>
        <v>0</v>
      </c>
      <c r="M10" s="970">
        <f>'LAND USE CHANGE'!AA102</f>
        <v>0</v>
      </c>
      <c r="N10" s="970">
        <f>'LAND USE CHANGE'!AB102</f>
        <v>0</v>
      </c>
      <c r="O10" s="970">
        <f>'LAND USE CHANGE'!AC102</f>
        <v>0</v>
      </c>
      <c r="P10" s="970">
        <f>'LAND USE CHANGE'!AD102</f>
        <v>0</v>
      </c>
      <c r="Q10" s="970">
        <f>'LAND USE CHANGE'!AE102</f>
        <v>0</v>
      </c>
      <c r="R10" s="970">
        <f>'LAND USE CHANGE'!AF102</f>
        <v>0</v>
      </c>
      <c r="S10" s="970">
        <f>'LAND USE CHANGE'!AG102</f>
        <v>0</v>
      </c>
      <c r="T10" s="970">
        <f>'LAND USE CHANGE'!AH102</f>
        <v>0</v>
      </c>
      <c r="U10" s="970">
        <f>'LAND USE CHANGE'!AI102</f>
        <v>0</v>
      </c>
      <c r="V10" s="970">
        <f>'LAND USE CHANGE'!AJ102</f>
        <v>0</v>
      </c>
      <c r="W10" s="970">
        <f>'LAND USE CHANGE'!AK102</f>
        <v>0</v>
      </c>
      <c r="X10" s="970">
        <f>'LAND USE CHANGE'!AL102</f>
        <v>0</v>
      </c>
      <c r="Y10" s="970">
        <f>'LAND USE CHANGE'!AM102</f>
        <v>0</v>
      </c>
      <c r="Z10" s="970">
        <f>'LAND USE CHANGE'!AN102</f>
        <v>0</v>
      </c>
      <c r="AA10" s="970">
        <f>'LAND USE CHANGE'!AO102</f>
        <v>0</v>
      </c>
      <c r="AB10" s="970">
        <f>'LAND USE CHANGE'!AP102</f>
        <v>0</v>
      </c>
      <c r="AC10" s="970">
        <f>'LAND USE CHANGE'!AQ102</f>
        <v>0</v>
      </c>
      <c r="AD10" s="970">
        <f>'LAND USE CHANGE'!AR102</f>
        <v>0</v>
      </c>
      <c r="AE10" s="970">
        <f>'LAND USE CHANGE'!AS102</f>
        <v>0</v>
      </c>
    </row>
    <row r="11" spans="2:31">
      <c r="B11" s="964" t="s">
        <v>2638</v>
      </c>
      <c r="C11" s="970">
        <f>BUILDINGS!AL991</f>
        <v>0</v>
      </c>
      <c r="D11" s="970">
        <f>BUILDINGS!AM991</f>
        <v>227608.68651562839</v>
      </c>
      <c r="E11" s="970">
        <f>BUILDINGS!AN991</f>
        <v>227021.56615728958</v>
      </c>
      <c r="F11" s="970">
        <f>BUILDINGS!AO991</f>
        <v>226440.31700253417</v>
      </c>
      <c r="G11" s="970">
        <f>BUILDINGS!AP991</f>
        <v>225864.88033932631</v>
      </c>
      <c r="H11" s="970">
        <f>BUILDINGS!AQ991</f>
        <v>225295.19804275053</v>
      </c>
      <c r="I11" s="970">
        <f>BUILDINGS!AR991</f>
        <v>224731.21256914048</v>
      </c>
      <c r="J11" s="970">
        <f>BUILDINGS!AS991</f>
        <v>224172.86695026659</v>
      </c>
      <c r="K11" s="970">
        <f>BUILDINGS!AT991</f>
        <v>205003.53809463346</v>
      </c>
      <c r="L11" s="970">
        <f>BUILDINGS!AU991</f>
        <v>190797.80053195285</v>
      </c>
      <c r="M11" s="970">
        <f>BUILDINGS!AV991</f>
        <v>176875.30431408447</v>
      </c>
      <c r="N11" s="970">
        <f>BUILDINGS!AW991</f>
        <v>163220.47116706369</v>
      </c>
      <c r="O11" s="970">
        <f>BUILDINGS!AX991</f>
        <v>149818.57962199385</v>
      </c>
      <c r="P11" s="970">
        <f>BUILDINGS!AY991</f>
        <v>136655.71789076773</v>
      </c>
      <c r="Q11" s="970">
        <f>BUILDINGS!AZ991</f>
        <v>134387.44535708457</v>
      </c>
      <c r="R11" s="970">
        <f>BUILDINGS!BA991</f>
        <v>132243.92781275403</v>
      </c>
      <c r="S11" s="970">
        <f>BUILDINGS!BB991</f>
        <v>130218.30373336162</v>
      </c>
      <c r="T11" s="970">
        <f>BUILDINGS!BC991</f>
        <v>128304.08897833584</v>
      </c>
      <c r="U11" s="970">
        <f>BUILDINGS!BD991</f>
        <v>126495.15603483646</v>
      </c>
      <c r="V11" s="970">
        <f>BUILDINGS!BE991</f>
        <v>124785.71440322953</v>
      </c>
      <c r="W11" s="970">
        <f>BUILDINGS!BF991</f>
        <v>123170.292061361</v>
      </c>
      <c r="X11" s="970">
        <f>BUILDINGS!BG991</f>
        <v>121643.71794829523</v>
      </c>
      <c r="Y11" s="970">
        <f>BUILDINGS!BH991</f>
        <v>120201.10541144812</v>
      </c>
      <c r="Z11" s="970">
        <f>BUILDINGS!BI991</f>
        <v>118837.83656412753</v>
      </c>
      <c r="AA11" s="970">
        <f>BUILDINGS!BJ991</f>
        <v>117549.54750340962</v>
      </c>
      <c r="AB11" s="970">
        <f>BUILDINGS!BK991</f>
        <v>116332.11434103119</v>
      </c>
      <c r="AC11" s="970">
        <f>BUILDINGS!BL991</f>
        <v>115181.64000258358</v>
      </c>
      <c r="AD11" s="970">
        <f>BUILDINGS!BM991</f>
        <v>114094.44175275057</v>
      </c>
      <c r="AE11" s="970">
        <f>BUILDINGS!BN991</f>
        <v>113067.03940665837</v>
      </c>
    </row>
    <row r="12" spans="2:31">
      <c r="B12" s="965" t="s">
        <v>2649</v>
      </c>
      <c r="C12" s="970">
        <f>'LAND USE CHANGE'!Q103</f>
        <v>0</v>
      </c>
      <c r="D12" s="970">
        <f>'LAND USE CHANGE'!R103</f>
        <v>0</v>
      </c>
      <c r="E12" s="970">
        <f>'LAND USE CHANGE'!S103</f>
        <v>0</v>
      </c>
      <c r="F12" s="970">
        <f>'LAND USE CHANGE'!T103</f>
        <v>-35229.850691366286</v>
      </c>
      <c r="G12" s="970">
        <f>'LAND USE CHANGE'!U103</f>
        <v>-35229.850691366286</v>
      </c>
      <c r="H12" s="970">
        <f>'LAND USE CHANGE'!V103</f>
        <v>-35229.850691366286</v>
      </c>
      <c r="I12" s="970">
        <f>'LAND USE CHANGE'!W103</f>
        <v>-35229.850691366286</v>
      </c>
      <c r="J12" s="970">
        <f>'LAND USE CHANGE'!X103</f>
        <v>-35229.850691366286</v>
      </c>
      <c r="K12" s="970">
        <f>'LAND USE CHANGE'!Y103</f>
        <v>-35229.850691366286</v>
      </c>
      <c r="L12" s="970">
        <f>'LAND USE CHANGE'!Z103</f>
        <v>-35229.850691366286</v>
      </c>
      <c r="M12" s="970">
        <f>'LAND USE CHANGE'!AA103</f>
        <v>-35229.850691366286</v>
      </c>
      <c r="N12" s="970">
        <f>'LAND USE CHANGE'!AB103</f>
        <v>-35229.850691366286</v>
      </c>
      <c r="O12" s="970">
        <f>'LAND USE CHANGE'!AC103</f>
        <v>-35229.850691366286</v>
      </c>
      <c r="P12" s="970">
        <f>'LAND USE CHANGE'!AD103</f>
        <v>-35229.850691366286</v>
      </c>
      <c r="Q12" s="970">
        <f>'LAND USE CHANGE'!AE103</f>
        <v>-35229.850691366286</v>
      </c>
      <c r="R12" s="970">
        <f>'LAND USE CHANGE'!AF103</f>
        <v>-35229.850691366286</v>
      </c>
      <c r="S12" s="970">
        <f>'LAND USE CHANGE'!AG103</f>
        <v>-35229.850691366286</v>
      </c>
      <c r="T12" s="970">
        <f>'LAND USE CHANGE'!AH103</f>
        <v>-35229.850691366286</v>
      </c>
      <c r="U12" s="970">
        <f>'LAND USE CHANGE'!AI103</f>
        <v>-35229.850691366286</v>
      </c>
      <c r="V12" s="970">
        <f>'LAND USE CHANGE'!AJ103</f>
        <v>-35229.850691366286</v>
      </c>
      <c r="W12" s="970">
        <f>'LAND USE CHANGE'!AK103</f>
        <v>-35229.850691366286</v>
      </c>
      <c r="X12" s="970">
        <f>'LAND USE CHANGE'!AL103</f>
        <v>-35229.850691366286</v>
      </c>
      <c r="Y12" s="970">
        <f>'LAND USE CHANGE'!AM103</f>
        <v>-35229.850691366286</v>
      </c>
      <c r="Z12" s="970">
        <f>'LAND USE CHANGE'!AN103</f>
        <v>-8805.061101593461</v>
      </c>
      <c r="AA12" s="970">
        <f>'LAND USE CHANGE'!AO103</f>
        <v>-8805.061101593461</v>
      </c>
      <c r="AB12" s="970">
        <f>'LAND USE CHANGE'!AP103</f>
        <v>-8805.061101593461</v>
      </c>
      <c r="AC12" s="970">
        <f>'LAND USE CHANGE'!AQ103</f>
        <v>-8805.061101593461</v>
      </c>
      <c r="AD12" s="970">
        <f>'LAND USE CHANGE'!AR103</f>
        <v>-8805.061101593461</v>
      </c>
      <c r="AE12" s="970">
        <f>'LAND USE CHANGE'!AS103</f>
        <v>-8805.061101593461</v>
      </c>
    </row>
    <row r="13" spans="2:31">
      <c r="B13" s="964" t="s">
        <v>2640</v>
      </c>
      <c r="C13" s="970">
        <f t="shared" ref="C13:AE13" si="1">SUM(C9:C12)</f>
        <v>0</v>
      </c>
      <c r="D13" s="970">
        <f t="shared" si="1"/>
        <v>407976.21390695183</v>
      </c>
      <c r="E13" s="970">
        <f t="shared" si="1"/>
        <v>409055.55421911011</v>
      </c>
      <c r="F13" s="970">
        <f t="shared" si="1"/>
        <v>361195.42314893269</v>
      </c>
      <c r="G13" s="970">
        <f t="shared" si="1"/>
        <v>348319.81349747308</v>
      </c>
      <c r="H13" s="970">
        <f t="shared" si="1"/>
        <v>335214.43487283291</v>
      </c>
      <c r="I13" s="970">
        <f t="shared" si="1"/>
        <v>321875.94934905152</v>
      </c>
      <c r="J13" s="970">
        <f t="shared" si="1"/>
        <v>308300.98651764606</v>
      </c>
      <c r="K13" s="970">
        <f t="shared" si="1"/>
        <v>327190.43611885683</v>
      </c>
      <c r="L13" s="970">
        <f t="shared" si="1"/>
        <v>362937.16022275056</v>
      </c>
      <c r="M13" s="970">
        <f t="shared" si="1"/>
        <v>397828.24039056309</v>
      </c>
      <c r="N13" s="970">
        <f t="shared" si="1"/>
        <v>432244.12002598308</v>
      </c>
      <c r="O13" s="970">
        <f t="shared" si="1"/>
        <v>466415.37937318528</v>
      </c>
      <c r="P13" s="970">
        <f t="shared" si="1"/>
        <v>500500.37772462278</v>
      </c>
      <c r="Q13" s="970">
        <f t="shared" si="1"/>
        <v>499827.46393471252</v>
      </c>
      <c r="R13" s="970">
        <f t="shared" si="1"/>
        <v>499286.53925811726</v>
      </c>
      <c r="S13" s="970">
        <f t="shared" si="1"/>
        <v>498870.75071289233</v>
      </c>
      <c r="T13" s="970">
        <f t="shared" si="1"/>
        <v>498572.22991099226</v>
      </c>
      <c r="U13" s="970">
        <f t="shared" si="1"/>
        <v>498386.24756417115</v>
      </c>
      <c r="V13" s="970">
        <f t="shared" si="1"/>
        <v>498309.11793829448</v>
      </c>
      <c r="W13" s="970">
        <f t="shared" si="1"/>
        <v>498333.34238973045</v>
      </c>
      <c r="X13" s="970">
        <f t="shared" si="1"/>
        <v>498453.76022479887</v>
      </c>
      <c r="Y13" s="970">
        <f t="shared" si="1"/>
        <v>498664.08855473943</v>
      </c>
      <c r="Z13" s="970">
        <f t="shared" si="1"/>
        <v>525385.91290078463</v>
      </c>
      <c r="AA13" s="970">
        <f t="shared" si="1"/>
        <v>525761.91923611192</v>
      </c>
      <c r="AB13" s="970">
        <f t="shared" si="1"/>
        <v>526216.04238172609</v>
      </c>
      <c r="AC13" s="970">
        <f t="shared" si="1"/>
        <v>526744.47363550868</v>
      </c>
      <c r="AD13" s="970">
        <f t="shared" si="1"/>
        <v>527343.54632736347</v>
      </c>
      <c r="AE13" s="970">
        <f t="shared" si="1"/>
        <v>528008.37263651029</v>
      </c>
    </row>
    <row r="14" spans="2:31">
      <c r="B14" s="964" t="s">
        <v>2648</v>
      </c>
      <c r="C14" s="1207" t="e">
        <f>(BUILDINGS!AL990+TRANSPORT!Y615)</f>
        <v>#VALUE!</v>
      </c>
      <c r="D14" s="1207">
        <f>(BUILDINGS!AM990+TRANSPORT!Z615)</f>
        <v>407976.21390695183</v>
      </c>
      <c r="E14" s="1207">
        <f>(BUILDINGS!AN990+TRANSPORT!AA615)</f>
        <v>409056.3835433335</v>
      </c>
      <c r="F14" s="1207">
        <f>(BUILDINGS!AO990+TRANSPORT!AB615)</f>
        <v>410088.79473970516</v>
      </c>
      <c r="G14" s="1207">
        <f>(BUILDINGS!AP990+TRANSPORT!AC615)</f>
        <v>411122.16303861642</v>
      </c>
      <c r="H14" s="1207">
        <f>(BUILDINGS!AQ990+TRANSPORT!AD615)</f>
        <v>412175.39751685085</v>
      </c>
      <c r="I14" s="1207">
        <f>(BUILDINGS!AR990+TRANSPORT!AE615)</f>
        <v>413248.54245435621</v>
      </c>
      <c r="J14" s="1207">
        <f>(BUILDINGS!AS990+TRANSPORT!AF615)</f>
        <v>414341.64335020108</v>
      </c>
      <c r="K14" s="1207">
        <f>(BUILDINGS!AT990+TRANSPORT!AG615)</f>
        <v>415454.74692074291</v>
      </c>
      <c r="L14" s="1207">
        <f>(BUILDINGS!AU990+TRANSPORT!AH615)</f>
        <v>413221.64585493092</v>
      </c>
      <c r="M14" s="1207">
        <f>(BUILDINGS!AV990+TRANSPORT!AI615)</f>
        <v>411157.38317639311</v>
      </c>
      <c r="N14" s="1207">
        <f>(BUILDINGS!AW990+TRANSPORT!AJ615)</f>
        <v>409252.87514792557</v>
      </c>
      <c r="O14" s="1207">
        <f>(BUILDINGS!AX990+TRANSPORT!AK615)</f>
        <v>407496.54687648115</v>
      </c>
      <c r="P14" s="1207">
        <f>(BUILDINGS!AY990+TRANSPORT!AL615)</f>
        <v>405882.48994097102</v>
      </c>
      <c r="Q14" s="1207">
        <f>(BUILDINGS!AZ990+TRANSPORT!AM615)</f>
        <v>404403.98719780287</v>
      </c>
      <c r="R14" s="1207">
        <f>(BUILDINGS!BA990+TRANSPORT!AN615)</f>
        <v>403053.78798192227</v>
      </c>
      <c r="S14" s="1207">
        <f>(BUILDINGS!BB990+TRANSPORT!AO615)</f>
        <v>401825.04095591616</v>
      </c>
      <c r="T14" s="1207">
        <f>(BUILDINGS!BC990+TRANSPORT!AP615)</f>
        <v>400711.27215979958</v>
      </c>
      <c r="U14" s="1207">
        <f>(BUILDINGS!BD990+TRANSPORT!AQ615)</f>
        <v>399706.3642676241</v>
      </c>
      <c r="V14" s="1207">
        <f>(BUILDINGS!BE990+TRANSPORT!AR615)</f>
        <v>398807.44634319178</v>
      </c>
      <c r="W14" s="1207">
        <f>(BUILDINGS!BF990+TRANSPORT!AS615)</f>
        <v>398006.22687684081</v>
      </c>
      <c r="X14" s="1207">
        <f>(BUILDINGS!BG990+TRANSPORT!AT615)</f>
        <v>397297.54233001085</v>
      </c>
      <c r="Y14" s="1207">
        <f>(BUILDINGS!BH990+TRANSPORT!AU615)</f>
        <v>396676.51382720406</v>
      </c>
      <c r="Z14" s="1207">
        <f>(BUILDINGS!BI990+TRANSPORT!AV615)</f>
        <v>396138.53150847723</v>
      </c>
      <c r="AA14" s="1207">
        <f>(BUILDINGS!BJ990+TRANSPORT!AW615)</f>
        <v>395675.1582687418</v>
      </c>
      <c r="AB14" s="1207">
        <f>(BUILDINGS!BK990+TRANSPORT!AX615)</f>
        <v>395285.30095795577</v>
      </c>
      <c r="AC14" s="1207">
        <f>(BUILDINGS!BL990+TRANSPORT!AY615)</f>
        <v>394966.05303796474</v>
      </c>
      <c r="AD14" s="1207">
        <f>(BUILDINGS!BM990+TRANSPORT!AZ615)</f>
        <v>394713.74260249664</v>
      </c>
      <c r="AE14" s="1207">
        <f>(BUILDINGS!BN990+TRANSPORT!BA615)</f>
        <v>394524.90036950086</v>
      </c>
    </row>
    <row r="16" spans="2:31">
      <c r="B16" s="193" t="s">
        <v>2643</v>
      </c>
    </row>
    <row r="17" spans="2:31">
      <c r="B17" s="193" t="s">
        <v>2639</v>
      </c>
    </row>
    <row r="18" spans="2:31">
      <c r="B18" s="962"/>
      <c r="C18" s="963">
        <v>2022</v>
      </c>
      <c r="D18" s="963">
        <f>C18+1</f>
        <v>2023</v>
      </c>
      <c r="E18" s="963">
        <f t="shared" ref="E18:R18" si="2">D18+1</f>
        <v>2024</v>
      </c>
      <c r="F18" s="963">
        <f t="shared" si="2"/>
        <v>2025</v>
      </c>
      <c r="G18" s="963">
        <f t="shared" si="2"/>
        <v>2026</v>
      </c>
      <c r="H18" s="963">
        <f t="shared" si="2"/>
        <v>2027</v>
      </c>
      <c r="I18" s="963">
        <f t="shared" si="2"/>
        <v>2028</v>
      </c>
      <c r="J18" s="963">
        <f t="shared" si="2"/>
        <v>2029</v>
      </c>
      <c r="K18" s="963">
        <f t="shared" si="2"/>
        <v>2030</v>
      </c>
      <c r="L18" s="963">
        <f t="shared" si="2"/>
        <v>2031</v>
      </c>
      <c r="M18" s="963">
        <f t="shared" si="2"/>
        <v>2032</v>
      </c>
      <c r="N18" s="963">
        <f t="shared" si="2"/>
        <v>2033</v>
      </c>
      <c r="O18" s="963">
        <f t="shared" si="2"/>
        <v>2034</v>
      </c>
      <c r="P18" s="963">
        <f t="shared" si="2"/>
        <v>2035</v>
      </c>
      <c r="Q18" s="963">
        <f t="shared" si="2"/>
        <v>2036</v>
      </c>
      <c r="R18" s="963">
        <f t="shared" si="2"/>
        <v>2037</v>
      </c>
      <c r="S18" s="963">
        <f>R18+1</f>
        <v>2038</v>
      </c>
      <c r="T18" s="963">
        <f t="shared" ref="T18:AE18" si="3">S18+1</f>
        <v>2039</v>
      </c>
      <c r="U18" s="963">
        <f t="shared" si="3"/>
        <v>2040</v>
      </c>
      <c r="V18" s="963">
        <f t="shared" si="3"/>
        <v>2041</v>
      </c>
      <c r="W18" s="963">
        <f t="shared" si="3"/>
        <v>2042</v>
      </c>
      <c r="X18" s="963">
        <f t="shared" si="3"/>
        <v>2043</v>
      </c>
      <c r="Y18" s="963">
        <f t="shared" si="3"/>
        <v>2044</v>
      </c>
      <c r="Z18" s="963">
        <f t="shared" si="3"/>
        <v>2045</v>
      </c>
      <c r="AA18" s="963">
        <f t="shared" si="3"/>
        <v>2046</v>
      </c>
      <c r="AB18" s="963">
        <f t="shared" si="3"/>
        <v>2047</v>
      </c>
      <c r="AC18" s="963">
        <f t="shared" si="3"/>
        <v>2048</v>
      </c>
      <c r="AD18" s="963">
        <f t="shared" si="3"/>
        <v>2049</v>
      </c>
      <c r="AE18" s="963">
        <f t="shared" si="3"/>
        <v>2050</v>
      </c>
    </row>
    <row r="19" spans="2:31">
      <c r="B19" s="964" t="s">
        <v>2644</v>
      </c>
      <c r="C19" s="981">
        <f>TRANSPORT!Y204</f>
        <v>0</v>
      </c>
      <c r="D19" s="981">
        <f>TRANSPORT!Z204</f>
        <v>194942</v>
      </c>
      <c r="E19" s="981">
        <f>TRANSPORT!AA204</f>
        <v>195916</v>
      </c>
      <c r="F19" s="981">
        <f>TRANSPORT!AB204</f>
        <v>196895</v>
      </c>
      <c r="G19" s="981">
        <f>TRANSPORT!AC204</f>
        <v>197879</v>
      </c>
      <c r="H19" s="981">
        <f>TRANSPORT!AD204</f>
        <v>198868</v>
      </c>
      <c r="I19" s="981">
        <f>TRANSPORT!AE204</f>
        <v>199862</v>
      </c>
      <c r="J19" s="981">
        <f>TRANSPORT!AF204</f>
        <v>200861</v>
      </c>
      <c r="K19" s="981">
        <f>TRANSPORT!AG204</f>
        <v>235198</v>
      </c>
      <c r="L19" s="981">
        <f>TRANSPORT!AH204</f>
        <v>268934</v>
      </c>
      <c r="M19" s="981">
        <f>TRANSPORT!AI204</f>
        <v>302671</v>
      </c>
      <c r="N19" s="981">
        <f>TRANSPORT!AJ204</f>
        <v>336409</v>
      </c>
      <c r="O19" s="981">
        <f>TRANSPORT!AK204</f>
        <v>370148</v>
      </c>
      <c r="P19" s="981">
        <f>TRANSPORT!AL204</f>
        <v>403887</v>
      </c>
      <c r="Q19" s="981">
        <f>TRANSPORT!AM204</f>
        <v>404694</v>
      </c>
      <c r="R19" s="981">
        <f>TRANSPORT!AN204</f>
        <v>405503</v>
      </c>
      <c r="S19" s="981">
        <f>TRANSPORT!AO204</f>
        <v>406314</v>
      </c>
      <c r="T19" s="981">
        <f>TRANSPORT!AP204</f>
        <v>407126</v>
      </c>
      <c r="U19" s="981">
        <f>TRANSPORT!AQ204</f>
        <v>407940</v>
      </c>
      <c r="V19" s="981">
        <f>TRANSPORT!AR204</f>
        <v>408755</v>
      </c>
      <c r="W19" s="981">
        <f>TRANSPORT!AS204</f>
        <v>409572</v>
      </c>
      <c r="X19" s="966">
        <f>TRANSPORT!AT204</f>
        <v>410391</v>
      </c>
      <c r="Y19" s="966">
        <f>TRANSPORT!AU204</f>
        <v>411211</v>
      </c>
      <c r="Z19" s="966">
        <f>TRANSPORT!AV204</f>
        <v>412033</v>
      </c>
      <c r="AA19" s="966">
        <f>TRANSPORT!AW204</f>
        <v>412856</v>
      </c>
      <c r="AB19" s="966">
        <f>TRANSPORT!AX204</f>
        <v>413681</v>
      </c>
      <c r="AC19" s="966">
        <f>TRANSPORT!AY204</f>
        <v>414508</v>
      </c>
      <c r="AD19" s="966">
        <f>TRANSPORT!AZ204</f>
        <v>415337</v>
      </c>
      <c r="AE19" s="966">
        <f>TRANSPORT!BA204</f>
        <v>416167</v>
      </c>
    </row>
    <row r="20" spans="2:31">
      <c r="B20" s="964" t="s">
        <v>2637</v>
      </c>
      <c r="C20" s="967">
        <f>IF(C19=0,0,C9/C19)</f>
        <v>0</v>
      </c>
      <c r="D20" s="967">
        <f t="shared" ref="D20:AE20" si="4">IF(D19=0,0,D9/D19)</f>
        <v>0.92523687759089079</v>
      </c>
      <c r="E20" s="967">
        <f t="shared" si="4"/>
        <v>0.92914304121062363</v>
      </c>
      <c r="F20" s="967">
        <f t="shared" si="4"/>
        <v>0.86332795062223444</v>
      </c>
      <c r="G20" s="967">
        <f t="shared" si="4"/>
        <v>0.79687477624969316</v>
      </c>
      <c r="H20" s="967">
        <f t="shared" si="4"/>
        <v>0.72987653881694747</v>
      </c>
      <c r="I20" s="967">
        <f t="shared" si="4"/>
        <v>0.66232994501844922</v>
      </c>
      <c r="J20" s="967">
        <f t="shared" si="4"/>
        <v>0.59423168389456282</v>
      </c>
      <c r="K20" s="967">
        <f t="shared" si="4"/>
        <v>0.66929458888081406</v>
      </c>
      <c r="L20" s="967">
        <f t="shared" si="4"/>
        <v>0.77107844445910156</v>
      </c>
      <c r="M20" s="967">
        <f t="shared" si="4"/>
        <v>0.84640678085394683</v>
      </c>
      <c r="N20" s="967">
        <f t="shared" si="4"/>
        <v>0.90441545722702332</v>
      </c>
      <c r="O20" s="967">
        <f t="shared" si="4"/>
        <v>0.95050263797874834</v>
      </c>
      <c r="P20" s="967">
        <f t="shared" si="4"/>
        <v>0.98808456455697102</v>
      </c>
      <c r="Q20" s="967">
        <f t="shared" si="4"/>
        <v>0.99005636176714817</v>
      </c>
      <c r="R20" s="967">
        <f t="shared" si="4"/>
        <v>0.99203325779767237</v>
      </c>
      <c r="S20" s="967">
        <f t="shared" si="4"/>
        <v>0.99401521402387572</v>
      </c>
      <c r="T20" s="967">
        <f t="shared" si="4"/>
        <v>0.99600121737256453</v>
      </c>
      <c r="U20" s="967">
        <f t="shared" si="4"/>
        <v>0.99799221017968576</v>
      </c>
      <c r="V20" s="967">
        <f t="shared" si="4"/>
        <v>0.9999957290465713</v>
      </c>
      <c r="W20" s="967">
        <f t="shared" si="4"/>
        <v>1.0020042898922186</v>
      </c>
      <c r="X20" s="967">
        <f t="shared" si="4"/>
        <v>1.0040178585004789</v>
      </c>
      <c r="Y20" s="967">
        <f t="shared" si="4"/>
        <v>1.0060354266657692</v>
      </c>
      <c r="Z20" s="967">
        <f t="shared" si="4"/>
        <v>1.0080579405975991</v>
      </c>
      <c r="AA20" s="967">
        <f t="shared" si="4"/>
        <v>1.0100796230024409</v>
      </c>
      <c r="AB20" s="967">
        <f t="shared" si="4"/>
        <v>1.0121059201227234</v>
      </c>
      <c r="AC20" s="967">
        <f t="shared" si="4"/>
        <v>1.0141369882716822</v>
      </c>
      <c r="AD20" s="967">
        <f t="shared" si="4"/>
        <v>1.016172808288706</v>
      </c>
      <c r="AE20" s="967">
        <f t="shared" si="4"/>
        <v>1.0182123866895871</v>
      </c>
    </row>
    <row r="21" spans="2:31">
      <c r="B21" s="964" t="s">
        <v>2646</v>
      </c>
      <c r="C21" s="967">
        <f>IF(C19=0,0,C10/C19)</f>
        <v>0</v>
      </c>
      <c r="D21" s="967">
        <f t="shared" ref="D21:AE21" si="5">IF(D19=0,0,D10/D19)</f>
        <v>0</v>
      </c>
      <c r="E21" s="967">
        <f t="shared" si="5"/>
        <v>0</v>
      </c>
      <c r="F21" s="967">
        <f t="shared" si="5"/>
        <v>0</v>
      </c>
      <c r="G21" s="967">
        <f t="shared" si="5"/>
        <v>0</v>
      </c>
      <c r="H21" s="967">
        <f t="shared" si="5"/>
        <v>0</v>
      </c>
      <c r="I21" s="967">
        <f t="shared" si="5"/>
        <v>0</v>
      </c>
      <c r="J21" s="967">
        <f t="shared" si="5"/>
        <v>0</v>
      </c>
      <c r="K21" s="967">
        <f t="shared" si="5"/>
        <v>0</v>
      </c>
      <c r="L21" s="967">
        <f t="shared" si="5"/>
        <v>0</v>
      </c>
      <c r="M21" s="967">
        <f t="shared" si="5"/>
        <v>0</v>
      </c>
      <c r="N21" s="967">
        <f t="shared" si="5"/>
        <v>0</v>
      </c>
      <c r="O21" s="967">
        <f t="shared" si="5"/>
        <v>0</v>
      </c>
      <c r="P21" s="967">
        <f t="shared" si="5"/>
        <v>0</v>
      </c>
      <c r="Q21" s="967">
        <f t="shared" si="5"/>
        <v>0</v>
      </c>
      <c r="R21" s="967">
        <f t="shared" si="5"/>
        <v>0</v>
      </c>
      <c r="S21" s="967">
        <f t="shared" si="5"/>
        <v>0</v>
      </c>
      <c r="T21" s="967">
        <f t="shared" si="5"/>
        <v>0</v>
      </c>
      <c r="U21" s="967">
        <f t="shared" si="5"/>
        <v>0</v>
      </c>
      <c r="V21" s="967">
        <f t="shared" si="5"/>
        <v>0</v>
      </c>
      <c r="W21" s="967">
        <f t="shared" si="5"/>
        <v>0</v>
      </c>
      <c r="X21" s="967">
        <f t="shared" si="5"/>
        <v>0</v>
      </c>
      <c r="Y21" s="967">
        <f t="shared" si="5"/>
        <v>0</v>
      </c>
      <c r="Z21" s="967">
        <f t="shared" si="5"/>
        <v>0</v>
      </c>
      <c r="AA21" s="967">
        <f t="shared" si="5"/>
        <v>0</v>
      </c>
      <c r="AB21" s="967">
        <f t="shared" si="5"/>
        <v>0</v>
      </c>
      <c r="AC21" s="967">
        <f t="shared" si="5"/>
        <v>0</v>
      </c>
      <c r="AD21" s="967">
        <f t="shared" si="5"/>
        <v>0</v>
      </c>
      <c r="AE21" s="967">
        <f t="shared" si="5"/>
        <v>0</v>
      </c>
    </row>
    <row r="22" spans="2:31">
      <c r="B22" s="964" t="s">
        <v>2638</v>
      </c>
      <c r="C22" s="967">
        <f>IF(C19=0,0,C11/C19)</f>
        <v>0</v>
      </c>
      <c r="D22" s="967">
        <f t="shared" ref="D22:AE22" si="6">IF(D19=0,0,D11/D19)</f>
        <v>1.1675713110341968</v>
      </c>
      <c r="E22" s="967">
        <f t="shared" si="6"/>
        <v>1.158769912397607</v>
      </c>
      <c r="F22" s="967">
        <f t="shared" si="6"/>
        <v>1.1500562076362233</v>
      </c>
      <c r="G22" s="967">
        <f t="shared" si="6"/>
        <v>1.1414292589882014</v>
      </c>
      <c r="H22" s="967">
        <f t="shared" si="6"/>
        <v>1.1328881370695665</v>
      </c>
      <c r="I22" s="967">
        <f t="shared" si="6"/>
        <v>1.1244319208711036</v>
      </c>
      <c r="J22" s="967">
        <f t="shared" si="6"/>
        <v>1.1160596977525084</v>
      </c>
      <c r="K22" s="967">
        <f t="shared" si="6"/>
        <v>0.87162109411913991</v>
      </c>
      <c r="L22" s="967">
        <f t="shared" si="6"/>
        <v>0.70945957198402898</v>
      </c>
      <c r="M22" s="967">
        <f t="shared" si="6"/>
        <v>0.58438140526870586</v>
      </c>
      <c r="N22" s="967">
        <f t="shared" si="6"/>
        <v>0.48518461505805044</v>
      </c>
      <c r="O22" s="967">
        <f t="shared" si="6"/>
        <v>0.40475317878792766</v>
      </c>
      <c r="P22" s="967">
        <f t="shared" si="6"/>
        <v>0.33835136533428345</v>
      </c>
      <c r="Q22" s="967">
        <f t="shared" si="6"/>
        <v>0.33207175139014805</v>
      </c>
      <c r="R22" s="967">
        <f t="shared" si="6"/>
        <v>0.32612317988462236</v>
      </c>
      <c r="S22" s="967">
        <f t="shared" si="6"/>
        <v>0.32048687402688958</v>
      </c>
      <c r="T22" s="967">
        <f t="shared" si="6"/>
        <v>0.31514589826819178</v>
      </c>
      <c r="U22" s="967">
        <f t="shared" si="6"/>
        <v>0.31008274754825821</v>
      </c>
      <c r="V22" s="967">
        <f t="shared" si="6"/>
        <v>0.30528241710371623</v>
      </c>
      <c r="W22" s="967">
        <f t="shared" si="6"/>
        <v>0.30072927851845588</v>
      </c>
      <c r="X22" s="967">
        <f t="shared" si="6"/>
        <v>0.2964093217158642</v>
      </c>
      <c r="Y22" s="967">
        <f t="shared" si="6"/>
        <v>0.29231004377666969</v>
      </c>
      <c r="Z22" s="967">
        <f t="shared" si="6"/>
        <v>0.28841824942207911</v>
      </c>
      <c r="AA22" s="967">
        <f t="shared" si="6"/>
        <v>0.2847228755387099</v>
      </c>
      <c r="AB22" s="967">
        <f t="shared" si="6"/>
        <v>0.28121212804318108</v>
      </c>
      <c r="AC22" s="967">
        <f t="shared" si="6"/>
        <v>0.27787555367467837</v>
      </c>
      <c r="AD22" s="967">
        <f t="shared" si="6"/>
        <v>0.27470329335636018</v>
      </c>
      <c r="AE22" s="967">
        <f t="shared" si="6"/>
        <v>0.27168670126814082</v>
      </c>
    </row>
    <row r="23" spans="2:31">
      <c r="B23" s="965" t="s">
        <v>2649</v>
      </c>
      <c r="C23" s="967">
        <f>IF(C19=0,0,C12/C19)</f>
        <v>0</v>
      </c>
      <c r="D23" s="967">
        <f t="shared" ref="D23:AE23" si="7">IF(D19=0,0,D12/D19)</f>
        <v>0</v>
      </c>
      <c r="E23" s="967">
        <f t="shared" si="7"/>
        <v>0</v>
      </c>
      <c r="F23" s="967">
        <f t="shared" si="7"/>
        <v>-0.17892709663204392</v>
      </c>
      <c r="G23" s="967">
        <f t="shared" si="7"/>
        <v>-0.17803733944160971</v>
      </c>
      <c r="H23" s="967">
        <f t="shared" si="7"/>
        <v>-0.17715193339987473</v>
      </c>
      <c r="I23" s="967">
        <f t="shared" si="7"/>
        <v>-0.17627088036428279</v>
      </c>
      <c r="J23" s="967">
        <f t="shared" si="7"/>
        <v>-0.17539418150545047</v>
      </c>
      <c r="K23" s="967">
        <f t="shared" si="7"/>
        <v>-0.14978805385830785</v>
      </c>
      <c r="L23" s="967">
        <f t="shared" si="7"/>
        <v>-0.13099812850500972</v>
      </c>
      <c r="M23" s="967">
        <f t="shared" si="7"/>
        <v>-0.11639651863365266</v>
      </c>
      <c r="N23" s="967">
        <f t="shared" si="7"/>
        <v>-0.10472327045758671</v>
      </c>
      <c r="O23" s="967">
        <f t="shared" si="7"/>
        <v>-9.5177741582735245E-2</v>
      </c>
      <c r="P23" s="967">
        <f t="shared" si="7"/>
        <v>-8.7226998371738348E-2</v>
      </c>
      <c r="Q23" s="967">
        <f t="shared" si="7"/>
        <v>-8.7053059080110615E-2</v>
      </c>
      <c r="R23" s="967">
        <f t="shared" si="7"/>
        <v>-8.6879383608422844E-2</v>
      </c>
      <c r="S23" s="967">
        <f t="shared" si="7"/>
        <v>-8.6705972945471443E-2</v>
      </c>
      <c r="T23" s="967">
        <f t="shared" si="7"/>
        <v>-8.6533040609949471E-2</v>
      </c>
      <c r="U23" s="967">
        <f t="shared" si="7"/>
        <v>-8.636037331805238E-2</v>
      </c>
      <c r="V23" s="967">
        <f t="shared" si="7"/>
        <v>-8.6188182875723315E-2</v>
      </c>
      <c r="W23" s="967">
        <f t="shared" si="7"/>
        <v>-8.6016257682083458E-2</v>
      </c>
      <c r="X23" s="967">
        <f t="shared" si="7"/>
        <v>-8.5844598666555277E-2</v>
      </c>
      <c r="Y23" s="967">
        <f t="shared" si="7"/>
        <v>-8.5673415087063054E-2</v>
      </c>
      <c r="Z23" s="967">
        <f t="shared" si="7"/>
        <v>-2.1369795869732425E-2</v>
      </c>
      <c r="AA23" s="967">
        <f t="shared" si="7"/>
        <v>-2.132719665353891E-2</v>
      </c>
      <c r="AB23" s="967">
        <f t="shared" si="7"/>
        <v>-2.1284664032414979E-2</v>
      </c>
      <c r="AC23" s="967">
        <f t="shared" si="7"/>
        <v>-2.1242198224385202E-2</v>
      </c>
      <c r="AD23" s="967">
        <f t="shared" si="7"/>
        <v>-2.119979944380939E-2</v>
      </c>
      <c r="AE23" s="967">
        <f t="shared" si="7"/>
        <v>-2.1157518740297671E-2</v>
      </c>
    </row>
    <row r="24" spans="2:31">
      <c r="B24" s="964" t="s">
        <v>2640</v>
      </c>
      <c r="C24" s="967">
        <f t="shared" ref="C24:AE24" si="8">SUM(C20:C23)</f>
        <v>0</v>
      </c>
      <c r="D24" s="967">
        <f t="shared" si="8"/>
        <v>2.0928081886250878</v>
      </c>
      <c r="E24" s="967">
        <f t="shared" si="8"/>
        <v>2.0879129536082308</v>
      </c>
      <c r="F24" s="967">
        <f t="shared" si="8"/>
        <v>1.8344570616264138</v>
      </c>
      <c r="G24" s="967">
        <f t="shared" si="8"/>
        <v>1.7602666957962847</v>
      </c>
      <c r="H24" s="967">
        <f t="shared" si="8"/>
        <v>1.6856127424866392</v>
      </c>
      <c r="I24" s="967">
        <f t="shared" si="8"/>
        <v>1.61049098552527</v>
      </c>
      <c r="J24" s="967">
        <f t="shared" si="8"/>
        <v>1.5348972001416206</v>
      </c>
      <c r="K24" s="967">
        <f t="shared" si="8"/>
        <v>1.3911276291416461</v>
      </c>
      <c r="L24" s="967">
        <f t="shared" si="8"/>
        <v>1.3495398879381209</v>
      </c>
      <c r="M24" s="967">
        <f t="shared" si="8"/>
        <v>1.3143916674889999</v>
      </c>
      <c r="N24" s="967">
        <f t="shared" si="8"/>
        <v>1.284876801827487</v>
      </c>
      <c r="O24" s="967">
        <f t="shared" si="8"/>
        <v>1.2600780751839407</v>
      </c>
      <c r="P24" s="967">
        <f t="shared" si="8"/>
        <v>1.2392089315195161</v>
      </c>
      <c r="Q24" s="967">
        <f t="shared" si="8"/>
        <v>1.2350750540771855</v>
      </c>
      <c r="R24" s="967">
        <f t="shared" si="8"/>
        <v>1.231277054073872</v>
      </c>
      <c r="S24" s="967">
        <f t="shared" si="8"/>
        <v>1.2277961151052939</v>
      </c>
      <c r="T24" s="967">
        <f t="shared" si="8"/>
        <v>1.224614075030807</v>
      </c>
      <c r="U24" s="967">
        <f t="shared" si="8"/>
        <v>1.2217145844098916</v>
      </c>
      <c r="V24" s="967">
        <f t="shared" si="8"/>
        <v>1.2190899632745642</v>
      </c>
      <c r="W24" s="967">
        <f t="shared" si="8"/>
        <v>1.2167173107285909</v>
      </c>
      <c r="X24" s="967">
        <f t="shared" si="8"/>
        <v>1.2145825815497879</v>
      </c>
      <c r="Y24" s="967">
        <f t="shared" si="8"/>
        <v>1.2126720553553758</v>
      </c>
      <c r="Z24" s="967">
        <f t="shared" si="8"/>
        <v>1.2751063941499456</v>
      </c>
      <c r="AA24" s="967">
        <f t="shared" si="8"/>
        <v>1.2734753018876119</v>
      </c>
      <c r="AB24" s="967">
        <f t="shared" si="8"/>
        <v>1.2720333841334894</v>
      </c>
      <c r="AC24" s="967">
        <f t="shared" si="8"/>
        <v>1.2707703437219755</v>
      </c>
      <c r="AD24" s="967">
        <f t="shared" si="8"/>
        <v>1.2696763022012569</v>
      </c>
      <c r="AE24" s="967">
        <f t="shared" si="8"/>
        <v>1.2687415692174302</v>
      </c>
    </row>
    <row r="25" spans="2:31">
      <c r="B25" s="964" t="s">
        <v>2648</v>
      </c>
      <c r="C25" s="967">
        <f>IF(C19=0,0,C14/C19)</f>
        <v>0</v>
      </c>
      <c r="D25" s="967">
        <f t="shared" ref="D25:AE25" si="9">IF(D19=0,0,D14/D19)</f>
        <v>2.0928081886250878</v>
      </c>
      <c r="E25" s="967">
        <f t="shared" si="9"/>
        <v>2.0879171866684372</v>
      </c>
      <c r="F25" s="967">
        <f t="shared" si="9"/>
        <v>2.0827791195292167</v>
      </c>
      <c r="G25" s="967">
        <f t="shared" si="9"/>
        <v>2.0776442322763731</v>
      </c>
      <c r="H25" s="967">
        <f t="shared" si="9"/>
        <v>2.0726079485731783</v>
      </c>
      <c r="I25" s="967">
        <f t="shared" si="9"/>
        <v>2.067669404160652</v>
      </c>
      <c r="J25" s="967">
        <f t="shared" si="9"/>
        <v>2.06282774331603</v>
      </c>
      <c r="K25" s="967">
        <f t="shared" si="9"/>
        <v>1.7664042505495068</v>
      </c>
      <c r="L25" s="967">
        <f t="shared" si="9"/>
        <v>1.5365169367016849</v>
      </c>
      <c r="M25" s="967">
        <f t="shared" si="9"/>
        <v>1.3584300549983088</v>
      </c>
      <c r="N25" s="967">
        <f t="shared" si="9"/>
        <v>1.2165336692773545</v>
      </c>
      <c r="O25" s="967">
        <f t="shared" si="9"/>
        <v>1.1009016579219155</v>
      </c>
      <c r="P25" s="967">
        <f t="shared" si="9"/>
        <v>1.0049407134692898</v>
      </c>
      <c r="Q25" s="967">
        <f t="shared" si="9"/>
        <v>0.99928337755885399</v>
      </c>
      <c r="R25" s="967">
        <f t="shared" si="9"/>
        <v>0.99396006436924578</v>
      </c>
      <c r="S25" s="967">
        <f t="shared" si="9"/>
        <v>0.98895199514640442</v>
      </c>
      <c r="T25" s="967">
        <f t="shared" si="9"/>
        <v>0.98424387575296002</v>
      </c>
      <c r="U25" s="967">
        <f t="shared" si="9"/>
        <v>0.97981655210968299</v>
      </c>
      <c r="V25" s="967">
        <f t="shared" si="9"/>
        <v>0.97566377498303825</v>
      </c>
      <c r="W25" s="967">
        <f t="shared" si="9"/>
        <v>0.97176131883244166</v>
      </c>
      <c r="X25" s="967">
        <f t="shared" si="9"/>
        <v>0.9680951637097569</v>
      </c>
      <c r="Y25" s="967">
        <f t="shared" si="9"/>
        <v>0.96465443246217653</v>
      </c>
      <c r="Z25" s="967">
        <f t="shared" si="9"/>
        <v>0.96142428278433334</v>
      </c>
      <c r="AA25" s="967">
        <f t="shared" si="9"/>
        <v>0.9583853892610058</v>
      </c>
      <c r="AB25" s="967">
        <f t="shared" si="9"/>
        <v>0.95553168010606182</v>
      </c>
      <c r="AC25" s="967">
        <f t="shared" si="9"/>
        <v>0.9528550788837965</v>
      </c>
      <c r="AD25" s="967">
        <f t="shared" si="9"/>
        <v>0.95034572552528829</v>
      </c>
      <c r="AE25" s="967">
        <f t="shared" si="9"/>
        <v>0.94799659840761252</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0" tint="-0.34998626667073579"/>
  </sheetPr>
  <dimension ref="A1:NS187"/>
  <sheetViews>
    <sheetView topLeftCell="A177" workbookViewId="0">
      <selection activeCell="A181" sqref="A181"/>
    </sheetView>
  </sheetViews>
  <sheetFormatPr defaultRowHeight="20.100000000000001" customHeight="1"/>
  <cols>
    <col min="1" max="1" width="40.7109375" style="78" customWidth="1"/>
    <col min="2" max="72" width="10.7109375" style="78" customWidth="1"/>
    <col min="73" max="16384" width="9.140625" style="78"/>
  </cols>
  <sheetData>
    <row r="1" spans="1:33" s="77" customFormat="1" ht="30" customHeight="1">
      <c r="A1" s="12" t="s">
        <v>321</v>
      </c>
      <c r="B1" s="13"/>
      <c r="C1" s="13"/>
      <c r="D1" s="13"/>
      <c r="E1" s="13"/>
      <c r="F1" s="13"/>
      <c r="G1" s="13"/>
      <c r="H1" s="13"/>
      <c r="I1" s="13"/>
      <c r="J1" s="13"/>
      <c r="K1" s="13"/>
      <c r="L1" s="13"/>
      <c r="M1" s="13"/>
      <c r="N1" s="13"/>
      <c r="O1" s="13"/>
      <c r="P1" s="13"/>
      <c r="Q1" s="13"/>
    </row>
    <row r="2" spans="1:33" s="105" customFormat="1" ht="20.100000000000001" customHeight="1">
      <c r="A2" s="106" t="s">
        <v>329</v>
      </c>
      <c r="B2" s="1561" t="s">
        <v>969</v>
      </c>
      <c r="C2" s="1562"/>
      <c r="D2" s="1562"/>
      <c r="E2" s="1562"/>
      <c r="F2" s="1563"/>
      <c r="G2" s="104"/>
      <c r="H2" s="104"/>
      <c r="I2" s="104"/>
      <c r="J2" s="104"/>
      <c r="K2" s="104"/>
      <c r="L2" s="104"/>
      <c r="M2" s="104"/>
      <c r="N2" s="104"/>
      <c r="O2" s="104"/>
      <c r="P2" s="104"/>
      <c r="Q2" s="104"/>
    </row>
    <row r="3" spans="1:33" ht="20.100000000000001" customHeight="1">
      <c r="A3" s="78" t="s">
        <v>316</v>
      </c>
      <c r="B3" s="107">
        <v>2022</v>
      </c>
    </row>
    <row r="4" spans="1:33" ht="20.100000000000001" customHeight="1">
      <c r="A4" s="25" t="s">
        <v>33</v>
      </c>
      <c r="B4" s="78">
        <v>17</v>
      </c>
    </row>
    <row r="5" spans="1:33" ht="20.100000000000001" customHeight="1">
      <c r="A5" s="26" t="s">
        <v>313</v>
      </c>
    </row>
    <row r="6" spans="1:33" ht="20.100000000000001" customHeight="1">
      <c r="A6" s="25" t="s">
        <v>312</v>
      </c>
      <c r="B6" s="23">
        <v>19000</v>
      </c>
    </row>
    <row r="7" spans="1:33" ht="20.100000000000001" customHeight="1">
      <c r="A7" s="25"/>
      <c r="C7" s="92">
        <v>2021</v>
      </c>
      <c r="D7" s="92">
        <f>C7+1</f>
        <v>2022</v>
      </c>
      <c r="E7" s="92">
        <f>D7+1</f>
        <v>2023</v>
      </c>
      <c r="F7" s="92">
        <f t="shared" ref="F7:M7" si="0">E7+1</f>
        <v>2024</v>
      </c>
      <c r="G7" s="92">
        <f t="shared" si="0"/>
        <v>2025</v>
      </c>
      <c r="H7" s="92">
        <f t="shared" si="0"/>
        <v>2026</v>
      </c>
      <c r="I7" s="92">
        <f t="shared" si="0"/>
        <v>2027</v>
      </c>
      <c r="J7" s="92">
        <f t="shared" si="0"/>
        <v>2028</v>
      </c>
      <c r="K7" s="92">
        <f t="shared" si="0"/>
        <v>2029</v>
      </c>
      <c r="L7" s="92">
        <f t="shared" si="0"/>
        <v>2030</v>
      </c>
      <c r="M7" s="92">
        <f t="shared" si="0"/>
        <v>2031</v>
      </c>
      <c r="N7" s="92">
        <f t="shared" ref="N7:W7" si="1">M7+1</f>
        <v>2032</v>
      </c>
      <c r="O7" s="92">
        <f t="shared" si="1"/>
        <v>2033</v>
      </c>
      <c r="P7" s="92">
        <f t="shared" si="1"/>
        <v>2034</v>
      </c>
      <c r="Q7" s="92">
        <f t="shared" si="1"/>
        <v>2035</v>
      </c>
      <c r="R7" s="92">
        <f t="shared" si="1"/>
        <v>2036</v>
      </c>
      <c r="S7" s="92">
        <f t="shared" si="1"/>
        <v>2037</v>
      </c>
      <c r="T7" s="92">
        <f t="shared" si="1"/>
        <v>2038</v>
      </c>
      <c r="U7" s="92">
        <f t="shared" si="1"/>
        <v>2039</v>
      </c>
      <c r="V7" s="92">
        <f t="shared" si="1"/>
        <v>2040</v>
      </c>
      <c r="W7" s="92">
        <f t="shared" si="1"/>
        <v>2041</v>
      </c>
      <c r="X7" s="92">
        <f t="shared" ref="X7:AF7" si="2">W7+1</f>
        <v>2042</v>
      </c>
      <c r="Y7" s="92">
        <f t="shared" si="2"/>
        <v>2043</v>
      </c>
      <c r="Z7" s="92">
        <f t="shared" si="2"/>
        <v>2044</v>
      </c>
      <c r="AA7" s="92">
        <f t="shared" si="2"/>
        <v>2045</v>
      </c>
      <c r="AB7" s="92">
        <f t="shared" si="2"/>
        <v>2046</v>
      </c>
      <c r="AC7" s="92">
        <f t="shared" si="2"/>
        <v>2047</v>
      </c>
      <c r="AD7" s="92">
        <f t="shared" si="2"/>
        <v>2048</v>
      </c>
      <c r="AE7" s="92">
        <f t="shared" si="2"/>
        <v>2049</v>
      </c>
      <c r="AF7" s="92">
        <f t="shared" si="2"/>
        <v>2050</v>
      </c>
    </row>
    <row r="8" spans="1:33" ht="20.100000000000001" customHeight="1">
      <c r="A8" s="25" t="s">
        <v>318</v>
      </c>
      <c r="C8" s="97">
        <f>INDEX('DEFAULT DATA'!$B$9:$D$40,'LOCAL DATASET'!$B$4,1)</f>
        <v>-1.4</v>
      </c>
      <c r="D8" s="97">
        <f>INDEX('DEFAULT DATA'!$B$9:$D$40,'LOCAL DATASET'!$B$4,1)</f>
        <v>-1.4</v>
      </c>
      <c r="E8" s="97">
        <f>INDEX('DEFAULT DATA'!$B$9:$D$40,'LOCAL DATASET'!$B$4,1)</f>
        <v>-1.4</v>
      </c>
      <c r="F8" s="97">
        <f>INDEX('DEFAULT DATA'!$B$9:$D$40,'LOCAL DATASET'!$B$4,1)</f>
        <v>-1.4</v>
      </c>
      <c r="G8" s="97">
        <f>INDEX('DEFAULT DATA'!$B$9:$D$40,'LOCAL DATASET'!$B$4,1)</f>
        <v>-1.4</v>
      </c>
      <c r="H8" s="97">
        <f>INDEX('DEFAULT DATA'!$B$9:$D$40,'LOCAL DATASET'!$B$4,1)</f>
        <v>-1.4</v>
      </c>
      <c r="I8" s="97">
        <f>INDEX('DEFAULT DATA'!$B$9:$D$40,'LOCAL DATASET'!$B$4,1)</f>
        <v>-1.4</v>
      </c>
      <c r="J8" s="97">
        <f>INDEX('DEFAULT DATA'!$B$9:$D$40,'LOCAL DATASET'!$B$4,1)</f>
        <v>-1.4</v>
      </c>
      <c r="K8" s="97">
        <f>INDEX('DEFAULT DATA'!$B$9:$D$40,'LOCAL DATASET'!$B$4,1)</f>
        <v>-1.4</v>
      </c>
      <c r="L8" s="97">
        <f>INDEX('DEFAULT DATA'!$B$9:$D$40,'LOCAL DATASET'!$B$4,1)</f>
        <v>-1.4</v>
      </c>
      <c r="M8" s="97">
        <f>INDEX('DEFAULT DATA'!$B$9:$D$40,'LOCAL DATASET'!$B$4,2)</f>
        <v>-0.6</v>
      </c>
      <c r="N8" s="97">
        <f>INDEX('DEFAULT DATA'!$B$9:$D$40,'LOCAL DATASET'!$B$4,2)</f>
        <v>-0.6</v>
      </c>
      <c r="O8" s="97">
        <f>INDEX('DEFAULT DATA'!$B$9:$D$40,'LOCAL DATASET'!$B$4,2)</f>
        <v>-0.6</v>
      </c>
      <c r="P8" s="97">
        <f>INDEX('DEFAULT DATA'!$B$9:$D$40,'LOCAL DATASET'!$B$4,2)</f>
        <v>-0.6</v>
      </c>
      <c r="Q8" s="97">
        <f>INDEX('DEFAULT DATA'!$B$9:$D$40,'LOCAL DATASET'!$B$4,2)</f>
        <v>-0.6</v>
      </c>
      <c r="R8" s="97">
        <f>INDEX('DEFAULT DATA'!$B$9:$D$40,'LOCAL DATASET'!$B$4,2)</f>
        <v>-0.6</v>
      </c>
      <c r="S8" s="97">
        <f>INDEX('DEFAULT DATA'!$B$9:$D$40,'LOCAL DATASET'!$B$4,2)</f>
        <v>-0.6</v>
      </c>
      <c r="T8" s="97">
        <f>INDEX('DEFAULT DATA'!$B$9:$D$40,'LOCAL DATASET'!$B$4,2)</f>
        <v>-0.6</v>
      </c>
      <c r="U8" s="97">
        <f>INDEX('DEFAULT DATA'!$B$9:$D$40,'LOCAL DATASET'!$B$4,2)</f>
        <v>-0.6</v>
      </c>
      <c r="V8" s="97">
        <f>INDEX('DEFAULT DATA'!$B$9:$D$40,'LOCAL DATASET'!$B$4,2)</f>
        <v>-0.6</v>
      </c>
      <c r="W8" s="97">
        <f>INDEX('DEFAULT DATA'!$B$9:$D$40,'LOCAL DATASET'!$B$4,3)</f>
        <v>-0.6</v>
      </c>
      <c r="X8" s="97">
        <f>INDEX('DEFAULT DATA'!$B$9:$D$40,'LOCAL DATASET'!$B$4,3)</f>
        <v>-0.6</v>
      </c>
      <c r="Y8" s="97">
        <f>INDEX('DEFAULT DATA'!$B$9:$D$40,'LOCAL DATASET'!$B$4,3)</f>
        <v>-0.6</v>
      </c>
      <c r="Z8" s="97">
        <f>INDEX('DEFAULT DATA'!$B$9:$D$40,'LOCAL DATASET'!$B$4,3)</f>
        <v>-0.6</v>
      </c>
      <c r="AA8" s="97">
        <f>INDEX('DEFAULT DATA'!$B$9:$D$40,'LOCAL DATASET'!$B$4,3)</f>
        <v>-0.6</v>
      </c>
      <c r="AB8" s="97">
        <f>INDEX('DEFAULT DATA'!$B$9:$D$40,'LOCAL DATASET'!$B$4,3)</f>
        <v>-0.6</v>
      </c>
      <c r="AC8" s="97">
        <f>INDEX('DEFAULT DATA'!$B$9:$D$40,'LOCAL DATASET'!$B$4,3)</f>
        <v>-0.6</v>
      </c>
      <c r="AD8" s="97">
        <f>INDEX('DEFAULT DATA'!$B$9:$D$40,'LOCAL DATASET'!$B$4,3)</f>
        <v>-0.6</v>
      </c>
      <c r="AE8" s="97">
        <f>INDEX('DEFAULT DATA'!$B$9:$D$40,'LOCAL DATASET'!$B$4,3)</f>
        <v>-0.6</v>
      </c>
      <c r="AF8" s="97">
        <f>INDEX('DEFAULT DATA'!$B$9:$D$40,'LOCAL DATASET'!$B$4,3)</f>
        <v>-0.6</v>
      </c>
    </row>
    <row r="9" spans="1:33" ht="20.100000000000001" customHeight="1">
      <c r="A9" s="25" t="s">
        <v>317</v>
      </c>
      <c r="C9" s="92">
        <v>0</v>
      </c>
      <c r="D9" s="94">
        <f>IF('LOCAL DATASET'!D7=$B$3,'LOCAL DATASET'!$B$6,INT('LOCAL DATASET'!C9*(100+'LOCAL DATASET'!D8)/100))</f>
        <v>19000</v>
      </c>
      <c r="E9" s="94">
        <f>IF('LOCAL DATASET'!E7=$B$3,'LOCAL DATASET'!$B$6,INT('LOCAL DATASET'!D9*(100+'LOCAL DATASET'!E8)/100))</f>
        <v>18734</v>
      </c>
      <c r="F9" s="94">
        <f>IF('LOCAL DATASET'!F7=$B$3,'LOCAL DATASET'!$B$6,INT('LOCAL DATASET'!E9*(100+'LOCAL DATASET'!F8)/100))</f>
        <v>18471</v>
      </c>
      <c r="G9" s="94">
        <f>IF('LOCAL DATASET'!G7=$B$3,'LOCAL DATASET'!$B$6,INT('LOCAL DATASET'!F9*(100+'LOCAL DATASET'!G8)/100))</f>
        <v>18212</v>
      </c>
      <c r="H9" s="94">
        <f>IF('LOCAL DATASET'!H7=$B$3,'LOCAL DATASET'!$B$6,INT('LOCAL DATASET'!G9*(100+'LOCAL DATASET'!H8)/100))</f>
        <v>17957</v>
      </c>
      <c r="I9" s="94">
        <f>IF('LOCAL DATASET'!I7=$B$3,'LOCAL DATASET'!$B$6,INT('LOCAL DATASET'!H9*(100+'LOCAL DATASET'!I8)/100))</f>
        <v>17705</v>
      </c>
      <c r="J9" s="94">
        <f>IF('LOCAL DATASET'!J7=$B$3,'LOCAL DATASET'!$B$6,INT('LOCAL DATASET'!I9*(100+'LOCAL DATASET'!J8)/100))</f>
        <v>17457</v>
      </c>
      <c r="K9" s="94">
        <f>IF('LOCAL DATASET'!K7=$B$3,'LOCAL DATASET'!$B$6,INT('LOCAL DATASET'!J9*(100+'LOCAL DATASET'!K8)/100))</f>
        <v>17212</v>
      </c>
      <c r="L9" s="94">
        <f>IF('LOCAL DATASET'!L7=$B$3,'LOCAL DATASET'!$B$6,INT('LOCAL DATASET'!K9*(100+'LOCAL DATASET'!L8)/100))</f>
        <v>16971</v>
      </c>
      <c r="M9" s="94">
        <f>IF('LOCAL DATASET'!M7=$B$3,'LOCAL DATASET'!$B$6,INT('LOCAL DATASET'!L9*(100+'LOCAL DATASET'!M8)/100))</f>
        <v>16869</v>
      </c>
      <c r="N9" s="94">
        <f>IF('LOCAL DATASET'!N7=$B$3,'LOCAL DATASET'!$B$6,INT('LOCAL DATASET'!M9*(100+'LOCAL DATASET'!N8)/100))</f>
        <v>16767</v>
      </c>
      <c r="O9" s="94">
        <f>IF('LOCAL DATASET'!O7=$B$3,'LOCAL DATASET'!$B$6,INT('LOCAL DATASET'!N9*(100+'LOCAL DATASET'!O8)/100))</f>
        <v>16666</v>
      </c>
      <c r="P9" s="94">
        <f>IF('LOCAL DATASET'!P7=$B$3,'LOCAL DATASET'!$B$6,INT('LOCAL DATASET'!O9*(100+'LOCAL DATASET'!P8)/100))</f>
        <v>16566</v>
      </c>
      <c r="Q9" s="94">
        <f>IF('LOCAL DATASET'!Q7=$B$3,'LOCAL DATASET'!$B$6,INT('LOCAL DATASET'!P9*(100+'LOCAL DATASET'!Q8)/100))</f>
        <v>16466</v>
      </c>
      <c r="R9" s="94">
        <f>IF('LOCAL DATASET'!R7=$B$3,'LOCAL DATASET'!$B$6,INT('LOCAL DATASET'!Q9*(100+'LOCAL DATASET'!R8)/100))</f>
        <v>16367</v>
      </c>
      <c r="S9" s="94">
        <f>IF('LOCAL DATASET'!S7=$B$3,'LOCAL DATASET'!$B$6,INT('LOCAL DATASET'!R9*(100+'LOCAL DATASET'!S8)/100))</f>
        <v>16268</v>
      </c>
      <c r="T9" s="94">
        <f>IF('LOCAL DATASET'!T7=$B$3,'LOCAL DATASET'!$B$6,INT('LOCAL DATASET'!S9*(100+'LOCAL DATASET'!T8)/100))</f>
        <v>16170</v>
      </c>
      <c r="U9" s="94">
        <f>IF('LOCAL DATASET'!U7=$B$3,'LOCAL DATASET'!$B$6,INT('LOCAL DATASET'!T9*(100+'LOCAL DATASET'!U8)/100))</f>
        <v>16072</v>
      </c>
      <c r="V9" s="94">
        <f>IF('LOCAL DATASET'!V7=$B$3,'LOCAL DATASET'!$B$6,INT('LOCAL DATASET'!U9*(100+'LOCAL DATASET'!V8)/100))</f>
        <v>15975</v>
      </c>
      <c r="W9" s="94">
        <f>IF('LOCAL DATASET'!W7=$B$3,'LOCAL DATASET'!$B$6,INT('LOCAL DATASET'!V9*(100+'LOCAL DATASET'!W8)/100))</f>
        <v>15879</v>
      </c>
      <c r="X9" s="94">
        <f>IF('LOCAL DATASET'!X7=$B$3,'LOCAL DATASET'!$B$6,INT('LOCAL DATASET'!W9*(100+'LOCAL DATASET'!X8)/100))</f>
        <v>15783</v>
      </c>
      <c r="Y9" s="94">
        <f>IF('LOCAL DATASET'!Y7=$B$3,'LOCAL DATASET'!$B$6,INT('LOCAL DATASET'!X9*(100+'LOCAL DATASET'!Y8)/100))</f>
        <v>15688</v>
      </c>
      <c r="Z9" s="94">
        <f>IF('LOCAL DATASET'!Z7=$B$3,'LOCAL DATASET'!$B$6,INT('LOCAL DATASET'!Y9*(100+'LOCAL DATASET'!Z8)/100))</f>
        <v>15593</v>
      </c>
      <c r="AA9" s="94">
        <f>IF('LOCAL DATASET'!AA7=$B$3,'LOCAL DATASET'!$B$6,INT('LOCAL DATASET'!Z9*(100+'LOCAL DATASET'!AA8)/100))</f>
        <v>15499</v>
      </c>
      <c r="AB9" s="94">
        <f>IF('LOCAL DATASET'!AB7=$B$3,'LOCAL DATASET'!$B$6,INT('LOCAL DATASET'!AA9*(100+'LOCAL DATASET'!AB8)/100))</f>
        <v>15406</v>
      </c>
      <c r="AC9" s="94">
        <f>IF('LOCAL DATASET'!AC7=$B$3,'LOCAL DATASET'!$B$6,INT('LOCAL DATASET'!AB9*(100+'LOCAL DATASET'!AC8)/100))</f>
        <v>15313</v>
      </c>
      <c r="AD9" s="94">
        <f>IF('LOCAL DATASET'!AD7=$B$3,'LOCAL DATASET'!$B$6,INT('LOCAL DATASET'!AC9*(100+'LOCAL DATASET'!AD8)/100))</f>
        <v>15221</v>
      </c>
      <c r="AE9" s="94">
        <f>IF('LOCAL DATASET'!AE7=$B$3,'LOCAL DATASET'!$B$6,INT('LOCAL DATASET'!AD9*(100+'LOCAL DATASET'!AE8)/100))</f>
        <v>15129</v>
      </c>
      <c r="AF9" s="94">
        <f>IF('LOCAL DATASET'!AF7=$B$3,'LOCAL DATASET'!$B$6,INT('LOCAL DATASET'!AE9*(100+'LOCAL DATASET'!AF8)/100))</f>
        <v>15038</v>
      </c>
    </row>
    <row r="10" spans="1:33" ht="20.100000000000001" customHeight="1">
      <c r="A10" s="26" t="s">
        <v>332</v>
      </c>
      <c r="C10" s="79"/>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93"/>
    </row>
    <row r="11" spans="1:33" ht="20.100000000000001" customHeight="1">
      <c r="A11" s="25" t="s">
        <v>320</v>
      </c>
      <c r="B11" s="96">
        <f>INDEX('DEFAULT DATA'!E9:E40,'LOCAL DATASET'!B4,1)</f>
        <v>1357.1428571428571</v>
      </c>
      <c r="C11" s="79"/>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93"/>
    </row>
    <row r="12" spans="1:33" ht="20.100000000000001" customHeight="1">
      <c r="A12" s="25"/>
      <c r="B12" s="29"/>
      <c r="C12" s="100">
        <v>2021</v>
      </c>
      <c r="D12" s="100">
        <f>C12+1</f>
        <v>2022</v>
      </c>
      <c r="E12" s="100">
        <f>D12+1</f>
        <v>2023</v>
      </c>
      <c r="F12" s="100">
        <f t="shared" ref="F12:AF12" si="3">E12+1</f>
        <v>2024</v>
      </c>
      <c r="G12" s="100">
        <f t="shared" si="3"/>
        <v>2025</v>
      </c>
      <c r="H12" s="100">
        <f t="shared" si="3"/>
        <v>2026</v>
      </c>
      <c r="I12" s="100">
        <f t="shared" si="3"/>
        <v>2027</v>
      </c>
      <c r="J12" s="100">
        <f t="shared" si="3"/>
        <v>2028</v>
      </c>
      <c r="K12" s="100">
        <f t="shared" si="3"/>
        <v>2029</v>
      </c>
      <c r="L12" s="100">
        <f t="shared" si="3"/>
        <v>2030</v>
      </c>
      <c r="M12" s="100">
        <f t="shared" si="3"/>
        <v>2031</v>
      </c>
      <c r="N12" s="100">
        <f t="shared" si="3"/>
        <v>2032</v>
      </c>
      <c r="O12" s="100">
        <f t="shared" si="3"/>
        <v>2033</v>
      </c>
      <c r="P12" s="100">
        <f t="shared" si="3"/>
        <v>2034</v>
      </c>
      <c r="Q12" s="100">
        <f t="shared" si="3"/>
        <v>2035</v>
      </c>
      <c r="R12" s="100">
        <f t="shared" si="3"/>
        <v>2036</v>
      </c>
      <c r="S12" s="100">
        <f t="shared" si="3"/>
        <v>2037</v>
      </c>
      <c r="T12" s="100">
        <f t="shared" si="3"/>
        <v>2038</v>
      </c>
      <c r="U12" s="100">
        <f t="shared" si="3"/>
        <v>2039</v>
      </c>
      <c r="V12" s="100">
        <f t="shared" si="3"/>
        <v>2040</v>
      </c>
      <c r="W12" s="100">
        <f t="shared" si="3"/>
        <v>2041</v>
      </c>
      <c r="X12" s="100">
        <f t="shared" si="3"/>
        <v>2042</v>
      </c>
      <c r="Y12" s="100">
        <f t="shared" si="3"/>
        <v>2043</v>
      </c>
      <c r="Z12" s="100">
        <f t="shared" si="3"/>
        <v>2044</v>
      </c>
      <c r="AA12" s="100">
        <f t="shared" si="3"/>
        <v>2045</v>
      </c>
      <c r="AB12" s="100">
        <f t="shared" si="3"/>
        <v>2046</v>
      </c>
      <c r="AC12" s="100">
        <f t="shared" si="3"/>
        <v>2047</v>
      </c>
      <c r="AD12" s="100">
        <f t="shared" si="3"/>
        <v>2048</v>
      </c>
      <c r="AE12" s="100">
        <f t="shared" si="3"/>
        <v>2049</v>
      </c>
      <c r="AF12" s="100">
        <f t="shared" si="3"/>
        <v>2050</v>
      </c>
      <c r="AG12" s="29"/>
    </row>
    <row r="13" spans="1:33" ht="20.100000000000001" customHeight="1">
      <c r="A13" s="25" t="s">
        <v>327</v>
      </c>
      <c r="B13" s="29"/>
      <c r="C13" s="101">
        <f>INDEX('DEFAULT DATA'!$F$9:$H$40,'LOCAL DATASET'!$B$4,1)</f>
        <v>1.6</v>
      </c>
      <c r="D13" s="101">
        <f>INDEX('DEFAULT DATA'!$F$9:$H$40,'LOCAL DATASET'!$B$4,1)</f>
        <v>1.6</v>
      </c>
      <c r="E13" s="101">
        <f>INDEX('DEFAULT DATA'!$F$9:$H$40,'LOCAL DATASET'!$B$4,1)</f>
        <v>1.6</v>
      </c>
      <c r="F13" s="101">
        <f>INDEX('DEFAULT DATA'!$F$9:$H$40,'LOCAL DATASET'!$B$4,1)</f>
        <v>1.6</v>
      </c>
      <c r="G13" s="101">
        <f>INDEX('DEFAULT DATA'!$F$9:$H$40,'LOCAL DATASET'!$B$4,1)</f>
        <v>1.6</v>
      </c>
      <c r="H13" s="101">
        <f>INDEX('DEFAULT DATA'!$F$9:$H$40,'LOCAL DATASET'!$B$4,1)</f>
        <v>1.6</v>
      </c>
      <c r="I13" s="101">
        <f>INDEX('DEFAULT DATA'!$F$9:$H$40,'LOCAL DATASET'!$B$4,1)</f>
        <v>1.6</v>
      </c>
      <c r="J13" s="101">
        <f>INDEX('DEFAULT DATA'!$F$9:$H$40,'LOCAL DATASET'!$B$4,1)</f>
        <v>1.6</v>
      </c>
      <c r="K13" s="101">
        <f>INDEX('DEFAULT DATA'!$F$9:$H$40,'LOCAL DATASET'!$B$4,1)</f>
        <v>1.6</v>
      </c>
      <c r="L13" s="101">
        <f>INDEX('DEFAULT DATA'!$F$9:$H$40,'LOCAL DATASET'!$B$4,1)</f>
        <v>1.6</v>
      </c>
      <c r="M13" s="101">
        <f>INDEX('DEFAULT DATA'!$F$9:$H$40,'LOCAL DATASET'!$B$4,2)</f>
        <v>-2.1</v>
      </c>
      <c r="N13" s="101">
        <f>INDEX('DEFAULT DATA'!$F$9:$H$40,'LOCAL DATASET'!$B$4,2)</f>
        <v>-2.1</v>
      </c>
      <c r="O13" s="101">
        <f>INDEX('DEFAULT DATA'!$F$9:$H$40,'LOCAL DATASET'!$B$4,2)</f>
        <v>-2.1</v>
      </c>
      <c r="P13" s="101">
        <f>INDEX('DEFAULT DATA'!$F$9:$H$40,'LOCAL DATASET'!$B$4,2)</f>
        <v>-2.1</v>
      </c>
      <c r="Q13" s="101">
        <f>INDEX('DEFAULT DATA'!$F$9:$H$40,'LOCAL DATASET'!$B$4,2)</f>
        <v>-2.1</v>
      </c>
      <c r="R13" s="101">
        <f>INDEX('DEFAULT DATA'!$F$9:$H$40,'LOCAL DATASET'!$B$4,2)</f>
        <v>-2.1</v>
      </c>
      <c r="S13" s="101">
        <f>INDEX('DEFAULT DATA'!$F$9:$H$40,'LOCAL DATASET'!$B$4,2)</f>
        <v>-2.1</v>
      </c>
      <c r="T13" s="101">
        <f>INDEX('DEFAULT DATA'!$F$9:$H$40,'LOCAL DATASET'!$B$4,2)</f>
        <v>-2.1</v>
      </c>
      <c r="U13" s="101">
        <f>INDEX('DEFAULT DATA'!$F$9:$H$40,'LOCAL DATASET'!$B$4,2)</f>
        <v>-2.1</v>
      </c>
      <c r="V13" s="101">
        <f>INDEX('DEFAULT DATA'!$F$9:$H$40,'LOCAL DATASET'!$B$4,2)</f>
        <v>-2.1</v>
      </c>
      <c r="W13" s="101">
        <f>INDEX('DEFAULT DATA'!$F$9:$H$40,'LOCAL DATASET'!$B$4,3)</f>
        <v>-2.1</v>
      </c>
      <c r="X13" s="101">
        <f>INDEX('DEFAULT DATA'!$F$9:$H$40,'LOCAL DATASET'!$B$4,3)</f>
        <v>-2.1</v>
      </c>
      <c r="Y13" s="101">
        <f>INDEX('DEFAULT DATA'!$F$9:$H$40,'LOCAL DATASET'!$B$4,3)</f>
        <v>-2.1</v>
      </c>
      <c r="Z13" s="101">
        <f>INDEX('DEFAULT DATA'!$F$9:$H$40,'LOCAL DATASET'!$B$4,3)</f>
        <v>-2.1</v>
      </c>
      <c r="AA13" s="101">
        <f>INDEX('DEFAULT DATA'!$F$9:$H$40,'LOCAL DATASET'!$B$4,3)</f>
        <v>-2.1</v>
      </c>
      <c r="AB13" s="101">
        <f>INDEX('DEFAULT DATA'!$F$9:$H$40,'LOCAL DATASET'!$B$4,3)</f>
        <v>-2.1</v>
      </c>
      <c r="AC13" s="101">
        <f>INDEX('DEFAULT DATA'!$F$9:$H$40,'LOCAL DATASET'!$B$4,3)</f>
        <v>-2.1</v>
      </c>
      <c r="AD13" s="101">
        <f>INDEX('DEFAULT DATA'!$F$9:$H$40,'LOCAL DATASET'!$B$4,3)</f>
        <v>-2.1</v>
      </c>
      <c r="AE13" s="101">
        <f>INDEX('DEFAULT DATA'!$F$9:$H$40,'LOCAL DATASET'!$B$4,3)</f>
        <v>-2.1</v>
      </c>
      <c r="AF13" s="101">
        <f>INDEX('DEFAULT DATA'!$F$9:$H$40,'LOCAL DATASET'!$B$4,3)</f>
        <v>-2.1</v>
      </c>
      <c r="AG13" s="29"/>
    </row>
    <row r="14" spans="1:33" ht="20.100000000000001" customHeight="1">
      <c r="A14" s="25" t="s">
        <v>322</v>
      </c>
      <c r="B14" s="95"/>
      <c r="C14" s="98">
        <f>IF('LOCAL DATASET'!C12=$B$3,'LOCAL DATASET'!$B$11,INT('LOCAL DATASET'!B14*(100+'LOCAL DATASET'!C13)/100))</f>
        <v>0</v>
      </c>
      <c r="D14" s="98">
        <f>IF('LOCAL DATASET'!D12=$B$3,'LOCAL DATASET'!$B$11,INT('LOCAL DATASET'!C14*(100+'LOCAL DATASET'!D13)/100))</f>
        <v>1357.1428571428571</v>
      </c>
      <c r="E14" s="98">
        <f>IF('LOCAL DATASET'!E12=$B$3,'LOCAL DATASET'!$B$11,INT('LOCAL DATASET'!D14*(100+'LOCAL DATASET'!E13)/100))</f>
        <v>1378</v>
      </c>
      <c r="F14" s="98">
        <f>IF('LOCAL DATASET'!F12=$B$3,'LOCAL DATASET'!$B$11,INT('LOCAL DATASET'!E14*(100+'LOCAL DATASET'!F13)/100))</f>
        <v>1400</v>
      </c>
      <c r="G14" s="98">
        <f>IF('LOCAL DATASET'!G12=$B$3,'LOCAL DATASET'!$B$11,INT('LOCAL DATASET'!F14*(100+'LOCAL DATASET'!G13)/100))</f>
        <v>1422</v>
      </c>
      <c r="H14" s="98">
        <f>IF('LOCAL DATASET'!H12=$B$3,'LOCAL DATASET'!$B$11,INT('LOCAL DATASET'!G14*(100+'LOCAL DATASET'!H13)/100))</f>
        <v>1444</v>
      </c>
      <c r="I14" s="98">
        <f>IF('LOCAL DATASET'!I12=$B$3,'LOCAL DATASET'!$B$11,INT('LOCAL DATASET'!H14*(100+'LOCAL DATASET'!I13)/100))</f>
        <v>1467</v>
      </c>
      <c r="J14" s="98">
        <f>IF('LOCAL DATASET'!J12=$B$3,'LOCAL DATASET'!$B$11,INT('LOCAL DATASET'!I14*(100+'LOCAL DATASET'!J13)/100))</f>
        <v>1490</v>
      </c>
      <c r="K14" s="98">
        <f>IF('LOCAL DATASET'!K12=$B$3,'LOCAL DATASET'!$B$11,INT('LOCAL DATASET'!J14*(100+'LOCAL DATASET'!K13)/100))</f>
        <v>1513</v>
      </c>
      <c r="L14" s="98">
        <f>IF('LOCAL DATASET'!L12=$B$3,'LOCAL DATASET'!$B$11,INT('LOCAL DATASET'!K14*(100+'LOCAL DATASET'!L13)/100))</f>
        <v>1537</v>
      </c>
      <c r="M14" s="98">
        <f>IF('LOCAL DATASET'!M12=$B$3,'LOCAL DATASET'!$B$11,INT('LOCAL DATASET'!L14*(100+'LOCAL DATASET'!M13)/100))</f>
        <v>1504</v>
      </c>
      <c r="N14" s="98">
        <f>IF('LOCAL DATASET'!N12=$B$3,'LOCAL DATASET'!$B$11,INT('LOCAL DATASET'!M14*(100+'LOCAL DATASET'!N13)/100))</f>
        <v>1472</v>
      </c>
      <c r="O14" s="98">
        <f>IF('LOCAL DATASET'!O12=$B$3,'LOCAL DATASET'!$B$11,INT('LOCAL DATASET'!N14*(100+'LOCAL DATASET'!O13)/100))</f>
        <v>1441</v>
      </c>
      <c r="P14" s="98">
        <f>IF('LOCAL DATASET'!P12=$B$3,'LOCAL DATASET'!$B$11,INT('LOCAL DATASET'!O14*(100+'LOCAL DATASET'!P13)/100))</f>
        <v>1410</v>
      </c>
      <c r="Q14" s="98">
        <f>IF('LOCAL DATASET'!Q12=$B$3,'LOCAL DATASET'!$B$11,INT('LOCAL DATASET'!P14*(100+'LOCAL DATASET'!Q13)/100))</f>
        <v>1380</v>
      </c>
      <c r="R14" s="98">
        <f>IF('LOCAL DATASET'!R12=$B$3,'LOCAL DATASET'!$B$11,INT('LOCAL DATASET'!Q14*(100+'LOCAL DATASET'!R13)/100))</f>
        <v>1351</v>
      </c>
      <c r="S14" s="98">
        <f>IF('LOCAL DATASET'!S12=$B$3,'LOCAL DATASET'!$B$11,INT('LOCAL DATASET'!R14*(100+'LOCAL DATASET'!S13)/100))</f>
        <v>1322</v>
      </c>
      <c r="T14" s="98">
        <f>IF('LOCAL DATASET'!T12=$B$3,'LOCAL DATASET'!$B$11,INT('LOCAL DATASET'!S14*(100+'LOCAL DATASET'!T13)/100))</f>
        <v>1294</v>
      </c>
      <c r="U14" s="98">
        <f>IF('LOCAL DATASET'!U12=$B$3,'LOCAL DATASET'!$B$11,INT('LOCAL DATASET'!T14*(100+'LOCAL DATASET'!U13)/100))</f>
        <v>1266</v>
      </c>
      <c r="V14" s="98">
        <f>IF('LOCAL DATASET'!V12=$B$3,'LOCAL DATASET'!$B$11,INT('LOCAL DATASET'!U14*(100+'LOCAL DATASET'!V13)/100))</f>
        <v>1239</v>
      </c>
      <c r="W14" s="98">
        <f>IF('LOCAL DATASET'!W12=$B$3,'LOCAL DATASET'!$B$11,INT('LOCAL DATASET'!V14*(100+'LOCAL DATASET'!W13)/100))</f>
        <v>1212</v>
      </c>
      <c r="X14" s="98">
        <f>IF('LOCAL DATASET'!X12=$B$3,'LOCAL DATASET'!$B$11,INT('LOCAL DATASET'!W14*(100+'LOCAL DATASET'!X13)/100))</f>
        <v>1186</v>
      </c>
      <c r="Y14" s="98">
        <f>IF('LOCAL DATASET'!Y12=$B$3,'LOCAL DATASET'!$B$11,INT('LOCAL DATASET'!X14*(100+'LOCAL DATASET'!Y13)/100))</f>
        <v>1161</v>
      </c>
      <c r="Z14" s="98">
        <f>IF('LOCAL DATASET'!Z12=$B$3,'LOCAL DATASET'!$B$11,INT('LOCAL DATASET'!Y14*(100+'LOCAL DATASET'!Z13)/100))</f>
        <v>1136</v>
      </c>
      <c r="AA14" s="98">
        <f>IF('LOCAL DATASET'!AA12=$B$3,'LOCAL DATASET'!$B$11,INT('LOCAL DATASET'!Z14*(100+'LOCAL DATASET'!AA13)/100))</f>
        <v>1112</v>
      </c>
      <c r="AB14" s="98">
        <f>IF('LOCAL DATASET'!AB12=$B$3,'LOCAL DATASET'!$B$11,INT('LOCAL DATASET'!AA14*(100+'LOCAL DATASET'!AB13)/100))</f>
        <v>1088</v>
      </c>
      <c r="AC14" s="98">
        <f>IF('LOCAL DATASET'!AC12=$B$3,'LOCAL DATASET'!$B$11,INT('LOCAL DATASET'!AB14*(100+'LOCAL DATASET'!AC13)/100))</f>
        <v>1065</v>
      </c>
      <c r="AD14" s="98">
        <f>IF('LOCAL DATASET'!AD12=$B$3,'LOCAL DATASET'!$B$11,INT('LOCAL DATASET'!AC14*(100+'LOCAL DATASET'!AD13)/100))</f>
        <v>1042</v>
      </c>
      <c r="AE14" s="98">
        <f>IF('LOCAL DATASET'!AE12=$B$3,'LOCAL DATASET'!$B$11,INT('LOCAL DATASET'!AD14*(100+'LOCAL DATASET'!AE13)/100))</f>
        <v>1020</v>
      </c>
      <c r="AF14" s="98">
        <f>IF('LOCAL DATASET'!AF12=$B$3,'LOCAL DATASET'!$B$11,INT('LOCAL DATASET'!AE14*(100+'LOCAL DATASET'!AF13)/100))</f>
        <v>998</v>
      </c>
      <c r="AG14" s="95"/>
    </row>
    <row r="15" spans="1:33" ht="20.100000000000001" customHeight="1">
      <c r="A15" s="25"/>
      <c r="B15" s="95"/>
      <c r="C15" s="99"/>
      <c r="D15" s="99"/>
      <c r="E15" s="99"/>
      <c r="F15" s="99"/>
      <c r="G15" s="99"/>
      <c r="H15" s="99"/>
      <c r="I15" s="99"/>
      <c r="J15" s="99"/>
      <c r="K15" s="99"/>
      <c r="L15" s="99"/>
      <c r="M15" s="99"/>
      <c r="N15" s="99"/>
      <c r="O15" s="99"/>
      <c r="P15" s="99"/>
      <c r="Q15" s="99"/>
      <c r="R15" s="99"/>
      <c r="S15" s="99"/>
      <c r="T15" s="99"/>
      <c r="U15" s="99"/>
      <c r="V15" s="99"/>
      <c r="W15" s="99"/>
      <c r="X15" s="99"/>
      <c r="Y15" s="99"/>
      <c r="Z15" s="99"/>
      <c r="AA15" s="99"/>
      <c r="AB15" s="99"/>
      <c r="AC15" s="99"/>
      <c r="AD15" s="99"/>
      <c r="AE15" s="99"/>
      <c r="AF15" s="99"/>
      <c r="AG15" s="95"/>
    </row>
    <row r="16" spans="1:33" ht="20.100000000000001" customHeight="1">
      <c r="A16" s="26" t="s">
        <v>266</v>
      </c>
      <c r="B16" s="129"/>
      <c r="C16" s="99"/>
      <c r="D16" s="99"/>
      <c r="E16" s="99"/>
      <c r="F16" s="99"/>
      <c r="G16" s="99"/>
      <c r="H16" s="99"/>
      <c r="I16" s="99"/>
      <c r="J16" s="99"/>
      <c r="K16" s="99"/>
      <c r="L16" s="99"/>
      <c r="M16" s="99"/>
      <c r="N16" s="99"/>
      <c r="O16" s="99"/>
      <c r="P16" s="99"/>
      <c r="Q16" s="99"/>
      <c r="R16" s="99"/>
      <c r="S16" s="99"/>
      <c r="T16" s="99"/>
      <c r="U16" s="99"/>
      <c r="V16" s="99"/>
      <c r="W16" s="99"/>
      <c r="X16" s="99"/>
      <c r="Y16" s="99"/>
      <c r="Z16" s="99"/>
      <c r="AA16" s="99"/>
      <c r="AB16" s="99"/>
      <c r="AC16" s="99"/>
      <c r="AD16" s="99"/>
      <c r="AE16" s="99"/>
      <c r="AF16" s="99"/>
      <c r="AG16" s="95"/>
    </row>
    <row r="17" spans="1:33" ht="20.100000000000001" customHeight="1">
      <c r="A17" s="25" t="s">
        <v>148</v>
      </c>
      <c r="B17" s="27" t="s">
        <v>89</v>
      </c>
    </row>
    <row r="18" spans="1:33" ht="20.100000000000001" customHeight="1">
      <c r="A18" s="16" t="s">
        <v>84</v>
      </c>
      <c r="B18" s="23"/>
    </row>
    <row r="19" spans="1:33" ht="20.100000000000001" customHeight="1">
      <c r="A19" s="16" t="s">
        <v>85</v>
      </c>
      <c r="B19" s="23"/>
    </row>
    <row r="20" spans="1:33" ht="20.100000000000001" customHeight="1">
      <c r="A20" s="16" t="s">
        <v>86</v>
      </c>
      <c r="B20" s="23"/>
    </row>
    <row r="21" spans="1:33" ht="20.100000000000001" customHeight="1">
      <c r="A21" s="16" t="s">
        <v>87</v>
      </c>
      <c r="B21" s="23"/>
    </row>
    <row r="22" spans="1:33" ht="20.100000000000001" customHeight="1">
      <c r="A22" s="16" t="s">
        <v>88</v>
      </c>
      <c r="B22" s="23"/>
    </row>
    <row r="24" spans="1:33" ht="20.100000000000001" customHeight="1">
      <c r="A24" s="26" t="s">
        <v>36</v>
      </c>
      <c r="B24" s="27"/>
      <c r="C24" s="25"/>
      <c r="D24" s="29"/>
    </row>
    <row r="25" spans="1:33" ht="20.100000000000001" customHeight="1">
      <c r="A25" s="25" t="s">
        <v>323</v>
      </c>
      <c r="B25" s="103">
        <f>INDEX('DEFAULT DATA'!M9:M40,'LOCAL DATASET'!B4,1)</f>
        <v>1161.7265276536368</v>
      </c>
      <c r="C25" s="25" t="s">
        <v>325</v>
      </c>
    </row>
    <row r="26" spans="1:33" ht="20.100000000000001" customHeight="1">
      <c r="A26" s="25" t="s">
        <v>324</v>
      </c>
      <c r="B26" s="102">
        <v>18</v>
      </c>
      <c r="C26" s="25" t="s">
        <v>326</v>
      </c>
    </row>
    <row r="27" spans="1:33" ht="20.100000000000001" customHeight="1">
      <c r="A27" s="25"/>
      <c r="B27" s="25"/>
      <c r="C27" s="100">
        <f>C12</f>
        <v>2021</v>
      </c>
      <c r="D27" s="100">
        <f t="shared" ref="D27:AF27" si="4">D12</f>
        <v>2022</v>
      </c>
      <c r="E27" s="100">
        <f t="shared" si="4"/>
        <v>2023</v>
      </c>
      <c r="F27" s="100">
        <f t="shared" si="4"/>
        <v>2024</v>
      </c>
      <c r="G27" s="100">
        <f t="shared" si="4"/>
        <v>2025</v>
      </c>
      <c r="H27" s="100">
        <f t="shared" si="4"/>
        <v>2026</v>
      </c>
      <c r="I27" s="100">
        <f t="shared" si="4"/>
        <v>2027</v>
      </c>
      <c r="J27" s="100">
        <f t="shared" si="4"/>
        <v>2028</v>
      </c>
      <c r="K27" s="100">
        <f t="shared" si="4"/>
        <v>2029</v>
      </c>
      <c r="L27" s="100">
        <f t="shared" si="4"/>
        <v>2030</v>
      </c>
      <c r="M27" s="100">
        <f t="shared" si="4"/>
        <v>2031</v>
      </c>
      <c r="N27" s="100">
        <f t="shared" si="4"/>
        <v>2032</v>
      </c>
      <c r="O27" s="100">
        <f t="shared" si="4"/>
        <v>2033</v>
      </c>
      <c r="P27" s="100">
        <f t="shared" si="4"/>
        <v>2034</v>
      </c>
      <c r="Q27" s="100">
        <f t="shared" si="4"/>
        <v>2035</v>
      </c>
      <c r="R27" s="100">
        <f t="shared" si="4"/>
        <v>2036</v>
      </c>
      <c r="S27" s="100">
        <f t="shared" si="4"/>
        <v>2037</v>
      </c>
      <c r="T27" s="100">
        <f t="shared" si="4"/>
        <v>2038</v>
      </c>
      <c r="U27" s="100">
        <f t="shared" si="4"/>
        <v>2039</v>
      </c>
      <c r="V27" s="100">
        <f t="shared" si="4"/>
        <v>2040</v>
      </c>
      <c r="W27" s="100">
        <f t="shared" si="4"/>
        <v>2041</v>
      </c>
      <c r="X27" s="100">
        <f t="shared" si="4"/>
        <v>2042</v>
      </c>
      <c r="Y27" s="100">
        <f t="shared" si="4"/>
        <v>2043</v>
      </c>
      <c r="Z27" s="100">
        <f t="shared" si="4"/>
        <v>2044</v>
      </c>
      <c r="AA27" s="100">
        <f t="shared" si="4"/>
        <v>2045</v>
      </c>
      <c r="AB27" s="100">
        <f t="shared" si="4"/>
        <v>2046</v>
      </c>
      <c r="AC27" s="100">
        <f t="shared" si="4"/>
        <v>2047</v>
      </c>
      <c r="AD27" s="100">
        <f t="shared" si="4"/>
        <v>2048</v>
      </c>
      <c r="AE27" s="100">
        <f t="shared" si="4"/>
        <v>2049</v>
      </c>
      <c r="AF27" s="100">
        <f t="shared" si="4"/>
        <v>2050</v>
      </c>
    </row>
    <row r="28" spans="1:33" ht="20.100000000000001" customHeight="1">
      <c r="A28" s="25" t="s">
        <v>328</v>
      </c>
      <c r="B28" s="25"/>
      <c r="C28" s="102">
        <f>INDEX('DEFAULT DATA'!$O$9:$Q$40,'LOCAL DATASET'!$B$4,1)</f>
        <v>0.6</v>
      </c>
      <c r="D28" s="102">
        <f>INDEX('DEFAULT DATA'!$O$9:$Q$40,'LOCAL DATASET'!$B$4,1)</f>
        <v>0.6</v>
      </c>
      <c r="E28" s="102">
        <f>INDEX('DEFAULT DATA'!$O$9:$Q$40,'LOCAL DATASET'!$B$4,1)</f>
        <v>0.6</v>
      </c>
      <c r="F28" s="102">
        <f>INDEX('DEFAULT DATA'!$O$9:$Q$40,'LOCAL DATASET'!$B$4,1)</f>
        <v>0.6</v>
      </c>
      <c r="G28" s="102">
        <f>INDEX('DEFAULT DATA'!$O$9:$Q$40,'LOCAL DATASET'!$B$4,1)</f>
        <v>0.6</v>
      </c>
      <c r="H28" s="102">
        <f>INDEX('DEFAULT DATA'!$O$9:$Q$40,'LOCAL DATASET'!$B$4,1)</f>
        <v>0.6</v>
      </c>
      <c r="I28" s="102">
        <f>INDEX('DEFAULT DATA'!$O$9:$Q$40,'LOCAL DATASET'!$B$4,1)</f>
        <v>0.6</v>
      </c>
      <c r="J28" s="102">
        <f>INDEX('DEFAULT DATA'!$O$9:$Q$40,'LOCAL DATASET'!$B$4,1)</f>
        <v>0.6</v>
      </c>
      <c r="K28" s="102">
        <f>INDEX('DEFAULT DATA'!$O$9:$Q$40,'LOCAL DATASET'!$B$4,1)</f>
        <v>0.6</v>
      </c>
      <c r="L28" s="102">
        <f>INDEX('DEFAULT DATA'!$O$9:$Q$40,'LOCAL DATASET'!$B$4,1)</f>
        <v>0.6</v>
      </c>
      <c r="M28" s="102">
        <f>INDEX('DEFAULT DATA'!$O$9:$Q$40,'LOCAL DATASET'!$B$4,2)</f>
        <v>0.4</v>
      </c>
      <c r="N28" s="102">
        <f>INDEX('DEFAULT DATA'!$O$9:$Q$40,'LOCAL DATASET'!$B$4,2)</f>
        <v>0.4</v>
      </c>
      <c r="O28" s="102">
        <f>INDEX('DEFAULT DATA'!$O$9:$Q$40,'LOCAL DATASET'!$B$4,2)</f>
        <v>0.4</v>
      </c>
      <c r="P28" s="102">
        <f>INDEX('DEFAULT DATA'!$O$9:$Q$40,'LOCAL DATASET'!$B$4,2)</f>
        <v>0.4</v>
      </c>
      <c r="Q28" s="102">
        <f>INDEX('DEFAULT DATA'!$O$9:$Q$40,'LOCAL DATASET'!$B$4,2)</f>
        <v>0.4</v>
      </c>
      <c r="R28" s="102">
        <f>INDEX('DEFAULT DATA'!$O$9:$Q$40,'LOCAL DATASET'!$B$4,2)</f>
        <v>0.4</v>
      </c>
      <c r="S28" s="102">
        <f>INDEX('DEFAULT DATA'!$O$9:$Q$40,'LOCAL DATASET'!$B$4,2)</f>
        <v>0.4</v>
      </c>
      <c r="T28" s="102">
        <f>INDEX('DEFAULT DATA'!$O$9:$Q$40,'LOCAL DATASET'!$B$4,2)</f>
        <v>0.4</v>
      </c>
      <c r="U28" s="102">
        <f>INDEX('DEFAULT DATA'!$O$9:$Q$40,'LOCAL DATASET'!$B$4,2)</f>
        <v>0.4</v>
      </c>
      <c r="V28" s="102">
        <f>INDEX('DEFAULT DATA'!$O$9:$Q$40,'LOCAL DATASET'!$B$4,2)</f>
        <v>0.4</v>
      </c>
      <c r="W28" s="102">
        <f>INDEX('DEFAULT DATA'!$O$9:$Q$40,'LOCAL DATASET'!$B$4,3)</f>
        <v>0.4</v>
      </c>
      <c r="X28" s="102">
        <f>INDEX('DEFAULT DATA'!$O$9:$Q$40,'LOCAL DATASET'!$B$4,3)</f>
        <v>0.4</v>
      </c>
      <c r="Y28" s="102">
        <f>INDEX('DEFAULT DATA'!$O$9:$Q$40,'LOCAL DATASET'!$B$4,3)</f>
        <v>0.4</v>
      </c>
      <c r="Z28" s="102">
        <f>INDEX('DEFAULT DATA'!$O$9:$Q$40,'LOCAL DATASET'!$B$4,3)</f>
        <v>0.4</v>
      </c>
      <c r="AA28" s="102">
        <f>INDEX('DEFAULT DATA'!$O$9:$Q$40,'LOCAL DATASET'!$B$4,3)</f>
        <v>0.4</v>
      </c>
      <c r="AB28" s="102">
        <f>INDEX('DEFAULT DATA'!$O$9:$Q$40,'LOCAL DATASET'!$B$4,3)</f>
        <v>0.4</v>
      </c>
      <c r="AC28" s="102">
        <f>INDEX('DEFAULT DATA'!$O$9:$Q$40,'LOCAL DATASET'!$B$4,3)</f>
        <v>0.4</v>
      </c>
      <c r="AD28" s="102">
        <f>INDEX('DEFAULT DATA'!$O$9:$Q$40,'LOCAL DATASET'!$B$4,3)</f>
        <v>0.4</v>
      </c>
      <c r="AE28" s="102">
        <f>INDEX('DEFAULT DATA'!$O$9:$Q$40,'LOCAL DATASET'!$B$4,3)</f>
        <v>0.4</v>
      </c>
      <c r="AF28" s="102">
        <f>INDEX('DEFAULT DATA'!$O$9:$Q$40,'LOCAL DATASET'!$B$4,3)</f>
        <v>0.4</v>
      </c>
    </row>
    <row r="29" spans="1:33" ht="20.100000000000001" customHeight="1">
      <c r="A29" s="25"/>
      <c r="B29" s="25"/>
      <c r="C29" s="25"/>
      <c r="D29" s="1564" t="s">
        <v>378</v>
      </c>
      <c r="E29" s="1564"/>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row>
    <row r="30" spans="1:33" ht="20.100000000000001" customHeight="1">
      <c r="A30" s="25" t="s">
        <v>330</v>
      </c>
      <c r="B30" s="25"/>
      <c r="C30" s="27" t="s">
        <v>89</v>
      </c>
      <c r="D30" s="130" t="s">
        <v>379</v>
      </c>
      <c r="E30" s="82" t="s">
        <v>380</v>
      </c>
    </row>
    <row r="31" spans="1:33" ht="20.100000000000001" customHeight="1">
      <c r="A31" s="108" t="s">
        <v>196</v>
      </c>
      <c r="B31" s="25"/>
      <c r="C31" s="96">
        <f>INDEX('DEFAULT DATA'!$R$9:$V$40,'LOCAL DATASET'!$B$4,1)</f>
        <v>0.5</v>
      </c>
    </row>
    <row r="32" spans="1:33" ht="20.100000000000001" customHeight="1">
      <c r="A32" s="108" t="s">
        <v>197</v>
      </c>
      <c r="B32" s="25"/>
      <c r="C32" s="96">
        <f>INDEX('DEFAULT DATA'!$R$9:$V$40,'LOCAL DATASET'!$B$4,2)</f>
        <v>0</v>
      </c>
    </row>
    <row r="33" spans="1:3" ht="20.100000000000001" customHeight="1">
      <c r="A33" s="108" t="s">
        <v>198</v>
      </c>
      <c r="B33" s="25"/>
      <c r="C33" s="96">
        <f>INDEX('DEFAULT DATA'!$R$9:$V$40,'LOCAL DATASET'!$B$4,3)</f>
        <v>99.4</v>
      </c>
    </row>
    <row r="34" spans="1:3" ht="20.100000000000001" customHeight="1">
      <c r="A34" s="108" t="s">
        <v>199</v>
      </c>
      <c r="B34" s="25"/>
      <c r="C34" s="96">
        <f>INDEX('DEFAULT DATA'!$R$9:$V$40,'LOCAL DATASET'!$B$4,4)</f>
        <v>0.2</v>
      </c>
    </row>
    <row r="35" spans="1:3" ht="20.100000000000001" customHeight="1">
      <c r="A35" s="108" t="s">
        <v>200</v>
      </c>
      <c r="B35" s="25"/>
      <c r="C35" s="96">
        <f>INDEX('DEFAULT DATA'!$R$9:$V$40,'LOCAL DATASET'!$B$4,5)</f>
        <v>0</v>
      </c>
    </row>
    <row r="36" spans="1:3" ht="20.100000000000001" customHeight="1">
      <c r="A36" s="109" t="str">
        <f>IF(C36=100,"","percentages need to total 100")</f>
        <v>percentages need to total 100</v>
      </c>
      <c r="B36" s="25"/>
      <c r="C36" s="27">
        <f t="shared" ref="C36" si="5">SUM(C33:C35)</f>
        <v>99.600000000000009</v>
      </c>
    </row>
    <row r="43" spans="1:3" ht="20.100000000000001" customHeight="1">
      <c r="A43" s="25" t="s">
        <v>240</v>
      </c>
      <c r="B43" s="27" t="s">
        <v>315</v>
      </c>
    </row>
    <row r="44" spans="1:3" ht="20.100000000000001" customHeight="1">
      <c r="A44" s="91"/>
      <c r="B44" s="91"/>
    </row>
    <row r="45" spans="1:3" ht="20.100000000000001" customHeight="1">
      <c r="A45" s="91"/>
      <c r="B45" s="91"/>
    </row>
    <row r="46" spans="1:3" ht="20.100000000000001" customHeight="1">
      <c r="A46" s="91"/>
      <c r="B46" s="91"/>
    </row>
    <row r="47" spans="1:3" ht="20.100000000000001" customHeight="1">
      <c r="A47" s="91"/>
      <c r="B47" s="91"/>
    </row>
    <row r="48" spans="1:3" ht="20.100000000000001" customHeight="1">
      <c r="A48" s="91"/>
      <c r="B48" s="91"/>
    </row>
    <row r="49" spans="1:2" ht="20.100000000000001" customHeight="1">
      <c r="A49" s="91"/>
      <c r="B49" s="91"/>
    </row>
    <row r="50" spans="1:2" ht="20.100000000000001" customHeight="1">
      <c r="A50" s="91"/>
      <c r="B50" s="91"/>
    </row>
    <row r="51" spans="1:2" ht="20.100000000000001" customHeight="1">
      <c r="A51" s="91"/>
      <c r="B51" s="91"/>
    </row>
    <row r="52" spans="1:2" ht="20.100000000000001" customHeight="1">
      <c r="A52" s="91"/>
      <c r="B52" s="91"/>
    </row>
    <row r="53" spans="1:2" ht="20.100000000000001" customHeight="1">
      <c r="A53" s="91"/>
      <c r="B53" s="91"/>
    </row>
    <row r="54" spans="1:2" ht="20.100000000000001" customHeight="1">
      <c r="A54" s="91"/>
      <c r="B54" s="91"/>
    </row>
    <row r="55" spans="1:2" ht="20.100000000000001" customHeight="1">
      <c r="A55" s="91"/>
      <c r="B55" s="91"/>
    </row>
    <row r="56" spans="1:2" ht="20.100000000000001" customHeight="1">
      <c r="A56" s="91"/>
      <c r="B56" s="91"/>
    </row>
    <row r="57" spans="1:2" ht="20.100000000000001" customHeight="1">
      <c r="A57" s="25" t="s">
        <v>241</v>
      </c>
      <c r="B57" s="27" t="s">
        <v>315</v>
      </c>
    </row>
    <row r="58" spans="1:2" ht="20.100000000000001" customHeight="1">
      <c r="A58" s="91"/>
      <c r="B58" s="91"/>
    </row>
    <row r="59" spans="1:2" ht="20.100000000000001" customHeight="1">
      <c r="A59" s="91"/>
      <c r="B59" s="91"/>
    </row>
    <row r="60" spans="1:2" ht="20.100000000000001" customHeight="1">
      <c r="A60" s="91"/>
      <c r="B60" s="91"/>
    </row>
    <row r="61" spans="1:2" ht="20.100000000000001" customHeight="1">
      <c r="A61" s="91"/>
      <c r="B61" s="91"/>
    </row>
    <row r="62" spans="1:2" ht="20.100000000000001" customHeight="1">
      <c r="A62" s="91"/>
      <c r="B62" s="91"/>
    </row>
    <row r="63" spans="1:2" ht="20.100000000000001" customHeight="1">
      <c r="A63" s="91"/>
      <c r="B63" s="91"/>
    </row>
    <row r="64" spans="1:2" ht="20.100000000000001" customHeight="1">
      <c r="A64" s="91"/>
      <c r="B64" s="91"/>
    </row>
    <row r="65" spans="1:32" ht="20.100000000000001" customHeight="1">
      <c r="A65" s="91"/>
      <c r="B65" s="91"/>
    </row>
    <row r="66" spans="1:32" ht="20.100000000000001" customHeight="1">
      <c r="A66" s="91"/>
      <c r="B66" s="91"/>
    </row>
    <row r="67" spans="1:32" ht="20.100000000000001" customHeight="1">
      <c r="A67" s="91"/>
      <c r="B67" s="91"/>
    </row>
    <row r="68" spans="1:32" ht="20.100000000000001" customHeight="1">
      <c r="A68" s="91"/>
      <c r="B68" s="91"/>
    </row>
    <row r="69" spans="1:32" ht="20.100000000000001" customHeight="1">
      <c r="A69" s="91"/>
      <c r="B69" s="91"/>
    </row>
    <row r="70" spans="1:32" ht="20.100000000000001" customHeight="1">
      <c r="A70" s="91"/>
      <c r="B70" s="91"/>
    </row>
    <row r="71" spans="1:32" ht="20.100000000000001" customHeight="1">
      <c r="C71" s="153"/>
    </row>
    <row r="74" spans="1:32" ht="20.100000000000001" customHeight="1">
      <c r="C74" s="155"/>
      <c r="D74" s="155"/>
      <c r="E74" s="155"/>
      <c r="F74" s="155"/>
      <c r="G74" s="155"/>
      <c r="H74" s="155"/>
      <c r="I74" s="155"/>
      <c r="J74" s="155"/>
      <c r="K74" s="155"/>
      <c r="L74" s="155"/>
    </row>
    <row r="76" spans="1:32" ht="20.100000000000001" customHeight="1">
      <c r="A76" s="141" t="s">
        <v>783</v>
      </c>
    </row>
    <row r="77" spans="1:32" ht="20.100000000000001" customHeight="1">
      <c r="A77" s="91" t="s">
        <v>785</v>
      </c>
      <c r="B77" s="142">
        <v>2020</v>
      </c>
      <c r="C77" s="144">
        <f>B77+1</f>
        <v>2021</v>
      </c>
      <c r="D77" s="144">
        <f t="shared" ref="D77:AF77" si="6">C77+1</f>
        <v>2022</v>
      </c>
      <c r="E77" s="144">
        <f t="shared" si="6"/>
        <v>2023</v>
      </c>
      <c r="F77" s="144">
        <f t="shared" si="6"/>
        <v>2024</v>
      </c>
      <c r="G77" s="144">
        <f t="shared" si="6"/>
        <v>2025</v>
      </c>
      <c r="H77" s="144">
        <f t="shared" si="6"/>
        <v>2026</v>
      </c>
      <c r="I77" s="144">
        <f t="shared" si="6"/>
        <v>2027</v>
      </c>
      <c r="J77" s="144">
        <f>I77+1</f>
        <v>2028</v>
      </c>
      <c r="K77" s="144">
        <f t="shared" si="6"/>
        <v>2029</v>
      </c>
      <c r="L77" s="144">
        <f t="shared" si="6"/>
        <v>2030</v>
      </c>
      <c r="M77" s="144">
        <f t="shared" si="6"/>
        <v>2031</v>
      </c>
      <c r="N77" s="144">
        <f t="shared" si="6"/>
        <v>2032</v>
      </c>
      <c r="O77" s="144">
        <f t="shared" si="6"/>
        <v>2033</v>
      </c>
      <c r="P77" s="144">
        <f t="shared" si="6"/>
        <v>2034</v>
      </c>
      <c r="Q77" s="144">
        <f t="shared" si="6"/>
        <v>2035</v>
      </c>
      <c r="R77" s="144">
        <f t="shared" si="6"/>
        <v>2036</v>
      </c>
      <c r="S77" s="144">
        <f t="shared" si="6"/>
        <v>2037</v>
      </c>
      <c r="T77" s="144">
        <f t="shared" si="6"/>
        <v>2038</v>
      </c>
      <c r="U77" s="144">
        <f t="shared" si="6"/>
        <v>2039</v>
      </c>
      <c r="V77" s="144">
        <f t="shared" si="6"/>
        <v>2040</v>
      </c>
      <c r="W77" s="144">
        <f t="shared" si="6"/>
        <v>2041</v>
      </c>
      <c r="X77" s="144">
        <f t="shared" si="6"/>
        <v>2042</v>
      </c>
      <c r="Y77" s="144">
        <f t="shared" si="6"/>
        <v>2043</v>
      </c>
      <c r="Z77" s="144">
        <f t="shared" si="6"/>
        <v>2044</v>
      </c>
      <c r="AA77" s="144">
        <f t="shared" si="6"/>
        <v>2045</v>
      </c>
      <c r="AB77" s="144">
        <f t="shared" si="6"/>
        <v>2046</v>
      </c>
      <c r="AC77" s="144">
        <f t="shared" si="6"/>
        <v>2047</v>
      </c>
      <c r="AD77" s="144">
        <f t="shared" si="6"/>
        <v>2048</v>
      </c>
      <c r="AE77" s="144">
        <f t="shared" si="6"/>
        <v>2049</v>
      </c>
      <c r="AF77" s="144">
        <f t="shared" si="6"/>
        <v>2050</v>
      </c>
    </row>
    <row r="78" spans="1:32" ht="20.100000000000001" customHeight="1">
      <c r="A78" s="91" t="s">
        <v>781</v>
      </c>
      <c r="B78" s="143">
        <v>-548995.30470780982</v>
      </c>
      <c r="C78" s="143">
        <f>B78*(100+C85)/100</f>
        <v>-548687.54905057605</v>
      </c>
      <c r="D78" s="143">
        <f t="shared" ref="D78:K78" si="7">C78*(100+D85)/100</f>
        <v>-548379.96591493534</v>
      </c>
      <c r="E78" s="143">
        <f t="shared" si="7"/>
        <v>-548072.55520417576</v>
      </c>
      <c r="F78" s="143">
        <f t="shared" si="7"/>
        <v>-547765.31682163919</v>
      </c>
      <c r="G78" s="143">
        <f t="shared" si="7"/>
        <v>-547458.25067072199</v>
      </c>
      <c r="H78" s="143">
        <f t="shared" si="7"/>
        <v>-547151.35665487451</v>
      </c>
      <c r="I78" s="143">
        <f t="shared" si="7"/>
        <v>-546844.6346776014</v>
      </c>
      <c r="J78" s="143">
        <f t="shared" si="7"/>
        <v>-546538.08464246127</v>
      </c>
      <c r="K78" s="143">
        <f t="shared" si="7"/>
        <v>-546231.7064530669</v>
      </c>
      <c r="L78" s="143">
        <v>-545925.50001308473</v>
      </c>
      <c r="M78" s="143">
        <f>L78*(100+M85)/100</f>
        <v>-558574.37349419261</v>
      </c>
      <c r="N78" s="143">
        <f t="shared" ref="N78:U78" si="8">M78*(100+N85)/100</f>
        <v>-571516.3162683401</v>
      </c>
      <c r="O78" s="143">
        <f t="shared" si="8"/>
        <v>-584758.11863275396</v>
      </c>
      <c r="P78" s="143">
        <f t="shared" si="8"/>
        <v>-598306.7282131071</v>
      </c>
      <c r="Q78" s="143">
        <f t="shared" si="8"/>
        <v>-612169.25360875507</v>
      </c>
      <c r="R78" s="143">
        <f t="shared" si="8"/>
        <v>-626352.96812243108</v>
      </c>
      <c r="S78" s="143">
        <f t="shared" si="8"/>
        <v>-640865.31357635686</v>
      </c>
      <c r="T78" s="143">
        <f t="shared" si="8"/>
        <v>-655713.90421677136</v>
      </c>
      <c r="U78" s="143">
        <f t="shared" si="8"/>
        <v>-670906.53070892545</v>
      </c>
      <c r="V78" s="143">
        <v>-686451.16422463895</v>
      </c>
      <c r="W78" s="143">
        <f>V78*(100+W85)/100</f>
        <v>-702355.96062456642</v>
      </c>
      <c r="X78" s="143">
        <f t="shared" ref="X78:AF78" si="9">W78*(100+X85)/100</f>
        <v>-718629.26473736065</v>
      </c>
      <c r="Y78" s="143">
        <f t="shared" si="9"/>
        <v>-735279.61473798635</v>
      </c>
      <c r="Z78" s="143">
        <f t="shared" si="9"/>
        <v>-752315.74662747607</v>
      </c>
      <c r="AA78" s="143">
        <f t="shared" si="9"/>
        <v>-769746.59881648002</v>
      </c>
      <c r="AB78" s="143">
        <f t="shared" si="9"/>
        <v>-787581.31681501539</v>
      </c>
      <c r="AC78" s="143">
        <f t="shared" si="9"/>
        <v>-805829.25803087489</v>
      </c>
      <c r="AD78" s="143">
        <f t="shared" si="9"/>
        <v>-824499.9966792129</v>
      </c>
      <c r="AE78" s="143">
        <f t="shared" si="9"/>
        <v>-843603.32880588458</v>
      </c>
      <c r="AF78" s="143">
        <f t="shared" si="9"/>
        <v>-863149.27742717322</v>
      </c>
    </row>
    <row r="79" spans="1:32" ht="20.100000000000001" customHeight="1">
      <c r="A79" s="91" t="s">
        <v>268</v>
      </c>
      <c r="B79" s="143">
        <v>163008.86814203212</v>
      </c>
      <c r="C79" s="143">
        <f t="shared" ref="C79:K79" si="10">B79*(100+C86)/100</f>
        <v>164954.40576199477</v>
      </c>
      <c r="D79" s="143">
        <f t="shared" si="10"/>
        <v>166923.16369305973</v>
      </c>
      <c r="E79" s="143">
        <f t="shared" si="10"/>
        <v>168915.41907345454</v>
      </c>
      <c r="F79" s="143">
        <f t="shared" si="10"/>
        <v>170931.45234909709</v>
      </c>
      <c r="G79" s="143">
        <f t="shared" si="10"/>
        <v>172971.5473130733</v>
      </c>
      <c r="H79" s="143">
        <f t="shared" si="10"/>
        <v>175035.99114558625</v>
      </c>
      <c r="I79" s="143">
        <f t="shared" si="10"/>
        <v>177125.07445438189</v>
      </c>
      <c r="J79" s="143">
        <f t="shared" si="10"/>
        <v>179239.09131565734</v>
      </c>
      <c r="K79" s="143">
        <f t="shared" si="10"/>
        <v>181378.33931545753</v>
      </c>
      <c r="L79" s="143">
        <v>183543.11959156572</v>
      </c>
      <c r="M79" s="143">
        <f t="shared" ref="M79:U79" si="11">L79*(100+M86)/100</f>
        <v>183854.58326840372</v>
      </c>
      <c r="N79" s="143">
        <f t="shared" si="11"/>
        <v>184166.57548383367</v>
      </c>
      <c r="O79" s="143">
        <f t="shared" si="11"/>
        <v>184479.09713475965</v>
      </c>
      <c r="P79" s="143">
        <f t="shared" si="11"/>
        <v>184792.14911960773</v>
      </c>
      <c r="Q79" s="143">
        <f t="shared" si="11"/>
        <v>185105.73233832858</v>
      </c>
      <c r="R79" s="143">
        <f t="shared" si="11"/>
        <v>185419.84769240007</v>
      </c>
      <c r="S79" s="143">
        <f t="shared" si="11"/>
        <v>185734.49608482976</v>
      </c>
      <c r="T79" s="143">
        <f t="shared" si="11"/>
        <v>186049.67842015767</v>
      </c>
      <c r="U79" s="143">
        <f t="shared" si="11"/>
        <v>186365.39560445867</v>
      </c>
      <c r="V79" s="143">
        <v>186681.64854534509</v>
      </c>
      <c r="W79" s="143">
        <f t="shared" ref="W79:AF79" si="12">V79*(100+W86)/100</f>
        <v>186998.43815196995</v>
      </c>
      <c r="X79" s="143">
        <f t="shared" si="12"/>
        <v>187315.76533502855</v>
      </c>
      <c r="Y79" s="143">
        <f t="shared" si="12"/>
        <v>187633.63100676172</v>
      </c>
      <c r="Z79" s="143">
        <f t="shared" si="12"/>
        <v>187952.03608095832</v>
      </c>
      <c r="AA79" s="143">
        <f t="shared" si="12"/>
        <v>188270.98147295797</v>
      </c>
      <c r="AB79" s="143">
        <f t="shared" si="12"/>
        <v>188590.46809965343</v>
      </c>
      <c r="AC79" s="143">
        <f t="shared" si="12"/>
        <v>188910.49687949344</v>
      </c>
      <c r="AD79" s="143">
        <f t="shared" si="12"/>
        <v>189231.06873248532</v>
      </c>
      <c r="AE79" s="143">
        <f t="shared" si="12"/>
        <v>189552.18458019765</v>
      </c>
      <c r="AF79" s="143">
        <f t="shared" si="12"/>
        <v>189873.8453457627</v>
      </c>
    </row>
    <row r="80" spans="1:32" ht="20.100000000000001" customHeight="1">
      <c r="A80" s="91" t="s">
        <v>269</v>
      </c>
      <c r="B80" s="143">
        <v>17139.667854325202</v>
      </c>
      <c r="C80" s="143">
        <f t="shared" ref="C80:K80" si="13">B80*(100+C87)/100</f>
        <v>17055.501844629558</v>
      </c>
      <c r="D80" s="143">
        <f t="shared" si="13"/>
        <v>16971.749140328644</v>
      </c>
      <c r="E80" s="143">
        <f t="shared" si="13"/>
        <v>16888.407711846034</v>
      </c>
      <c r="F80" s="143">
        <f t="shared" si="13"/>
        <v>16805.475539571729</v>
      </c>
      <c r="G80" s="143">
        <f t="shared" si="13"/>
        <v>16722.950613813231</v>
      </c>
      <c r="H80" s="143">
        <f t="shared" si="13"/>
        <v>16640.830934746824</v>
      </c>
      <c r="I80" s="143">
        <f t="shared" si="13"/>
        <v>16559.114512369124</v>
      </c>
      <c r="J80" s="143">
        <f t="shared" si="13"/>
        <v>16477.799366448857</v>
      </c>
      <c r="K80" s="143">
        <f t="shared" si="13"/>
        <v>16396.883526478861</v>
      </c>
      <c r="L80" s="143">
        <v>16316.365031628355</v>
      </c>
      <c r="M80" s="143">
        <f t="shared" ref="M80:U80" si="14">L80*(100+M87)/100</f>
        <v>16323.834197677026</v>
      </c>
      <c r="N80" s="143">
        <f t="shared" si="14"/>
        <v>16331.306782896656</v>
      </c>
      <c r="O80" s="143">
        <f t="shared" si="14"/>
        <v>16338.782788852444</v>
      </c>
      <c r="P80" s="143">
        <f t="shared" si="14"/>
        <v>16346.262217110305</v>
      </c>
      <c r="Q80" s="143">
        <f t="shared" si="14"/>
        <v>16353.745069236869</v>
      </c>
      <c r="R80" s="143">
        <f t="shared" si="14"/>
        <v>16361.23134679949</v>
      </c>
      <c r="S80" s="143">
        <f t="shared" si="14"/>
        <v>16368.721051366228</v>
      </c>
      <c r="T80" s="143">
        <f t="shared" si="14"/>
        <v>16376.214184505874</v>
      </c>
      <c r="U80" s="143">
        <f t="shared" si="14"/>
        <v>16383.710747787929</v>
      </c>
      <c r="V80" s="143">
        <v>16391.210742782612</v>
      </c>
      <c r="W80" s="143">
        <f t="shared" ref="W80:AF80" si="15">V80*(100+W87)/100</f>
        <v>16398.714171060867</v>
      </c>
      <c r="X80" s="143">
        <f t="shared" si="15"/>
        <v>16406.22103419435</v>
      </c>
      <c r="Y80" s="143">
        <f t="shared" si="15"/>
        <v>16413.731333755437</v>
      </c>
      <c r="Z80" s="143">
        <f t="shared" si="15"/>
        <v>16421.245071317233</v>
      </c>
      <c r="AA80" s="143">
        <f t="shared" si="15"/>
        <v>16428.762248453553</v>
      </c>
      <c r="AB80" s="143">
        <f t="shared" si="15"/>
        <v>16436.282866738937</v>
      </c>
      <c r="AC80" s="143">
        <f t="shared" si="15"/>
        <v>16443.806927748643</v>
      </c>
      <c r="AD80" s="143">
        <f t="shared" si="15"/>
        <v>16451.334433058655</v>
      </c>
      <c r="AE80" s="143">
        <f t="shared" si="15"/>
        <v>16458.865384245673</v>
      </c>
      <c r="AF80" s="143">
        <f t="shared" si="15"/>
        <v>16466.399782887122</v>
      </c>
    </row>
    <row r="81" spans="1:32" ht="20.100000000000001" customHeight="1">
      <c r="A81" s="91" t="s">
        <v>782</v>
      </c>
      <c r="B81" s="143">
        <v>24937.229909639544</v>
      </c>
      <c r="C81" s="143">
        <f t="shared" ref="C81:K81" si="16">B81*(100+C88)/100</f>
        <v>24794.376777075602</v>
      </c>
      <c r="D81" s="143">
        <f t="shared" si="16"/>
        <v>24652.341979890418</v>
      </c>
      <c r="E81" s="143">
        <f t="shared" si="16"/>
        <v>24511.120830242853</v>
      </c>
      <c r="F81" s="143">
        <f t="shared" si="16"/>
        <v>24370.708667146104</v>
      </c>
      <c r="G81" s="143">
        <f t="shared" si="16"/>
        <v>24231.100856313864</v>
      </c>
      <c r="H81" s="143">
        <f t="shared" si="16"/>
        <v>24092.292790007381</v>
      </c>
      <c r="I81" s="143">
        <f t="shared" si="16"/>
        <v>23954.279886883371</v>
      </c>
      <c r="J81" s="143">
        <f t="shared" si="16"/>
        <v>23817.057591842815</v>
      </c>
      <c r="K81" s="143">
        <f t="shared" si="16"/>
        <v>23680.621375880619</v>
      </c>
      <c r="L81" s="143">
        <v>23544.966735936116</v>
      </c>
      <c r="M81" s="143">
        <f t="shared" ref="M81:U81" si="17">L81*(100+M88)/100</f>
        <v>23469.79144915142</v>
      </c>
      <c r="N81" s="143">
        <f t="shared" si="17"/>
        <v>23394.856184950178</v>
      </c>
      <c r="O81" s="143">
        <f t="shared" si="17"/>
        <v>23320.16017697893</v>
      </c>
      <c r="P81" s="143">
        <f t="shared" si="17"/>
        <v>23245.702661331066</v>
      </c>
      <c r="Q81" s="143">
        <f t="shared" si="17"/>
        <v>23171.482876539012</v>
      </c>
      <c r="R81" s="143">
        <f t="shared" si="17"/>
        <v>23097.500063566429</v>
      </c>
      <c r="S81" s="143">
        <f t="shared" si="17"/>
        <v>23023.753465800466</v>
      </c>
      <c r="T81" s="143">
        <f t="shared" si="17"/>
        <v>22950.242329044013</v>
      </c>
      <c r="U81" s="143">
        <f t="shared" si="17"/>
        <v>22876.965901507981</v>
      </c>
      <c r="V81" s="143">
        <v>22803.923433803655</v>
      </c>
      <c r="W81" s="143">
        <f t="shared" ref="W81:AF81" si="18">V81*(100+W88)/100</f>
        <v>22731.114178934931</v>
      </c>
      <c r="X81" s="143">
        <f t="shared" si="18"/>
        <v>22658.537392290807</v>
      </c>
      <c r="Y81" s="143">
        <f t="shared" si="18"/>
        <v>22586.192331637678</v>
      </c>
      <c r="Z81" s="143">
        <f t="shared" si="18"/>
        <v>22514.078257111782</v>
      </c>
      <c r="AA81" s="143">
        <f t="shared" si="18"/>
        <v>22442.19443121161</v>
      </c>
      <c r="AB81" s="143">
        <f t="shared" si="18"/>
        <v>22370.540118790384</v>
      </c>
      <c r="AC81" s="143">
        <f t="shared" si="18"/>
        <v>22299.114587048531</v>
      </c>
      <c r="AD81" s="143">
        <f t="shared" si="18"/>
        <v>22227.917105526183</v>
      </c>
      <c r="AE81" s="143">
        <f t="shared" si="18"/>
        <v>22156.946946095723</v>
      </c>
      <c r="AF81" s="143">
        <f t="shared" si="18"/>
        <v>22086.203382954318</v>
      </c>
    </row>
    <row r="82" spans="1:32" ht="20.100000000000001" customHeight="1">
      <c r="A82" s="91" t="s">
        <v>267</v>
      </c>
      <c r="B82" s="143">
        <v>47000.43170107132</v>
      </c>
      <c r="C82" s="143">
        <f t="shared" ref="C82:K82" si="19">B82*(100+C89)/100</f>
        <v>46952.085215016465</v>
      </c>
      <c r="D82" s="143">
        <f t="shared" si="19"/>
        <v>46903.788460051932</v>
      </c>
      <c r="E82" s="143">
        <f t="shared" si="19"/>
        <v>46855.541385022363</v>
      </c>
      <c r="F82" s="143">
        <f t="shared" si="19"/>
        <v>46807.343938825041</v>
      </c>
      <c r="G82" s="143">
        <f t="shared" si="19"/>
        <v>46759.196070409787</v>
      </c>
      <c r="H82" s="143">
        <f t="shared" si="19"/>
        <v>46711.097728778965</v>
      </c>
      <c r="I82" s="143">
        <f t="shared" si="19"/>
        <v>46663.048862987387</v>
      </c>
      <c r="J82" s="143">
        <f t="shared" si="19"/>
        <v>46615.049422142256</v>
      </c>
      <c r="K82" s="143">
        <f t="shared" si="19"/>
        <v>46567.099355403137</v>
      </c>
      <c r="L82" s="143">
        <v>46519.198611981854</v>
      </c>
      <c r="M82" s="143">
        <f t="shared" ref="M82:U82" si="20">L82*(100+M89)/100</f>
        <v>45939.099590151876</v>
      </c>
      <c r="N82" s="143">
        <f t="shared" si="20"/>
        <v>45366.234460675361</v>
      </c>
      <c r="O82" s="143">
        <f t="shared" si="20"/>
        <v>44800.513016196986</v>
      </c>
      <c r="P82" s="143">
        <f t="shared" si="20"/>
        <v>44241.846174256105</v>
      </c>
      <c r="Q82" s="143">
        <f t="shared" si="20"/>
        <v>43690.14596325918</v>
      </c>
      <c r="R82" s="143">
        <f t="shared" si="20"/>
        <v>43145.325508627204</v>
      </c>
      <c r="S82" s="143">
        <f t="shared" si="20"/>
        <v>42607.299019115751</v>
      </c>
      <c r="T82" s="143">
        <f t="shared" si="20"/>
        <v>42075.981773305757</v>
      </c>
      <c r="U82" s="143">
        <f t="shared" si="20"/>
        <v>41551.290106262641</v>
      </c>
      <c r="V82" s="143">
        <v>41033.14139636192</v>
      </c>
      <c r="W82" s="143">
        <f t="shared" ref="W82:AF82" si="21">V82*(100+W89)/100</f>
        <v>40521.454052278794</v>
      </c>
      <c r="X82" s="143">
        <f t="shared" si="21"/>
        <v>40016.147500140542</v>
      </c>
      <c r="Y82" s="143">
        <f t="shared" si="21"/>
        <v>39517.142170838575</v>
      </c>
      <c r="Z82" s="143">
        <f t="shared" si="21"/>
        <v>39024.359487498994</v>
      </c>
      <c r="AA82" s="143">
        <f t="shared" si="21"/>
        <v>38537.721853109295</v>
      </c>
      <c r="AB82" s="143">
        <f t="shared" si="21"/>
        <v>38057.152638299434</v>
      </c>
      <c r="AC82" s="143">
        <f t="shared" si="21"/>
        <v>37582.576169275198</v>
      </c>
      <c r="AD82" s="143">
        <f t="shared" si="21"/>
        <v>37113.917715902113</v>
      </c>
      <c r="AE82" s="143">
        <f t="shared" si="21"/>
        <v>36651.103479937876</v>
      </c>
      <c r="AF82" s="143">
        <f t="shared" si="21"/>
        <v>36194.060583411607</v>
      </c>
    </row>
    <row r="83" spans="1:32" ht="20.100000000000001" customHeight="1">
      <c r="A83" s="91" t="s">
        <v>784</v>
      </c>
      <c r="B83" s="143">
        <v>-111907.03951127999</v>
      </c>
      <c r="C83" s="143">
        <f t="shared" ref="C83:K83" si="22">B83*(100+C90)/100</f>
        <v>-110709.81112090258</v>
      </c>
      <c r="D83" s="143">
        <f t="shared" si="22"/>
        <v>-109525.39118140536</v>
      </c>
      <c r="E83" s="143">
        <f t="shared" si="22"/>
        <v>-108353.64266261488</v>
      </c>
      <c r="F83" s="143">
        <f t="shared" si="22"/>
        <v>-107194.43000036394</v>
      </c>
      <c r="G83" s="143">
        <f t="shared" si="22"/>
        <v>-106047.61908080761</v>
      </c>
      <c r="H83" s="143">
        <f t="shared" si="22"/>
        <v>-104913.077224907</v>
      </c>
      <c r="I83" s="143">
        <f t="shared" si="22"/>
        <v>-103790.67317307919</v>
      </c>
      <c r="J83" s="143">
        <f t="shared" si="22"/>
        <v>-102680.27707001127</v>
      </c>
      <c r="K83" s="143">
        <f t="shared" si="22"/>
        <v>-101581.76044963687</v>
      </c>
      <c r="L83" s="143">
        <v>-100494.99622027352</v>
      </c>
      <c r="M83" s="143">
        <f t="shared" ref="M83:U83" si="23">L83*(100+M90)/100</f>
        <v>-98829.68400002952</v>
      </c>
      <c r="N83" s="143">
        <f t="shared" si="23"/>
        <v>-97191.967828297391</v>
      </c>
      <c r="O83" s="143">
        <f t="shared" si="23"/>
        <v>-95581.390408310646</v>
      </c>
      <c r="P83" s="143">
        <f t="shared" si="23"/>
        <v>-93997.502021211418</v>
      </c>
      <c r="Q83" s="143">
        <f t="shared" si="23"/>
        <v>-92439.860400476144</v>
      </c>
      <c r="R83" s="143">
        <f t="shared" si="23"/>
        <v>-90908.03060842221</v>
      </c>
      <c r="S83" s="143">
        <f t="shared" si="23"/>
        <v>-89401.584914761086</v>
      </c>
      <c r="T83" s="143">
        <f t="shared" si="23"/>
        <v>-87920.102677163886</v>
      </c>
      <c r="U83" s="143">
        <f t="shared" si="23"/>
        <v>-86463.170223806068</v>
      </c>
      <c r="V83" s="143">
        <v>-85030.380737858504</v>
      </c>
      <c r="W83" s="143">
        <f t="shared" ref="W83:AF83" si="24">V83*(100+W90)/100</f>
        <v>-83621.334143892978</v>
      </c>
      <c r="X83" s="143">
        <f t="shared" si="24"/>
        <v>-82235.636996169327</v>
      </c>
      <c r="Y83" s="143">
        <f t="shared" si="24"/>
        <v>-80872.902368774594</v>
      </c>
      <c r="Z83" s="143">
        <f t="shared" si="24"/>
        <v>-79532.749747582202</v>
      </c>
      <c r="AA83" s="143">
        <f t="shared" si="24"/>
        <v>-78214.804924001655</v>
      </c>
      <c r="AB83" s="143">
        <f t="shared" si="24"/>
        <v>-76918.699890488919</v>
      </c>
      <c r="AC83" s="143">
        <f t="shared" si="24"/>
        <v>-75644.072737788258</v>
      </c>
      <c r="AD83" s="143">
        <f t="shared" si="24"/>
        <v>-74390.567553876914</v>
      </c>
      <c r="AE83" s="143">
        <f t="shared" si="24"/>
        <v>-73157.834324584386</v>
      </c>
      <c r="AF83" s="143">
        <f t="shared" si="24"/>
        <v>-71945.528835858597</v>
      </c>
    </row>
    <row r="84" spans="1:32" ht="20.100000000000001" customHeight="1">
      <c r="A84" s="78" t="s">
        <v>787</v>
      </c>
    </row>
    <row r="85" spans="1:32" ht="20.100000000000001" customHeight="1">
      <c r="A85" s="91" t="str">
        <f>A78</f>
        <v>Forestland</v>
      </c>
      <c r="B85" s="154">
        <f>((L78/B78)^(1/10)-1)*100</f>
        <v>-5.6057976196632886E-2</v>
      </c>
      <c r="C85" s="154">
        <f>B85</f>
        <v>-5.6057976196632886E-2</v>
      </c>
      <c r="D85" s="154">
        <f t="shared" ref="D85:L85" si="25">C85</f>
        <v>-5.6057976196632886E-2</v>
      </c>
      <c r="E85" s="154">
        <f t="shared" si="25"/>
        <v>-5.6057976196632886E-2</v>
      </c>
      <c r="F85" s="154">
        <f t="shared" si="25"/>
        <v>-5.6057976196632886E-2</v>
      </c>
      <c r="G85" s="154">
        <f t="shared" si="25"/>
        <v>-5.6057976196632886E-2</v>
      </c>
      <c r="H85" s="154">
        <f t="shared" si="25"/>
        <v>-5.6057976196632886E-2</v>
      </c>
      <c r="I85" s="154">
        <f t="shared" si="25"/>
        <v>-5.6057976196632886E-2</v>
      </c>
      <c r="J85" s="154">
        <f t="shared" si="25"/>
        <v>-5.6057976196632886E-2</v>
      </c>
      <c r="K85" s="154">
        <f t="shared" si="25"/>
        <v>-5.6057976196632886E-2</v>
      </c>
      <c r="L85" s="154">
        <f t="shared" si="25"/>
        <v>-5.6057976196632886E-2</v>
      </c>
      <c r="M85" s="154">
        <f>((V78/L78)^(1/10)-1)*100</f>
        <v>2.3169596365813172</v>
      </c>
      <c r="N85" s="154">
        <f>M85</f>
        <v>2.3169596365813172</v>
      </c>
      <c r="O85" s="154">
        <f t="shared" ref="O85:AF90" si="26">N85</f>
        <v>2.3169596365813172</v>
      </c>
      <c r="P85" s="154">
        <f t="shared" si="26"/>
        <v>2.3169596365813172</v>
      </c>
      <c r="Q85" s="154">
        <f t="shared" si="26"/>
        <v>2.3169596365813172</v>
      </c>
      <c r="R85" s="154">
        <f t="shared" si="26"/>
        <v>2.3169596365813172</v>
      </c>
      <c r="S85" s="154">
        <f t="shared" si="26"/>
        <v>2.3169596365813172</v>
      </c>
      <c r="T85" s="154">
        <f t="shared" si="26"/>
        <v>2.3169596365813172</v>
      </c>
      <c r="U85" s="154">
        <f t="shared" si="26"/>
        <v>2.3169596365813172</v>
      </c>
      <c r="V85" s="154">
        <f t="shared" si="26"/>
        <v>2.3169596365813172</v>
      </c>
      <c r="W85" s="154">
        <f t="shared" si="26"/>
        <v>2.3169596365813172</v>
      </c>
      <c r="X85" s="154">
        <f t="shared" si="26"/>
        <v>2.3169596365813172</v>
      </c>
      <c r="Y85" s="154">
        <f t="shared" si="26"/>
        <v>2.3169596365813172</v>
      </c>
      <c r="Z85" s="154">
        <f t="shared" si="26"/>
        <v>2.3169596365813172</v>
      </c>
      <c r="AA85" s="154">
        <f t="shared" si="26"/>
        <v>2.3169596365813172</v>
      </c>
      <c r="AB85" s="154">
        <f t="shared" si="26"/>
        <v>2.3169596365813172</v>
      </c>
      <c r="AC85" s="154">
        <f t="shared" si="26"/>
        <v>2.3169596365813172</v>
      </c>
      <c r="AD85" s="154">
        <f t="shared" si="26"/>
        <v>2.3169596365813172</v>
      </c>
      <c r="AE85" s="154">
        <f t="shared" si="26"/>
        <v>2.3169596365813172</v>
      </c>
      <c r="AF85" s="154">
        <f t="shared" si="26"/>
        <v>2.3169596365813172</v>
      </c>
    </row>
    <row r="86" spans="1:32" ht="20.100000000000001" customHeight="1">
      <c r="A86" s="91" t="str">
        <f t="shared" ref="A86:A89" si="27">A79</f>
        <v>Cropland</v>
      </c>
      <c r="B86" s="154">
        <f t="shared" ref="B86:B90" si="28">((L79/B79)^(1/10)-1)*100</f>
        <v>1.1935164277488752</v>
      </c>
      <c r="C86" s="154">
        <f t="shared" ref="C86:L86" si="29">B86</f>
        <v>1.1935164277488752</v>
      </c>
      <c r="D86" s="154">
        <f t="shared" si="29"/>
        <v>1.1935164277488752</v>
      </c>
      <c r="E86" s="154">
        <f t="shared" si="29"/>
        <v>1.1935164277488752</v>
      </c>
      <c r="F86" s="154">
        <f t="shared" si="29"/>
        <v>1.1935164277488752</v>
      </c>
      <c r="G86" s="154">
        <f t="shared" si="29"/>
        <v>1.1935164277488752</v>
      </c>
      <c r="H86" s="154">
        <f t="shared" si="29"/>
        <v>1.1935164277488752</v>
      </c>
      <c r="I86" s="154">
        <f t="shared" si="29"/>
        <v>1.1935164277488752</v>
      </c>
      <c r="J86" s="154">
        <f t="shared" si="29"/>
        <v>1.1935164277488752</v>
      </c>
      <c r="K86" s="154">
        <f t="shared" si="29"/>
        <v>1.1935164277488752</v>
      </c>
      <c r="L86" s="154">
        <f t="shared" si="29"/>
        <v>1.1935164277488752</v>
      </c>
      <c r="M86" s="154">
        <f t="shared" ref="M86:M89" si="30">((V79/L79)^(1/10)-1)*100</f>
        <v>0.16969509809525718</v>
      </c>
      <c r="N86" s="154">
        <f t="shared" ref="N86:AC90" si="31">M86</f>
        <v>0.16969509809525718</v>
      </c>
      <c r="O86" s="154">
        <f t="shared" si="31"/>
        <v>0.16969509809525718</v>
      </c>
      <c r="P86" s="154">
        <f t="shared" si="31"/>
        <v>0.16969509809525718</v>
      </c>
      <c r="Q86" s="154">
        <f t="shared" si="31"/>
        <v>0.16969509809525718</v>
      </c>
      <c r="R86" s="154">
        <f t="shared" si="31"/>
        <v>0.16969509809525718</v>
      </c>
      <c r="S86" s="154">
        <f t="shared" si="31"/>
        <v>0.16969509809525718</v>
      </c>
      <c r="T86" s="154">
        <f t="shared" si="31"/>
        <v>0.16969509809525718</v>
      </c>
      <c r="U86" s="154">
        <f t="shared" si="31"/>
        <v>0.16969509809525718</v>
      </c>
      <c r="V86" s="154">
        <f t="shared" si="31"/>
        <v>0.16969509809525718</v>
      </c>
      <c r="W86" s="154">
        <f t="shared" si="31"/>
        <v>0.16969509809525718</v>
      </c>
      <c r="X86" s="154">
        <f t="shared" si="31"/>
        <v>0.16969509809525718</v>
      </c>
      <c r="Y86" s="154">
        <f t="shared" si="31"/>
        <v>0.16969509809525718</v>
      </c>
      <c r="Z86" s="154">
        <f t="shared" si="31"/>
        <v>0.16969509809525718</v>
      </c>
      <c r="AA86" s="154">
        <f t="shared" si="31"/>
        <v>0.16969509809525718</v>
      </c>
      <c r="AB86" s="154">
        <f t="shared" si="31"/>
        <v>0.16969509809525718</v>
      </c>
      <c r="AC86" s="154">
        <f t="shared" si="31"/>
        <v>0.16969509809525718</v>
      </c>
      <c r="AD86" s="154">
        <f t="shared" si="26"/>
        <v>0.16969509809525718</v>
      </c>
      <c r="AE86" s="154">
        <f t="shared" si="26"/>
        <v>0.16969509809525718</v>
      </c>
      <c r="AF86" s="154">
        <f t="shared" si="26"/>
        <v>0.16969509809525718</v>
      </c>
    </row>
    <row r="87" spans="1:32" ht="20.100000000000001" customHeight="1">
      <c r="A87" s="91" t="str">
        <f t="shared" si="27"/>
        <v>Grassland</v>
      </c>
      <c r="B87" s="154">
        <f t="shared" si="28"/>
        <v>-0.49105974754584114</v>
      </c>
      <c r="C87" s="154">
        <f t="shared" ref="C87:L87" si="32">B87</f>
        <v>-0.49105974754584114</v>
      </c>
      <c r="D87" s="154">
        <f t="shared" si="32"/>
        <v>-0.49105974754584114</v>
      </c>
      <c r="E87" s="154">
        <f t="shared" si="32"/>
        <v>-0.49105974754584114</v>
      </c>
      <c r="F87" s="154">
        <f t="shared" si="32"/>
        <v>-0.49105974754584114</v>
      </c>
      <c r="G87" s="154">
        <f t="shared" si="32"/>
        <v>-0.49105974754584114</v>
      </c>
      <c r="H87" s="154">
        <f t="shared" si="32"/>
        <v>-0.49105974754584114</v>
      </c>
      <c r="I87" s="154">
        <f t="shared" si="32"/>
        <v>-0.49105974754584114</v>
      </c>
      <c r="J87" s="154">
        <f t="shared" si="32"/>
        <v>-0.49105974754584114</v>
      </c>
      <c r="K87" s="154">
        <f t="shared" si="32"/>
        <v>-0.49105974754584114</v>
      </c>
      <c r="L87" s="154">
        <f t="shared" si="32"/>
        <v>-0.49105974754584114</v>
      </c>
      <c r="M87" s="154">
        <f t="shared" si="30"/>
        <v>4.5777144812553239E-2</v>
      </c>
      <c r="N87" s="154">
        <f t="shared" si="31"/>
        <v>4.5777144812553239E-2</v>
      </c>
      <c r="O87" s="154">
        <f t="shared" si="26"/>
        <v>4.5777144812553239E-2</v>
      </c>
      <c r="P87" s="154">
        <f t="shared" si="26"/>
        <v>4.5777144812553239E-2</v>
      </c>
      <c r="Q87" s="154">
        <f t="shared" si="26"/>
        <v>4.5777144812553239E-2</v>
      </c>
      <c r="R87" s="154">
        <f t="shared" si="26"/>
        <v>4.5777144812553239E-2</v>
      </c>
      <c r="S87" s="154">
        <f t="shared" si="26"/>
        <v>4.5777144812553239E-2</v>
      </c>
      <c r="T87" s="154">
        <f t="shared" si="26"/>
        <v>4.5777144812553239E-2</v>
      </c>
      <c r="U87" s="154">
        <f t="shared" si="26"/>
        <v>4.5777144812553239E-2</v>
      </c>
      <c r="V87" s="154">
        <f t="shared" si="26"/>
        <v>4.5777144812553239E-2</v>
      </c>
      <c r="W87" s="154">
        <f t="shared" si="26"/>
        <v>4.5777144812553239E-2</v>
      </c>
      <c r="X87" s="154">
        <f t="shared" si="26"/>
        <v>4.5777144812553239E-2</v>
      </c>
      <c r="Y87" s="154">
        <f t="shared" si="26"/>
        <v>4.5777144812553239E-2</v>
      </c>
      <c r="Z87" s="154">
        <f t="shared" si="26"/>
        <v>4.5777144812553239E-2</v>
      </c>
      <c r="AA87" s="154">
        <f t="shared" si="26"/>
        <v>4.5777144812553239E-2</v>
      </c>
      <c r="AB87" s="154">
        <f t="shared" si="26"/>
        <v>4.5777144812553239E-2</v>
      </c>
      <c r="AC87" s="154">
        <f t="shared" si="26"/>
        <v>4.5777144812553239E-2</v>
      </c>
      <c r="AD87" s="154">
        <f t="shared" si="26"/>
        <v>4.5777144812553239E-2</v>
      </c>
      <c r="AE87" s="154">
        <f t="shared" si="26"/>
        <v>4.5777144812553239E-2</v>
      </c>
      <c r="AF87" s="154">
        <f t="shared" si="26"/>
        <v>4.5777144812553239E-2</v>
      </c>
    </row>
    <row r="88" spans="1:32" ht="20.100000000000001" customHeight="1">
      <c r="A88" s="91" t="str">
        <f t="shared" si="27"/>
        <v>Wetlands</v>
      </c>
      <c r="B88" s="154">
        <f t="shared" si="28"/>
        <v>-0.57285084623101001</v>
      </c>
      <c r="C88" s="154">
        <f t="shared" ref="C88:L88" si="33">B88</f>
        <v>-0.57285084623101001</v>
      </c>
      <c r="D88" s="154">
        <f t="shared" si="33"/>
        <v>-0.57285084623101001</v>
      </c>
      <c r="E88" s="154">
        <f t="shared" si="33"/>
        <v>-0.57285084623101001</v>
      </c>
      <c r="F88" s="154">
        <f t="shared" si="33"/>
        <v>-0.57285084623101001</v>
      </c>
      <c r="G88" s="154">
        <f t="shared" si="33"/>
        <v>-0.57285084623101001</v>
      </c>
      <c r="H88" s="154">
        <f t="shared" si="33"/>
        <v>-0.57285084623101001</v>
      </c>
      <c r="I88" s="154">
        <f t="shared" si="33"/>
        <v>-0.57285084623101001</v>
      </c>
      <c r="J88" s="154">
        <f t="shared" si="33"/>
        <v>-0.57285084623101001</v>
      </c>
      <c r="K88" s="154">
        <f t="shared" si="33"/>
        <v>-0.57285084623101001</v>
      </c>
      <c r="L88" s="154">
        <f t="shared" si="33"/>
        <v>-0.57285084623101001</v>
      </c>
      <c r="M88" s="154">
        <f t="shared" si="30"/>
        <v>-0.31928389463363738</v>
      </c>
      <c r="N88" s="154">
        <f t="shared" si="31"/>
        <v>-0.31928389463363738</v>
      </c>
      <c r="O88" s="154">
        <f t="shared" si="26"/>
        <v>-0.31928389463363738</v>
      </c>
      <c r="P88" s="154">
        <f t="shared" si="26"/>
        <v>-0.31928389463363738</v>
      </c>
      <c r="Q88" s="154">
        <f t="shared" si="26"/>
        <v>-0.31928389463363738</v>
      </c>
      <c r="R88" s="154">
        <f t="shared" si="26"/>
        <v>-0.31928389463363738</v>
      </c>
      <c r="S88" s="154">
        <f t="shared" si="26"/>
        <v>-0.31928389463363738</v>
      </c>
      <c r="T88" s="154">
        <f t="shared" si="26"/>
        <v>-0.31928389463363738</v>
      </c>
      <c r="U88" s="154">
        <f t="shared" si="26"/>
        <v>-0.31928389463363738</v>
      </c>
      <c r="V88" s="154">
        <f t="shared" si="26"/>
        <v>-0.31928389463363738</v>
      </c>
      <c r="W88" s="154">
        <f t="shared" si="26"/>
        <v>-0.31928389463363738</v>
      </c>
      <c r="X88" s="154">
        <f t="shared" si="26"/>
        <v>-0.31928389463363738</v>
      </c>
      <c r="Y88" s="154">
        <f t="shared" si="26"/>
        <v>-0.31928389463363738</v>
      </c>
      <c r="Z88" s="154">
        <f t="shared" si="26"/>
        <v>-0.31928389463363738</v>
      </c>
      <c r="AA88" s="154">
        <f t="shared" si="26"/>
        <v>-0.31928389463363738</v>
      </c>
      <c r="AB88" s="154">
        <f t="shared" si="26"/>
        <v>-0.31928389463363738</v>
      </c>
      <c r="AC88" s="154">
        <f t="shared" si="26"/>
        <v>-0.31928389463363738</v>
      </c>
      <c r="AD88" s="154">
        <f t="shared" si="26"/>
        <v>-0.31928389463363738</v>
      </c>
      <c r="AE88" s="154">
        <f t="shared" si="26"/>
        <v>-0.31928389463363738</v>
      </c>
      <c r="AF88" s="154">
        <f t="shared" si="26"/>
        <v>-0.31928389463363738</v>
      </c>
    </row>
    <row r="89" spans="1:32" ht="20.100000000000001" customHeight="1">
      <c r="A89" s="91" t="str">
        <f t="shared" si="27"/>
        <v>Settlements</v>
      </c>
      <c r="B89" s="154">
        <f t="shared" si="28"/>
        <v>-0.10286391912811554</v>
      </c>
      <c r="C89" s="154">
        <f t="shared" ref="C89:L89" si="34">B89</f>
        <v>-0.10286391912811554</v>
      </c>
      <c r="D89" s="154">
        <f t="shared" si="34"/>
        <v>-0.10286391912811554</v>
      </c>
      <c r="E89" s="154">
        <f t="shared" si="34"/>
        <v>-0.10286391912811554</v>
      </c>
      <c r="F89" s="154">
        <f t="shared" si="34"/>
        <v>-0.10286391912811554</v>
      </c>
      <c r="G89" s="154">
        <f t="shared" si="34"/>
        <v>-0.10286391912811554</v>
      </c>
      <c r="H89" s="154">
        <f t="shared" si="34"/>
        <v>-0.10286391912811554</v>
      </c>
      <c r="I89" s="154">
        <f t="shared" si="34"/>
        <v>-0.10286391912811554</v>
      </c>
      <c r="J89" s="154">
        <f t="shared" si="34"/>
        <v>-0.10286391912811554</v>
      </c>
      <c r="K89" s="154">
        <f t="shared" si="34"/>
        <v>-0.10286391912811554</v>
      </c>
      <c r="L89" s="154">
        <f t="shared" si="34"/>
        <v>-0.10286391912811554</v>
      </c>
      <c r="M89" s="154">
        <f t="shared" si="30"/>
        <v>-1.2470099209330621</v>
      </c>
      <c r="N89" s="154">
        <f t="shared" si="31"/>
        <v>-1.2470099209330621</v>
      </c>
      <c r="O89" s="154">
        <f t="shared" si="26"/>
        <v>-1.2470099209330621</v>
      </c>
      <c r="P89" s="154">
        <f t="shared" si="26"/>
        <v>-1.2470099209330621</v>
      </c>
      <c r="Q89" s="154">
        <f t="shared" si="26"/>
        <v>-1.2470099209330621</v>
      </c>
      <c r="R89" s="154">
        <f t="shared" si="26"/>
        <v>-1.2470099209330621</v>
      </c>
      <c r="S89" s="154">
        <f t="shared" si="26"/>
        <v>-1.2470099209330621</v>
      </c>
      <c r="T89" s="154">
        <f t="shared" si="26"/>
        <v>-1.2470099209330621</v>
      </c>
      <c r="U89" s="154">
        <f t="shared" si="26"/>
        <v>-1.2470099209330621</v>
      </c>
      <c r="V89" s="154">
        <f t="shared" si="26"/>
        <v>-1.2470099209330621</v>
      </c>
      <c r="W89" s="154">
        <f t="shared" si="26"/>
        <v>-1.2470099209330621</v>
      </c>
      <c r="X89" s="154">
        <f t="shared" si="26"/>
        <v>-1.2470099209330621</v>
      </c>
      <c r="Y89" s="154">
        <f t="shared" si="26"/>
        <v>-1.2470099209330621</v>
      </c>
      <c r="Z89" s="154">
        <f t="shared" si="26"/>
        <v>-1.2470099209330621</v>
      </c>
      <c r="AA89" s="154">
        <f t="shared" si="26"/>
        <v>-1.2470099209330621</v>
      </c>
      <c r="AB89" s="154">
        <f t="shared" si="26"/>
        <v>-1.2470099209330621</v>
      </c>
      <c r="AC89" s="154">
        <f t="shared" si="26"/>
        <v>-1.2470099209330621</v>
      </c>
      <c r="AD89" s="154">
        <f t="shared" si="26"/>
        <v>-1.2470099209330621</v>
      </c>
      <c r="AE89" s="154">
        <f t="shared" si="26"/>
        <v>-1.2470099209330621</v>
      </c>
      <c r="AF89" s="154">
        <f t="shared" si="26"/>
        <v>-1.2470099209330621</v>
      </c>
    </row>
    <row r="90" spans="1:32" ht="20.100000000000001" customHeight="1">
      <c r="A90" s="91" t="str">
        <f>A83</f>
        <v>Other</v>
      </c>
      <c r="B90" s="154">
        <f t="shared" si="28"/>
        <v>-1.0698418934196874</v>
      </c>
      <c r="C90" s="154">
        <f t="shared" ref="C90:L90" si="35">B90</f>
        <v>-1.0698418934196874</v>
      </c>
      <c r="D90" s="154">
        <f t="shared" si="35"/>
        <v>-1.0698418934196874</v>
      </c>
      <c r="E90" s="154">
        <f t="shared" si="35"/>
        <v>-1.0698418934196874</v>
      </c>
      <c r="F90" s="154">
        <f t="shared" si="35"/>
        <v>-1.0698418934196874</v>
      </c>
      <c r="G90" s="154">
        <f t="shared" si="35"/>
        <v>-1.0698418934196874</v>
      </c>
      <c r="H90" s="154">
        <f t="shared" si="35"/>
        <v>-1.0698418934196874</v>
      </c>
      <c r="I90" s="154">
        <f t="shared" si="35"/>
        <v>-1.0698418934196874</v>
      </c>
      <c r="J90" s="154">
        <f t="shared" si="35"/>
        <v>-1.0698418934196874</v>
      </c>
      <c r="K90" s="154">
        <f t="shared" si="35"/>
        <v>-1.0698418934196874</v>
      </c>
      <c r="L90" s="154">
        <f t="shared" si="35"/>
        <v>-1.0698418934196874</v>
      </c>
      <c r="M90" s="154">
        <f>((V83/L83)^(1/10)-1)*100</f>
        <v>-1.6571095904057032</v>
      </c>
      <c r="N90" s="154">
        <f t="shared" si="31"/>
        <v>-1.6571095904057032</v>
      </c>
      <c r="O90" s="154">
        <f t="shared" si="26"/>
        <v>-1.6571095904057032</v>
      </c>
      <c r="P90" s="154">
        <f t="shared" si="26"/>
        <v>-1.6571095904057032</v>
      </c>
      <c r="Q90" s="154">
        <f t="shared" si="26"/>
        <v>-1.6571095904057032</v>
      </c>
      <c r="R90" s="154">
        <f t="shared" si="26"/>
        <v>-1.6571095904057032</v>
      </c>
      <c r="S90" s="154">
        <f t="shared" si="26"/>
        <v>-1.6571095904057032</v>
      </c>
      <c r="T90" s="154">
        <f t="shared" si="26"/>
        <v>-1.6571095904057032</v>
      </c>
      <c r="U90" s="154">
        <f t="shared" si="26"/>
        <v>-1.6571095904057032</v>
      </c>
      <c r="V90" s="154">
        <f t="shared" si="26"/>
        <v>-1.6571095904057032</v>
      </c>
      <c r="W90" s="154">
        <f t="shared" si="26"/>
        <v>-1.6571095904057032</v>
      </c>
      <c r="X90" s="154">
        <f t="shared" si="26"/>
        <v>-1.6571095904057032</v>
      </c>
      <c r="Y90" s="154">
        <f t="shared" si="26"/>
        <v>-1.6571095904057032</v>
      </c>
      <c r="Z90" s="154">
        <f t="shared" si="26"/>
        <v>-1.6571095904057032</v>
      </c>
      <c r="AA90" s="154">
        <f t="shared" si="26"/>
        <v>-1.6571095904057032</v>
      </c>
      <c r="AB90" s="154">
        <f t="shared" si="26"/>
        <v>-1.6571095904057032</v>
      </c>
      <c r="AC90" s="154">
        <f t="shared" si="26"/>
        <v>-1.6571095904057032</v>
      </c>
      <c r="AD90" s="154">
        <f t="shared" si="26"/>
        <v>-1.6571095904057032</v>
      </c>
      <c r="AE90" s="154">
        <f t="shared" si="26"/>
        <v>-1.6571095904057032</v>
      </c>
      <c r="AF90" s="154">
        <f t="shared" si="26"/>
        <v>-1.6571095904057032</v>
      </c>
    </row>
    <row r="92" spans="1:32" ht="20.100000000000001" customHeight="1" thickBot="1">
      <c r="B92" s="79">
        <v>1</v>
      </c>
      <c r="C92" s="79">
        <v>2</v>
      </c>
      <c r="D92" s="79">
        <v>3</v>
      </c>
      <c r="E92" s="79">
        <v>4</v>
      </c>
      <c r="F92" s="79">
        <v>5</v>
      </c>
      <c r="G92" s="79">
        <v>6</v>
      </c>
    </row>
    <row r="93" spans="1:32" ht="20.100000000000001" customHeight="1">
      <c r="A93" s="1565" t="s">
        <v>880</v>
      </c>
      <c r="B93" s="1567" t="s">
        <v>881</v>
      </c>
      <c r="C93" s="1568"/>
      <c r="D93" s="1567" t="s">
        <v>882</v>
      </c>
      <c r="E93" s="1568"/>
      <c r="F93" s="1569" t="s">
        <v>883</v>
      </c>
      <c r="G93" s="1570"/>
    </row>
    <row r="94" spans="1:32" ht="20.100000000000001" customHeight="1" thickBot="1">
      <c r="A94" s="1566"/>
      <c r="B94" s="175" t="s">
        <v>884</v>
      </c>
      <c r="C94" s="176" t="s">
        <v>885</v>
      </c>
      <c r="D94" s="175" t="s">
        <v>886</v>
      </c>
      <c r="E94" s="176" t="s">
        <v>887</v>
      </c>
      <c r="F94" s="177" t="s">
        <v>888</v>
      </c>
      <c r="G94" s="178" t="s">
        <v>889</v>
      </c>
    </row>
    <row r="95" spans="1:32" ht="20.100000000000001" customHeight="1">
      <c r="A95" s="169" t="s">
        <v>890</v>
      </c>
      <c r="B95" s="180">
        <f>INDEX('DEFAULT DATA'!$MW$9:$VD$40,$B$4,1)</f>
        <v>0.29674116862651001</v>
      </c>
      <c r="C95" s="180">
        <f>INDEX('DEFAULT DATA'!$MW$9:$VD$40,$B$4,2)</f>
        <v>0</v>
      </c>
      <c r="D95" s="180">
        <f>INDEX('DEFAULT DATA'!$MW$9:$VD$40,$B$4,3)</f>
        <v>8.5038180398629995E-2</v>
      </c>
      <c r="E95" s="180">
        <f>INDEX('DEFAULT DATA'!$MW$9:$VD$40,$B$4,4)</f>
        <v>8.0909603120779994E-2</v>
      </c>
      <c r="F95" s="180">
        <f>INDEX('DEFAULT DATA'!$MW$9:$VD$40,$B$4,5)</f>
        <v>0</v>
      </c>
      <c r="G95" s="181">
        <f>INDEX('DEFAULT DATA'!$MW$9:$VD$40,$B$4,6)</f>
        <v>-0.52000153281798001</v>
      </c>
    </row>
    <row r="96" spans="1:32" ht="20.100000000000001" customHeight="1">
      <c r="A96" s="170" t="s">
        <v>891</v>
      </c>
      <c r="B96" s="179">
        <f>INDEX('DEFAULT DATA'!$MW$9:$VD$40,$B$4,7)</f>
        <v>0.29674115861946998</v>
      </c>
      <c r="C96" s="179">
        <f>INDEX('DEFAULT DATA'!$MW$9:$VD$40,$B$4,8)</f>
        <v>0</v>
      </c>
      <c r="D96" s="179">
        <f>INDEX('DEFAULT DATA'!$MW$9:$VD$40,$B$4,9)</f>
        <v>8.5038184275519998E-2</v>
      </c>
      <c r="E96" s="179">
        <f>INDEX('DEFAULT DATA'!$MW$9:$VD$40,$B$4,10)</f>
        <v>8.0909616730519995E-2</v>
      </c>
      <c r="F96" s="179">
        <f>INDEX('DEFAULT DATA'!$MW$9:$VD$40,$B$4,11)</f>
        <v>0</v>
      </c>
      <c r="G96" s="182">
        <f>INDEX('DEFAULT DATA'!$MW$9:$VD$40,$B$4,12)</f>
        <v>-0.51999956638155997</v>
      </c>
    </row>
    <row r="97" spans="1:7" ht="20.100000000000001" customHeight="1">
      <c r="A97" s="170" t="s">
        <v>892</v>
      </c>
      <c r="B97" s="179">
        <f>INDEX('DEFAULT DATA'!$MW$9:$VD$40,$B$4,13)</f>
        <v>0.29674114681768998</v>
      </c>
      <c r="C97" s="179">
        <f>INDEX('DEFAULT DATA'!$MW$9:$VD$40,$B$4,14)</f>
        <v>0</v>
      </c>
      <c r="D97" s="179">
        <f>INDEX('DEFAULT DATA'!$MW$9:$VD$40,$B$4,15)</f>
        <v>8.5038161827740003E-2</v>
      </c>
      <c r="E97" s="179">
        <f>INDEX('DEFAULT DATA'!$MW$9:$VD$40,$B$4,16)</f>
        <v>8.090964826706E-2</v>
      </c>
      <c r="F97" s="179">
        <f>INDEX('DEFAULT DATA'!$MW$9:$VD$40,$B$4,17)</f>
        <v>0</v>
      </c>
      <c r="G97" s="182">
        <f>INDEX('DEFAULT DATA'!$MW$9:$VD$40,$B$4,18)</f>
        <v>-0.52000446492640995</v>
      </c>
    </row>
    <row r="98" spans="1:7" ht="20.100000000000001" customHeight="1">
      <c r="A98" s="170" t="s">
        <v>893</v>
      </c>
      <c r="B98" s="179">
        <f>INDEX('DEFAULT DATA'!$MW$9:$VD$40,$B$4,19)</f>
        <v>0.29674116869143002</v>
      </c>
      <c r="C98" s="179">
        <f>INDEX('DEFAULT DATA'!$MW$9:$VD$40,$B$4,20)</f>
        <v>0</v>
      </c>
      <c r="D98" s="179">
        <f>INDEX('DEFAULT DATA'!$MW$9:$VD$40,$B$4,21)</f>
        <v>8.5038160755390002E-2</v>
      </c>
      <c r="E98" s="179">
        <f>INDEX('DEFAULT DATA'!$MW$9:$VD$40,$B$4,22)</f>
        <v>8.0909602480600001E-2</v>
      </c>
      <c r="F98" s="179">
        <f>INDEX('DEFAULT DATA'!$MW$9:$VD$40,$B$4,23)</f>
        <v>0</v>
      </c>
      <c r="G98" s="182">
        <f>INDEX('DEFAULT DATA'!$MW$9:$VD$40,$B$4,24)</f>
        <v>0</v>
      </c>
    </row>
    <row r="99" spans="1:7" ht="20.100000000000001" customHeight="1" thickBot="1">
      <c r="A99" s="171" t="s">
        <v>894</v>
      </c>
      <c r="B99" s="183">
        <f>INDEX('DEFAULT DATA'!$MW$9:$VD$40,$B$4,25)</f>
        <v>0</v>
      </c>
      <c r="C99" s="183">
        <f>INDEX('DEFAULT DATA'!$MW$9:$VD$40,$B$4,26)</f>
        <v>0</v>
      </c>
      <c r="D99" s="183">
        <f>INDEX('DEFAULT DATA'!$MW$9:$VD$40,$B$4,27)</f>
        <v>0</v>
      </c>
      <c r="E99" s="183">
        <f>INDEX('DEFAULT DATA'!$MW$9:$VD$40,$B$4,28)</f>
        <v>0</v>
      </c>
      <c r="F99" s="183">
        <f>INDEX('DEFAULT DATA'!$MW$9:$VD$40,$B$4,29)</f>
        <v>0</v>
      </c>
      <c r="G99" s="184">
        <f>INDEX('DEFAULT DATA'!$MW$9:$VD$40,$B$4,30)</f>
        <v>0</v>
      </c>
    </row>
    <row r="100" spans="1:7" ht="20.100000000000001" customHeight="1">
      <c r="A100" s="169" t="s">
        <v>895</v>
      </c>
      <c r="B100" s="185">
        <f>INDEX('DEFAULT DATA'!$MW$9:$VD$40,$B$4,31)</f>
        <v>-64.06</v>
      </c>
      <c r="C100" s="185">
        <f>INDEX('DEFAULT DATA'!$MW$9:$VD$40,$B$4,32)</f>
        <v>-20.5</v>
      </c>
      <c r="D100" s="185">
        <f>INDEX('DEFAULT DATA'!$MW$9:$VD$40,$B$4,33)</f>
        <v>-2.3684264942101598</v>
      </c>
      <c r="E100" s="185">
        <f>INDEX('DEFAULT DATA'!$MW$9:$VD$40,$B$4,34)</f>
        <v>0</v>
      </c>
      <c r="F100" s="185">
        <f>INDEX('DEFAULT DATA'!$MW$9:$VD$40,$B$4,35)</f>
        <v>-0.1634535974746</v>
      </c>
      <c r="G100" s="186">
        <f>INDEX('DEFAULT DATA'!$MW$9:$VD$40,$B$4,36)</f>
        <v>-4.8000003955629698</v>
      </c>
    </row>
    <row r="101" spans="1:7" ht="20.100000000000001" customHeight="1">
      <c r="A101" s="170" t="s">
        <v>896</v>
      </c>
      <c r="B101" s="179">
        <f>INDEX('DEFAULT DATA'!$MW$9:$VD$40,$B$4,37)</f>
        <v>0</v>
      </c>
      <c r="C101" s="179">
        <f>INDEX('DEFAULT DATA'!$MW$9:$VD$40,$B$4,38)</f>
        <v>0</v>
      </c>
      <c r="D101" s="179">
        <f>INDEX('DEFAULT DATA'!$MW$9:$VD$40,$B$4,39)</f>
        <v>0</v>
      </c>
      <c r="E101" s="179">
        <f>INDEX('DEFAULT DATA'!$MW$9:$VD$40,$B$4,40)</f>
        <v>0</v>
      </c>
      <c r="F101" s="179">
        <f>INDEX('DEFAULT DATA'!$MW$9:$VD$40,$B$4,41)</f>
        <v>0</v>
      </c>
      <c r="G101" s="182">
        <f>INDEX('DEFAULT DATA'!$MW$9:$VD$40,$B$4,42)</f>
        <v>-4.8000001479478502</v>
      </c>
    </row>
    <row r="102" spans="1:7" ht="20.100000000000001" customHeight="1">
      <c r="A102" s="170" t="s">
        <v>897</v>
      </c>
      <c r="B102" s="179">
        <f>INDEX('DEFAULT DATA'!$MW$9:$VD$40,$B$4,43)</f>
        <v>0</v>
      </c>
      <c r="C102" s="179">
        <f>INDEX('DEFAULT DATA'!$MW$9:$VD$40,$B$4,44)</f>
        <v>0</v>
      </c>
      <c r="D102" s="179">
        <f>INDEX('DEFAULT DATA'!$MW$9:$VD$40,$B$4,45)</f>
        <v>0</v>
      </c>
      <c r="E102" s="179">
        <f>INDEX('DEFAULT DATA'!$MW$9:$VD$40,$B$4,46)</f>
        <v>0</v>
      </c>
      <c r="F102" s="179">
        <f>INDEX('DEFAULT DATA'!$MW$9:$VD$40,$B$4,47)</f>
        <v>0</v>
      </c>
      <c r="G102" s="182">
        <f>INDEX('DEFAULT DATA'!$MW$9:$VD$40,$B$4,48)</f>
        <v>-4.7999991849584802</v>
      </c>
    </row>
    <row r="103" spans="1:7" ht="20.100000000000001" customHeight="1">
      <c r="A103" s="170" t="s">
        <v>898</v>
      </c>
      <c r="B103" s="179">
        <f>INDEX('DEFAULT DATA'!$MW$9:$VD$40,$B$4,49)</f>
        <v>0</v>
      </c>
      <c r="C103" s="179">
        <f>INDEX('DEFAULT DATA'!$MW$9:$VD$40,$B$4,50)</f>
        <v>0</v>
      </c>
      <c r="D103" s="179">
        <f>INDEX('DEFAULT DATA'!$MW$9:$VD$40,$B$4,51)</f>
        <v>0</v>
      </c>
      <c r="E103" s="179">
        <f>INDEX('DEFAULT DATA'!$MW$9:$VD$40,$B$4,52)</f>
        <v>0</v>
      </c>
      <c r="F103" s="179">
        <f>INDEX('DEFAULT DATA'!$MW$9:$VD$40,$B$4,53)</f>
        <v>0</v>
      </c>
      <c r="G103" s="182">
        <f>INDEX('DEFAULT DATA'!$MW$9:$VD$40,$B$4,54)</f>
        <v>0</v>
      </c>
    </row>
    <row r="104" spans="1:7" ht="20.100000000000001" customHeight="1" thickBot="1">
      <c r="A104" s="171" t="s">
        <v>899</v>
      </c>
      <c r="B104" s="183">
        <f>INDEX('DEFAULT DATA'!$MW$9:$VD$40,$B$4,55)</f>
        <v>0</v>
      </c>
      <c r="C104" s="183">
        <f>INDEX('DEFAULT DATA'!$MW$9:$VD$40,$B$4,56)</f>
        <v>0</v>
      </c>
      <c r="D104" s="183">
        <f>INDEX('DEFAULT DATA'!$MW$9:$VD$40,$B$4,57)</f>
        <v>0</v>
      </c>
      <c r="E104" s="183">
        <f>INDEX('DEFAULT DATA'!$MW$9:$VD$40,$B$4,58)</f>
        <v>0</v>
      </c>
      <c r="F104" s="183">
        <f>INDEX('DEFAULT DATA'!$MW$9:$VD$40,$B$4,59)</f>
        <v>0</v>
      </c>
      <c r="G104" s="184">
        <f>INDEX('DEFAULT DATA'!$MW$9:$VD$40,$B$4,60)</f>
        <v>0</v>
      </c>
    </row>
    <row r="105" spans="1:7" ht="20.100000000000001" customHeight="1">
      <c r="A105" s="169" t="s">
        <v>900</v>
      </c>
      <c r="B105" s="185">
        <f>INDEX('DEFAULT DATA'!$MW$9:$VD$40,$B$4,61)</f>
        <v>-64.06</v>
      </c>
      <c r="C105" s="185">
        <f>INDEX('DEFAULT DATA'!$MW$9:$VD$40,$B$4,62)</f>
        <v>-20.5</v>
      </c>
      <c r="D105" s="185">
        <f>INDEX('DEFAULT DATA'!$MW$9:$VD$40,$B$4,63)</f>
        <v>-0.39560483850567002</v>
      </c>
      <c r="E105" s="185">
        <f>INDEX('DEFAULT DATA'!$MW$9:$VD$40,$B$4,64)</f>
        <v>0</v>
      </c>
      <c r="F105" s="185">
        <f>INDEX('DEFAULT DATA'!$MW$9:$VD$40,$B$4,65)</f>
        <v>0</v>
      </c>
      <c r="G105" s="186">
        <f>INDEX('DEFAULT DATA'!$MW$9:$VD$40,$B$4,66)</f>
        <v>-4.4000000227039404</v>
      </c>
    </row>
    <row r="106" spans="1:7" ht="20.100000000000001" customHeight="1">
      <c r="A106" s="170" t="s">
        <v>901</v>
      </c>
      <c r="B106" s="179">
        <f>INDEX('DEFAULT DATA'!$MW$9:$VD$40,$B$4,67)</f>
        <v>0</v>
      </c>
      <c r="C106" s="179">
        <f>INDEX('DEFAULT DATA'!$MW$9:$VD$40,$B$4,68)</f>
        <v>0</v>
      </c>
      <c r="D106" s="179">
        <f>INDEX('DEFAULT DATA'!$MW$9:$VD$40,$B$4,69)</f>
        <v>0</v>
      </c>
      <c r="E106" s="179">
        <f>INDEX('DEFAULT DATA'!$MW$9:$VD$40,$B$4,70)</f>
        <v>0</v>
      </c>
      <c r="F106" s="179">
        <f>INDEX('DEFAULT DATA'!$MW$9:$VD$40,$B$4,71)</f>
        <v>0</v>
      </c>
      <c r="G106" s="182">
        <f>INDEX('DEFAULT DATA'!$MW$9:$VD$40,$B$4,72)</f>
        <v>-4.3477140332346096</v>
      </c>
    </row>
    <row r="107" spans="1:7" ht="20.100000000000001" customHeight="1">
      <c r="A107" s="170" t="s">
        <v>902</v>
      </c>
      <c r="B107" s="179">
        <f>INDEX('DEFAULT DATA'!$MW$9:$VD$40,$B$4,73)</f>
        <v>0.20445725872255999</v>
      </c>
      <c r="C107" s="179">
        <f>INDEX('DEFAULT DATA'!$MW$9:$VD$40,$B$4,74)</f>
        <v>0</v>
      </c>
      <c r="D107" s="179">
        <f>INDEX('DEFAULT DATA'!$MW$9:$VD$40,$B$4,75)</f>
        <v>0</v>
      </c>
      <c r="E107" s="179">
        <f>INDEX('DEFAULT DATA'!$MW$9:$VD$40,$B$4,76)</f>
        <v>0</v>
      </c>
      <c r="F107" s="179">
        <f>INDEX('DEFAULT DATA'!$MW$9:$VD$40,$B$4,77)</f>
        <v>0</v>
      </c>
      <c r="G107" s="182">
        <f>INDEX('DEFAULT DATA'!$MW$9:$VD$40,$B$4,78)</f>
        <v>4.4000001103780502</v>
      </c>
    </row>
    <row r="108" spans="1:7" ht="20.100000000000001" customHeight="1">
      <c r="A108" s="170" t="s">
        <v>903</v>
      </c>
      <c r="B108" s="179">
        <f>INDEX('DEFAULT DATA'!$MW$9:$VD$40,$B$4,79)</f>
        <v>0</v>
      </c>
      <c r="C108" s="179">
        <f>INDEX('DEFAULT DATA'!$MW$9:$VD$40,$B$4,80)</f>
        <v>0</v>
      </c>
      <c r="D108" s="179">
        <f>INDEX('DEFAULT DATA'!$MW$9:$VD$40,$B$4,81)</f>
        <v>0</v>
      </c>
      <c r="E108" s="179">
        <f>INDEX('DEFAULT DATA'!$MW$9:$VD$40,$B$4,82)</f>
        <v>0</v>
      </c>
      <c r="F108" s="179">
        <f>INDEX('DEFAULT DATA'!$MW$9:$VD$40,$B$4,83)</f>
        <v>0</v>
      </c>
      <c r="G108" s="182">
        <f>INDEX('DEFAULT DATA'!$MW$9:$VD$40,$B$4,84)</f>
        <v>0</v>
      </c>
    </row>
    <row r="109" spans="1:7" ht="20.100000000000001" customHeight="1" thickBot="1">
      <c r="A109" s="171" t="s">
        <v>904</v>
      </c>
      <c r="B109" s="183">
        <f>INDEX('DEFAULT DATA'!$MW$9:$VD$40,$B$4,85)</f>
        <v>0</v>
      </c>
      <c r="C109" s="183">
        <f>INDEX('DEFAULT DATA'!$MW$9:$VD$40,$B$4,86)</f>
        <v>0</v>
      </c>
      <c r="D109" s="183">
        <f>INDEX('DEFAULT DATA'!$MW$9:$VD$40,$B$4,87)</f>
        <v>0</v>
      </c>
      <c r="E109" s="183">
        <f>INDEX('DEFAULT DATA'!$MW$9:$VD$40,$B$4,88)</f>
        <v>0</v>
      </c>
      <c r="F109" s="183">
        <f>INDEX('DEFAULT DATA'!$MW$9:$VD$40,$B$4,89)</f>
        <v>0</v>
      </c>
      <c r="G109" s="184">
        <f>INDEX('DEFAULT DATA'!$MW$9:$VD$40,$B$4,90)</f>
        <v>0</v>
      </c>
    </row>
    <row r="110" spans="1:7" ht="20.100000000000001" customHeight="1">
      <c r="A110" s="169" t="s">
        <v>878</v>
      </c>
      <c r="B110" s="185">
        <f>INDEX('DEFAULT DATA'!$MW$9:$VD$40,$B$4,91)</f>
        <v>0</v>
      </c>
      <c r="C110" s="185">
        <f>INDEX('DEFAULT DATA'!$MW$9:$VD$40,$B$4,92)</f>
        <v>0</v>
      </c>
      <c r="D110" s="185">
        <f>INDEX('DEFAULT DATA'!$MW$9:$VD$40,$B$4,93)</f>
        <v>0</v>
      </c>
      <c r="E110" s="185">
        <f>INDEX('DEFAULT DATA'!$MW$9:$VD$40,$B$4,94)</f>
        <v>0</v>
      </c>
      <c r="F110" s="185">
        <f>INDEX('DEFAULT DATA'!$MW$9:$VD$40,$B$4,95)</f>
        <v>0</v>
      </c>
      <c r="G110" s="186">
        <f>INDEX('DEFAULT DATA'!$MW$9:$VD$40,$B$4,96)</f>
        <v>0</v>
      </c>
    </row>
    <row r="111" spans="1:7" ht="20.100000000000001" customHeight="1">
      <c r="A111" s="170" t="s">
        <v>879</v>
      </c>
      <c r="B111" s="179">
        <f>INDEX('DEFAULT DATA'!$MW$9:$VD$40,$B$4,97)</f>
        <v>0</v>
      </c>
      <c r="C111" s="179">
        <f>INDEX('DEFAULT DATA'!$MW$9:$VD$40,$B$4,98)</f>
        <v>0</v>
      </c>
      <c r="D111" s="179">
        <f>INDEX('DEFAULT DATA'!$MW$9:$VD$40,$B$4,99)</f>
        <v>0</v>
      </c>
      <c r="E111" s="179">
        <f>INDEX('DEFAULT DATA'!$MW$9:$VD$40,$B$4,100)</f>
        <v>0</v>
      </c>
      <c r="F111" s="179">
        <f>INDEX('DEFAULT DATA'!$MW$9:$VD$40,$B$4,101)</f>
        <v>0</v>
      </c>
      <c r="G111" s="182">
        <f>INDEX('DEFAULT DATA'!$MW$9:$VD$40,$B$4,102)</f>
        <v>0</v>
      </c>
    </row>
    <row r="112" spans="1:7" ht="20.100000000000001" customHeight="1">
      <c r="A112" s="170" t="s">
        <v>905</v>
      </c>
      <c r="B112" s="179">
        <f>INDEX('DEFAULT DATA'!$MW$9:$VD$40,$B$4,103)</f>
        <v>0</v>
      </c>
      <c r="C112" s="179">
        <f>INDEX('DEFAULT DATA'!$MW$9:$VD$40,$B$4,104)</f>
        <v>0</v>
      </c>
      <c r="D112" s="179">
        <f>INDEX('DEFAULT DATA'!$MW$9:$VD$40,$B$4,105)</f>
        <v>0</v>
      </c>
      <c r="E112" s="179">
        <f>INDEX('DEFAULT DATA'!$MW$9:$VD$40,$B$4,106)</f>
        <v>0</v>
      </c>
      <c r="F112" s="179">
        <f>INDEX('DEFAULT DATA'!$MW$9:$VD$40,$B$4,107)</f>
        <v>0</v>
      </c>
      <c r="G112" s="182">
        <f>INDEX('DEFAULT DATA'!$MW$9:$VD$40,$B$4,108)</f>
        <v>0</v>
      </c>
    </row>
    <row r="113" spans="1:7" ht="20.100000000000001" customHeight="1">
      <c r="A113" s="170" t="s">
        <v>906</v>
      </c>
      <c r="B113" s="179">
        <f>INDEX('DEFAULT DATA'!$MW$9:$VD$40,$B$4,109)</f>
        <v>0</v>
      </c>
      <c r="C113" s="179">
        <f>INDEX('DEFAULT DATA'!$MW$9:$VD$40,$B$4,110)</f>
        <v>0</v>
      </c>
      <c r="D113" s="179">
        <f>INDEX('DEFAULT DATA'!$MW$9:$VD$40,$B$4,111)</f>
        <v>0</v>
      </c>
      <c r="E113" s="179">
        <f>INDEX('DEFAULT DATA'!$MW$9:$VD$40,$B$4,112)</f>
        <v>0</v>
      </c>
      <c r="F113" s="179">
        <f>INDEX('DEFAULT DATA'!$MW$9:$VD$40,$B$4,113)</f>
        <v>0</v>
      </c>
      <c r="G113" s="182">
        <f>INDEX('DEFAULT DATA'!$MW$9:$VD$40,$B$4,114)</f>
        <v>0</v>
      </c>
    </row>
    <row r="114" spans="1:7" ht="20.100000000000001" customHeight="1" thickBot="1">
      <c r="A114" s="171" t="s">
        <v>907</v>
      </c>
      <c r="B114" s="183">
        <f>INDEX('DEFAULT DATA'!$MW$9:$VD$40,$B$4,115)</f>
        <v>0</v>
      </c>
      <c r="C114" s="183">
        <f>INDEX('DEFAULT DATA'!$MW$9:$VD$40,$B$4,116)</f>
        <v>0</v>
      </c>
      <c r="D114" s="183">
        <f>INDEX('DEFAULT DATA'!$MW$9:$VD$40,$B$4,117)</f>
        <v>0</v>
      </c>
      <c r="E114" s="183">
        <f>INDEX('DEFAULT DATA'!$MW$9:$VD$40,$B$4,118)</f>
        <v>0</v>
      </c>
      <c r="F114" s="183">
        <f>INDEX('DEFAULT DATA'!$MW$9:$VD$40,$B$4,119)</f>
        <v>0</v>
      </c>
      <c r="G114" s="184">
        <f>INDEX('DEFAULT DATA'!$MW$9:$VD$40,$B$4,120)</f>
        <v>0</v>
      </c>
    </row>
    <row r="115" spans="1:7" ht="20.100000000000001" customHeight="1">
      <c r="A115" s="169" t="s">
        <v>908</v>
      </c>
      <c r="B115" s="185">
        <f>INDEX('DEFAULT DATA'!$MW$9:$VD$40,$B$4,121)</f>
        <v>-64.06</v>
      </c>
      <c r="C115" s="185">
        <f>INDEX('DEFAULT DATA'!$MW$9:$VD$40,$B$4,122)</f>
        <v>-20.5</v>
      </c>
      <c r="D115" s="185">
        <f>INDEX('DEFAULT DATA'!$MW$9:$VD$40,$B$4,123)</f>
        <v>-2.2821516439642302</v>
      </c>
      <c r="E115" s="185">
        <f>INDEX('DEFAULT DATA'!$MW$9:$VD$40,$B$4,124)</f>
        <v>0</v>
      </c>
      <c r="F115" s="185">
        <f>INDEX('DEFAULT DATA'!$MW$9:$VD$40,$B$4,125)</f>
        <v>-0.82619066686556997</v>
      </c>
      <c r="G115" s="186">
        <f>INDEX('DEFAULT DATA'!$MW$9:$VD$40,$B$4,126)</f>
        <v>-7.8999999241327297</v>
      </c>
    </row>
    <row r="116" spans="1:7" ht="20.100000000000001" customHeight="1">
      <c r="A116" s="170" t="s">
        <v>909</v>
      </c>
      <c r="B116" s="179">
        <f>INDEX('DEFAULT DATA'!$MW$9:$VD$40,$B$4,127)</f>
        <v>-0.35897397629453998</v>
      </c>
      <c r="C116" s="179">
        <f>INDEX('DEFAULT DATA'!$MW$9:$VD$40,$B$4,128)</f>
        <v>0</v>
      </c>
      <c r="D116" s="179">
        <f>INDEX('DEFAULT DATA'!$MW$9:$VD$40,$B$4,129)</f>
        <v>0</v>
      </c>
      <c r="E116" s="179">
        <f>INDEX('DEFAULT DATA'!$MW$9:$VD$40,$B$4,130)</f>
        <v>0</v>
      </c>
      <c r="F116" s="179">
        <f>INDEX('DEFAULT DATA'!$MW$9:$VD$40,$B$4,131)</f>
        <v>-0.85600001155687</v>
      </c>
      <c r="G116" s="182">
        <f>INDEX('DEFAULT DATA'!$MW$9:$VD$40,$B$4,132)</f>
        <v>-7.9000046087676603</v>
      </c>
    </row>
    <row r="117" spans="1:7" ht="20.100000000000001" customHeight="1">
      <c r="A117" s="170" t="s">
        <v>910</v>
      </c>
      <c r="B117" s="179">
        <f>INDEX('DEFAULT DATA'!$MW$9:$VD$40,$B$4,133)</f>
        <v>-0.78119571993218995</v>
      </c>
      <c r="C117" s="179">
        <f>INDEX('DEFAULT DATA'!$MW$9:$VD$40,$B$4,134)</f>
        <v>0</v>
      </c>
      <c r="D117" s="179">
        <f>INDEX('DEFAULT DATA'!$MW$9:$VD$40,$B$4,135)</f>
        <v>0</v>
      </c>
      <c r="E117" s="179">
        <f>INDEX('DEFAULT DATA'!$MW$9:$VD$40,$B$4,136)</f>
        <v>0</v>
      </c>
      <c r="F117" s="179">
        <f>INDEX('DEFAULT DATA'!$MW$9:$VD$40,$B$4,137)</f>
        <v>-0.85600001526582004</v>
      </c>
      <c r="G117" s="182">
        <f>INDEX('DEFAULT DATA'!$MW$9:$VD$40,$B$4,138)</f>
        <v>-7.9</v>
      </c>
    </row>
    <row r="118" spans="1:7" ht="20.100000000000001" customHeight="1">
      <c r="A118" s="170" t="s">
        <v>911</v>
      </c>
      <c r="B118" s="179">
        <f>INDEX('DEFAULT DATA'!$MW$9:$VD$40,$B$4,139)</f>
        <v>0</v>
      </c>
      <c r="C118" s="179">
        <f>INDEX('DEFAULT DATA'!$MW$9:$VD$40,$B$4,140)</f>
        <v>0</v>
      </c>
      <c r="D118" s="179">
        <f>INDEX('DEFAULT DATA'!$MW$9:$VD$40,$B$4,141)</f>
        <v>0</v>
      </c>
      <c r="E118" s="179">
        <f>INDEX('DEFAULT DATA'!$MW$9:$VD$40,$B$4,142)</f>
        <v>0</v>
      </c>
      <c r="F118" s="179">
        <f>INDEX('DEFAULT DATA'!$MW$9:$VD$40,$B$4,143)</f>
        <v>0</v>
      </c>
      <c r="G118" s="182">
        <f>INDEX('DEFAULT DATA'!$MW$9:$VD$40,$B$4,144)</f>
        <v>-7.9000016995418401</v>
      </c>
    </row>
    <row r="119" spans="1:7" ht="20.100000000000001" customHeight="1" thickBot="1">
      <c r="A119" s="171" t="s">
        <v>912</v>
      </c>
      <c r="B119" s="183">
        <f>INDEX('DEFAULT DATA'!$MW$9:$VD$40,$B$4,145)</f>
        <v>0</v>
      </c>
      <c r="C119" s="183">
        <f>INDEX('DEFAULT DATA'!$MW$9:$VD$40,$B$4,146)</f>
        <v>0</v>
      </c>
      <c r="D119" s="183">
        <f>INDEX('DEFAULT DATA'!$MW$9:$VD$40,$B$4,147)</f>
        <v>0</v>
      </c>
      <c r="E119" s="183">
        <f>INDEX('DEFAULT DATA'!$MW$9:$VD$40,$B$4,148)</f>
        <v>0</v>
      </c>
      <c r="F119" s="183">
        <f>INDEX('DEFAULT DATA'!$MW$9:$VD$40,$B$4,149)</f>
        <v>0</v>
      </c>
      <c r="G119" s="184">
        <f>INDEX('DEFAULT DATA'!$MW$9:$VD$40,$B$4,150)</f>
        <v>0</v>
      </c>
    </row>
    <row r="120" spans="1:7" ht="20.100000000000001" customHeight="1">
      <c r="A120" s="169" t="s">
        <v>913</v>
      </c>
      <c r="B120" s="185">
        <f>INDEX('DEFAULT DATA'!$MW$9:$VD$40,$B$4,151)</f>
        <v>-64.06</v>
      </c>
      <c r="C120" s="185">
        <f>INDEX('DEFAULT DATA'!$MW$9:$VD$40,$B$4,152)</f>
        <v>-20.5</v>
      </c>
      <c r="D120" s="185">
        <f>INDEX('DEFAULT DATA'!$MW$9:$VD$40,$B$4,153)</f>
        <v>0</v>
      </c>
      <c r="E120" s="185">
        <f>INDEX('DEFAULT DATA'!$MW$9:$VD$40,$B$4,154)</f>
        <v>0</v>
      </c>
      <c r="F120" s="185">
        <f>INDEX('DEFAULT DATA'!$MW$9:$VD$40,$B$4,155)</f>
        <v>0</v>
      </c>
      <c r="G120" s="186">
        <f>INDEX('DEFAULT DATA'!$MW$9:$VD$40,$B$4,156)</f>
        <v>0</v>
      </c>
    </row>
    <row r="121" spans="1:7" ht="20.100000000000001" customHeight="1">
      <c r="A121" s="170" t="s">
        <v>914</v>
      </c>
      <c r="B121" s="179">
        <f>INDEX('DEFAULT DATA'!$MW$9:$VD$40,$B$4,157)</f>
        <v>0</v>
      </c>
      <c r="C121" s="179">
        <f>INDEX('DEFAULT DATA'!$MW$9:$VD$40,$B$4,158)</f>
        <v>0</v>
      </c>
      <c r="D121" s="179">
        <f>INDEX('DEFAULT DATA'!$MW$9:$VD$40,$B$4,159)</f>
        <v>0</v>
      </c>
      <c r="E121" s="179">
        <f>INDEX('DEFAULT DATA'!$MW$9:$VD$40,$B$4,160)</f>
        <v>0</v>
      </c>
      <c r="F121" s="179">
        <f>INDEX('DEFAULT DATA'!$MW$9:$VD$40,$B$4,161)</f>
        <v>0</v>
      </c>
      <c r="G121" s="182">
        <f>INDEX('DEFAULT DATA'!$MW$9:$VD$40,$B$4,162)</f>
        <v>0</v>
      </c>
    </row>
    <row r="122" spans="1:7" ht="20.100000000000001" customHeight="1">
      <c r="A122" s="170" t="s">
        <v>915</v>
      </c>
      <c r="B122" s="179">
        <f>INDEX('DEFAULT DATA'!$MW$9:$VD$40,$B$4,163)</f>
        <v>0</v>
      </c>
      <c r="C122" s="179">
        <f>INDEX('DEFAULT DATA'!$MW$9:$VD$40,$B$4,164)</f>
        <v>0</v>
      </c>
      <c r="D122" s="179">
        <f>INDEX('DEFAULT DATA'!$MW$9:$VD$40,$B$4,165)</f>
        <v>0</v>
      </c>
      <c r="E122" s="179">
        <f>INDEX('DEFAULT DATA'!$MW$9:$VD$40,$B$4,166)</f>
        <v>0</v>
      </c>
      <c r="F122" s="179">
        <f>INDEX('DEFAULT DATA'!$MW$9:$VD$40,$B$4,167)</f>
        <v>0</v>
      </c>
      <c r="G122" s="182">
        <f>INDEX('DEFAULT DATA'!$MW$9:$VD$40,$B$4,168)</f>
        <v>0</v>
      </c>
    </row>
    <row r="123" spans="1:7" ht="20.100000000000001" customHeight="1">
      <c r="A123" s="170" t="s">
        <v>916</v>
      </c>
      <c r="B123" s="179">
        <f>INDEX('DEFAULT DATA'!$MW$9:$VD$40,$B$4,169)</f>
        <v>0</v>
      </c>
      <c r="C123" s="179">
        <f>INDEX('DEFAULT DATA'!$MW$9:$VD$40,$B$4,170)</f>
        <v>0</v>
      </c>
      <c r="D123" s="179">
        <f>INDEX('DEFAULT DATA'!$MW$9:$VD$40,$B$4,171)</f>
        <v>0</v>
      </c>
      <c r="E123" s="179">
        <f>INDEX('DEFAULT DATA'!$MW$9:$VD$40,$B$4,172)</f>
        <v>0</v>
      </c>
      <c r="F123" s="179">
        <f>INDEX('DEFAULT DATA'!$MW$9:$VD$40,$B$4,173)</f>
        <v>0</v>
      </c>
      <c r="G123" s="182">
        <f>INDEX('DEFAULT DATA'!$MW$9:$VD$40,$B$4,174)</f>
        <v>0</v>
      </c>
    </row>
    <row r="124" spans="1:7" ht="20.100000000000001" customHeight="1" thickBot="1">
      <c r="A124" s="171" t="s">
        <v>917</v>
      </c>
      <c r="B124" s="183">
        <f>INDEX('DEFAULT DATA'!$MW$9:$VD$40,$B$4,175)</f>
        <v>0</v>
      </c>
      <c r="C124" s="183">
        <f>INDEX('DEFAULT DATA'!$MW$9:$VD$40,$B$4,176)</f>
        <v>0</v>
      </c>
      <c r="D124" s="183">
        <f>INDEX('DEFAULT DATA'!$MW$9:$VD$40,$B$4,177)</f>
        <v>0</v>
      </c>
      <c r="E124" s="183">
        <f>INDEX('DEFAULT DATA'!$MW$9:$VD$40,$B$4,178)</f>
        <v>0</v>
      </c>
      <c r="F124" s="183">
        <f>INDEX('DEFAULT DATA'!$MW$9:$VD$40,$B$4,179)</f>
        <v>0</v>
      </c>
      <c r="G124" s="184">
        <f>INDEX('DEFAULT DATA'!$MW$9:$VD$40,$B$4,180)</f>
        <v>0</v>
      </c>
    </row>
    <row r="125" spans="1:7" ht="20.100000000000001" customHeight="1">
      <c r="A125" s="172" t="s">
        <v>918</v>
      </c>
      <c r="B125" s="185">
        <f>INDEX('DEFAULT DATA'!$MW$9:$VD$40,$B$4,181)</f>
        <v>0.31989679691690998</v>
      </c>
      <c r="C125" s="185">
        <f>INDEX('DEFAULT DATA'!$MW$9:$VD$40,$B$4,182)</f>
        <v>0</v>
      </c>
      <c r="D125" s="185">
        <f>INDEX('DEFAULT DATA'!$MW$9:$VD$40,$B$4,183)</f>
        <v>0.16819587959514001</v>
      </c>
      <c r="E125" s="185">
        <f>INDEX('DEFAULT DATA'!$MW$9:$VD$40,$B$4,184)</f>
        <v>0</v>
      </c>
      <c r="F125" s="185">
        <f>INDEX('DEFAULT DATA'!$MW$9:$VD$40,$B$4,185)</f>
        <v>0</v>
      </c>
      <c r="G125" s="186">
        <f>INDEX('DEFAULT DATA'!$MW$9:$VD$40,$B$4,186)</f>
        <v>-0.52000000041672001</v>
      </c>
    </row>
    <row r="126" spans="1:7" ht="20.100000000000001" customHeight="1">
      <c r="A126" s="173" t="s">
        <v>919</v>
      </c>
      <c r="B126" s="179">
        <f>INDEX('DEFAULT DATA'!$MW$9:$VD$40,$B$4,187)</f>
        <v>1.18717559824E-3</v>
      </c>
      <c r="C126" s="179">
        <f>INDEX('DEFAULT DATA'!$MW$9:$VD$40,$B$4,188)</f>
        <v>0</v>
      </c>
      <c r="D126" s="179">
        <f>INDEX('DEFAULT DATA'!$MW$9:$VD$40,$B$4,189)</f>
        <v>-3.0149923283000001E-4</v>
      </c>
      <c r="E126" s="179">
        <f>INDEX('DEFAULT DATA'!$MW$9:$VD$40,$B$4,190)</f>
        <v>0</v>
      </c>
      <c r="F126" s="179">
        <f>INDEX('DEFAULT DATA'!$MW$9:$VD$40,$B$4,191)</f>
        <v>0</v>
      </c>
      <c r="G126" s="182">
        <f>INDEX('DEFAULT DATA'!$MW$9:$VD$40,$B$4,192)</f>
        <v>-4.80000002683897</v>
      </c>
    </row>
    <row r="127" spans="1:7" ht="20.100000000000001" customHeight="1">
      <c r="A127" s="173" t="s">
        <v>920</v>
      </c>
      <c r="B127" s="179">
        <f>INDEX('DEFAULT DATA'!$MW$9:$VD$40,$B$4,193)</f>
        <v>9.2245339024199999E-2</v>
      </c>
      <c r="C127" s="179">
        <f>INDEX('DEFAULT DATA'!$MW$9:$VD$40,$B$4,194)</f>
        <v>0</v>
      </c>
      <c r="D127" s="179">
        <f>INDEX('DEFAULT DATA'!$MW$9:$VD$40,$B$4,195)</f>
        <v>1.1222824411740001E-2</v>
      </c>
      <c r="E127" s="179">
        <f>INDEX('DEFAULT DATA'!$MW$9:$VD$40,$B$4,196)</f>
        <v>0</v>
      </c>
      <c r="F127" s="179">
        <f>INDEX('DEFAULT DATA'!$MW$9:$VD$40,$B$4,197)</f>
        <v>0</v>
      </c>
      <c r="G127" s="182">
        <f>INDEX('DEFAULT DATA'!$MW$9:$VD$40,$B$4,198)</f>
        <v>-4.4000000461020798</v>
      </c>
    </row>
    <row r="128" spans="1:7" ht="20.100000000000001" customHeight="1">
      <c r="A128" s="173" t="s">
        <v>921</v>
      </c>
      <c r="B128" s="179">
        <f>INDEX('DEFAULT DATA'!$MW$9:$VD$40,$B$4,199)</f>
        <v>0</v>
      </c>
      <c r="C128" s="179">
        <f>INDEX('DEFAULT DATA'!$MW$9:$VD$40,$B$4,200)</f>
        <v>0</v>
      </c>
      <c r="D128" s="179">
        <f>INDEX('DEFAULT DATA'!$MW$9:$VD$40,$B$4,201)</f>
        <v>0</v>
      </c>
      <c r="E128" s="179">
        <f>INDEX('DEFAULT DATA'!$MW$9:$VD$40,$B$4,202)</f>
        <v>0</v>
      </c>
      <c r="F128" s="179">
        <f>INDEX('DEFAULT DATA'!$MW$9:$VD$40,$B$4,203)</f>
        <v>0</v>
      </c>
      <c r="G128" s="182">
        <f>INDEX('DEFAULT DATA'!$MW$9:$VD$40,$B$4,204)</f>
        <v>-1.2136363467912099</v>
      </c>
    </row>
    <row r="129" spans="1:7" ht="20.100000000000001" customHeight="1">
      <c r="A129" s="173" t="s">
        <v>922</v>
      </c>
      <c r="B129" s="179">
        <f>INDEX('DEFAULT DATA'!$MW$9:$VD$40,$B$4,205)</f>
        <v>2.0514416714919999E-2</v>
      </c>
      <c r="C129" s="179">
        <f>INDEX('DEFAULT DATA'!$MW$9:$VD$40,$B$4,206)</f>
        <v>0</v>
      </c>
      <c r="D129" s="179">
        <f>INDEX('DEFAULT DATA'!$MW$9:$VD$40,$B$4,207)</f>
        <v>-4.0733997263199997E-2</v>
      </c>
      <c r="E129" s="179">
        <f>INDEX('DEFAULT DATA'!$MW$9:$VD$40,$B$4,208)</f>
        <v>0</v>
      </c>
      <c r="F129" s="179">
        <f>INDEX('DEFAULT DATA'!$MW$9:$VD$40,$B$4,209)</f>
        <v>0</v>
      </c>
      <c r="G129" s="182">
        <f>INDEX('DEFAULT DATA'!$MW$9:$VD$40,$B$4,210)</f>
        <v>-0.11312037841524999</v>
      </c>
    </row>
    <row r="130" spans="1:7" ht="20.100000000000001" customHeight="1" thickBot="1">
      <c r="A130" s="174" t="s">
        <v>923</v>
      </c>
      <c r="B130" s="183">
        <f>INDEX('DEFAULT DATA'!$MW$9:$VD$40,$B$4,211)</f>
        <v>0.19128168721929001</v>
      </c>
      <c r="C130" s="183">
        <f>INDEX('DEFAULT DATA'!$MW$9:$VD$40,$B$4,212)</f>
        <v>0</v>
      </c>
      <c r="D130" s="183">
        <f>INDEX('DEFAULT DATA'!$MW$9:$VD$40,$B$4,213)</f>
        <v>2.5679577467769998E-2</v>
      </c>
      <c r="E130" s="183">
        <f>INDEX('DEFAULT DATA'!$MW$9:$VD$40,$B$4,214)</f>
        <v>0</v>
      </c>
      <c r="F130" s="183">
        <f>INDEX('DEFAULT DATA'!$MW$9:$VD$40,$B$4,215)</f>
        <v>0</v>
      </c>
      <c r="G130" s="184">
        <f>INDEX('DEFAULT DATA'!$MW$9:$VD$40,$B$4,216)</f>
        <v>-7.90000216590078</v>
      </c>
    </row>
    <row r="182" spans="1:383" ht="20.100000000000001" customHeight="1">
      <c r="B182" s="79">
        <v>0</v>
      </c>
      <c r="C182" s="80">
        <v>1</v>
      </c>
      <c r="D182" s="81">
        <f>C182+1</f>
        <v>2</v>
      </c>
      <c r="E182" s="80">
        <f t="shared" ref="E182:BP182" si="36">D182+1</f>
        <v>3</v>
      </c>
      <c r="F182" s="80">
        <f t="shared" si="36"/>
        <v>4</v>
      </c>
      <c r="G182" s="80">
        <f t="shared" si="36"/>
        <v>5</v>
      </c>
      <c r="H182" s="80">
        <f t="shared" si="36"/>
        <v>6</v>
      </c>
      <c r="I182" s="80">
        <f t="shared" si="36"/>
        <v>7</v>
      </c>
      <c r="J182" s="80">
        <f t="shared" si="36"/>
        <v>8</v>
      </c>
      <c r="K182" s="80">
        <f t="shared" si="36"/>
        <v>9</v>
      </c>
      <c r="L182" s="80">
        <f t="shared" si="36"/>
        <v>10</v>
      </c>
      <c r="M182" s="80">
        <f t="shared" si="36"/>
        <v>11</v>
      </c>
      <c r="N182" s="80">
        <f t="shared" si="36"/>
        <v>12</v>
      </c>
      <c r="O182" s="80">
        <f t="shared" si="36"/>
        <v>13</v>
      </c>
      <c r="P182" s="80">
        <f t="shared" si="36"/>
        <v>14</v>
      </c>
      <c r="Q182" s="80">
        <f t="shared" si="36"/>
        <v>15</v>
      </c>
      <c r="R182" s="80">
        <f t="shared" si="36"/>
        <v>16</v>
      </c>
      <c r="S182" s="80">
        <f t="shared" si="36"/>
        <v>17</v>
      </c>
      <c r="T182" s="80">
        <f t="shared" si="36"/>
        <v>18</v>
      </c>
      <c r="U182" s="80">
        <f t="shared" si="36"/>
        <v>19</v>
      </c>
      <c r="V182" s="80">
        <f t="shared" si="36"/>
        <v>20</v>
      </c>
      <c r="W182" s="80">
        <f t="shared" si="36"/>
        <v>21</v>
      </c>
      <c r="X182" s="80">
        <f t="shared" si="36"/>
        <v>22</v>
      </c>
      <c r="Y182" s="80">
        <f t="shared" si="36"/>
        <v>23</v>
      </c>
      <c r="Z182" s="80">
        <f t="shared" si="36"/>
        <v>24</v>
      </c>
      <c r="AA182" s="80">
        <f t="shared" si="36"/>
        <v>25</v>
      </c>
      <c r="AB182" s="80">
        <f t="shared" si="36"/>
        <v>26</v>
      </c>
      <c r="AC182" s="80">
        <f t="shared" si="36"/>
        <v>27</v>
      </c>
      <c r="AD182" s="80">
        <f t="shared" si="36"/>
        <v>28</v>
      </c>
      <c r="AE182" s="80">
        <f t="shared" si="36"/>
        <v>29</v>
      </c>
      <c r="AF182" s="80">
        <f t="shared" si="36"/>
        <v>30</v>
      </c>
      <c r="AG182" s="80">
        <f t="shared" si="36"/>
        <v>31</v>
      </c>
      <c r="AH182" s="80">
        <f t="shared" si="36"/>
        <v>32</v>
      </c>
      <c r="AI182" s="80">
        <f t="shared" si="36"/>
        <v>33</v>
      </c>
      <c r="AJ182" s="80">
        <f t="shared" si="36"/>
        <v>34</v>
      </c>
      <c r="AK182" s="80">
        <f t="shared" si="36"/>
        <v>35</v>
      </c>
      <c r="AL182" s="80">
        <f t="shared" si="36"/>
        <v>36</v>
      </c>
      <c r="AM182" s="80">
        <f t="shared" si="36"/>
        <v>37</v>
      </c>
      <c r="AN182" s="80">
        <f t="shared" si="36"/>
        <v>38</v>
      </c>
      <c r="AO182" s="80">
        <f t="shared" si="36"/>
        <v>39</v>
      </c>
      <c r="AP182" s="80">
        <f t="shared" si="36"/>
        <v>40</v>
      </c>
      <c r="AQ182" s="80">
        <f t="shared" si="36"/>
        <v>41</v>
      </c>
      <c r="AR182" s="80">
        <f t="shared" si="36"/>
        <v>42</v>
      </c>
      <c r="AS182" s="80">
        <f t="shared" si="36"/>
        <v>43</v>
      </c>
      <c r="AT182" s="80">
        <f t="shared" si="36"/>
        <v>44</v>
      </c>
      <c r="AU182" s="80">
        <f t="shared" si="36"/>
        <v>45</v>
      </c>
      <c r="AV182" s="80">
        <f t="shared" si="36"/>
        <v>46</v>
      </c>
      <c r="AW182" s="80">
        <f t="shared" si="36"/>
        <v>47</v>
      </c>
      <c r="AX182" s="80">
        <f t="shared" si="36"/>
        <v>48</v>
      </c>
      <c r="AY182" s="80">
        <f t="shared" si="36"/>
        <v>49</v>
      </c>
      <c r="AZ182" s="80">
        <f t="shared" si="36"/>
        <v>50</v>
      </c>
      <c r="BA182" s="80">
        <f t="shared" si="36"/>
        <v>51</v>
      </c>
      <c r="BB182" s="80">
        <f t="shared" si="36"/>
        <v>52</v>
      </c>
      <c r="BC182" s="80">
        <f t="shared" si="36"/>
        <v>53</v>
      </c>
      <c r="BD182" s="80">
        <f t="shared" si="36"/>
        <v>54</v>
      </c>
      <c r="BE182" s="80">
        <f t="shared" si="36"/>
        <v>55</v>
      </c>
      <c r="BF182" s="80">
        <f t="shared" si="36"/>
        <v>56</v>
      </c>
      <c r="BG182" s="80">
        <f t="shared" si="36"/>
        <v>57</v>
      </c>
      <c r="BH182" s="80">
        <f t="shared" si="36"/>
        <v>58</v>
      </c>
      <c r="BI182" s="80">
        <f t="shared" si="36"/>
        <v>59</v>
      </c>
      <c r="BJ182" s="80">
        <f t="shared" si="36"/>
        <v>60</v>
      </c>
      <c r="BK182" s="80">
        <f t="shared" si="36"/>
        <v>61</v>
      </c>
      <c r="BL182" s="80">
        <f t="shared" si="36"/>
        <v>62</v>
      </c>
      <c r="BM182" s="80">
        <f t="shared" si="36"/>
        <v>63</v>
      </c>
      <c r="BN182" s="80">
        <f t="shared" si="36"/>
        <v>64</v>
      </c>
      <c r="BO182" s="80">
        <f t="shared" si="36"/>
        <v>65</v>
      </c>
      <c r="BP182" s="80">
        <f t="shared" si="36"/>
        <v>66</v>
      </c>
      <c r="BQ182" s="80">
        <f t="shared" ref="BQ182:EB182" si="37">BP182+1</f>
        <v>67</v>
      </c>
      <c r="BR182" s="80">
        <f t="shared" si="37"/>
        <v>68</v>
      </c>
      <c r="BS182" s="80">
        <f t="shared" si="37"/>
        <v>69</v>
      </c>
      <c r="BT182" s="80">
        <f t="shared" si="37"/>
        <v>70</v>
      </c>
      <c r="BU182" s="80">
        <f t="shared" si="37"/>
        <v>71</v>
      </c>
      <c r="BV182" s="80">
        <f t="shared" si="37"/>
        <v>72</v>
      </c>
      <c r="BW182" s="80">
        <f t="shared" si="37"/>
        <v>73</v>
      </c>
      <c r="BX182" s="80">
        <f t="shared" si="37"/>
        <v>74</v>
      </c>
      <c r="BY182" s="80">
        <f t="shared" si="37"/>
        <v>75</v>
      </c>
      <c r="BZ182" s="80">
        <f t="shared" si="37"/>
        <v>76</v>
      </c>
      <c r="CA182" s="80">
        <f t="shared" si="37"/>
        <v>77</v>
      </c>
      <c r="CB182" s="80">
        <f t="shared" si="37"/>
        <v>78</v>
      </c>
      <c r="CC182" s="80">
        <f t="shared" si="37"/>
        <v>79</v>
      </c>
      <c r="CD182" s="80">
        <f t="shared" si="37"/>
        <v>80</v>
      </c>
      <c r="CE182" s="80">
        <f t="shared" si="37"/>
        <v>81</v>
      </c>
      <c r="CF182" s="80">
        <f t="shared" si="37"/>
        <v>82</v>
      </c>
      <c r="CG182" s="80">
        <f t="shared" si="37"/>
        <v>83</v>
      </c>
      <c r="CH182" s="80">
        <f t="shared" si="37"/>
        <v>84</v>
      </c>
      <c r="CI182" s="80">
        <f t="shared" si="37"/>
        <v>85</v>
      </c>
      <c r="CJ182" s="80">
        <f t="shared" si="37"/>
        <v>86</v>
      </c>
      <c r="CK182" s="80">
        <f t="shared" si="37"/>
        <v>87</v>
      </c>
      <c r="CL182" s="80">
        <f t="shared" si="37"/>
        <v>88</v>
      </c>
      <c r="CM182" s="80">
        <f t="shared" si="37"/>
        <v>89</v>
      </c>
      <c r="CN182" s="80">
        <f t="shared" si="37"/>
        <v>90</v>
      </c>
      <c r="CO182" s="80">
        <f t="shared" si="37"/>
        <v>91</v>
      </c>
      <c r="CP182" s="80">
        <f t="shared" si="37"/>
        <v>92</v>
      </c>
      <c r="CQ182" s="80">
        <f t="shared" si="37"/>
        <v>93</v>
      </c>
      <c r="CR182" s="80">
        <f t="shared" si="37"/>
        <v>94</v>
      </c>
      <c r="CS182" s="80">
        <f t="shared" si="37"/>
        <v>95</v>
      </c>
      <c r="CT182" s="80">
        <f t="shared" si="37"/>
        <v>96</v>
      </c>
      <c r="CU182" s="80">
        <f t="shared" si="37"/>
        <v>97</v>
      </c>
      <c r="CV182" s="80">
        <f t="shared" si="37"/>
        <v>98</v>
      </c>
      <c r="CW182" s="80">
        <f t="shared" si="37"/>
        <v>99</v>
      </c>
      <c r="CX182" s="80">
        <f t="shared" si="37"/>
        <v>100</v>
      </c>
      <c r="CY182" s="80">
        <f t="shared" si="37"/>
        <v>101</v>
      </c>
      <c r="CZ182" s="80">
        <f t="shared" si="37"/>
        <v>102</v>
      </c>
      <c r="DA182" s="80">
        <f t="shared" si="37"/>
        <v>103</v>
      </c>
      <c r="DB182" s="80">
        <f t="shared" si="37"/>
        <v>104</v>
      </c>
      <c r="DC182" s="80">
        <f t="shared" si="37"/>
        <v>105</v>
      </c>
      <c r="DD182" s="80">
        <f t="shared" si="37"/>
        <v>106</v>
      </c>
      <c r="DE182" s="80">
        <f t="shared" si="37"/>
        <v>107</v>
      </c>
      <c r="DF182" s="80">
        <f t="shared" si="37"/>
        <v>108</v>
      </c>
      <c r="DG182" s="80">
        <f t="shared" si="37"/>
        <v>109</v>
      </c>
      <c r="DH182" s="80">
        <f t="shared" si="37"/>
        <v>110</v>
      </c>
      <c r="DI182" s="80">
        <f t="shared" si="37"/>
        <v>111</v>
      </c>
      <c r="DJ182" s="80">
        <f t="shared" si="37"/>
        <v>112</v>
      </c>
      <c r="DK182" s="80">
        <f t="shared" si="37"/>
        <v>113</v>
      </c>
      <c r="DL182" s="80">
        <f t="shared" si="37"/>
        <v>114</v>
      </c>
      <c r="DM182" s="80">
        <f t="shared" si="37"/>
        <v>115</v>
      </c>
      <c r="DN182" s="80">
        <f t="shared" si="37"/>
        <v>116</v>
      </c>
      <c r="DO182" s="80">
        <f t="shared" si="37"/>
        <v>117</v>
      </c>
      <c r="DP182" s="80">
        <f t="shared" si="37"/>
        <v>118</v>
      </c>
      <c r="DQ182" s="80">
        <f t="shared" si="37"/>
        <v>119</v>
      </c>
      <c r="DR182" s="80">
        <f t="shared" si="37"/>
        <v>120</v>
      </c>
      <c r="DS182" s="80">
        <f t="shared" si="37"/>
        <v>121</v>
      </c>
      <c r="DT182" s="80">
        <f t="shared" si="37"/>
        <v>122</v>
      </c>
      <c r="DU182" s="80">
        <f t="shared" si="37"/>
        <v>123</v>
      </c>
      <c r="DV182" s="80">
        <f t="shared" si="37"/>
        <v>124</v>
      </c>
      <c r="DW182" s="80">
        <f t="shared" si="37"/>
        <v>125</v>
      </c>
      <c r="DX182" s="80">
        <f t="shared" si="37"/>
        <v>126</v>
      </c>
      <c r="DY182" s="80">
        <f t="shared" si="37"/>
        <v>127</v>
      </c>
      <c r="DZ182" s="187">
        <f t="shared" si="37"/>
        <v>128</v>
      </c>
      <c r="EA182" s="80">
        <f t="shared" si="37"/>
        <v>129</v>
      </c>
      <c r="EB182" s="80">
        <f t="shared" si="37"/>
        <v>130</v>
      </c>
      <c r="EC182" s="80">
        <f t="shared" ref="EC182:GN182" si="38">EB182+1</f>
        <v>131</v>
      </c>
      <c r="ED182" s="80">
        <f t="shared" si="38"/>
        <v>132</v>
      </c>
      <c r="EE182" s="80">
        <f t="shared" si="38"/>
        <v>133</v>
      </c>
      <c r="EF182" s="80">
        <f t="shared" si="38"/>
        <v>134</v>
      </c>
      <c r="EG182" s="80">
        <f t="shared" si="38"/>
        <v>135</v>
      </c>
      <c r="EH182" s="80">
        <f t="shared" si="38"/>
        <v>136</v>
      </c>
      <c r="EI182" s="80">
        <f t="shared" si="38"/>
        <v>137</v>
      </c>
      <c r="EJ182" s="80">
        <f t="shared" si="38"/>
        <v>138</v>
      </c>
      <c r="EK182" s="80">
        <f t="shared" si="38"/>
        <v>139</v>
      </c>
      <c r="EL182" s="80">
        <f t="shared" si="38"/>
        <v>140</v>
      </c>
      <c r="EM182" s="80">
        <f t="shared" si="38"/>
        <v>141</v>
      </c>
      <c r="EN182" s="80">
        <f t="shared" si="38"/>
        <v>142</v>
      </c>
      <c r="EO182" s="80">
        <f t="shared" si="38"/>
        <v>143</v>
      </c>
      <c r="EP182" s="80">
        <f t="shared" si="38"/>
        <v>144</v>
      </c>
      <c r="EQ182" s="80">
        <f t="shared" si="38"/>
        <v>145</v>
      </c>
      <c r="ER182" s="80">
        <f t="shared" si="38"/>
        <v>146</v>
      </c>
      <c r="ES182" s="80">
        <f t="shared" si="38"/>
        <v>147</v>
      </c>
      <c r="ET182" s="80">
        <f t="shared" si="38"/>
        <v>148</v>
      </c>
      <c r="EU182" s="80">
        <f t="shared" si="38"/>
        <v>149</v>
      </c>
      <c r="EV182" s="80">
        <f t="shared" si="38"/>
        <v>150</v>
      </c>
      <c r="EW182" s="80">
        <f t="shared" si="38"/>
        <v>151</v>
      </c>
      <c r="EX182" s="80">
        <f t="shared" si="38"/>
        <v>152</v>
      </c>
      <c r="EY182" s="80">
        <f t="shared" si="38"/>
        <v>153</v>
      </c>
      <c r="EZ182" s="80">
        <f t="shared" si="38"/>
        <v>154</v>
      </c>
      <c r="FA182" s="80">
        <f t="shared" si="38"/>
        <v>155</v>
      </c>
      <c r="FB182" s="80">
        <f t="shared" si="38"/>
        <v>156</v>
      </c>
      <c r="FC182" s="80">
        <f t="shared" si="38"/>
        <v>157</v>
      </c>
      <c r="FD182" s="80">
        <f t="shared" si="38"/>
        <v>158</v>
      </c>
      <c r="FE182" s="80">
        <f t="shared" si="38"/>
        <v>159</v>
      </c>
      <c r="FF182" s="80">
        <f t="shared" si="38"/>
        <v>160</v>
      </c>
      <c r="FG182" s="80">
        <f t="shared" si="38"/>
        <v>161</v>
      </c>
      <c r="FH182" s="80">
        <f t="shared" si="38"/>
        <v>162</v>
      </c>
      <c r="FI182" s="80">
        <f t="shared" si="38"/>
        <v>163</v>
      </c>
      <c r="FJ182" s="80">
        <f t="shared" si="38"/>
        <v>164</v>
      </c>
      <c r="FK182" s="80">
        <f t="shared" si="38"/>
        <v>165</v>
      </c>
      <c r="FL182" s="80">
        <f t="shared" si="38"/>
        <v>166</v>
      </c>
      <c r="FM182" s="80">
        <f t="shared" si="38"/>
        <v>167</v>
      </c>
      <c r="FN182" s="80">
        <f t="shared" si="38"/>
        <v>168</v>
      </c>
      <c r="FO182" s="80">
        <f t="shared" si="38"/>
        <v>169</v>
      </c>
      <c r="FP182" s="80">
        <f t="shared" si="38"/>
        <v>170</v>
      </c>
      <c r="FQ182" s="80">
        <f t="shared" si="38"/>
        <v>171</v>
      </c>
      <c r="FR182" s="80">
        <f t="shared" si="38"/>
        <v>172</v>
      </c>
      <c r="FS182" s="80">
        <f t="shared" si="38"/>
        <v>173</v>
      </c>
      <c r="FT182" s="80">
        <f t="shared" si="38"/>
        <v>174</v>
      </c>
      <c r="FU182" s="80">
        <f t="shared" si="38"/>
        <v>175</v>
      </c>
      <c r="FV182" s="80">
        <f t="shared" si="38"/>
        <v>176</v>
      </c>
      <c r="FW182" s="80">
        <f t="shared" si="38"/>
        <v>177</v>
      </c>
      <c r="FX182" s="80">
        <f t="shared" si="38"/>
        <v>178</v>
      </c>
      <c r="FY182" s="80">
        <f t="shared" si="38"/>
        <v>179</v>
      </c>
      <c r="FZ182" s="80">
        <f t="shared" si="38"/>
        <v>180</v>
      </c>
      <c r="GA182" s="80">
        <f t="shared" si="38"/>
        <v>181</v>
      </c>
      <c r="GB182" s="80">
        <f t="shared" si="38"/>
        <v>182</v>
      </c>
      <c r="GC182" s="80">
        <f t="shared" si="38"/>
        <v>183</v>
      </c>
      <c r="GD182" s="80">
        <f t="shared" si="38"/>
        <v>184</v>
      </c>
      <c r="GE182" s="80">
        <f t="shared" si="38"/>
        <v>185</v>
      </c>
      <c r="GF182" s="80">
        <f t="shared" si="38"/>
        <v>186</v>
      </c>
      <c r="GG182" s="80">
        <f t="shared" si="38"/>
        <v>187</v>
      </c>
      <c r="GH182" s="80">
        <f t="shared" si="38"/>
        <v>188</v>
      </c>
      <c r="GI182" s="80">
        <f t="shared" si="38"/>
        <v>189</v>
      </c>
      <c r="GJ182" s="80">
        <f t="shared" si="38"/>
        <v>190</v>
      </c>
      <c r="GK182" s="80">
        <f t="shared" si="38"/>
        <v>191</v>
      </c>
      <c r="GL182" s="80">
        <f t="shared" si="38"/>
        <v>192</v>
      </c>
      <c r="GM182" s="80">
        <f t="shared" si="38"/>
        <v>193</v>
      </c>
      <c r="GN182" s="80">
        <f t="shared" si="38"/>
        <v>194</v>
      </c>
      <c r="GO182" s="80">
        <f t="shared" ref="GO182:IZ182" si="39">GN182+1</f>
        <v>195</v>
      </c>
      <c r="GP182" s="80">
        <f t="shared" si="39"/>
        <v>196</v>
      </c>
      <c r="GQ182" s="80">
        <f t="shared" si="39"/>
        <v>197</v>
      </c>
      <c r="GR182" s="80">
        <f t="shared" si="39"/>
        <v>198</v>
      </c>
      <c r="GS182" s="80">
        <f t="shared" si="39"/>
        <v>199</v>
      </c>
      <c r="GT182" s="80">
        <f t="shared" si="39"/>
        <v>200</v>
      </c>
      <c r="GU182" s="80">
        <f t="shared" si="39"/>
        <v>201</v>
      </c>
      <c r="GV182" s="80">
        <f t="shared" si="39"/>
        <v>202</v>
      </c>
      <c r="GW182" s="80">
        <f t="shared" si="39"/>
        <v>203</v>
      </c>
      <c r="GX182" s="80">
        <f t="shared" si="39"/>
        <v>204</v>
      </c>
      <c r="GY182" s="80">
        <f t="shared" si="39"/>
        <v>205</v>
      </c>
      <c r="GZ182" s="80">
        <f t="shared" si="39"/>
        <v>206</v>
      </c>
      <c r="HA182" s="80">
        <f t="shared" si="39"/>
        <v>207</v>
      </c>
      <c r="HB182" s="80">
        <f t="shared" si="39"/>
        <v>208</v>
      </c>
      <c r="HC182" s="80">
        <f t="shared" si="39"/>
        <v>209</v>
      </c>
      <c r="HD182" s="80">
        <f t="shared" si="39"/>
        <v>210</v>
      </c>
      <c r="HE182" s="80">
        <f t="shared" si="39"/>
        <v>211</v>
      </c>
      <c r="HF182" s="80">
        <f t="shared" si="39"/>
        <v>212</v>
      </c>
      <c r="HG182" s="80">
        <f t="shared" si="39"/>
        <v>213</v>
      </c>
      <c r="HH182" s="80">
        <f t="shared" si="39"/>
        <v>214</v>
      </c>
      <c r="HI182" s="80">
        <f t="shared" si="39"/>
        <v>215</v>
      </c>
      <c r="HJ182" s="80">
        <f t="shared" si="39"/>
        <v>216</v>
      </c>
      <c r="HK182" s="80">
        <f t="shared" si="39"/>
        <v>217</v>
      </c>
      <c r="HL182" s="80">
        <f t="shared" si="39"/>
        <v>218</v>
      </c>
      <c r="HM182" s="80">
        <f t="shared" si="39"/>
        <v>219</v>
      </c>
      <c r="HN182" s="80">
        <f t="shared" si="39"/>
        <v>220</v>
      </c>
      <c r="HO182" s="80">
        <f t="shared" si="39"/>
        <v>221</v>
      </c>
      <c r="HP182" s="80">
        <f t="shared" si="39"/>
        <v>222</v>
      </c>
      <c r="HQ182" s="80">
        <f t="shared" si="39"/>
        <v>223</v>
      </c>
      <c r="HR182" s="80">
        <f t="shared" si="39"/>
        <v>224</v>
      </c>
      <c r="HS182" s="80">
        <f t="shared" si="39"/>
        <v>225</v>
      </c>
      <c r="HT182" s="80">
        <f t="shared" si="39"/>
        <v>226</v>
      </c>
      <c r="HU182" s="80">
        <f t="shared" si="39"/>
        <v>227</v>
      </c>
      <c r="HV182" s="80">
        <f t="shared" si="39"/>
        <v>228</v>
      </c>
      <c r="HW182" s="80">
        <f t="shared" si="39"/>
        <v>229</v>
      </c>
      <c r="HX182" s="80">
        <f t="shared" si="39"/>
        <v>230</v>
      </c>
      <c r="HY182" s="80">
        <f t="shared" si="39"/>
        <v>231</v>
      </c>
      <c r="HZ182" s="80">
        <f t="shared" si="39"/>
        <v>232</v>
      </c>
      <c r="IA182" s="80">
        <f t="shared" si="39"/>
        <v>233</v>
      </c>
      <c r="IB182" s="80">
        <f t="shared" si="39"/>
        <v>234</v>
      </c>
      <c r="IC182" s="80">
        <f t="shared" si="39"/>
        <v>235</v>
      </c>
      <c r="ID182" s="80">
        <f t="shared" si="39"/>
        <v>236</v>
      </c>
      <c r="IE182" s="80">
        <f t="shared" si="39"/>
        <v>237</v>
      </c>
      <c r="IF182" s="80">
        <f t="shared" si="39"/>
        <v>238</v>
      </c>
      <c r="IG182" s="80">
        <f t="shared" si="39"/>
        <v>239</v>
      </c>
      <c r="IH182" s="80">
        <f t="shared" si="39"/>
        <v>240</v>
      </c>
      <c r="II182" s="80">
        <f t="shared" si="39"/>
        <v>241</v>
      </c>
      <c r="IJ182" s="80">
        <f t="shared" si="39"/>
        <v>242</v>
      </c>
      <c r="IK182" s="80">
        <f t="shared" si="39"/>
        <v>243</v>
      </c>
      <c r="IL182" s="80">
        <f t="shared" si="39"/>
        <v>244</v>
      </c>
      <c r="IM182" s="80">
        <f t="shared" si="39"/>
        <v>245</v>
      </c>
      <c r="IN182" s="80">
        <f t="shared" si="39"/>
        <v>246</v>
      </c>
      <c r="IO182" s="80">
        <f t="shared" si="39"/>
        <v>247</v>
      </c>
      <c r="IP182" s="80">
        <f t="shared" si="39"/>
        <v>248</v>
      </c>
      <c r="IQ182" s="80">
        <f t="shared" si="39"/>
        <v>249</v>
      </c>
      <c r="IR182" s="80">
        <f t="shared" si="39"/>
        <v>250</v>
      </c>
      <c r="IS182" s="80">
        <f t="shared" si="39"/>
        <v>251</v>
      </c>
      <c r="IT182" s="80">
        <f t="shared" si="39"/>
        <v>252</v>
      </c>
      <c r="IU182" s="80">
        <f t="shared" si="39"/>
        <v>253</v>
      </c>
      <c r="IV182" s="80">
        <f t="shared" si="39"/>
        <v>254</v>
      </c>
      <c r="IW182" s="80">
        <f t="shared" si="39"/>
        <v>255</v>
      </c>
      <c r="IX182" s="80">
        <f t="shared" si="39"/>
        <v>256</v>
      </c>
      <c r="IY182" s="80">
        <f t="shared" si="39"/>
        <v>257</v>
      </c>
      <c r="IZ182" s="80">
        <f t="shared" si="39"/>
        <v>258</v>
      </c>
      <c r="JA182" s="80">
        <f t="shared" ref="JA182:LL182" si="40">IZ182+1</f>
        <v>259</v>
      </c>
      <c r="JB182" s="80">
        <f t="shared" si="40"/>
        <v>260</v>
      </c>
      <c r="JC182" s="80">
        <f t="shared" si="40"/>
        <v>261</v>
      </c>
      <c r="JD182" s="80">
        <f t="shared" si="40"/>
        <v>262</v>
      </c>
      <c r="JE182" s="80">
        <f t="shared" si="40"/>
        <v>263</v>
      </c>
      <c r="JF182" s="80">
        <f t="shared" si="40"/>
        <v>264</v>
      </c>
      <c r="JG182" s="80">
        <f t="shared" si="40"/>
        <v>265</v>
      </c>
      <c r="JH182" s="80">
        <f t="shared" si="40"/>
        <v>266</v>
      </c>
      <c r="JI182" s="80">
        <f t="shared" si="40"/>
        <v>267</v>
      </c>
      <c r="JJ182" s="80">
        <f t="shared" si="40"/>
        <v>268</v>
      </c>
      <c r="JK182" s="80">
        <f t="shared" si="40"/>
        <v>269</v>
      </c>
      <c r="JL182" s="80">
        <f t="shared" si="40"/>
        <v>270</v>
      </c>
      <c r="JM182" s="80">
        <f t="shared" si="40"/>
        <v>271</v>
      </c>
      <c r="JN182" s="80">
        <f t="shared" si="40"/>
        <v>272</v>
      </c>
      <c r="JO182" s="80">
        <f t="shared" si="40"/>
        <v>273</v>
      </c>
      <c r="JP182" s="80">
        <f t="shared" si="40"/>
        <v>274</v>
      </c>
      <c r="JQ182" s="80">
        <f t="shared" si="40"/>
        <v>275</v>
      </c>
      <c r="JR182" s="80">
        <f t="shared" si="40"/>
        <v>276</v>
      </c>
      <c r="JS182" s="80">
        <f t="shared" si="40"/>
        <v>277</v>
      </c>
      <c r="JT182" s="80">
        <f t="shared" si="40"/>
        <v>278</v>
      </c>
      <c r="JU182" s="80">
        <f t="shared" si="40"/>
        <v>279</v>
      </c>
      <c r="JV182" s="80">
        <f t="shared" si="40"/>
        <v>280</v>
      </c>
      <c r="JW182" s="80">
        <f t="shared" si="40"/>
        <v>281</v>
      </c>
      <c r="JX182" s="80">
        <f t="shared" si="40"/>
        <v>282</v>
      </c>
      <c r="JY182" s="80">
        <f t="shared" si="40"/>
        <v>283</v>
      </c>
      <c r="JZ182" s="80">
        <f t="shared" si="40"/>
        <v>284</v>
      </c>
      <c r="KA182" s="80">
        <f t="shared" si="40"/>
        <v>285</v>
      </c>
      <c r="KB182" s="80">
        <f t="shared" si="40"/>
        <v>286</v>
      </c>
      <c r="KC182" s="80">
        <f t="shared" si="40"/>
        <v>287</v>
      </c>
      <c r="KD182" s="80">
        <f t="shared" si="40"/>
        <v>288</v>
      </c>
      <c r="KE182" s="80">
        <f t="shared" si="40"/>
        <v>289</v>
      </c>
      <c r="KF182" s="80">
        <f t="shared" si="40"/>
        <v>290</v>
      </c>
      <c r="KG182" s="80">
        <f t="shared" si="40"/>
        <v>291</v>
      </c>
      <c r="KH182" s="80">
        <f t="shared" si="40"/>
        <v>292</v>
      </c>
      <c r="KI182" s="80">
        <f t="shared" si="40"/>
        <v>293</v>
      </c>
      <c r="KJ182" s="80">
        <f t="shared" si="40"/>
        <v>294</v>
      </c>
      <c r="KK182" s="80">
        <f t="shared" si="40"/>
        <v>295</v>
      </c>
      <c r="KL182" s="80">
        <f t="shared" si="40"/>
        <v>296</v>
      </c>
      <c r="KM182" s="80">
        <f t="shared" si="40"/>
        <v>297</v>
      </c>
      <c r="KN182" s="80">
        <f t="shared" si="40"/>
        <v>298</v>
      </c>
      <c r="KO182" s="80">
        <f t="shared" si="40"/>
        <v>299</v>
      </c>
      <c r="KP182" s="80">
        <f t="shared" si="40"/>
        <v>300</v>
      </c>
      <c r="KQ182" s="80">
        <f t="shared" si="40"/>
        <v>301</v>
      </c>
      <c r="KR182" s="80">
        <f t="shared" si="40"/>
        <v>302</v>
      </c>
      <c r="KS182" s="80">
        <f t="shared" si="40"/>
        <v>303</v>
      </c>
      <c r="KT182" s="80">
        <f t="shared" si="40"/>
        <v>304</v>
      </c>
      <c r="KU182" s="80">
        <f t="shared" si="40"/>
        <v>305</v>
      </c>
      <c r="KV182" s="80">
        <f t="shared" si="40"/>
        <v>306</v>
      </c>
      <c r="KW182" s="80">
        <f t="shared" si="40"/>
        <v>307</v>
      </c>
      <c r="KX182" s="80">
        <f t="shared" si="40"/>
        <v>308</v>
      </c>
      <c r="KY182" s="80">
        <f t="shared" si="40"/>
        <v>309</v>
      </c>
      <c r="KZ182" s="80">
        <f t="shared" si="40"/>
        <v>310</v>
      </c>
      <c r="LA182" s="80">
        <f t="shared" si="40"/>
        <v>311</v>
      </c>
      <c r="LB182" s="80">
        <f t="shared" si="40"/>
        <v>312</v>
      </c>
      <c r="LC182" s="80">
        <f t="shared" si="40"/>
        <v>313</v>
      </c>
      <c r="LD182" s="80">
        <f t="shared" si="40"/>
        <v>314</v>
      </c>
      <c r="LE182" s="80">
        <f t="shared" si="40"/>
        <v>315</v>
      </c>
      <c r="LF182" s="80">
        <f t="shared" si="40"/>
        <v>316</v>
      </c>
      <c r="LG182" s="80">
        <f t="shared" si="40"/>
        <v>317</v>
      </c>
      <c r="LH182" s="80">
        <f t="shared" si="40"/>
        <v>318</v>
      </c>
      <c r="LI182" s="80">
        <f t="shared" si="40"/>
        <v>319</v>
      </c>
      <c r="LJ182" s="80">
        <f t="shared" si="40"/>
        <v>320</v>
      </c>
      <c r="LK182" s="80">
        <f t="shared" si="40"/>
        <v>321</v>
      </c>
      <c r="LL182" s="80">
        <f t="shared" si="40"/>
        <v>322</v>
      </c>
      <c r="LM182" s="80">
        <f t="shared" ref="LM182:MH182" si="41">LL182+1</f>
        <v>323</v>
      </c>
      <c r="LN182" s="80">
        <f t="shared" si="41"/>
        <v>324</v>
      </c>
      <c r="LO182" s="80">
        <f t="shared" si="41"/>
        <v>325</v>
      </c>
      <c r="LP182" s="80">
        <f t="shared" si="41"/>
        <v>326</v>
      </c>
      <c r="LQ182" s="80">
        <f t="shared" si="41"/>
        <v>327</v>
      </c>
      <c r="LR182" s="80">
        <f t="shared" si="41"/>
        <v>328</v>
      </c>
      <c r="LS182" s="80">
        <f t="shared" si="41"/>
        <v>329</v>
      </c>
      <c r="LT182" s="80">
        <f t="shared" si="41"/>
        <v>330</v>
      </c>
      <c r="LU182" s="80">
        <f t="shared" si="41"/>
        <v>331</v>
      </c>
      <c r="LV182" s="80">
        <f t="shared" si="41"/>
        <v>332</v>
      </c>
      <c r="LW182" s="80">
        <f t="shared" si="41"/>
        <v>333</v>
      </c>
      <c r="LX182" s="80">
        <f t="shared" si="41"/>
        <v>334</v>
      </c>
      <c r="LY182" s="80">
        <f t="shared" si="41"/>
        <v>335</v>
      </c>
      <c r="LZ182" s="80">
        <f t="shared" si="41"/>
        <v>336</v>
      </c>
      <c r="MA182" s="80">
        <f t="shared" si="41"/>
        <v>337</v>
      </c>
      <c r="MB182" s="80">
        <f t="shared" si="41"/>
        <v>338</v>
      </c>
      <c r="MC182" s="80">
        <f t="shared" si="41"/>
        <v>339</v>
      </c>
      <c r="MD182" s="80">
        <f t="shared" si="41"/>
        <v>340</v>
      </c>
      <c r="ME182" s="80">
        <f t="shared" si="41"/>
        <v>341</v>
      </c>
      <c r="MF182" s="80">
        <f t="shared" si="41"/>
        <v>342</v>
      </c>
      <c r="MG182" s="80">
        <f t="shared" si="41"/>
        <v>343</v>
      </c>
      <c r="MH182" s="80">
        <f t="shared" si="41"/>
        <v>344</v>
      </c>
    </row>
    <row r="183" spans="1:383" ht="115.5">
      <c r="A183" s="25" t="s">
        <v>319</v>
      </c>
      <c r="B183" s="82" t="s">
        <v>313</v>
      </c>
      <c r="C183" s="83" t="s">
        <v>114</v>
      </c>
      <c r="D183" s="84" t="s">
        <v>115</v>
      </c>
      <c r="E183" s="85" t="s">
        <v>116</v>
      </c>
      <c r="F183" s="84" t="s">
        <v>191</v>
      </c>
      <c r="G183" s="84" t="s">
        <v>206</v>
      </c>
      <c r="H183" s="84" t="s">
        <v>207</v>
      </c>
      <c r="I183" s="84" t="s">
        <v>208</v>
      </c>
      <c r="J183" s="86" t="s">
        <v>40</v>
      </c>
      <c r="K183" s="84" t="s">
        <v>41</v>
      </c>
      <c r="L183" s="84" t="s">
        <v>57</v>
      </c>
      <c r="M183" s="84" t="s">
        <v>117</v>
      </c>
      <c r="N183" s="84" t="s">
        <v>118</v>
      </c>
      <c r="O183" s="84" t="s">
        <v>119</v>
      </c>
      <c r="P183" s="84" t="s">
        <v>196</v>
      </c>
      <c r="Q183" s="84" t="s">
        <v>197</v>
      </c>
      <c r="R183" s="84" t="s">
        <v>198</v>
      </c>
      <c r="S183" s="84" t="s">
        <v>199</v>
      </c>
      <c r="T183" s="84" t="s">
        <v>200</v>
      </c>
      <c r="U183" s="84" t="s">
        <v>274</v>
      </c>
      <c r="V183" s="84" t="s">
        <v>275</v>
      </c>
      <c r="W183" s="84" t="s">
        <v>277</v>
      </c>
      <c r="X183" s="84" t="s">
        <v>276</v>
      </c>
      <c r="Y183" s="85" t="s">
        <v>278</v>
      </c>
      <c r="Z183" s="87" t="s">
        <v>43</v>
      </c>
      <c r="AA183" s="84" t="s">
        <v>42</v>
      </c>
      <c r="AB183" s="84" t="s">
        <v>58</v>
      </c>
      <c r="AC183" s="84" t="s">
        <v>117</v>
      </c>
      <c r="AD183" s="84" t="s">
        <v>118</v>
      </c>
      <c r="AE183" s="84" t="s">
        <v>119</v>
      </c>
      <c r="AF183" s="84" t="s">
        <v>209</v>
      </c>
      <c r="AG183" s="84" t="s">
        <v>210</v>
      </c>
      <c r="AH183" s="84" t="s">
        <v>211</v>
      </c>
      <c r="AI183" s="84" t="s">
        <v>212</v>
      </c>
      <c r="AJ183" s="84" t="s">
        <v>213</v>
      </c>
      <c r="AK183" s="84" t="s">
        <v>216</v>
      </c>
      <c r="AL183" s="84" t="s">
        <v>214</v>
      </c>
      <c r="AM183" s="84" t="s">
        <v>223</v>
      </c>
      <c r="AN183" s="84" t="s">
        <v>215</v>
      </c>
      <c r="AO183" s="84" t="s">
        <v>217</v>
      </c>
      <c r="AP183" s="84" t="s">
        <v>224</v>
      </c>
      <c r="AQ183" s="84" t="s">
        <v>218</v>
      </c>
      <c r="AR183" s="84" t="s">
        <v>219</v>
      </c>
      <c r="AS183" s="84" t="s">
        <v>220</v>
      </c>
      <c r="AT183" s="84" t="s">
        <v>221</v>
      </c>
      <c r="AU183" s="84" t="s">
        <v>264</v>
      </c>
      <c r="AV183" s="84" t="s">
        <v>222</v>
      </c>
      <c r="AW183" s="84" t="s">
        <v>274</v>
      </c>
      <c r="AX183" s="84" t="s">
        <v>275</v>
      </c>
      <c r="AY183" s="84" t="s">
        <v>277</v>
      </c>
      <c r="AZ183" s="84" t="s">
        <v>276</v>
      </c>
      <c r="BA183" s="85" t="s">
        <v>278</v>
      </c>
      <c r="BB183" s="83" t="s">
        <v>45</v>
      </c>
      <c r="BC183" s="84" t="s">
        <v>44</v>
      </c>
      <c r="BD183" s="84" t="s">
        <v>46</v>
      </c>
      <c r="BE183" s="84" t="s">
        <v>124</v>
      </c>
      <c r="BF183" s="84" t="s">
        <v>125</v>
      </c>
      <c r="BG183" s="85" t="s">
        <v>126</v>
      </c>
      <c r="BH183" s="84" t="s">
        <v>47</v>
      </c>
      <c r="BI183" s="84" t="s">
        <v>48</v>
      </c>
      <c r="BJ183" s="84" t="s">
        <v>49</v>
      </c>
      <c r="BK183" s="84" t="s">
        <v>124</v>
      </c>
      <c r="BL183" s="84" t="s">
        <v>125</v>
      </c>
      <c r="BM183" s="85" t="s">
        <v>126</v>
      </c>
      <c r="BN183" s="84" t="s">
        <v>50</v>
      </c>
      <c r="BO183" s="84" t="s">
        <v>51</v>
      </c>
      <c r="BP183" s="84" t="s">
        <v>52</v>
      </c>
      <c r="BQ183" s="84" t="s">
        <v>124</v>
      </c>
      <c r="BR183" s="84" t="s">
        <v>125</v>
      </c>
      <c r="BS183" s="84" t="s">
        <v>126</v>
      </c>
      <c r="BT183" s="84" t="s">
        <v>274</v>
      </c>
      <c r="BU183" s="84" t="s">
        <v>275</v>
      </c>
      <c r="BV183" s="84" t="s">
        <v>277</v>
      </c>
      <c r="BW183" s="84" t="s">
        <v>276</v>
      </c>
      <c r="BX183" s="85" t="s">
        <v>278</v>
      </c>
      <c r="BY183" s="84" t="s">
        <v>238</v>
      </c>
      <c r="BZ183" s="84" t="s">
        <v>239</v>
      </c>
      <c r="CA183" s="84" t="s">
        <v>124</v>
      </c>
      <c r="CB183" s="84" t="s">
        <v>189</v>
      </c>
      <c r="CC183" s="84" t="s">
        <v>190</v>
      </c>
      <c r="CD183" s="84" t="s">
        <v>274</v>
      </c>
      <c r="CE183" s="84" t="s">
        <v>275</v>
      </c>
      <c r="CF183" s="84" t="s">
        <v>277</v>
      </c>
      <c r="CG183" s="84" t="s">
        <v>276</v>
      </c>
      <c r="CH183" s="85" t="s">
        <v>278</v>
      </c>
      <c r="CI183" s="84" t="s">
        <v>53</v>
      </c>
      <c r="CJ183" s="84" t="s">
        <v>56</v>
      </c>
      <c r="CK183" s="84" t="s">
        <v>124</v>
      </c>
      <c r="CL183" s="84" t="s">
        <v>125</v>
      </c>
      <c r="CM183" s="84" t="s">
        <v>126</v>
      </c>
      <c r="CN183" s="84" t="s">
        <v>274</v>
      </c>
      <c r="CO183" s="84" t="s">
        <v>275</v>
      </c>
      <c r="CP183" s="84" t="s">
        <v>277</v>
      </c>
      <c r="CQ183" s="84" t="s">
        <v>276</v>
      </c>
      <c r="CR183" s="85" t="s">
        <v>278</v>
      </c>
      <c r="CS183" s="84" t="s">
        <v>54</v>
      </c>
      <c r="CT183" s="84" t="s">
        <v>55</v>
      </c>
      <c r="CU183" s="84" t="s">
        <v>124</v>
      </c>
      <c r="CV183" s="84" t="s">
        <v>125</v>
      </c>
      <c r="CW183" s="84" t="s">
        <v>126</v>
      </c>
      <c r="CX183" s="84" t="s">
        <v>274</v>
      </c>
      <c r="CY183" s="84" t="s">
        <v>275</v>
      </c>
      <c r="CZ183" s="84" t="s">
        <v>277</v>
      </c>
      <c r="DA183" s="84" t="s">
        <v>276</v>
      </c>
      <c r="DB183" s="85" t="s">
        <v>278</v>
      </c>
      <c r="DC183" s="84" t="s">
        <v>791</v>
      </c>
      <c r="DD183" s="84" t="s">
        <v>788</v>
      </c>
      <c r="DE183" s="84" t="s">
        <v>789</v>
      </c>
      <c r="DF183" s="84" t="s">
        <v>790</v>
      </c>
      <c r="DG183" s="84" t="s">
        <v>792</v>
      </c>
      <c r="DH183" s="84" t="s">
        <v>797</v>
      </c>
      <c r="DI183" s="84" t="s">
        <v>798</v>
      </c>
      <c r="DJ183" s="84" t="s">
        <v>799</v>
      </c>
      <c r="DK183" s="84" t="s">
        <v>793</v>
      </c>
      <c r="DL183" s="84" t="s">
        <v>800</v>
      </c>
      <c r="DM183" s="84" t="s">
        <v>801</v>
      </c>
      <c r="DN183" s="84" t="s">
        <v>802</v>
      </c>
      <c r="DO183" s="84" t="s">
        <v>794</v>
      </c>
      <c r="DP183" s="84" t="s">
        <v>803</v>
      </c>
      <c r="DQ183" s="84" t="s">
        <v>804</v>
      </c>
      <c r="DR183" s="84" t="s">
        <v>805</v>
      </c>
      <c r="DS183" s="84" t="s">
        <v>795</v>
      </c>
      <c r="DT183" s="84" t="s">
        <v>806</v>
      </c>
      <c r="DU183" s="84" t="s">
        <v>807</v>
      </c>
      <c r="DV183" s="84" t="s">
        <v>808</v>
      </c>
      <c r="DW183" s="84" t="s">
        <v>796</v>
      </c>
      <c r="DX183" s="84" t="s">
        <v>809</v>
      </c>
      <c r="DY183" s="84" t="s">
        <v>810</v>
      </c>
      <c r="DZ183" s="85" t="s">
        <v>811</v>
      </c>
      <c r="EA183" s="145" t="s">
        <v>414</v>
      </c>
      <c r="EB183" s="145" t="s">
        <v>415</v>
      </c>
      <c r="EC183" s="145" t="s">
        <v>416</v>
      </c>
      <c r="ED183" s="145" t="s">
        <v>417</v>
      </c>
      <c r="EE183" s="145" t="s">
        <v>418</v>
      </c>
      <c r="EF183" s="190" t="s">
        <v>419</v>
      </c>
      <c r="EG183" s="145" t="s">
        <v>420</v>
      </c>
      <c r="EH183" s="145" t="s">
        <v>421</v>
      </c>
      <c r="EI183" s="145" t="s">
        <v>422</v>
      </c>
      <c r="EJ183" s="145" t="s">
        <v>423</v>
      </c>
      <c r="EK183" s="145" t="s">
        <v>424</v>
      </c>
      <c r="EL183" s="190" t="s">
        <v>425</v>
      </c>
      <c r="EM183" s="145" t="s">
        <v>426</v>
      </c>
      <c r="EN183" s="145" t="s">
        <v>427</v>
      </c>
      <c r="EO183" s="145" t="s">
        <v>428</v>
      </c>
      <c r="EP183" s="145" t="s">
        <v>429</v>
      </c>
      <c r="EQ183" s="145" t="s">
        <v>430</v>
      </c>
      <c r="ER183" s="190" t="s">
        <v>431</v>
      </c>
      <c r="ES183" s="145" t="s">
        <v>432</v>
      </c>
      <c r="ET183" s="145" t="s">
        <v>433</v>
      </c>
      <c r="EU183" s="145" t="s">
        <v>434</v>
      </c>
      <c r="EV183" s="145" t="s">
        <v>435</v>
      </c>
      <c r="EW183" s="145" t="s">
        <v>436</v>
      </c>
      <c r="EX183" s="190" t="s">
        <v>437</v>
      </c>
      <c r="EY183" s="145" t="s">
        <v>438</v>
      </c>
      <c r="EZ183" s="145" t="s">
        <v>439</v>
      </c>
      <c r="FA183" s="145" t="s">
        <v>440</v>
      </c>
      <c r="FB183" s="145" t="s">
        <v>441</v>
      </c>
      <c r="FC183" s="145" t="s">
        <v>442</v>
      </c>
      <c r="FD183" s="190" t="s">
        <v>443</v>
      </c>
      <c r="FE183" s="145" t="s">
        <v>444</v>
      </c>
      <c r="FF183" s="145" t="s">
        <v>445</v>
      </c>
      <c r="FG183" s="145" t="s">
        <v>446</v>
      </c>
      <c r="FH183" s="145" t="s">
        <v>447</v>
      </c>
      <c r="FI183" s="145" t="s">
        <v>448</v>
      </c>
      <c r="FJ183" s="190" t="s">
        <v>449</v>
      </c>
      <c r="FK183" s="145" t="s">
        <v>450</v>
      </c>
      <c r="FL183" s="145" t="s">
        <v>451</v>
      </c>
      <c r="FM183" s="145" t="s">
        <v>452</v>
      </c>
      <c r="FN183" s="145" t="s">
        <v>453</v>
      </c>
      <c r="FO183" s="145" t="s">
        <v>454</v>
      </c>
      <c r="FP183" s="190" t="s">
        <v>455</v>
      </c>
      <c r="FQ183" s="145" t="s">
        <v>456</v>
      </c>
      <c r="FR183" s="145" t="s">
        <v>457</v>
      </c>
      <c r="FS183" s="145" t="s">
        <v>458</v>
      </c>
      <c r="FT183" s="145" t="s">
        <v>459</v>
      </c>
      <c r="FU183" s="145" t="s">
        <v>460</v>
      </c>
      <c r="FV183" s="190" t="s">
        <v>461</v>
      </c>
      <c r="FW183" s="145" t="s">
        <v>462</v>
      </c>
      <c r="FX183" s="145" t="s">
        <v>463</v>
      </c>
      <c r="FY183" s="145" t="s">
        <v>464</v>
      </c>
      <c r="FZ183" s="145" t="s">
        <v>465</v>
      </c>
      <c r="GA183" s="145" t="s">
        <v>466</v>
      </c>
      <c r="GB183" s="190" t="s">
        <v>467</v>
      </c>
      <c r="GC183" s="145" t="s">
        <v>468</v>
      </c>
      <c r="GD183" s="145" t="s">
        <v>469</v>
      </c>
      <c r="GE183" s="145" t="s">
        <v>470</v>
      </c>
      <c r="GF183" s="145" t="s">
        <v>471</v>
      </c>
      <c r="GG183" s="145" t="s">
        <v>472</v>
      </c>
      <c r="GH183" s="190" t="s">
        <v>473</v>
      </c>
      <c r="GI183" s="145" t="s">
        <v>474</v>
      </c>
      <c r="GJ183" s="145" t="s">
        <v>475</v>
      </c>
      <c r="GK183" s="145" t="s">
        <v>476</v>
      </c>
      <c r="GL183" s="145" t="s">
        <v>477</v>
      </c>
      <c r="GM183" s="145" t="s">
        <v>478</v>
      </c>
      <c r="GN183" s="190" t="s">
        <v>479</v>
      </c>
      <c r="GO183" s="145" t="s">
        <v>480</v>
      </c>
      <c r="GP183" s="145" t="s">
        <v>481</v>
      </c>
      <c r="GQ183" s="145" t="s">
        <v>482</v>
      </c>
      <c r="GR183" s="145" t="s">
        <v>483</v>
      </c>
      <c r="GS183" s="145" t="s">
        <v>484</v>
      </c>
      <c r="GT183" s="190" t="s">
        <v>485</v>
      </c>
      <c r="GU183" s="145" t="s">
        <v>486</v>
      </c>
      <c r="GV183" s="145" t="s">
        <v>487</v>
      </c>
      <c r="GW183" s="145" t="s">
        <v>488</v>
      </c>
      <c r="GX183" s="145" t="s">
        <v>489</v>
      </c>
      <c r="GY183" s="145" t="s">
        <v>490</v>
      </c>
      <c r="GZ183" s="190" t="s">
        <v>491</v>
      </c>
      <c r="HA183" s="145" t="s">
        <v>492</v>
      </c>
      <c r="HB183" s="145" t="s">
        <v>493</v>
      </c>
      <c r="HC183" s="145" t="s">
        <v>494</v>
      </c>
      <c r="HD183" s="145" t="s">
        <v>495</v>
      </c>
      <c r="HE183" s="145" t="s">
        <v>496</v>
      </c>
      <c r="HF183" s="190" t="s">
        <v>497</v>
      </c>
      <c r="HG183" s="145" t="s">
        <v>498</v>
      </c>
      <c r="HH183" s="145" t="s">
        <v>499</v>
      </c>
      <c r="HI183" s="145" t="s">
        <v>500</v>
      </c>
      <c r="HJ183" s="145" t="s">
        <v>501</v>
      </c>
      <c r="HK183" s="145" t="s">
        <v>502</v>
      </c>
      <c r="HL183" s="190" t="s">
        <v>503</v>
      </c>
      <c r="HM183" s="145" t="s">
        <v>843</v>
      </c>
      <c r="HN183" s="145" t="s">
        <v>844</v>
      </c>
      <c r="HO183" s="145" t="s">
        <v>845</v>
      </c>
      <c r="HP183" s="145" t="s">
        <v>846</v>
      </c>
      <c r="HQ183" s="145" t="s">
        <v>847</v>
      </c>
      <c r="HR183" s="190" t="s">
        <v>848</v>
      </c>
      <c r="HS183" s="145" t="s">
        <v>850</v>
      </c>
      <c r="HT183" s="145" t="s">
        <v>851</v>
      </c>
      <c r="HU183" s="145" t="s">
        <v>852</v>
      </c>
      <c r="HV183" s="145" t="s">
        <v>853</v>
      </c>
      <c r="HW183" s="145" t="s">
        <v>854</v>
      </c>
      <c r="HX183" s="190" t="s">
        <v>855</v>
      </c>
      <c r="HY183" s="145" t="s">
        <v>857</v>
      </c>
      <c r="HZ183" s="145" t="s">
        <v>858</v>
      </c>
      <c r="IA183" s="145" t="s">
        <v>859</v>
      </c>
      <c r="IB183" s="145" t="s">
        <v>860</v>
      </c>
      <c r="IC183" s="145" t="s">
        <v>861</v>
      </c>
      <c r="ID183" s="190" t="s">
        <v>862</v>
      </c>
      <c r="IE183" s="145" t="s">
        <v>864</v>
      </c>
      <c r="IF183" s="145" t="s">
        <v>865</v>
      </c>
      <c r="IG183" s="145" t="s">
        <v>866</v>
      </c>
      <c r="IH183" s="145" t="s">
        <v>867</v>
      </c>
      <c r="II183" s="145" t="s">
        <v>868</v>
      </c>
      <c r="IJ183" s="190" t="s">
        <v>869</v>
      </c>
      <c r="IK183" s="145" t="s">
        <v>871</v>
      </c>
      <c r="IL183" s="145" t="s">
        <v>872</v>
      </c>
      <c r="IM183" s="145" t="s">
        <v>873</v>
      </c>
      <c r="IN183" s="145" t="s">
        <v>874</v>
      </c>
      <c r="IO183" s="145" t="s">
        <v>875</v>
      </c>
      <c r="IP183" s="190" t="s">
        <v>876</v>
      </c>
      <c r="IQ183" s="145" t="s">
        <v>504</v>
      </c>
      <c r="IR183" s="145" t="s">
        <v>505</v>
      </c>
      <c r="IS183" s="145" t="s">
        <v>506</v>
      </c>
      <c r="IT183" s="145" t="s">
        <v>507</v>
      </c>
      <c r="IU183" s="145" t="s">
        <v>508</v>
      </c>
      <c r="IV183" s="190" t="s">
        <v>509</v>
      </c>
      <c r="IW183" s="145" t="s">
        <v>510</v>
      </c>
      <c r="IX183" s="145" t="s">
        <v>511</v>
      </c>
      <c r="IY183" s="145" t="s">
        <v>512</v>
      </c>
      <c r="IZ183" s="145" t="s">
        <v>513</v>
      </c>
      <c r="JA183" s="145" t="s">
        <v>514</v>
      </c>
      <c r="JB183" s="190" t="s">
        <v>515</v>
      </c>
      <c r="JC183" s="145" t="s">
        <v>516</v>
      </c>
      <c r="JD183" s="145" t="s">
        <v>517</v>
      </c>
      <c r="JE183" s="145" t="s">
        <v>518</v>
      </c>
      <c r="JF183" s="145" t="s">
        <v>519</v>
      </c>
      <c r="JG183" s="145" t="s">
        <v>520</v>
      </c>
      <c r="JH183" s="190" t="s">
        <v>521</v>
      </c>
      <c r="JI183" s="145" t="s">
        <v>522</v>
      </c>
      <c r="JJ183" s="145" t="s">
        <v>523</v>
      </c>
      <c r="JK183" s="145" t="s">
        <v>524</v>
      </c>
      <c r="JL183" s="145" t="s">
        <v>525</v>
      </c>
      <c r="JM183" s="145" t="s">
        <v>526</v>
      </c>
      <c r="JN183" s="190" t="s">
        <v>527</v>
      </c>
      <c r="JO183" s="145" t="s">
        <v>528</v>
      </c>
      <c r="JP183" s="145" t="s">
        <v>529</v>
      </c>
      <c r="JQ183" s="145" t="s">
        <v>530</v>
      </c>
      <c r="JR183" s="145" t="s">
        <v>531</v>
      </c>
      <c r="JS183" s="145" t="s">
        <v>532</v>
      </c>
      <c r="JT183" s="190" t="s">
        <v>533</v>
      </c>
      <c r="JU183" s="145" t="s">
        <v>534</v>
      </c>
      <c r="JV183" s="145" t="s">
        <v>535</v>
      </c>
      <c r="JW183" s="145" t="s">
        <v>536</v>
      </c>
      <c r="JX183" s="145" t="s">
        <v>537</v>
      </c>
      <c r="JY183" s="145" t="s">
        <v>538</v>
      </c>
      <c r="JZ183" s="190" t="s">
        <v>539</v>
      </c>
      <c r="KA183" s="145" t="s">
        <v>540</v>
      </c>
      <c r="KB183" s="145" t="s">
        <v>541</v>
      </c>
      <c r="KC183" s="145" t="s">
        <v>542</v>
      </c>
      <c r="KD183" s="145" t="s">
        <v>543</v>
      </c>
      <c r="KE183" s="145" t="s">
        <v>544</v>
      </c>
      <c r="KF183" s="190" t="s">
        <v>545</v>
      </c>
      <c r="KG183" s="145" t="s">
        <v>546</v>
      </c>
      <c r="KH183" s="145" t="s">
        <v>547</v>
      </c>
      <c r="KI183" s="145" t="s">
        <v>548</v>
      </c>
      <c r="KJ183" s="145" t="s">
        <v>549</v>
      </c>
      <c r="KK183" s="145" t="s">
        <v>550</v>
      </c>
      <c r="KL183" s="190" t="s">
        <v>551</v>
      </c>
      <c r="KM183" s="145" t="s">
        <v>552</v>
      </c>
      <c r="KN183" s="145" t="s">
        <v>553</v>
      </c>
      <c r="KO183" s="145" t="s">
        <v>554</v>
      </c>
      <c r="KP183" s="145" t="s">
        <v>555</v>
      </c>
      <c r="KQ183" s="145" t="s">
        <v>556</v>
      </c>
      <c r="KR183" s="190" t="s">
        <v>557</v>
      </c>
      <c r="KS183" s="145" t="s">
        <v>558</v>
      </c>
      <c r="KT183" s="145" t="s">
        <v>559</v>
      </c>
      <c r="KU183" s="145" t="s">
        <v>560</v>
      </c>
      <c r="KV183" s="145" t="s">
        <v>561</v>
      </c>
      <c r="KW183" s="145" t="s">
        <v>562</v>
      </c>
      <c r="KX183" s="190" t="s">
        <v>563</v>
      </c>
      <c r="KY183" s="145" t="s">
        <v>564</v>
      </c>
      <c r="KZ183" s="145" t="s">
        <v>565</v>
      </c>
      <c r="LA183" s="145" t="s">
        <v>566</v>
      </c>
      <c r="LB183" s="145" t="s">
        <v>567</v>
      </c>
      <c r="LC183" s="145" t="s">
        <v>568</v>
      </c>
      <c r="LD183" s="190" t="s">
        <v>569</v>
      </c>
      <c r="LE183" s="145" t="s">
        <v>570</v>
      </c>
      <c r="LF183" s="145" t="s">
        <v>571</v>
      </c>
      <c r="LG183" s="145" t="s">
        <v>572</v>
      </c>
      <c r="LH183" s="145" t="s">
        <v>573</v>
      </c>
      <c r="LI183" s="145" t="s">
        <v>574</v>
      </c>
      <c r="LJ183" s="190" t="s">
        <v>575</v>
      </c>
      <c r="LK183" s="145" t="s">
        <v>576</v>
      </c>
      <c r="LL183" s="145" t="s">
        <v>577</v>
      </c>
      <c r="LM183" s="145" t="s">
        <v>578</v>
      </c>
      <c r="LN183" s="145" t="s">
        <v>579</v>
      </c>
      <c r="LO183" s="145" t="s">
        <v>580</v>
      </c>
      <c r="LP183" s="190" t="s">
        <v>581</v>
      </c>
      <c r="LQ183" s="145" t="s">
        <v>594</v>
      </c>
      <c r="LR183" s="145" t="s">
        <v>595</v>
      </c>
      <c r="LS183" s="145" t="s">
        <v>596</v>
      </c>
      <c r="LT183" s="145" t="s">
        <v>597</v>
      </c>
      <c r="LU183" s="145" t="s">
        <v>598</v>
      </c>
      <c r="LV183" s="190" t="s">
        <v>599</v>
      </c>
      <c r="LW183" s="145" t="s">
        <v>582</v>
      </c>
      <c r="LX183" s="145" t="s">
        <v>583</v>
      </c>
      <c r="LY183" s="145" t="s">
        <v>584</v>
      </c>
      <c r="LZ183" s="145" t="s">
        <v>585</v>
      </c>
      <c r="MA183" s="145" t="s">
        <v>586</v>
      </c>
      <c r="MB183" s="190" t="s">
        <v>587</v>
      </c>
      <c r="MC183" s="145" t="s">
        <v>588</v>
      </c>
      <c r="MD183" s="145" t="s">
        <v>589</v>
      </c>
      <c r="ME183" s="145" t="s">
        <v>590</v>
      </c>
      <c r="MF183" s="145" t="s">
        <v>591</v>
      </c>
      <c r="MG183" s="145" t="s">
        <v>592</v>
      </c>
      <c r="MH183" s="145" t="s">
        <v>593</v>
      </c>
    </row>
    <row r="184" spans="1:383" ht="20.100000000000001" customHeight="1">
      <c r="A184" s="110" t="s">
        <v>331</v>
      </c>
      <c r="B184" s="111" t="s">
        <v>314</v>
      </c>
      <c r="C184" s="112" t="s">
        <v>99</v>
      </c>
      <c r="D184" s="113" t="s">
        <v>110</v>
      </c>
      <c r="E184" s="114" t="s">
        <v>111</v>
      </c>
      <c r="F184" s="113" t="s">
        <v>192</v>
      </c>
      <c r="G184" s="113" t="s">
        <v>193</v>
      </c>
      <c r="H184" s="113" t="s">
        <v>194</v>
      </c>
      <c r="I184" s="113" t="s">
        <v>195</v>
      </c>
      <c r="J184" s="88" t="s">
        <v>59</v>
      </c>
      <c r="K184" s="90" t="s">
        <v>60</v>
      </c>
      <c r="L184" s="90" t="s">
        <v>61</v>
      </c>
      <c r="M184" s="90" t="s">
        <v>109</v>
      </c>
      <c r="N184" s="90" t="s">
        <v>112</v>
      </c>
      <c r="O184" s="90" t="s">
        <v>113</v>
      </c>
      <c r="P184" s="90" t="s">
        <v>201</v>
      </c>
      <c r="Q184" s="90" t="s">
        <v>202</v>
      </c>
      <c r="R184" s="90" t="s">
        <v>203</v>
      </c>
      <c r="S184" s="90" t="s">
        <v>204</v>
      </c>
      <c r="T184" s="90" t="s">
        <v>205</v>
      </c>
      <c r="U184" s="146" t="s">
        <v>279</v>
      </c>
      <c r="V184" s="146" t="s">
        <v>280</v>
      </c>
      <c r="W184" s="146" t="s">
        <v>281</v>
      </c>
      <c r="X184" s="146" t="s">
        <v>282</v>
      </c>
      <c r="Y184" s="151" t="s">
        <v>283</v>
      </c>
      <c r="Z184" s="90" t="s">
        <v>62</v>
      </c>
      <c r="AA184" s="90" t="s">
        <v>63</v>
      </c>
      <c r="AB184" s="90" t="s">
        <v>64</v>
      </c>
      <c r="AC184" s="90" t="s">
        <v>108</v>
      </c>
      <c r="AD184" s="90" t="s">
        <v>120</v>
      </c>
      <c r="AE184" s="90" t="s">
        <v>121</v>
      </c>
      <c r="AF184" s="146" t="s">
        <v>248</v>
      </c>
      <c r="AG184" s="90" t="s">
        <v>249</v>
      </c>
      <c r="AH184" s="90" t="s">
        <v>250</v>
      </c>
      <c r="AI184" s="90" t="s">
        <v>251</v>
      </c>
      <c r="AJ184" s="90" t="s">
        <v>252</v>
      </c>
      <c r="AK184" s="90" t="s">
        <v>253</v>
      </c>
      <c r="AL184" s="90" t="s">
        <v>254</v>
      </c>
      <c r="AM184" s="90" t="s">
        <v>255</v>
      </c>
      <c r="AN184" s="90" t="s">
        <v>256</v>
      </c>
      <c r="AO184" s="90" t="s">
        <v>257</v>
      </c>
      <c r="AP184" s="90" t="s">
        <v>258</v>
      </c>
      <c r="AQ184" s="90" t="s">
        <v>259</v>
      </c>
      <c r="AR184" s="90" t="s">
        <v>260</v>
      </c>
      <c r="AS184" s="90" t="s">
        <v>261</v>
      </c>
      <c r="AT184" s="90" t="s">
        <v>262</v>
      </c>
      <c r="AU184" s="90" t="s">
        <v>263</v>
      </c>
      <c r="AV184" s="90" t="s">
        <v>265</v>
      </c>
      <c r="AW184" s="90" t="s">
        <v>284</v>
      </c>
      <c r="AX184" s="146" t="s">
        <v>285</v>
      </c>
      <c r="AY184" s="146" t="s">
        <v>286</v>
      </c>
      <c r="AZ184" s="146" t="s">
        <v>287</v>
      </c>
      <c r="BA184" s="146" t="s">
        <v>288</v>
      </c>
      <c r="BB184" s="88" t="s">
        <v>65</v>
      </c>
      <c r="BC184" s="90" t="s">
        <v>66</v>
      </c>
      <c r="BD184" s="90" t="s">
        <v>67</v>
      </c>
      <c r="BE184" s="90" t="s">
        <v>107</v>
      </c>
      <c r="BF184" s="90" t="s">
        <v>122</v>
      </c>
      <c r="BG184" s="89" t="s">
        <v>123</v>
      </c>
      <c r="BH184" s="90" t="s">
        <v>68</v>
      </c>
      <c r="BI184" s="90" t="s">
        <v>69</v>
      </c>
      <c r="BJ184" s="90" t="s">
        <v>70</v>
      </c>
      <c r="BK184" s="90" t="s">
        <v>106</v>
      </c>
      <c r="BL184" s="90" t="s">
        <v>127</v>
      </c>
      <c r="BM184" s="89" t="s">
        <v>128</v>
      </c>
      <c r="BN184" s="90" t="s">
        <v>71</v>
      </c>
      <c r="BO184" s="90" t="s">
        <v>72</v>
      </c>
      <c r="BP184" s="90" t="s">
        <v>73</v>
      </c>
      <c r="BQ184" s="90" t="s">
        <v>105</v>
      </c>
      <c r="BR184" s="90" t="s">
        <v>129</v>
      </c>
      <c r="BS184" s="90" t="s">
        <v>130</v>
      </c>
      <c r="BT184" s="146" t="s">
        <v>289</v>
      </c>
      <c r="BU184" s="146" t="s">
        <v>290</v>
      </c>
      <c r="BV184" s="146" t="s">
        <v>291</v>
      </c>
      <c r="BW184" s="146" t="s">
        <v>292</v>
      </c>
      <c r="BX184" s="151" t="s">
        <v>293</v>
      </c>
      <c r="BY184" s="90" t="s">
        <v>74</v>
      </c>
      <c r="BZ184" s="90" t="s">
        <v>75</v>
      </c>
      <c r="CA184" s="90" t="s">
        <v>104</v>
      </c>
      <c r="CB184" s="90" t="s">
        <v>131</v>
      </c>
      <c r="CC184" s="90" t="s">
        <v>132</v>
      </c>
      <c r="CD184" s="146" t="s">
        <v>294</v>
      </c>
      <c r="CE184" s="146" t="s">
        <v>295</v>
      </c>
      <c r="CF184" s="146" t="s">
        <v>296</v>
      </c>
      <c r="CG184" s="146" t="s">
        <v>297</v>
      </c>
      <c r="CH184" s="151" t="s">
        <v>298</v>
      </c>
      <c r="CI184" s="90" t="s">
        <v>76</v>
      </c>
      <c r="CJ184" s="90" t="s">
        <v>100</v>
      </c>
      <c r="CK184" s="90" t="s">
        <v>103</v>
      </c>
      <c r="CL184" s="90" t="s">
        <v>133</v>
      </c>
      <c r="CM184" s="90" t="s">
        <v>134</v>
      </c>
      <c r="CN184" s="90" t="s">
        <v>299</v>
      </c>
      <c r="CO184" s="90" t="s">
        <v>300</v>
      </c>
      <c r="CP184" s="90" t="s">
        <v>301</v>
      </c>
      <c r="CQ184" s="90" t="s">
        <v>302</v>
      </c>
      <c r="CR184" s="89" t="s">
        <v>303</v>
      </c>
      <c r="CS184" s="90" t="s">
        <v>101</v>
      </c>
      <c r="CT184" s="90" t="s">
        <v>102</v>
      </c>
      <c r="CU184" s="90" t="s">
        <v>81</v>
      </c>
      <c r="CV184" s="90" t="s">
        <v>82</v>
      </c>
      <c r="CW184" s="90" t="s">
        <v>135</v>
      </c>
      <c r="CX184" s="90" t="s">
        <v>304</v>
      </c>
      <c r="CY184" s="90" t="s">
        <v>305</v>
      </c>
      <c r="CZ184" s="90" t="s">
        <v>306</v>
      </c>
      <c r="DA184" s="90" t="s">
        <v>307</v>
      </c>
      <c r="DB184" s="89" t="s">
        <v>308</v>
      </c>
      <c r="DC184" s="146" t="s">
        <v>333</v>
      </c>
      <c r="DD184" s="146" t="s">
        <v>334</v>
      </c>
      <c r="DE184" s="146" t="s">
        <v>335</v>
      </c>
      <c r="DF184" s="146" t="s">
        <v>336</v>
      </c>
      <c r="DG184" s="146" t="s">
        <v>337</v>
      </c>
      <c r="DH184" s="146" t="s">
        <v>338</v>
      </c>
      <c r="DI184" s="146" t="s">
        <v>347</v>
      </c>
      <c r="DJ184" s="146" t="s">
        <v>348</v>
      </c>
      <c r="DK184" s="146" t="s">
        <v>349</v>
      </c>
      <c r="DL184" s="146" t="s">
        <v>350</v>
      </c>
      <c r="DM184" s="146" t="s">
        <v>351</v>
      </c>
      <c r="DN184" s="146" t="s">
        <v>352</v>
      </c>
      <c r="DO184" s="146" t="s">
        <v>353</v>
      </c>
      <c r="DP184" s="146" t="s">
        <v>354</v>
      </c>
      <c r="DQ184" s="146" t="s">
        <v>355</v>
      </c>
      <c r="DR184" s="146" t="s">
        <v>356</v>
      </c>
      <c r="DS184" s="146" t="s">
        <v>357</v>
      </c>
      <c r="DT184" s="146" t="s">
        <v>358</v>
      </c>
      <c r="DU184" s="146" t="s">
        <v>359</v>
      </c>
      <c r="DV184" s="146" t="s">
        <v>360</v>
      </c>
      <c r="DW184" s="146" t="s">
        <v>361</v>
      </c>
      <c r="DX184" s="146" t="s">
        <v>362</v>
      </c>
      <c r="DY184" s="146" t="s">
        <v>363</v>
      </c>
      <c r="DZ184" s="89" t="s">
        <v>364</v>
      </c>
      <c r="EA184" s="146" t="s">
        <v>365</v>
      </c>
      <c r="EB184" s="146" t="s">
        <v>366</v>
      </c>
      <c r="EC184" s="146" t="s">
        <v>367</v>
      </c>
      <c r="ED184" s="146" t="s">
        <v>368</v>
      </c>
      <c r="EE184" s="146" t="s">
        <v>369</v>
      </c>
      <c r="EF184" s="89" t="s">
        <v>370</v>
      </c>
      <c r="EG184" s="146" t="s">
        <v>371</v>
      </c>
      <c r="EH184" s="146" t="s">
        <v>372</v>
      </c>
      <c r="EI184" s="146" t="s">
        <v>373</v>
      </c>
      <c r="EJ184" s="146" t="s">
        <v>374</v>
      </c>
      <c r="EK184" s="146" t="s">
        <v>375</v>
      </c>
      <c r="EL184" s="89" t="s">
        <v>376</v>
      </c>
      <c r="EM184" s="146" t="s">
        <v>384</v>
      </c>
      <c r="EN184" s="146" t="s">
        <v>385</v>
      </c>
      <c r="EO184" s="146" t="s">
        <v>386</v>
      </c>
      <c r="EP184" s="146" t="s">
        <v>387</v>
      </c>
      <c r="EQ184" s="146" t="s">
        <v>388</v>
      </c>
      <c r="ER184" s="89" t="s">
        <v>389</v>
      </c>
      <c r="ES184" s="146" t="s">
        <v>390</v>
      </c>
      <c r="ET184" s="146" t="s">
        <v>391</v>
      </c>
      <c r="EU184" s="146" t="s">
        <v>392</v>
      </c>
      <c r="EV184" s="146" t="s">
        <v>393</v>
      </c>
      <c r="EW184" s="146" t="s">
        <v>394</v>
      </c>
      <c r="EX184" s="89" t="s">
        <v>395</v>
      </c>
      <c r="EY184" s="146" t="s">
        <v>396</v>
      </c>
      <c r="EZ184" s="146" t="s">
        <v>397</v>
      </c>
      <c r="FA184" s="146" t="s">
        <v>398</v>
      </c>
      <c r="FB184" s="146" t="s">
        <v>399</v>
      </c>
      <c r="FC184" s="146" t="s">
        <v>400</v>
      </c>
      <c r="FD184" s="89" t="s">
        <v>401</v>
      </c>
      <c r="FE184" s="146" t="s">
        <v>402</v>
      </c>
      <c r="FF184" s="146" t="s">
        <v>403</v>
      </c>
      <c r="FG184" s="146" t="s">
        <v>404</v>
      </c>
      <c r="FH184" s="146" t="s">
        <v>405</v>
      </c>
      <c r="FI184" s="146" t="s">
        <v>406</v>
      </c>
      <c r="FJ184" s="89" t="s">
        <v>407</v>
      </c>
      <c r="FK184" s="146" t="s">
        <v>408</v>
      </c>
      <c r="FL184" s="146" t="s">
        <v>409</v>
      </c>
      <c r="FM184" s="146" t="s">
        <v>410</v>
      </c>
      <c r="FN184" s="146" t="s">
        <v>411</v>
      </c>
      <c r="FO184" s="146" t="s">
        <v>412</v>
      </c>
      <c r="FP184" s="89" t="s">
        <v>413</v>
      </c>
      <c r="FQ184" s="146" t="s">
        <v>600</v>
      </c>
      <c r="FR184" s="146" t="s">
        <v>601</v>
      </c>
      <c r="FS184" s="146" t="s">
        <v>602</v>
      </c>
      <c r="FT184" s="146" t="s">
        <v>603</v>
      </c>
      <c r="FU184" s="146" t="s">
        <v>604</v>
      </c>
      <c r="FV184" s="89" t="s">
        <v>605</v>
      </c>
      <c r="FW184" s="146" t="s">
        <v>606</v>
      </c>
      <c r="FX184" s="146" t="s">
        <v>607</v>
      </c>
      <c r="FY184" s="146" t="s">
        <v>608</v>
      </c>
      <c r="FZ184" s="146" t="s">
        <v>609</v>
      </c>
      <c r="GA184" s="146" t="s">
        <v>610</v>
      </c>
      <c r="GB184" s="89" t="s">
        <v>611</v>
      </c>
      <c r="GC184" s="146" t="s">
        <v>612</v>
      </c>
      <c r="GD184" s="146" t="s">
        <v>613</v>
      </c>
      <c r="GE184" s="146" t="s">
        <v>614</v>
      </c>
      <c r="GF184" s="146" t="s">
        <v>615</v>
      </c>
      <c r="GG184" s="146" t="s">
        <v>616</v>
      </c>
      <c r="GH184" s="89" t="s">
        <v>617</v>
      </c>
      <c r="GI184" s="146" t="s">
        <v>618</v>
      </c>
      <c r="GJ184" s="146" t="s">
        <v>619</v>
      </c>
      <c r="GK184" s="146" t="s">
        <v>620</v>
      </c>
      <c r="GL184" s="146" t="s">
        <v>621</v>
      </c>
      <c r="GM184" s="146" t="s">
        <v>622</v>
      </c>
      <c r="GN184" s="89" t="s">
        <v>623</v>
      </c>
      <c r="GO184" s="146" t="s">
        <v>624</v>
      </c>
      <c r="GP184" s="146" t="s">
        <v>625</v>
      </c>
      <c r="GQ184" s="146" t="s">
        <v>626</v>
      </c>
      <c r="GR184" s="146" t="s">
        <v>627</v>
      </c>
      <c r="GS184" s="146" t="s">
        <v>628</v>
      </c>
      <c r="GT184" s="89" t="s">
        <v>629</v>
      </c>
      <c r="GU184" s="146" t="s">
        <v>630</v>
      </c>
      <c r="GV184" s="146" t="s">
        <v>631</v>
      </c>
      <c r="GW184" s="146" t="s">
        <v>632</v>
      </c>
      <c r="GX184" s="146" t="s">
        <v>633</v>
      </c>
      <c r="GY184" s="146" t="s">
        <v>634</v>
      </c>
      <c r="GZ184" s="89" t="s">
        <v>635</v>
      </c>
      <c r="HA184" s="146" t="s">
        <v>636</v>
      </c>
      <c r="HB184" s="146" t="s">
        <v>637</v>
      </c>
      <c r="HC184" s="146" t="s">
        <v>638</v>
      </c>
      <c r="HD184" s="146" t="s">
        <v>639</v>
      </c>
      <c r="HE184" s="146" t="s">
        <v>640</v>
      </c>
      <c r="HF184" s="89" t="s">
        <v>641</v>
      </c>
      <c r="HG184" s="146" t="s">
        <v>642</v>
      </c>
      <c r="HH184" s="146" t="s">
        <v>643</v>
      </c>
      <c r="HI184" s="146" t="s">
        <v>644</v>
      </c>
      <c r="HJ184" s="146" t="s">
        <v>645</v>
      </c>
      <c r="HK184" s="146" t="s">
        <v>646</v>
      </c>
      <c r="HL184" s="89" t="s">
        <v>647</v>
      </c>
      <c r="HM184" s="146" t="s">
        <v>648</v>
      </c>
      <c r="HN184" s="146" t="s">
        <v>649</v>
      </c>
      <c r="HO184" s="146" t="s">
        <v>650</v>
      </c>
      <c r="HP184" s="146" t="s">
        <v>651</v>
      </c>
      <c r="HQ184" s="146" t="s">
        <v>652</v>
      </c>
      <c r="HR184" s="89" t="s">
        <v>653</v>
      </c>
      <c r="HS184" s="146" t="s">
        <v>654</v>
      </c>
      <c r="HT184" s="146" t="s">
        <v>655</v>
      </c>
      <c r="HU184" s="146" t="s">
        <v>656</v>
      </c>
      <c r="HV184" s="146" t="s">
        <v>657</v>
      </c>
      <c r="HW184" s="146" t="s">
        <v>658</v>
      </c>
      <c r="HX184" s="89" t="s">
        <v>659</v>
      </c>
      <c r="HY184" s="146" t="s">
        <v>660</v>
      </c>
      <c r="HZ184" s="146" t="s">
        <v>661</v>
      </c>
      <c r="IA184" s="146" t="s">
        <v>662</v>
      </c>
      <c r="IB184" s="146" t="s">
        <v>663</v>
      </c>
      <c r="IC184" s="146" t="s">
        <v>664</v>
      </c>
      <c r="ID184" s="89" t="s">
        <v>665</v>
      </c>
      <c r="IE184" s="146" t="s">
        <v>666</v>
      </c>
      <c r="IF184" s="146" t="s">
        <v>667</v>
      </c>
      <c r="IG184" s="146" t="s">
        <v>668</v>
      </c>
      <c r="IH184" s="146" t="s">
        <v>669</v>
      </c>
      <c r="II184" s="146" t="s">
        <v>670</v>
      </c>
      <c r="IJ184" s="89" t="s">
        <v>671</v>
      </c>
      <c r="IK184" s="146" t="s">
        <v>672</v>
      </c>
      <c r="IL184" s="146" t="s">
        <v>673</v>
      </c>
      <c r="IM184" s="146" t="s">
        <v>674</v>
      </c>
      <c r="IN184" s="146" t="s">
        <v>675</v>
      </c>
      <c r="IO184" s="146" t="s">
        <v>676</v>
      </c>
      <c r="IP184" s="89" t="s">
        <v>677</v>
      </c>
      <c r="IQ184" s="146" t="s">
        <v>678</v>
      </c>
      <c r="IR184" s="146" t="s">
        <v>679</v>
      </c>
      <c r="IS184" s="146" t="s">
        <v>680</v>
      </c>
      <c r="IT184" s="146" t="s">
        <v>681</v>
      </c>
      <c r="IU184" s="146" t="s">
        <v>682</v>
      </c>
      <c r="IV184" s="89" t="s">
        <v>683</v>
      </c>
      <c r="IW184" s="146" t="s">
        <v>684</v>
      </c>
      <c r="IX184" s="146" t="s">
        <v>685</v>
      </c>
      <c r="IY184" s="146" t="s">
        <v>686</v>
      </c>
      <c r="IZ184" s="146" t="s">
        <v>687</v>
      </c>
      <c r="JA184" s="146" t="s">
        <v>688</v>
      </c>
      <c r="JB184" s="89" t="s">
        <v>689</v>
      </c>
      <c r="JC184" s="146" t="s">
        <v>690</v>
      </c>
      <c r="JD184" s="146" t="s">
        <v>691</v>
      </c>
      <c r="JE184" s="146" t="s">
        <v>692</v>
      </c>
      <c r="JF184" s="146" t="s">
        <v>693</v>
      </c>
      <c r="JG184" s="146" t="s">
        <v>694</v>
      </c>
      <c r="JH184" s="89" t="s">
        <v>695</v>
      </c>
      <c r="JI184" s="146" t="s">
        <v>696</v>
      </c>
      <c r="JJ184" s="146" t="s">
        <v>697</v>
      </c>
      <c r="JK184" s="146" t="s">
        <v>698</v>
      </c>
      <c r="JL184" s="146" t="s">
        <v>699</v>
      </c>
      <c r="JM184" s="146" t="s">
        <v>700</v>
      </c>
      <c r="JN184" s="89" t="s">
        <v>701</v>
      </c>
      <c r="JO184" s="146" t="s">
        <v>702</v>
      </c>
      <c r="JP184" s="146" t="s">
        <v>703</v>
      </c>
      <c r="JQ184" s="146" t="s">
        <v>704</v>
      </c>
      <c r="JR184" s="146" t="s">
        <v>705</v>
      </c>
      <c r="JS184" s="146" t="s">
        <v>706</v>
      </c>
      <c r="JT184" s="89" t="s">
        <v>707</v>
      </c>
      <c r="JU184" s="146" t="s">
        <v>708</v>
      </c>
      <c r="JV184" s="146" t="s">
        <v>709</v>
      </c>
      <c r="JW184" s="146" t="s">
        <v>710</v>
      </c>
      <c r="JX184" s="146" t="s">
        <v>711</v>
      </c>
      <c r="JY184" s="146" t="s">
        <v>712</v>
      </c>
      <c r="JZ184" s="89" t="s">
        <v>713</v>
      </c>
      <c r="KA184" s="146" t="s">
        <v>714</v>
      </c>
      <c r="KB184" s="146" t="s">
        <v>715</v>
      </c>
      <c r="KC184" s="146" t="s">
        <v>716</v>
      </c>
      <c r="KD184" s="146" t="s">
        <v>717</v>
      </c>
      <c r="KE184" s="146" t="s">
        <v>718</v>
      </c>
      <c r="KF184" s="89" t="s">
        <v>719</v>
      </c>
      <c r="KG184" s="146" t="s">
        <v>720</v>
      </c>
      <c r="KH184" s="146" t="s">
        <v>721</v>
      </c>
      <c r="KI184" s="146" t="s">
        <v>722</v>
      </c>
      <c r="KJ184" s="146" t="s">
        <v>723</v>
      </c>
      <c r="KK184" s="146" t="s">
        <v>724</v>
      </c>
      <c r="KL184" s="89" t="s">
        <v>725</v>
      </c>
      <c r="KM184" s="146" t="s">
        <v>726</v>
      </c>
      <c r="KN184" s="146" t="s">
        <v>727</v>
      </c>
      <c r="KO184" s="146" t="s">
        <v>728</v>
      </c>
      <c r="KP184" s="146" t="s">
        <v>729</v>
      </c>
      <c r="KQ184" s="146" t="s">
        <v>730</v>
      </c>
      <c r="KR184" s="89" t="s">
        <v>731</v>
      </c>
      <c r="KS184" s="146" t="s">
        <v>732</v>
      </c>
      <c r="KT184" s="146" t="s">
        <v>733</v>
      </c>
      <c r="KU184" s="146" t="s">
        <v>734</v>
      </c>
      <c r="KV184" s="146" t="s">
        <v>735</v>
      </c>
      <c r="KW184" s="146" t="s">
        <v>736</v>
      </c>
      <c r="KX184" s="89" t="s">
        <v>737</v>
      </c>
      <c r="KY184" s="146" t="s">
        <v>738</v>
      </c>
      <c r="KZ184" s="146" t="s">
        <v>739</v>
      </c>
      <c r="LA184" s="146" t="s">
        <v>740</v>
      </c>
      <c r="LB184" s="146" t="s">
        <v>741</v>
      </c>
      <c r="LC184" s="146" t="s">
        <v>742</v>
      </c>
      <c r="LD184" s="89" t="s">
        <v>743</v>
      </c>
      <c r="LE184" s="146" t="s">
        <v>744</v>
      </c>
      <c r="LF184" s="146" t="s">
        <v>745</v>
      </c>
      <c r="LG184" s="146" t="s">
        <v>746</v>
      </c>
      <c r="LH184" s="146" t="s">
        <v>747</v>
      </c>
      <c r="LI184" s="146" t="s">
        <v>748</v>
      </c>
      <c r="LJ184" s="89" t="s">
        <v>749</v>
      </c>
      <c r="LK184" s="146" t="s">
        <v>750</v>
      </c>
      <c r="LL184" s="146" t="s">
        <v>751</v>
      </c>
      <c r="LM184" s="146" t="s">
        <v>752</v>
      </c>
      <c r="LN184" s="146" t="s">
        <v>753</v>
      </c>
      <c r="LO184" s="146" t="s">
        <v>754</v>
      </c>
      <c r="LP184" s="89" t="s">
        <v>755</v>
      </c>
      <c r="LQ184" s="146" t="s">
        <v>756</v>
      </c>
      <c r="LR184" s="146" t="s">
        <v>757</v>
      </c>
      <c r="LS184" s="146" t="s">
        <v>758</v>
      </c>
      <c r="LT184" s="146" t="s">
        <v>759</v>
      </c>
      <c r="LU184" s="146" t="s">
        <v>760</v>
      </c>
      <c r="LV184" s="89" t="s">
        <v>761</v>
      </c>
      <c r="LW184" s="146" t="s">
        <v>762</v>
      </c>
      <c r="LX184" s="146" t="s">
        <v>763</v>
      </c>
      <c r="LY184" s="146" t="s">
        <v>764</v>
      </c>
      <c r="LZ184" s="146" t="s">
        <v>765</v>
      </c>
      <c r="MA184" s="146" t="s">
        <v>766</v>
      </c>
      <c r="MB184" s="89" t="s">
        <v>767</v>
      </c>
      <c r="MC184" s="146" t="s">
        <v>768</v>
      </c>
      <c r="MD184" s="146" t="s">
        <v>769</v>
      </c>
      <c r="ME184" s="146" t="s">
        <v>770</v>
      </c>
      <c r="MF184" s="146" t="s">
        <v>771</v>
      </c>
      <c r="MG184" s="146" t="s">
        <v>772</v>
      </c>
      <c r="MH184" s="146" t="s">
        <v>773</v>
      </c>
    </row>
    <row r="185" spans="1:383" s="25" customFormat="1" ht="20.100000000000001" customHeight="1">
      <c r="A185" s="115" t="str">
        <f>B2</f>
        <v>Mir</v>
      </c>
      <c r="B185" s="23">
        <v>174200</v>
      </c>
      <c r="C185" s="54">
        <f>SUM(C8:L8)/10</f>
        <v>-1.4000000000000001</v>
      </c>
      <c r="D185" s="54">
        <f>SUM(M8:V8)/10</f>
        <v>-0.59999999999999987</v>
      </c>
      <c r="E185" s="54">
        <f>SUM(W8:AF8)/10</f>
        <v>-0.59999999999999987</v>
      </c>
      <c r="F185" s="76">
        <f>B11</f>
        <v>1357.1428571428571</v>
      </c>
      <c r="G185" s="76">
        <f>SUM(C13:L13)/10</f>
        <v>1.5999999999999999</v>
      </c>
      <c r="H185" s="76">
        <f>SUM(M13:V13)/10</f>
        <v>-2.1000000000000005</v>
      </c>
      <c r="I185" s="76">
        <f>SUM(W13:AF13)/10</f>
        <v>-2.1000000000000005</v>
      </c>
      <c r="J185" s="76">
        <f>B25</f>
        <v>1161.7265276536368</v>
      </c>
      <c r="K185" s="54">
        <f>B26</f>
        <v>18</v>
      </c>
      <c r="L185" s="54"/>
      <c r="M185" s="54">
        <f>SUM(C28:K28)/10</f>
        <v>0.53999999999999992</v>
      </c>
      <c r="N185" s="54">
        <f>SUM(M28:V28)/10</f>
        <v>0.39999999999999997</v>
      </c>
      <c r="O185" s="54">
        <f>SUM(W28:AF28)/10</f>
        <v>0.39999999999999997</v>
      </c>
      <c r="P185" s="76">
        <f>C31</f>
        <v>0.5</v>
      </c>
      <c r="Q185" s="76">
        <f>C32</f>
        <v>0</v>
      </c>
      <c r="R185" s="76">
        <f>C33</f>
        <v>99.4</v>
      </c>
      <c r="S185" s="76">
        <f>C34</f>
        <v>0.2</v>
      </c>
      <c r="T185" s="76">
        <f>C35</f>
        <v>0</v>
      </c>
      <c r="U185" s="27">
        <v>1</v>
      </c>
      <c r="V185" s="27">
        <v>1</v>
      </c>
      <c r="W185" s="27">
        <v>1</v>
      </c>
      <c r="X185" s="27">
        <v>1</v>
      </c>
      <c r="Y185" s="27">
        <v>1</v>
      </c>
      <c r="Z185" s="54"/>
      <c r="AA185" s="54"/>
      <c r="AB185" s="54"/>
      <c r="AC185" s="54"/>
      <c r="AD185" s="54"/>
      <c r="AE185" s="54"/>
      <c r="AF185" s="54"/>
      <c r="AG185" s="54"/>
      <c r="AH185" s="54"/>
      <c r="AI185" s="54"/>
      <c r="AJ185" s="54"/>
      <c r="AK185" s="54"/>
      <c r="AL185" s="54"/>
      <c r="AM185" s="54"/>
      <c r="AN185" s="54"/>
      <c r="AO185" s="54"/>
      <c r="AP185" s="54"/>
      <c r="AQ185" s="54"/>
      <c r="AR185" s="54"/>
      <c r="AS185" s="54"/>
      <c r="AT185" s="54"/>
      <c r="AU185" s="54"/>
      <c r="AV185" s="54"/>
      <c r="AW185" s="54"/>
      <c r="AX185" s="27">
        <v>1</v>
      </c>
      <c r="AY185" s="27">
        <v>1</v>
      </c>
      <c r="AZ185" s="27">
        <v>1</v>
      </c>
      <c r="BA185" s="27">
        <v>1</v>
      </c>
      <c r="BB185" s="54"/>
      <c r="BC185" s="54"/>
      <c r="BD185" s="54"/>
      <c r="BE185" s="54"/>
      <c r="BF185" s="54"/>
      <c r="BG185" s="54"/>
      <c r="BH185" s="54"/>
      <c r="BI185" s="54"/>
      <c r="BJ185" s="54"/>
      <c r="BK185" s="54"/>
      <c r="BL185" s="54"/>
      <c r="BM185" s="54"/>
      <c r="BN185" s="54"/>
      <c r="BO185" s="54"/>
      <c r="BP185" s="54"/>
      <c r="BQ185" s="54"/>
      <c r="BR185" s="54"/>
      <c r="BS185" s="54"/>
      <c r="BT185" s="27">
        <v>1</v>
      </c>
      <c r="BU185" s="27">
        <v>1</v>
      </c>
      <c r="BV185" s="27">
        <v>1</v>
      </c>
      <c r="BW185" s="27">
        <v>1</v>
      </c>
      <c r="BX185" s="27">
        <v>1</v>
      </c>
      <c r="BY185" s="54"/>
      <c r="BZ185" s="54"/>
      <c r="CA185" s="54"/>
      <c r="CB185" s="54"/>
      <c r="CC185" s="54"/>
      <c r="CD185" s="27">
        <v>1</v>
      </c>
      <c r="CE185" s="27">
        <v>1</v>
      </c>
      <c r="CF185" s="27">
        <v>1</v>
      </c>
      <c r="CG185" s="27">
        <v>1</v>
      </c>
      <c r="CH185" s="27">
        <v>1</v>
      </c>
      <c r="CI185" s="54"/>
      <c r="CJ185" s="54"/>
      <c r="CK185" s="54"/>
      <c r="CL185" s="54"/>
      <c r="CM185" s="54"/>
      <c r="CN185" s="27">
        <v>1</v>
      </c>
      <c r="CO185" s="27">
        <v>1</v>
      </c>
      <c r="CP185" s="27">
        <v>1</v>
      </c>
      <c r="CQ185" s="27">
        <v>1</v>
      </c>
      <c r="CR185" s="27">
        <v>1</v>
      </c>
      <c r="CS185" s="54"/>
      <c r="CT185" s="54"/>
      <c r="CU185" s="54"/>
      <c r="CV185" s="54"/>
      <c r="CW185" s="54"/>
      <c r="CX185" s="27">
        <v>1</v>
      </c>
      <c r="CY185" s="27">
        <v>1</v>
      </c>
      <c r="CZ185" s="27">
        <v>1</v>
      </c>
      <c r="DA185" s="27">
        <v>1</v>
      </c>
      <c r="DB185" s="27">
        <v>1</v>
      </c>
      <c r="DC185" s="23">
        <f>D78</f>
        <v>-548379.96591493534</v>
      </c>
      <c r="DD185" s="156">
        <f>AVERAGE(C85:L85)</f>
        <v>-5.6057976196632886E-2</v>
      </c>
      <c r="DE185" s="156">
        <f>AVERAGE(M85:V85)</f>
        <v>2.3169596365813168</v>
      </c>
      <c r="DF185" s="156">
        <f>AVERAGE(W85:AF85)</f>
        <v>2.3169596365813168</v>
      </c>
      <c r="DG185" s="23">
        <f>B79</f>
        <v>163008.86814203212</v>
      </c>
      <c r="DH185" s="156">
        <f>AVERAGE(C86:L86)</f>
        <v>1.1935164277488752</v>
      </c>
      <c r="DI185" s="156">
        <f>AVERAGE(M86:V86)</f>
        <v>0.16969509809525718</v>
      </c>
      <c r="DJ185" s="156">
        <f>AVERAGE(W86:AF86)</f>
        <v>0.16969509809525718</v>
      </c>
      <c r="DK185" s="23">
        <f>D80</f>
        <v>16971.749140328644</v>
      </c>
      <c r="DL185" s="156">
        <f>AVERAGE(C87:L87)</f>
        <v>-0.49105974754584114</v>
      </c>
      <c r="DM185" s="156">
        <f>AVERAGE(M87:V87)</f>
        <v>4.5777144812553239E-2</v>
      </c>
      <c r="DN185" s="156">
        <f>AVERAGE(W87:AF87)</f>
        <v>4.5777144812553239E-2</v>
      </c>
      <c r="DO185" s="23">
        <f>B81</f>
        <v>24937.229909639544</v>
      </c>
      <c r="DP185" s="156">
        <f>AVERAGE(C88:L88)</f>
        <v>-0.5728508462310099</v>
      </c>
      <c r="DQ185" s="156">
        <f>AVERAGE(M88:V88)</f>
        <v>-0.31928389463363738</v>
      </c>
      <c r="DR185" s="156">
        <f>AVERAGE(W88:AF88)</f>
        <v>-0.31928389463363738</v>
      </c>
      <c r="DS185" s="23">
        <f>D82</f>
        <v>46903.788460051932</v>
      </c>
      <c r="DT185" s="156">
        <f>AVERAGE(C89:L89)</f>
        <v>-0.10286391912811554</v>
      </c>
      <c r="DU185" s="156">
        <f>AVERAGE(M89:V89)</f>
        <v>-1.2470099209330618</v>
      </c>
      <c r="DV185" s="156">
        <f>AVERAGE(W89:AF89)</f>
        <v>-1.2470099209330618</v>
      </c>
      <c r="DW185" s="23">
        <f>B83</f>
        <v>-111907.03951127999</v>
      </c>
      <c r="DX185" s="156">
        <f>AVERAGE(C90:L90)</f>
        <v>-1.0698418934196872</v>
      </c>
      <c r="DY185" s="156">
        <f>AVERAGE(M90:V90)</f>
        <v>-1.6571095904057032</v>
      </c>
      <c r="DZ185" s="156">
        <f>AVERAGE(W90:AF90)</f>
        <v>-1.6571095904057032</v>
      </c>
      <c r="EA185" s="188">
        <f>B95</f>
        <v>0.29674116862651001</v>
      </c>
      <c r="EB185" s="188">
        <f t="shared" ref="EB185:EF185" si="42">C95</f>
        <v>0</v>
      </c>
      <c r="EC185" s="188">
        <f t="shared" si="42"/>
        <v>8.5038180398629995E-2</v>
      </c>
      <c r="ED185" s="188">
        <f t="shared" si="42"/>
        <v>8.0909603120779994E-2</v>
      </c>
      <c r="EE185" s="188">
        <f t="shared" si="42"/>
        <v>0</v>
      </c>
      <c r="EF185" s="188">
        <f t="shared" si="42"/>
        <v>-0.52000153281798001</v>
      </c>
      <c r="EG185" s="189">
        <f>B96</f>
        <v>0.29674115861946998</v>
      </c>
      <c r="EH185" s="189">
        <f t="shared" ref="EH185:EL185" si="43">C96</f>
        <v>0</v>
      </c>
      <c r="EI185" s="189">
        <f t="shared" si="43"/>
        <v>8.5038184275519998E-2</v>
      </c>
      <c r="EJ185" s="189">
        <f t="shared" si="43"/>
        <v>8.0909616730519995E-2</v>
      </c>
      <c r="EK185" s="189">
        <f t="shared" si="43"/>
        <v>0</v>
      </c>
      <c r="EL185" s="189">
        <f t="shared" si="43"/>
        <v>-0.51999956638155997</v>
      </c>
      <c r="EM185" s="189">
        <f>B97</f>
        <v>0.29674114681768998</v>
      </c>
      <c r="EN185" s="189">
        <f t="shared" ref="EN185:ER185" si="44">C97</f>
        <v>0</v>
      </c>
      <c r="EO185" s="189">
        <f t="shared" si="44"/>
        <v>8.5038161827740003E-2</v>
      </c>
      <c r="EP185" s="189">
        <f t="shared" si="44"/>
        <v>8.090964826706E-2</v>
      </c>
      <c r="EQ185" s="189">
        <f t="shared" si="44"/>
        <v>0</v>
      </c>
      <c r="ER185" s="189">
        <f t="shared" si="44"/>
        <v>-0.52000446492640995</v>
      </c>
      <c r="ES185" s="189">
        <f>B98</f>
        <v>0.29674116869143002</v>
      </c>
      <c r="ET185" s="189">
        <f t="shared" ref="ET185:EX185" si="45">C98</f>
        <v>0</v>
      </c>
      <c r="EU185" s="189">
        <f t="shared" si="45"/>
        <v>8.5038160755390002E-2</v>
      </c>
      <c r="EV185" s="189">
        <f t="shared" si="45"/>
        <v>8.0909602480600001E-2</v>
      </c>
      <c r="EW185" s="189">
        <f t="shared" si="45"/>
        <v>0</v>
      </c>
      <c r="EX185" s="189">
        <f t="shared" si="45"/>
        <v>0</v>
      </c>
      <c r="EY185" s="189">
        <f>B99</f>
        <v>0</v>
      </c>
      <c r="EZ185" s="189">
        <f t="shared" ref="EZ185:FD185" si="46">C99</f>
        <v>0</v>
      </c>
      <c r="FA185" s="189">
        <f t="shared" si="46"/>
        <v>0</v>
      </c>
      <c r="FB185" s="189">
        <f t="shared" si="46"/>
        <v>0</v>
      </c>
      <c r="FC185" s="189">
        <f t="shared" si="46"/>
        <v>0</v>
      </c>
      <c r="FD185" s="189">
        <f t="shared" si="46"/>
        <v>0</v>
      </c>
      <c r="FE185" s="189">
        <f>B100</f>
        <v>-64.06</v>
      </c>
      <c r="FF185" s="189">
        <f t="shared" ref="FF185:FJ185" si="47">C100</f>
        <v>-20.5</v>
      </c>
      <c r="FG185" s="189">
        <f t="shared" si="47"/>
        <v>-2.3684264942101598</v>
      </c>
      <c r="FH185" s="189">
        <f t="shared" si="47"/>
        <v>0</v>
      </c>
      <c r="FI185" s="189">
        <f t="shared" si="47"/>
        <v>-0.1634535974746</v>
      </c>
      <c r="FJ185" s="189">
        <f t="shared" si="47"/>
        <v>-4.8000003955629698</v>
      </c>
      <c r="FK185" s="189">
        <f>B101</f>
        <v>0</v>
      </c>
      <c r="FL185" s="189">
        <f t="shared" ref="FL185:FP185" si="48">C101</f>
        <v>0</v>
      </c>
      <c r="FM185" s="189">
        <f t="shared" si="48"/>
        <v>0</v>
      </c>
      <c r="FN185" s="189">
        <f t="shared" si="48"/>
        <v>0</v>
      </c>
      <c r="FO185" s="189">
        <f t="shared" si="48"/>
        <v>0</v>
      </c>
      <c r="FP185" s="189">
        <f t="shared" si="48"/>
        <v>-4.8000001479478502</v>
      </c>
      <c r="FQ185" s="189">
        <f>B102</f>
        <v>0</v>
      </c>
      <c r="FR185" s="189">
        <f t="shared" ref="FR185:FV185" si="49">C102</f>
        <v>0</v>
      </c>
      <c r="FS185" s="189">
        <f t="shared" si="49"/>
        <v>0</v>
      </c>
      <c r="FT185" s="189">
        <f t="shared" si="49"/>
        <v>0</v>
      </c>
      <c r="FU185" s="189">
        <f t="shared" si="49"/>
        <v>0</v>
      </c>
      <c r="FV185" s="189">
        <f t="shared" si="49"/>
        <v>-4.7999991849584802</v>
      </c>
      <c r="FW185" s="189">
        <f>B103</f>
        <v>0</v>
      </c>
      <c r="FX185" s="189">
        <f t="shared" ref="FX185:GB185" si="50">C103</f>
        <v>0</v>
      </c>
      <c r="FY185" s="189">
        <f t="shared" si="50"/>
        <v>0</v>
      </c>
      <c r="FZ185" s="189">
        <f t="shared" si="50"/>
        <v>0</v>
      </c>
      <c r="GA185" s="189">
        <f t="shared" si="50"/>
        <v>0</v>
      </c>
      <c r="GB185" s="189">
        <f t="shared" si="50"/>
        <v>0</v>
      </c>
      <c r="GC185" s="189">
        <f>B104</f>
        <v>0</v>
      </c>
      <c r="GD185" s="189">
        <f t="shared" ref="GD185:GH185" si="51">C104</f>
        <v>0</v>
      </c>
      <c r="GE185" s="189">
        <f t="shared" si="51"/>
        <v>0</v>
      </c>
      <c r="GF185" s="189">
        <f t="shared" si="51"/>
        <v>0</v>
      </c>
      <c r="GG185" s="189">
        <f t="shared" si="51"/>
        <v>0</v>
      </c>
      <c r="GH185" s="189">
        <f t="shared" si="51"/>
        <v>0</v>
      </c>
      <c r="GI185" s="189">
        <f>B105</f>
        <v>-64.06</v>
      </c>
      <c r="GJ185" s="189">
        <f t="shared" ref="GJ185:GN185" si="52">C105</f>
        <v>-20.5</v>
      </c>
      <c r="GK185" s="189">
        <f t="shared" si="52"/>
        <v>-0.39560483850567002</v>
      </c>
      <c r="GL185" s="189">
        <f t="shared" si="52"/>
        <v>0</v>
      </c>
      <c r="GM185" s="189">
        <f t="shared" si="52"/>
        <v>0</v>
      </c>
      <c r="GN185" s="189">
        <f t="shared" si="52"/>
        <v>-4.4000000227039404</v>
      </c>
      <c r="GO185" s="189">
        <f>B106</f>
        <v>0</v>
      </c>
      <c r="GP185" s="189">
        <f t="shared" ref="GP185:GT185" si="53">C106</f>
        <v>0</v>
      </c>
      <c r="GQ185" s="189">
        <f t="shared" si="53"/>
        <v>0</v>
      </c>
      <c r="GR185" s="189">
        <f t="shared" si="53"/>
        <v>0</v>
      </c>
      <c r="GS185" s="189">
        <f t="shared" si="53"/>
        <v>0</v>
      </c>
      <c r="GT185" s="189">
        <f t="shared" si="53"/>
        <v>-4.3477140332346096</v>
      </c>
      <c r="GU185" s="189">
        <f>B107</f>
        <v>0.20445725872255999</v>
      </c>
      <c r="GV185" s="189">
        <f t="shared" ref="GV185:GZ185" si="54">C107</f>
        <v>0</v>
      </c>
      <c r="GW185" s="189">
        <f t="shared" si="54"/>
        <v>0</v>
      </c>
      <c r="GX185" s="189">
        <f t="shared" si="54"/>
        <v>0</v>
      </c>
      <c r="GY185" s="189">
        <f t="shared" si="54"/>
        <v>0</v>
      </c>
      <c r="GZ185" s="189">
        <f t="shared" si="54"/>
        <v>4.4000001103780502</v>
      </c>
      <c r="HA185" s="189">
        <f>B108</f>
        <v>0</v>
      </c>
      <c r="HB185" s="189">
        <f t="shared" ref="HB185:HF185" si="55">C108</f>
        <v>0</v>
      </c>
      <c r="HC185" s="189">
        <f t="shared" si="55"/>
        <v>0</v>
      </c>
      <c r="HD185" s="189">
        <f t="shared" si="55"/>
        <v>0</v>
      </c>
      <c r="HE185" s="189">
        <f t="shared" si="55"/>
        <v>0</v>
      </c>
      <c r="HF185" s="189">
        <f t="shared" si="55"/>
        <v>0</v>
      </c>
      <c r="HG185" s="189">
        <f>B109</f>
        <v>0</v>
      </c>
      <c r="HH185" s="189">
        <f t="shared" ref="HH185:HL185" si="56">C109</f>
        <v>0</v>
      </c>
      <c r="HI185" s="189">
        <f t="shared" si="56"/>
        <v>0</v>
      </c>
      <c r="HJ185" s="189">
        <f t="shared" si="56"/>
        <v>0</v>
      </c>
      <c r="HK185" s="189">
        <f t="shared" si="56"/>
        <v>0</v>
      </c>
      <c r="HL185" s="189">
        <f t="shared" si="56"/>
        <v>0</v>
      </c>
      <c r="HM185" s="189">
        <f>B110</f>
        <v>0</v>
      </c>
      <c r="HN185" s="189">
        <f t="shared" ref="HN185:HR185" si="57">C110</f>
        <v>0</v>
      </c>
      <c r="HO185" s="189">
        <f t="shared" si="57"/>
        <v>0</v>
      </c>
      <c r="HP185" s="189">
        <f t="shared" si="57"/>
        <v>0</v>
      </c>
      <c r="HQ185" s="189">
        <f t="shared" si="57"/>
        <v>0</v>
      </c>
      <c r="HR185" s="189">
        <f t="shared" si="57"/>
        <v>0</v>
      </c>
      <c r="HS185" s="189">
        <f>B111</f>
        <v>0</v>
      </c>
      <c r="HT185" s="189">
        <f t="shared" ref="HT185:HX185" si="58">C111</f>
        <v>0</v>
      </c>
      <c r="HU185" s="189">
        <f t="shared" si="58"/>
        <v>0</v>
      </c>
      <c r="HV185" s="189">
        <f t="shared" si="58"/>
        <v>0</v>
      </c>
      <c r="HW185" s="189">
        <f t="shared" si="58"/>
        <v>0</v>
      </c>
      <c r="HX185" s="189">
        <f t="shared" si="58"/>
        <v>0</v>
      </c>
      <c r="HY185" s="189">
        <f>B112</f>
        <v>0</v>
      </c>
      <c r="HZ185" s="189">
        <f t="shared" ref="HZ185:ID185" si="59">C112</f>
        <v>0</v>
      </c>
      <c r="IA185" s="189">
        <f t="shared" si="59"/>
        <v>0</v>
      </c>
      <c r="IB185" s="189">
        <f t="shared" si="59"/>
        <v>0</v>
      </c>
      <c r="IC185" s="189">
        <f t="shared" si="59"/>
        <v>0</v>
      </c>
      <c r="ID185" s="189">
        <f t="shared" si="59"/>
        <v>0</v>
      </c>
      <c r="IE185" s="189">
        <f>B113</f>
        <v>0</v>
      </c>
      <c r="IF185" s="189">
        <f t="shared" ref="IF185:IJ185" si="60">C113</f>
        <v>0</v>
      </c>
      <c r="IG185" s="189">
        <f t="shared" si="60"/>
        <v>0</v>
      </c>
      <c r="IH185" s="189">
        <f t="shared" si="60"/>
        <v>0</v>
      </c>
      <c r="II185" s="189">
        <f t="shared" si="60"/>
        <v>0</v>
      </c>
      <c r="IJ185" s="189">
        <f t="shared" si="60"/>
        <v>0</v>
      </c>
      <c r="IK185" s="189">
        <f>B114</f>
        <v>0</v>
      </c>
      <c r="IL185" s="189">
        <f t="shared" ref="IL185:IP185" si="61">C114</f>
        <v>0</v>
      </c>
      <c r="IM185" s="189">
        <f t="shared" si="61"/>
        <v>0</v>
      </c>
      <c r="IN185" s="189">
        <f t="shared" si="61"/>
        <v>0</v>
      </c>
      <c r="IO185" s="189">
        <f t="shared" si="61"/>
        <v>0</v>
      </c>
      <c r="IP185" s="189">
        <f t="shared" si="61"/>
        <v>0</v>
      </c>
      <c r="IQ185" s="189">
        <f>B115</f>
        <v>-64.06</v>
      </c>
      <c r="IR185" s="189">
        <f t="shared" ref="IR185:IV185" si="62">C115</f>
        <v>-20.5</v>
      </c>
      <c r="IS185" s="189">
        <f t="shared" si="62"/>
        <v>-2.2821516439642302</v>
      </c>
      <c r="IT185" s="189">
        <f t="shared" si="62"/>
        <v>0</v>
      </c>
      <c r="IU185" s="189">
        <f t="shared" si="62"/>
        <v>-0.82619066686556997</v>
      </c>
      <c r="IV185" s="189">
        <f t="shared" si="62"/>
        <v>-7.8999999241327297</v>
      </c>
      <c r="IW185" s="189">
        <f>B116</f>
        <v>-0.35897397629453998</v>
      </c>
      <c r="IX185" s="189">
        <f t="shared" ref="IX185:JB185" si="63">C116</f>
        <v>0</v>
      </c>
      <c r="IY185" s="189">
        <f t="shared" si="63"/>
        <v>0</v>
      </c>
      <c r="IZ185" s="189">
        <f t="shared" si="63"/>
        <v>0</v>
      </c>
      <c r="JA185" s="189">
        <f t="shared" si="63"/>
        <v>-0.85600001155687</v>
      </c>
      <c r="JB185" s="189">
        <f t="shared" si="63"/>
        <v>-7.9000046087676603</v>
      </c>
      <c r="JC185" s="189">
        <f>B117</f>
        <v>-0.78119571993218995</v>
      </c>
      <c r="JD185" s="189">
        <f t="shared" ref="JD185:JH185" si="64">C117</f>
        <v>0</v>
      </c>
      <c r="JE185" s="189">
        <f t="shared" si="64"/>
        <v>0</v>
      </c>
      <c r="JF185" s="189">
        <f t="shared" si="64"/>
        <v>0</v>
      </c>
      <c r="JG185" s="189">
        <f t="shared" si="64"/>
        <v>-0.85600001526582004</v>
      </c>
      <c r="JH185" s="189">
        <f t="shared" si="64"/>
        <v>-7.9</v>
      </c>
      <c r="JI185" s="189">
        <f>B118</f>
        <v>0</v>
      </c>
      <c r="JJ185" s="189">
        <f t="shared" ref="JJ185:JN185" si="65">C118</f>
        <v>0</v>
      </c>
      <c r="JK185" s="189">
        <f t="shared" si="65"/>
        <v>0</v>
      </c>
      <c r="JL185" s="189">
        <f t="shared" si="65"/>
        <v>0</v>
      </c>
      <c r="JM185" s="189">
        <f t="shared" si="65"/>
        <v>0</v>
      </c>
      <c r="JN185" s="189">
        <f t="shared" si="65"/>
        <v>-7.9000016995418401</v>
      </c>
      <c r="JO185" s="189">
        <f>B119</f>
        <v>0</v>
      </c>
      <c r="JP185" s="189">
        <f t="shared" ref="JP185:JT185" si="66">C119</f>
        <v>0</v>
      </c>
      <c r="JQ185" s="189">
        <f t="shared" si="66"/>
        <v>0</v>
      </c>
      <c r="JR185" s="189">
        <f t="shared" si="66"/>
        <v>0</v>
      </c>
      <c r="JS185" s="189">
        <f t="shared" si="66"/>
        <v>0</v>
      </c>
      <c r="JT185" s="189">
        <f t="shared" si="66"/>
        <v>0</v>
      </c>
      <c r="JU185" s="189">
        <f>B120</f>
        <v>-64.06</v>
      </c>
      <c r="JV185" s="189">
        <f t="shared" ref="JV185:JZ185" si="67">C120</f>
        <v>-20.5</v>
      </c>
      <c r="JW185" s="189">
        <f t="shared" si="67"/>
        <v>0</v>
      </c>
      <c r="JX185" s="189">
        <f t="shared" si="67"/>
        <v>0</v>
      </c>
      <c r="JY185" s="189">
        <f t="shared" si="67"/>
        <v>0</v>
      </c>
      <c r="JZ185" s="189">
        <f t="shared" si="67"/>
        <v>0</v>
      </c>
      <c r="KA185" s="189">
        <f>B121</f>
        <v>0</v>
      </c>
      <c r="KB185" s="189">
        <f t="shared" ref="KB185:KF185" si="68">C121</f>
        <v>0</v>
      </c>
      <c r="KC185" s="189">
        <f t="shared" si="68"/>
        <v>0</v>
      </c>
      <c r="KD185" s="189">
        <f t="shared" si="68"/>
        <v>0</v>
      </c>
      <c r="KE185" s="189">
        <f t="shared" si="68"/>
        <v>0</v>
      </c>
      <c r="KF185" s="189">
        <f t="shared" si="68"/>
        <v>0</v>
      </c>
      <c r="KG185" s="189">
        <f>B122</f>
        <v>0</v>
      </c>
      <c r="KH185" s="189">
        <f t="shared" ref="KH185:KL185" si="69">C122</f>
        <v>0</v>
      </c>
      <c r="KI185" s="189">
        <f t="shared" si="69"/>
        <v>0</v>
      </c>
      <c r="KJ185" s="189">
        <f t="shared" si="69"/>
        <v>0</v>
      </c>
      <c r="KK185" s="189">
        <f t="shared" si="69"/>
        <v>0</v>
      </c>
      <c r="KL185" s="189">
        <f t="shared" si="69"/>
        <v>0</v>
      </c>
      <c r="KM185" s="189">
        <f>B123</f>
        <v>0</v>
      </c>
      <c r="KN185" s="189">
        <f t="shared" ref="KN185:KR185" si="70">C123</f>
        <v>0</v>
      </c>
      <c r="KO185" s="189">
        <f t="shared" si="70"/>
        <v>0</v>
      </c>
      <c r="KP185" s="189">
        <f t="shared" si="70"/>
        <v>0</v>
      </c>
      <c r="KQ185" s="189">
        <f t="shared" si="70"/>
        <v>0</v>
      </c>
      <c r="KR185" s="189">
        <f t="shared" si="70"/>
        <v>0</v>
      </c>
      <c r="KS185" s="189">
        <f>B124</f>
        <v>0</v>
      </c>
      <c r="KT185" s="189">
        <f t="shared" ref="KT185:KX185" si="71">C124</f>
        <v>0</v>
      </c>
      <c r="KU185" s="189">
        <f t="shared" si="71"/>
        <v>0</v>
      </c>
      <c r="KV185" s="189">
        <f t="shared" si="71"/>
        <v>0</v>
      </c>
      <c r="KW185" s="189">
        <f t="shared" si="71"/>
        <v>0</v>
      </c>
      <c r="KX185" s="189">
        <f t="shared" si="71"/>
        <v>0</v>
      </c>
      <c r="KY185" s="189">
        <f>B125</f>
        <v>0.31989679691690998</v>
      </c>
      <c r="KZ185" s="189">
        <f t="shared" ref="KZ185:LD185" si="72">C125</f>
        <v>0</v>
      </c>
      <c r="LA185" s="189">
        <f t="shared" si="72"/>
        <v>0.16819587959514001</v>
      </c>
      <c r="LB185" s="189">
        <f t="shared" si="72"/>
        <v>0</v>
      </c>
      <c r="LC185" s="189">
        <f t="shared" si="72"/>
        <v>0</v>
      </c>
      <c r="LD185" s="189">
        <f t="shared" si="72"/>
        <v>-0.52000000041672001</v>
      </c>
      <c r="LE185" s="189">
        <f>B126</f>
        <v>1.18717559824E-3</v>
      </c>
      <c r="LF185" s="189">
        <f t="shared" ref="LF185:LJ185" si="73">C126</f>
        <v>0</v>
      </c>
      <c r="LG185" s="189">
        <f t="shared" si="73"/>
        <v>-3.0149923283000001E-4</v>
      </c>
      <c r="LH185" s="189">
        <f t="shared" si="73"/>
        <v>0</v>
      </c>
      <c r="LI185" s="189">
        <f t="shared" si="73"/>
        <v>0</v>
      </c>
      <c r="LJ185" s="189">
        <f t="shared" si="73"/>
        <v>-4.80000002683897</v>
      </c>
      <c r="LK185" s="189">
        <f>B127</f>
        <v>9.2245339024199999E-2</v>
      </c>
      <c r="LL185" s="189">
        <f t="shared" ref="LL185:LP185" si="74">C127</f>
        <v>0</v>
      </c>
      <c r="LM185" s="189">
        <f t="shared" si="74"/>
        <v>1.1222824411740001E-2</v>
      </c>
      <c r="LN185" s="189">
        <f t="shared" si="74"/>
        <v>0</v>
      </c>
      <c r="LO185" s="189">
        <f t="shared" si="74"/>
        <v>0</v>
      </c>
      <c r="LP185" s="189">
        <f t="shared" si="74"/>
        <v>-4.4000000461020798</v>
      </c>
      <c r="LQ185" s="189">
        <f>B128</f>
        <v>0</v>
      </c>
      <c r="LR185" s="189">
        <f t="shared" ref="LR185:LV185" si="75">C128</f>
        <v>0</v>
      </c>
      <c r="LS185" s="189">
        <f t="shared" si="75"/>
        <v>0</v>
      </c>
      <c r="LT185" s="189">
        <f t="shared" si="75"/>
        <v>0</v>
      </c>
      <c r="LU185" s="189">
        <f t="shared" si="75"/>
        <v>0</v>
      </c>
      <c r="LV185" s="189">
        <f t="shared" si="75"/>
        <v>-1.2136363467912099</v>
      </c>
      <c r="LW185" s="189">
        <f>B129</f>
        <v>2.0514416714919999E-2</v>
      </c>
      <c r="LX185" s="189">
        <f t="shared" ref="LX185:MB185" si="76">C129</f>
        <v>0</v>
      </c>
      <c r="LY185" s="189">
        <f t="shared" si="76"/>
        <v>-4.0733997263199997E-2</v>
      </c>
      <c r="LZ185" s="189">
        <f t="shared" si="76"/>
        <v>0</v>
      </c>
      <c r="MA185" s="189">
        <f t="shared" si="76"/>
        <v>0</v>
      </c>
      <c r="MB185" s="189">
        <f t="shared" si="76"/>
        <v>-0.11312037841524999</v>
      </c>
      <c r="MC185" s="189">
        <f>B130</f>
        <v>0.19128168721929001</v>
      </c>
      <c r="MD185" s="189">
        <f t="shared" ref="MD185:MH185" si="77">C130</f>
        <v>0</v>
      </c>
      <c r="ME185" s="189">
        <f t="shared" si="77"/>
        <v>2.5679577467769998E-2</v>
      </c>
      <c r="MF185" s="189">
        <f t="shared" si="77"/>
        <v>0</v>
      </c>
      <c r="MG185" s="189">
        <f t="shared" si="77"/>
        <v>0</v>
      </c>
      <c r="MH185" s="189">
        <f t="shared" si="77"/>
        <v>-7.90000216590078</v>
      </c>
      <c r="MI185" s="78"/>
      <c r="MJ185" s="78"/>
      <c r="MK185" s="78"/>
      <c r="ML185" s="78"/>
      <c r="MM185" s="78"/>
      <c r="MN185" s="78"/>
      <c r="MO185" s="78"/>
      <c r="MP185" s="78"/>
      <c r="MQ185" s="78"/>
      <c r="MR185" s="78"/>
      <c r="MS185" s="78"/>
      <c r="MT185" s="78"/>
      <c r="MU185" s="78"/>
      <c r="MV185" s="78"/>
      <c r="MW185" s="78"/>
      <c r="MX185" s="78"/>
      <c r="MY185" s="78"/>
      <c r="MZ185" s="78"/>
      <c r="NA185" s="78"/>
      <c r="NB185" s="78"/>
      <c r="NC185" s="78"/>
      <c r="ND185" s="78"/>
      <c r="NE185" s="78"/>
      <c r="NF185" s="78"/>
      <c r="NG185" s="78"/>
      <c r="NH185" s="78"/>
      <c r="NI185" s="78"/>
      <c r="NJ185" s="78"/>
      <c r="NK185" s="78"/>
      <c r="NL185" s="78"/>
      <c r="NM185" s="78"/>
      <c r="NN185" s="78"/>
      <c r="NO185" s="78"/>
      <c r="NP185" s="78"/>
      <c r="NQ185" s="78"/>
      <c r="NR185" s="78"/>
      <c r="NS185" s="78"/>
    </row>
    <row r="186" spans="1:383" ht="20.100000000000001" customHeight="1">
      <c r="U186" s="152" t="s">
        <v>786</v>
      </c>
      <c r="AX186" s="152" t="s">
        <v>786</v>
      </c>
      <c r="BT186" s="152" t="s">
        <v>786</v>
      </c>
      <c r="CD186" s="152" t="s">
        <v>786</v>
      </c>
      <c r="CN186" s="152" t="s">
        <v>786</v>
      </c>
      <c r="CX186" s="152" t="s">
        <v>786</v>
      </c>
      <c r="DC186" s="84"/>
      <c r="DD186" s="84"/>
      <c r="DE186" s="84"/>
      <c r="DF186" s="84"/>
      <c r="DG186" s="84"/>
      <c r="DH186" s="84"/>
      <c r="DI186" s="84"/>
      <c r="DJ186" s="84"/>
      <c r="DK186" s="84"/>
      <c r="DL186" s="84"/>
      <c r="DM186" s="84"/>
      <c r="DN186" s="84"/>
      <c r="DO186" s="84"/>
      <c r="DP186" s="84"/>
      <c r="DQ186" s="84"/>
      <c r="DR186" s="84"/>
      <c r="DS186" s="84"/>
      <c r="DT186" s="84"/>
      <c r="DU186" s="84"/>
      <c r="DV186" s="84"/>
      <c r="DW186" s="84"/>
      <c r="DX186" s="84"/>
      <c r="DY186" s="84"/>
      <c r="DZ186" s="84"/>
      <c r="EA186" s="147"/>
      <c r="EB186" s="147"/>
      <c r="EC186" s="147"/>
      <c r="ED186" s="147"/>
      <c r="EE186" s="148"/>
      <c r="EF186" s="148"/>
      <c r="EG186" s="147"/>
      <c r="EH186" s="147"/>
      <c r="EI186" s="147"/>
      <c r="EJ186" s="147"/>
      <c r="EK186" s="149"/>
      <c r="EL186" s="149"/>
      <c r="EM186" s="147"/>
      <c r="EN186" s="147"/>
      <c r="EO186" s="147"/>
      <c r="EP186" s="147"/>
      <c r="EQ186" s="149"/>
      <c r="ER186" s="149"/>
      <c r="ES186" s="147"/>
      <c r="ET186" s="147"/>
      <c r="EU186" s="147"/>
      <c r="EV186" s="147"/>
      <c r="EW186" s="149"/>
      <c r="EX186" s="149"/>
      <c r="EY186" s="147"/>
      <c r="EZ186" s="147"/>
      <c r="FA186" s="147"/>
      <c r="FB186" s="147"/>
      <c r="FC186" s="149"/>
      <c r="FD186" s="149"/>
      <c r="FE186" s="147"/>
      <c r="FF186" s="147"/>
      <c r="FG186" s="147"/>
      <c r="FH186" s="147"/>
      <c r="FI186" s="149"/>
      <c r="FJ186" s="149"/>
      <c r="FK186" s="150"/>
      <c r="FL186" s="150"/>
      <c r="FM186" s="150"/>
      <c r="FN186" s="150"/>
      <c r="FO186" s="150"/>
      <c r="FP186" s="150"/>
      <c r="FQ186" s="150"/>
      <c r="FR186" s="150"/>
      <c r="FS186" s="150"/>
      <c r="FT186" s="150"/>
      <c r="FU186" s="150"/>
      <c r="FV186" s="150"/>
      <c r="FW186" s="150"/>
      <c r="FX186" s="150"/>
      <c r="FY186" s="150"/>
      <c r="FZ186" s="150"/>
      <c r="GA186" s="150"/>
      <c r="GB186" s="150"/>
      <c r="GC186" s="150"/>
      <c r="GD186" s="150"/>
      <c r="GE186" s="150"/>
      <c r="GF186" s="150"/>
      <c r="GG186" s="150"/>
      <c r="GH186" s="150"/>
      <c r="GI186" s="150"/>
      <c r="GJ186" s="150"/>
      <c r="GK186" s="150"/>
      <c r="GL186" s="150"/>
      <c r="GM186" s="150"/>
      <c r="GN186" s="150"/>
      <c r="GO186" s="150"/>
      <c r="GP186" s="150"/>
      <c r="GQ186" s="150"/>
      <c r="GR186" s="150"/>
      <c r="GS186" s="150"/>
      <c r="GT186" s="150"/>
      <c r="GU186" s="150"/>
      <c r="GV186" s="150"/>
      <c r="GW186" s="150"/>
      <c r="GX186" s="150"/>
      <c r="GY186" s="150"/>
      <c r="GZ186" s="150"/>
      <c r="HA186" s="150"/>
      <c r="HB186" s="150"/>
      <c r="HC186" s="150"/>
      <c r="HD186" s="150"/>
      <c r="HE186" s="150"/>
      <c r="HF186" s="150"/>
      <c r="HG186" s="150"/>
      <c r="HH186" s="150"/>
      <c r="HI186" s="150"/>
      <c r="HJ186" s="150"/>
      <c r="HK186" s="150"/>
      <c r="HL186" s="150"/>
      <c r="HM186" s="150"/>
      <c r="HN186" s="150"/>
      <c r="HO186" s="150"/>
      <c r="HP186" s="150"/>
      <c r="HQ186" s="150"/>
      <c r="HR186" s="150"/>
      <c r="HS186" s="150"/>
      <c r="HT186" s="150"/>
      <c r="HU186" s="150"/>
      <c r="HV186" s="150"/>
      <c r="HW186" s="150"/>
      <c r="HX186" s="150"/>
      <c r="HY186" s="150"/>
      <c r="HZ186" s="150"/>
      <c r="IA186" s="150"/>
      <c r="IB186" s="150"/>
      <c r="IC186" s="150"/>
      <c r="ID186" s="150"/>
      <c r="IE186" s="150"/>
      <c r="IF186" s="150"/>
      <c r="IG186" s="150"/>
      <c r="IH186" s="150"/>
      <c r="II186" s="150"/>
      <c r="IJ186" s="150"/>
      <c r="IK186" s="150"/>
      <c r="IL186" s="150"/>
      <c r="IM186" s="150"/>
      <c r="IN186" s="150"/>
      <c r="IO186" s="150"/>
      <c r="IP186" s="150"/>
      <c r="IQ186" s="150"/>
      <c r="IR186" s="150"/>
      <c r="IS186" s="150"/>
      <c r="IT186" s="150"/>
      <c r="IU186" s="150"/>
      <c r="IV186" s="150"/>
      <c r="IW186" s="150"/>
      <c r="IX186" s="150"/>
      <c r="IY186" s="150"/>
      <c r="IZ186" s="150"/>
      <c r="JA186" s="150"/>
      <c r="JB186" s="150"/>
      <c r="JC186" s="150"/>
      <c r="JD186" s="150"/>
      <c r="JE186" s="150"/>
      <c r="JF186" s="150"/>
      <c r="JG186" s="150"/>
      <c r="JH186" s="150"/>
      <c r="JI186" s="150"/>
      <c r="JJ186" s="150"/>
      <c r="JK186" s="150"/>
      <c r="JL186" s="150"/>
      <c r="JM186" s="150"/>
      <c r="JN186" s="150"/>
      <c r="JO186" s="150"/>
      <c r="JP186" s="150"/>
      <c r="JQ186" s="150"/>
      <c r="JR186" s="150"/>
      <c r="JS186" s="150"/>
      <c r="JT186" s="150"/>
      <c r="JU186" s="150"/>
      <c r="JV186" s="150"/>
      <c r="JW186" s="150"/>
      <c r="JX186" s="150"/>
      <c r="JY186" s="150"/>
      <c r="JZ186" s="150"/>
      <c r="KA186" s="150"/>
      <c r="KB186" s="150"/>
      <c r="KC186" s="150"/>
      <c r="KD186" s="150"/>
      <c r="KE186" s="150"/>
      <c r="KF186" s="150"/>
      <c r="KG186" s="150"/>
      <c r="KH186" s="150"/>
      <c r="KI186" s="150"/>
      <c r="KJ186" s="150"/>
      <c r="KK186" s="150"/>
      <c r="KL186" s="150"/>
      <c r="KM186" s="150"/>
      <c r="KN186" s="150"/>
      <c r="KO186" s="150"/>
      <c r="KP186" s="150"/>
      <c r="KQ186" s="150"/>
      <c r="KR186" s="150"/>
      <c r="KS186" s="150"/>
      <c r="KT186" s="150"/>
      <c r="KU186" s="150"/>
      <c r="KV186" s="150"/>
      <c r="KW186" s="150"/>
      <c r="KX186" s="150"/>
      <c r="KY186" s="150"/>
      <c r="KZ186" s="150"/>
      <c r="LA186" s="150"/>
      <c r="LB186" s="150"/>
      <c r="LC186" s="150"/>
      <c r="LD186" s="150"/>
      <c r="LE186" s="150"/>
      <c r="LF186" s="150"/>
      <c r="LG186" s="150"/>
      <c r="LH186" s="150"/>
      <c r="LI186" s="150"/>
      <c r="LJ186" s="150"/>
      <c r="LK186" s="150"/>
      <c r="LL186" s="150"/>
      <c r="LM186" s="150"/>
      <c r="LN186" s="150"/>
      <c r="LO186" s="150"/>
      <c r="LP186" s="150"/>
      <c r="LQ186" s="150"/>
      <c r="LR186" s="150"/>
      <c r="LS186" s="150"/>
      <c r="LT186" s="150"/>
      <c r="LU186" s="150"/>
      <c r="LV186" s="150"/>
      <c r="LW186" s="150"/>
      <c r="LX186" s="150"/>
      <c r="LY186" s="150"/>
      <c r="LZ186" s="150"/>
      <c r="MA186" s="150"/>
      <c r="MB186" s="150"/>
      <c r="MC186" s="150"/>
      <c r="MD186" s="150"/>
      <c r="ME186" s="150"/>
      <c r="MF186" s="150"/>
      <c r="MG186" s="150"/>
      <c r="MH186" s="150"/>
    </row>
    <row r="187" spans="1:383" ht="20.100000000000001" customHeight="1">
      <c r="EA187" s="84"/>
      <c r="EB187" s="84"/>
      <c r="EC187" s="84"/>
      <c r="ED187" s="84"/>
      <c r="EE187" s="84"/>
      <c r="EF187" s="84"/>
      <c r="EG187" s="84"/>
      <c r="EH187" s="84"/>
      <c r="EI187" s="84"/>
      <c r="EJ187" s="84"/>
      <c r="EK187" s="84"/>
      <c r="EL187" s="84"/>
      <c r="EM187" s="84"/>
      <c r="EN187" s="84"/>
      <c r="EO187" s="84"/>
      <c r="EP187" s="84"/>
      <c r="EQ187" s="84"/>
      <c r="ER187" s="84"/>
      <c r="ES187" s="84"/>
      <c r="ET187" s="84"/>
      <c r="EU187" s="84"/>
      <c r="EV187" s="84"/>
      <c r="EW187" s="84"/>
      <c r="EX187" s="84"/>
      <c r="EY187" s="84"/>
      <c r="EZ187" s="84"/>
      <c r="FA187" s="84"/>
      <c r="FB187" s="84"/>
      <c r="FC187" s="84"/>
      <c r="FD187" s="84"/>
      <c r="FE187" s="84"/>
      <c r="FF187" s="84"/>
      <c r="FG187" s="84"/>
      <c r="FH187" s="84"/>
      <c r="FI187" s="84"/>
      <c r="FJ187" s="84"/>
      <c r="FK187" s="150"/>
      <c r="FL187" s="150"/>
      <c r="FM187" s="150"/>
      <c r="FN187" s="150"/>
      <c r="FO187" s="150"/>
      <c r="FP187" s="150"/>
      <c r="FQ187" s="150"/>
      <c r="FR187" s="150"/>
      <c r="FS187" s="150"/>
      <c r="FT187" s="150"/>
      <c r="FU187" s="150"/>
      <c r="FV187" s="150"/>
      <c r="FW187" s="150"/>
      <c r="FX187" s="150"/>
      <c r="FY187" s="150"/>
      <c r="FZ187" s="150"/>
      <c r="GA187" s="150"/>
      <c r="GB187" s="150"/>
      <c r="GC187" s="150"/>
      <c r="GD187" s="150"/>
      <c r="GE187" s="150"/>
      <c r="GF187" s="150"/>
      <c r="GG187" s="150"/>
      <c r="GH187" s="150"/>
      <c r="GI187" s="150"/>
      <c r="GJ187" s="150"/>
      <c r="GK187" s="150"/>
      <c r="GL187" s="150"/>
      <c r="GM187" s="150"/>
      <c r="GN187" s="150"/>
      <c r="GO187" s="150"/>
      <c r="GP187" s="150"/>
      <c r="GQ187" s="150"/>
      <c r="GR187" s="150"/>
      <c r="GS187" s="150"/>
      <c r="GT187" s="150"/>
      <c r="GU187" s="150"/>
      <c r="GV187" s="150"/>
      <c r="GW187" s="150"/>
      <c r="GX187" s="150"/>
      <c r="GY187" s="150"/>
      <c r="GZ187" s="150"/>
      <c r="HA187" s="150"/>
      <c r="HB187" s="150"/>
      <c r="HC187" s="150"/>
      <c r="HD187" s="150"/>
      <c r="HE187" s="150"/>
      <c r="HF187" s="150"/>
      <c r="HG187" s="150"/>
      <c r="HH187" s="150"/>
      <c r="HI187" s="150"/>
      <c r="HJ187" s="150"/>
      <c r="HK187" s="150"/>
      <c r="HL187" s="150"/>
      <c r="HM187" s="150"/>
      <c r="HN187" s="150"/>
      <c r="HO187" s="150"/>
      <c r="HP187" s="150"/>
      <c r="HQ187" s="150"/>
      <c r="HR187" s="150"/>
      <c r="HS187" s="150"/>
      <c r="HT187" s="150"/>
      <c r="HU187" s="150"/>
      <c r="HV187" s="150"/>
      <c r="HW187" s="150"/>
      <c r="HX187" s="150"/>
      <c r="HY187" s="150"/>
      <c r="HZ187" s="150"/>
      <c r="IA187" s="150"/>
      <c r="IB187" s="150"/>
      <c r="IC187" s="150"/>
      <c r="ID187" s="150"/>
      <c r="IE187" s="150"/>
      <c r="IF187" s="150"/>
      <c r="IG187" s="150"/>
      <c r="IH187" s="150"/>
      <c r="II187" s="150"/>
      <c r="IJ187" s="150"/>
      <c r="IK187" s="150"/>
      <c r="IL187" s="150"/>
      <c r="IM187" s="150"/>
      <c r="IN187" s="150"/>
      <c r="IO187" s="150"/>
      <c r="IP187" s="150"/>
      <c r="IQ187" s="150"/>
      <c r="IR187" s="150"/>
      <c r="IS187" s="150"/>
      <c r="IT187" s="150"/>
      <c r="IU187" s="150"/>
      <c r="IV187" s="150"/>
      <c r="IW187" s="150"/>
      <c r="IX187" s="150"/>
      <c r="IY187" s="150"/>
      <c r="IZ187" s="150"/>
      <c r="JA187" s="150"/>
      <c r="JB187" s="150"/>
      <c r="JC187" s="150"/>
      <c r="JD187" s="150"/>
      <c r="JE187" s="150"/>
      <c r="JF187" s="150"/>
      <c r="JG187" s="150"/>
      <c r="JH187" s="150"/>
      <c r="JI187" s="150"/>
      <c r="JJ187" s="150"/>
      <c r="JK187" s="150"/>
      <c r="JL187" s="150"/>
      <c r="JM187" s="150"/>
      <c r="JN187" s="150"/>
      <c r="JO187" s="150"/>
      <c r="JP187" s="150"/>
      <c r="JQ187" s="150"/>
      <c r="JR187" s="150"/>
      <c r="JS187" s="150"/>
      <c r="JT187" s="150"/>
      <c r="JU187" s="150"/>
      <c r="JV187" s="150"/>
      <c r="JW187" s="150"/>
      <c r="JX187" s="150"/>
      <c r="JY187" s="150"/>
      <c r="JZ187" s="150"/>
      <c r="KA187" s="150"/>
      <c r="KB187" s="150"/>
      <c r="KC187" s="150"/>
      <c r="KD187" s="150"/>
      <c r="KE187" s="150"/>
      <c r="KF187" s="150"/>
      <c r="KG187" s="150"/>
      <c r="KH187" s="150"/>
      <c r="KI187" s="150"/>
      <c r="KJ187" s="150"/>
      <c r="KK187" s="150"/>
      <c r="KL187" s="150"/>
      <c r="KM187" s="150"/>
      <c r="KN187" s="150"/>
      <c r="KO187" s="150"/>
      <c r="KP187" s="150"/>
      <c r="KQ187" s="150"/>
      <c r="KR187" s="150"/>
      <c r="KS187" s="150"/>
      <c r="KT187" s="150"/>
      <c r="KU187" s="150"/>
      <c r="KV187" s="150"/>
      <c r="KW187" s="150"/>
      <c r="KX187" s="150"/>
      <c r="KY187" s="150"/>
      <c r="KZ187" s="150"/>
      <c r="LA187" s="150"/>
      <c r="LB187" s="150"/>
      <c r="LC187" s="150"/>
      <c r="LD187" s="150"/>
      <c r="LE187" s="150"/>
      <c r="LF187" s="150"/>
      <c r="LG187" s="150"/>
      <c r="LH187" s="150"/>
      <c r="LI187" s="150"/>
      <c r="LJ187" s="150"/>
      <c r="LK187" s="150"/>
      <c r="LL187" s="150"/>
      <c r="LM187" s="150"/>
      <c r="LN187" s="150"/>
      <c r="LO187" s="150"/>
      <c r="LP187" s="150"/>
      <c r="LQ187" s="150"/>
      <c r="LR187" s="150"/>
      <c r="LS187" s="150"/>
      <c r="LT187" s="150"/>
      <c r="LU187" s="150"/>
      <c r="LV187" s="150"/>
      <c r="LW187" s="150"/>
      <c r="LX187" s="150"/>
      <c r="LY187" s="150"/>
      <c r="LZ187" s="150"/>
      <c r="MA187" s="150"/>
      <c r="MB187" s="150"/>
      <c r="MC187" s="150"/>
      <c r="MD187" s="150"/>
      <c r="ME187" s="150"/>
      <c r="MF187" s="150"/>
      <c r="MG187" s="150"/>
      <c r="MH187" s="150"/>
      <c r="MI187" s="150"/>
      <c r="MJ187" s="150"/>
      <c r="MK187" s="150"/>
      <c r="ML187" s="150"/>
      <c r="MM187" s="150"/>
      <c r="MN187" s="150"/>
      <c r="MO187" s="150"/>
      <c r="MP187" s="150"/>
      <c r="MQ187" s="150"/>
      <c r="MR187" s="150"/>
      <c r="MS187" s="150"/>
      <c r="MT187" s="150"/>
      <c r="MU187" s="150"/>
      <c r="MV187" s="150"/>
      <c r="MW187" s="150"/>
      <c r="MX187" s="150"/>
      <c r="MY187" s="150"/>
      <c r="MZ187" s="150"/>
      <c r="NA187" s="150"/>
      <c r="NB187" s="150"/>
      <c r="NC187" s="150"/>
      <c r="ND187" s="150"/>
      <c r="NE187" s="150"/>
      <c r="NF187" s="150"/>
      <c r="NG187" s="150"/>
      <c r="NH187" s="150"/>
      <c r="NI187" s="150"/>
      <c r="NJ187" s="150"/>
      <c r="NK187" s="150"/>
      <c r="NL187" s="150"/>
      <c r="NM187" s="150"/>
      <c r="NN187" s="150"/>
      <c r="NO187" s="150"/>
      <c r="NP187" s="150"/>
      <c r="NQ187" s="150"/>
      <c r="NR187" s="150"/>
    </row>
  </sheetData>
  <mergeCells count="6">
    <mergeCell ref="B2:F2"/>
    <mergeCell ref="D29:E29"/>
    <mergeCell ref="A93:A94"/>
    <mergeCell ref="B93:C93"/>
    <mergeCell ref="D93:E93"/>
    <mergeCell ref="F93:G9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Drop Down 1">
              <controlPr defaultSize="0" autoLine="0" autoPict="0">
                <anchor moveWithCells="1">
                  <from>
                    <xdr:col>1</xdr:col>
                    <xdr:colOff>0</xdr:colOff>
                    <xdr:row>3</xdr:row>
                    <xdr:rowOff>19050</xdr:rowOff>
                  </from>
                  <to>
                    <xdr:col>2</xdr:col>
                    <xdr:colOff>657225</xdr:colOff>
                    <xdr:row>4</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ul2">
    <tabColor theme="0" tint="-0.34998626667073579"/>
  </sheetPr>
  <dimension ref="A1:AJD46"/>
  <sheetViews>
    <sheetView showGridLines="0" zoomScale="80" zoomScaleNormal="80" zoomScaleSheetLayoutView="50" workbookViewId="0">
      <pane xSplit="1" topLeftCell="AQ1" activePane="topRight" state="frozen"/>
      <selection pane="topRight" activeCell="LJ8" sqref="LJ8"/>
    </sheetView>
  </sheetViews>
  <sheetFormatPr defaultRowHeight="18" customHeight="1" outlineLevelRow="1"/>
  <cols>
    <col min="1" max="1" width="20.7109375" style="673" customWidth="1"/>
    <col min="2" max="360" width="15.7109375" style="117" customWidth="1"/>
    <col min="361" max="941" width="15.7109375" style="118" customWidth="1"/>
    <col min="942" max="16384" width="9.140625" style="118"/>
  </cols>
  <sheetData>
    <row r="1" spans="1:940" s="117" customFormat="1" ht="18" customHeight="1" thickBot="1">
      <c r="A1" s="80"/>
      <c r="B1" s="750">
        <v>1</v>
      </c>
      <c r="C1" s="751">
        <f>B1+1</f>
        <v>2</v>
      </c>
      <c r="D1" s="765">
        <f t="shared" ref="D1" si="0">C1+1</f>
        <v>3</v>
      </c>
      <c r="E1" s="619">
        <f t="shared" ref="E1" si="1">D1+1</f>
        <v>4</v>
      </c>
      <c r="F1" s="620">
        <f t="shared" ref="F1" si="2">E1+1</f>
        <v>5</v>
      </c>
      <c r="G1" s="620">
        <f t="shared" ref="G1" si="3">F1+1</f>
        <v>6</v>
      </c>
      <c r="H1" s="620">
        <f t="shared" ref="H1" si="4">G1+1</f>
        <v>7</v>
      </c>
      <c r="I1" s="620">
        <f t="shared" ref="I1" si="5">H1+1</f>
        <v>8</v>
      </c>
      <c r="J1" s="620">
        <f t="shared" ref="J1" si="6">I1+1</f>
        <v>9</v>
      </c>
      <c r="K1" s="620">
        <f t="shared" ref="K1" si="7">J1+1</f>
        <v>10</v>
      </c>
      <c r="L1" s="621">
        <f t="shared" ref="L1" si="8">K1+1</f>
        <v>11</v>
      </c>
      <c r="M1" s="1130">
        <f>L1+1</f>
        <v>12</v>
      </c>
      <c r="N1" s="675">
        <f t="shared" ref="N1" si="9">M1+1</f>
        <v>13</v>
      </c>
      <c r="O1" s="675">
        <f t="shared" ref="O1" si="10">N1+1</f>
        <v>14</v>
      </c>
      <c r="P1" s="675">
        <f t="shared" ref="P1" si="11">O1+1</f>
        <v>15</v>
      </c>
      <c r="Q1" s="675">
        <f t="shared" ref="Q1" si="12">P1+1</f>
        <v>16</v>
      </c>
      <c r="R1" s="675">
        <f t="shared" ref="R1" si="13">Q1+1</f>
        <v>17</v>
      </c>
      <c r="S1" s="675">
        <f t="shared" ref="S1" si="14">R1+1</f>
        <v>18</v>
      </c>
      <c r="T1" s="675">
        <f t="shared" ref="T1" si="15">S1+1</f>
        <v>19</v>
      </c>
      <c r="U1" s="675">
        <f t="shared" ref="U1" si="16">T1+1</f>
        <v>20</v>
      </c>
      <c r="V1" s="675">
        <f t="shared" ref="V1" si="17">U1+1</f>
        <v>21</v>
      </c>
      <c r="W1" s="675">
        <f t="shared" ref="W1" si="18">V1+1</f>
        <v>22</v>
      </c>
      <c r="X1" s="675">
        <f t="shared" ref="X1" si="19">W1+1</f>
        <v>23</v>
      </c>
      <c r="Y1" s="675">
        <f t="shared" ref="Y1" si="20">X1+1</f>
        <v>24</v>
      </c>
      <c r="Z1" s="675">
        <f t="shared" ref="Z1" si="21">Y1+1</f>
        <v>25</v>
      </c>
      <c r="AA1" s="675">
        <f t="shared" ref="AA1" si="22">Z1+1</f>
        <v>26</v>
      </c>
      <c r="AB1" s="675">
        <f t="shared" ref="AB1" si="23">AA1+1</f>
        <v>27</v>
      </c>
      <c r="AC1" s="675">
        <f t="shared" ref="AC1" si="24">AB1+1</f>
        <v>28</v>
      </c>
      <c r="AD1" s="675">
        <f t="shared" ref="AD1" si="25">AC1+1</f>
        <v>29</v>
      </c>
      <c r="AE1" s="675">
        <f t="shared" ref="AE1" si="26">AD1+1</f>
        <v>30</v>
      </c>
      <c r="AF1" s="675">
        <f t="shared" ref="AF1" si="27">AE1+1</f>
        <v>31</v>
      </c>
      <c r="AG1" s="675">
        <f t="shared" ref="AG1" si="28">AF1+1</f>
        <v>32</v>
      </c>
      <c r="AH1" s="675">
        <f t="shared" ref="AH1" si="29">AG1+1</f>
        <v>33</v>
      </c>
      <c r="AI1" s="675">
        <f t="shared" ref="AI1" si="30">AH1+1</f>
        <v>34</v>
      </c>
      <c r="AJ1" s="675">
        <f t="shared" ref="AJ1" si="31">AI1+1</f>
        <v>35</v>
      </c>
      <c r="AK1" s="675">
        <f t="shared" ref="AK1" si="32">AJ1+1</f>
        <v>36</v>
      </c>
      <c r="AL1" s="675">
        <f t="shared" ref="AL1" si="33">AK1+1</f>
        <v>37</v>
      </c>
      <c r="AM1" s="675">
        <f t="shared" ref="AM1" si="34">AL1+1</f>
        <v>38</v>
      </c>
      <c r="AN1" s="675">
        <f t="shared" ref="AN1" si="35">AM1+1</f>
        <v>39</v>
      </c>
      <c r="AO1" s="675">
        <f t="shared" ref="AO1" si="36">AN1+1</f>
        <v>40</v>
      </c>
      <c r="AP1" s="675">
        <f t="shared" ref="AP1" si="37">AO1+1</f>
        <v>41</v>
      </c>
      <c r="AQ1" s="675">
        <f t="shared" ref="AQ1" si="38">AP1+1</f>
        <v>42</v>
      </c>
      <c r="AR1" s="675">
        <f t="shared" ref="AR1" si="39">AQ1+1</f>
        <v>43</v>
      </c>
      <c r="AS1" s="675">
        <f t="shared" ref="AS1" si="40">AR1+1</f>
        <v>44</v>
      </c>
      <c r="AT1" s="675">
        <f t="shared" ref="AT1" si="41">AS1+1</f>
        <v>45</v>
      </c>
      <c r="AU1" s="675">
        <f t="shared" ref="AU1" si="42">AT1+1</f>
        <v>46</v>
      </c>
      <c r="AV1" s="675">
        <f t="shared" ref="AV1" si="43">AU1+1</f>
        <v>47</v>
      </c>
      <c r="AW1" s="675">
        <f t="shared" ref="AW1" si="44">AV1+1</f>
        <v>48</v>
      </c>
      <c r="AX1" s="675">
        <f t="shared" ref="AX1" si="45">AW1+1</f>
        <v>49</v>
      </c>
      <c r="AY1" s="675">
        <f t="shared" ref="AY1" si="46">AX1+1</f>
        <v>50</v>
      </c>
      <c r="AZ1" s="675">
        <f t="shared" ref="AZ1" si="47">AY1+1</f>
        <v>51</v>
      </c>
      <c r="BA1" s="675">
        <f t="shared" ref="BA1" si="48">AZ1+1</f>
        <v>52</v>
      </c>
      <c r="BB1" s="675">
        <f t="shared" ref="BB1" si="49">BA1+1</f>
        <v>53</v>
      </c>
      <c r="BC1" s="675">
        <f t="shared" ref="BC1" si="50">BB1+1</f>
        <v>54</v>
      </c>
      <c r="BD1" s="675">
        <f t="shared" ref="BD1" si="51">BC1+1</f>
        <v>55</v>
      </c>
      <c r="BE1" s="675">
        <f t="shared" ref="BE1" si="52">BD1+1</f>
        <v>56</v>
      </c>
      <c r="BF1" s="675">
        <f t="shared" ref="BF1" si="53">BE1+1</f>
        <v>57</v>
      </c>
      <c r="BG1" s="675">
        <f t="shared" ref="BG1" si="54">BF1+1</f>
        <v>58</v>
      </c>
      <c r="BH1" s="675">
        <f t="shared" ref="BH1" si="55">BG1+1</f>
        <v>59</v>
      </c>
      <c r="BI1" s="675">
        <f t="shared" ref="BI1" si="56">BH1+1</f>
        <v>60</v>
      </c>
      <c r="BJ1" s="675">
        <f t="shared" ref="BJ1" si="57">BI1+1</f>
        <v>61</v>
      </c>
      <c r="BK1" s="675">
        <f t="shared" ref="BK1" si="58">BJ1+1</f>
        <v>62</v>
      </c>
      <c r="BL1" s="675">
        <f t="shared" ref="BL1" si="59">BK1+1</f>
        <v>63</v>
      </c>
      <c r="BM1" s="675">
        <f t="shared" ref="BM1" si="60">BL1+1</f>
        <v>64</v>
      </c>
      <c r="BN1" s="675">
        <f t="shared" ref="BN1" si="61">BM1+1</f>
        <v>65</v>
      </c>
      <c r="BO1" s="675">
        <f t="shared" ref="BO1" si="62">BN1+1</f>
        <v>66</v>
      </c>
      <c r="BP1" s="675">
        <f t="shared" ref="BP1" si="63">BO1+1</f>
        <v>67</v>
      </c>
      <c r="BQ1" s="675">
        <f t="shared" ref="BQ1" si="64">BP1+1</f>
        <v>68</v>
      </c>
      <c r="BR1" s="675">
        <f t="shared" ref="BR1" si="65">BQ1+1</f>
        <v>69</v>
      </c>
      <c r="BS1" s="675">
        <f t="shared" ref="BS1" si="66">BR1+1</f>
        <v>70</v>
      </c>
      <c r="BT1" s="675">
        <f t="shared" ref="BT1" si="67">BS1+1</f>
        <v>71</v>
      </c>
      <c r="BU1" s="675">
        <f t="shared" ref="BU1" si="68">BT1+1</f>
        <v>72</v>
      </c>
      <c r="BV1" s="675">
        <f t="shared" ref="BV1" si="69">BU1+1</f>
        <v>73</v>
      </c>
      <c r="BW1" s="675">
        <f t="shared" ref="BW1" si="70">BV1+1</f>
        <v>74</v>
      </c>
      <c r="BX1" s="675">
        <f t="shared" ref="BX1" si="71">BW1+1</f>
        <v>75</v>
      </c>
      <c r="BY1" s="675">
        <f t="shared" ref="BY1" si="72">BX1+1</f>
        <v>76</v>
      </c>
      <c r="BZ1" s="675">
        <f t="shared" ref="BZ1" si="73">BY1+1</f>
        <v>77</v>
      </c>
      <c r="CA1" s="675">
        <f t="shared" ref="CA1" si="74">BZ1+1</f>
        <v>78</v>
      </c>
      <c r="CB1" s="675">
        <f t="shared" ref="CB1" si="75">CA1+1</f>
        <v>79</v>
      </c>
      <c r="CC1" s="675">
        <f t="shared" ref="CC1" si="76">CB1+1</f>
        <v>80</v>
      </c>
      <c r="CD1" s="675">
        <f t="shared" ref="CD1" si="77">CC1+1</f>
        <v>81</v>
      </c>
      <c r="CE1" s="675">
        <f t="shared" ref="CE1" si="78">CD1+1</f>
        <v>82</v>
      </c>
      <c r="CF1" s="675">
        <f t="shared" ref="CF1" si="79">CE1+1</f>
        <v>83</v>
      </c>
      <c r="CG1" s="675">
        <f t="shared" ref="CG1" si="80">CF1+1</f>
        <v>84</v>
      </c>
      <c r="CH1" s="675">
        <f t="shared" ref="CH1" si="81">CG1+1</f>
        <v>85</v>
      </c>
      <c r="CI1" s="675">
        <f>CH1+1</f>
        <v>86</v>
      </c>
      <c r="CJ1" s="675">
        <f t="shared" ref="CJ1" si="82">CI1+1</f>
        <v>87</v>
      </c>
      <c r="CK1" s="675">
        <f t="shared" ref="CK1" si="83">CJ1+1</f>
        <v>88</v>
      </c>
      <c r="CL1" s="675">
        <f t="shared" ref="CL1" si="84">CK1+1</f>
        <v>89</v>
      </c>
      <c r="CM1" s="675">
        <f t="shared" ref="CM1" si="85">CL1+1</f>
        <v>90</v>
      </c>
      <c r="CN1" s="675">
        <f t="shared" ref="CN1" si="86">CM1+1</f>
        <v>91</v>
      </c>
      <c r="CO1" s="675">
        <f t="shared" ref="CO1" si="87">CN1+1</f>
        <v>92</v>
      </c>
      <c r="CP1" s="675">
        <f t="shared" ref="CP1" si="88">CO1+1</f>
        <v>93</v>
      </c>
      <c r="CQ1" s="675">
        <f t="shared" ref="CQ1" si="89">CP1+1</f>
        <v>94</v>
      </c>
      <c r="CR1" s="675">
        <f t="shared" ref="CR1" si="90">CQ1+1</f>
        <v>95</v>
      </c>
      <c r="CS1" s="675">
        <f t="shared" ref="CS1" si="91">CR1+1</f>
        <v>96</v>
      </c>
      <c r="CT1" s="675">
        <f t="shared" ref="CT1" si="92">CS1+1</f>
        <v>97</v>
      </c>
      <c r="CU1" s="675">
        <f t="shared" ref="CU1" si="93">CT1+1</f>
        <v>98</v>
      </c>
      <c r="CV1" s="675">
        <f t="shared" ref="CV1" si="94">CU1+1</f>
        <v>99</v>
      </c>
      <c r="CW1" s="675">
        <f t="shared" ref="CW1" si="95">CV1+1</f>
        <v>100</v>
      </c>
      <c r="CX1" s="675">
        <f>CW1+1</f>
        <v>101</v>
      </c>
      <c r="CY1" s="675">
        <f t="shared" ref="CY1" si="96">CX1+1</f>
        <v>102</v>
      </c>
      <c r="CZ1" s="675">
        <f t="shared" ref="CZ1" si="97">CY1+1</f>
        <v>103</v>
      </c>
      <c r="DA1" s="675">
        <f t="shared" ref="DA1" si="98">CZ1+1</f>
        <v>104</v>
      </c>
      <c r="DB1" s="675">
        <f t="shared" ref="DB1" si="99">DA1+1</f>
        <v>105</v>
      </c>
      <c r="DC1" s="1189">
        <f t="shared" ref="DC1" si="100">DB1+1</f>
        <v>106</v>
      </c>
      <c r="DD1" s="1189">
        <f t="shared" ref="DD1" si="101">DC1+1</f>
        <v>107</v>
      </c>
      <c r="DE1" s="1189">
        <f t="shared" ref="DE1" si="102">DD1+1</f>
        <v>108</v>
      </c>
      <c r="DF1" s="1189">
        <f t="shared" ref="DF1" si="103">DE1+1</f>
        <v>109</v>
      </c>
      <c r="DG1" s="1189">
        <f t="shared" ref="DG1" si="104">DF1+1</f>
        <v>110</v>
      </c>
      <c r="DH1" s="675">
        <f>DB1+1</f>
        <v>106</v>
      </c>
      <c r="DI1" s="675">
        <f t="shared" ref="DI1" si="105">DH1+1</f>
        <v>107</v>
      </c>
      <c r="DJ1" s="675">
        <f t="shared" ref="DJ1" si="106">DI1+1</f>
        <v>108</v>
      </c>
      <c r="DK1" s="675">
        <f t="shared" ref="DK1" si="107">DJ1+1</f>
        <v>109</v>
      </c>
      <c r="DL1" s="675">
        <f t="shared" ref="DL1" si="108">DK1+1</f>
        <v>110</v>
      </c>
      <c r="DM1" s="675">
        <f t="shared" ref="DM1" si="109">DL1+1</f>
        <v>111</v>
      </c>
      <c r="DN1" s="675">
        <f t="shared" ref="DN1" si="110">DM1+1</f>
        <v>112</v>
      </c>
      <c r="DO1" s="675">
        <f t="shared" ref="DO1" si="111">DN1+1</f>
        <v>113</v>
      </c>
      <c r="DP1" s="675">
        <f t="shared" ref="DP1" si="112">DO1+1</f>
        <v>114</v>
      </c>
      <c r="DQ1" s="675">
        <f t="shared" ref="DQ1" si="113">DP1+1</f>
        <v>115</v>
      </c>
      <c r="DR1" s="675">
        <f t="shared" ref="DR1" si="114">DQ1+1</f>
        <v>116</v>
      </c>
      <c r="DS1" s="675">
        <f t="shared" ref="DS1" si="115">DR1+1</f>
        <v>117</v>
      </c>
      <c r="DT1" s="675">
        <f t="shared" ref="DT1" si="116">DS1+1</f>
        <v>118</v>
      </c>
      <c r="DU1" s="675">
        <f t="shared" ref="DU1" si="117">DT1+1</f>
        <v>119</v>
      </c>
      <c r="DV1" s="675">
        <f t="shared" ref="DV1" si="118">DU1+1</f>
        <v>120</v>
      </c>
      <c r="DW1" s="675">
        <f t="shared" ref="DW1" si="119">DV1+1</f>
        <v>121</v>
      </c>
      <c r="DX1" s="675">
        <f t="shared" ref="DX1" si="120">DW1+1</f>
        <v>122</v>
      </c>
      <c r="DY1" s="675">
        <f t="shared" ref="DY1" si="121">DX1+1</f>
        <v>123</v>
      </c>
      <c r="DZ1" s="675">
        <f t="shared" ref="DZ1" si="122">DY1+1</f>
        <v>124</v>
      </c>
      <c r="EA1" s="675">
        <f t="shared" ref="EA1" si="123">DZ1+1</f>
        <v>125</v>
      </c>
      <c r="EB1" s="675">
        <f>EA1+1</f>
        <v>126</v>
      </c>
      <c r="EC1" s="675">
        <f t="shared" ref="EC1" si="124">EB1+1</f>
        <v>127</v>
      </c>
      <c r="ED1" s="675">
        <f t="shared" ref="ED1" si="125">EC1+1</f>
        <v>128</v>
      </c>
      <c r="EE1" s="675">
        <f t="shared" ref="EE1" si="126">ED1+1</f>
        <v>129</v>
      </c>
      <c r="EF1" s="675">
        <f t="shared" ref="EF1" si="127">EE1+1</f>
        <v>130</v>
      </c>
      <c r="EG1" s="675">
        <f t="shared" ref="EG1" si="128">EF1+1</f>
        <v>131</v>
      </c>
      <c r="EH1" s="675">
        <f t="shared" ref="EH1" si="129">EG1+1</f>
        <v>132</v>
      </c>
      <c r="EI1" s="675">
        <f t="shared" ref="EI1" si="130">EH1+1</f>
        <v>133</v>
      </c>
      <c r="EJ1" s="675">
        <f t="shared" ref="EJ1" si="131">EI1+1</f>
        <v>134</v>
      </c>
      <c r="EK1" s="675">
        <f t="shared" ref="EK1" si="132">EJ1+1</f>
        <v>135</v>
      </c>
      <c r="EL1" s="675">
        <f t="shared" ref="EL1" si="133">EK1+1</f>
        <v>136</v>
      </c>
      <c r="EM1" s="675">
        <f t="shared" ref="EM1" si="134">EL1+1</f>
        <v>137</v>
      </c>
      <c r="EN1" s="675">
        <f t="shared" ref="EN1" si="135">EM1+1</f>
        <v>138</v>
      </c>
      <c r="EO1" s="675">
        <f t="shared" ref="EO1" si="136">EN1+1</f>
        <v>139</v>
      </c>
      <c r="EP1" s="675">
        <f t="shared" ref="EP1" si="137">EO1+1</f>
        <v>140</v>
      </c>
      <c r="EQ1" s="675">
        <f t="shared" ref="EQ1" si="138">EP1+1</f>
        <v>141</v>
      </c>
      <c r="ER1" s="675">
        <f t="shared" ref="ER1" si="139">EQ1+1</f>
        <v>142</v>
      </c>
      <c r="ES1" s="675">
        <f t="shared" ref="ES1" si="140">ER1+1</f>
        <v>143</v>
      </c>
      <c r="ET1" s="675">
        <f t="shared" ref="ET1" si="141">ES1+1</f>
        <v>144</v>
      </c>
      <c r="EU1" s="675">
        <f t="shared" ref="EU1" si="142">ET1+1</f>
        <v>145</v>
      </c>
      <c r="EV1" s="675">
        <f t="shared" ref="EV1" si="143">EU1+1</f>
        <v>146</v>
      </c>
      <c r="EW1" s="675">
        <f t="shared" ref="EW1" si="144">EV1+1</f>
        <v>147</v>
      </c>
      <c r="EX1" s="675">
        <f t="shared" ref="EX1" si="145">EW1+1</f>
        <v>148</v>
      </c>
      <c r="EY1" s="675">
        <f t="shared" ref="EY1" si="146">EX1+1</f>
        <v>149</v>
      </c>
      <c r="EZ1" s="675">
        <f t="shared" ref="EZ1" si="147">EY1+1</f>
        <v>150</v>
      </c>
      <c r="FA1" s="675">
        <f t="shared" ref="FA1" si="148">EZ1+1</f>
        <v>151</v>
      </c>
      <c r="FB1" s="675">
        <f t="shared" ref="FB1" si="149">FA1+1</f>
        <v>152</v>
      </c>
      <c r="FC1" s="675">
        <f t="shared" ref="FC1" si="150">FB1+1</f>
        <v>153</v>
      </c>
      <c r="FD1" s="675">
        <f t="shared" ref="FD1" si="151">FC1+1</f>
        <v>154</v>
      </c>
      <c r="FE1" s="675">
        <f t="shared" ref="FE1" si="152">FD1+1</f>
        <v>155</v>
      </c>
      <c r="FF1" s="675">
        <f t="shared" ref="FF1" si="153">FE1+1</f>
        <v>156</v>
      </c>
      <c r="FG1" s="675">
        <f t="shared" ref="FG1" si="154">FF1+1</f>
        <v>157</v>
      </c>
      <c r="FH1" s="675">
        <f t="shared" ref="FH1" si="155">FG1+1</f>
        <v>158</v>
      </c>
      <c r="FI1" s="675">
        <f t="shared" ref="FI1" si="156">FH1+1</f>
        <v>159</v>
      </c>
      <c r="FJ1" s="675">
        <f t="shared" ref="FJ1" si="157">FI1+1</f>
        <v>160</v>
      </c>
      <c r="FK1" s="675">
        <f t="shared" ref="FK1" si="158">FJ1+1</f>
        <v>161</v>
      </c>
      <c r="FL1" s="675">
        <f t="shared" ref="FL1" si="159">FK1+1</f>
        <v>162</v>
      </c>
      <c r="FM1" s="675">
        <f t="shared" ref="FM1" si="160">FL1+1</f>
        <v>163</v>
      </c>
      <c r="FN1" s="675">
        <f t="shared" ref="FN1" si="161">FM1+1</f>
        <v>164</v>
      </c>
      <c r="FO1" s="675">
        <f t="shared" ref="FO1" si="162">FN1+1</f>
        <v>165</v>
      </c>
      <c r="FP1" s="675">
        <f t="shared" ref="FP1" si="163">FO1+1</f>
        <v>166</v>
      </c>
      <c r="FQ1" s="675">
        <f t="shared" ref="FQ1" si="164">FP1+1</f>
        <v>167</v>
      </c>
      <c r="FR1" s="675">
        <f t="shared" ref="FR1" si="165">FQ1+1</f>
        <v>168</v>
      </c>
      <c r="FS1" s="675">
        <f t="shared" ref="FS1" si="166">FR1+1</f>
        <v>169</v>
      </c>
      <c r="FT1" s="675">
        <f t="shared" ref="FT1" si="167">FS1+1</f>
        <v>170</v>
      </c>
      <c r="FU1" s="675">
        <f t="shared" ref="FU1" si="168">FT1+1</f>
        <v>171</v>
      </c>
      <c r="FV1" s="675">
        <f t="shared" ref="FV1" si="169">FU1+1</f>
        <v>172</v>
      </c>
      <c r="FW1" s="675">
        <f t="shared" ref="FW1" si="170">FV1+1</f>
        <v>173</v>
      </c>
      <c r="FX1" s="675">
        <f t="shared" ref="FX1" si="171">FW1+1</f>
        <v>174</v>
      </c>
      <c r="FY1" s="675">
        <f t="shared" ref="FY1" si="172">FX1+1</f>
        <v>175</v>
      </c>
      <c r="FZ1" s="675">
        <f t="shared" ref="FZ1" si="173">FY1+1</f>
        <v>176</v>
      </c>
      <c r="GA1" s="675">
        <f t="shared" ref="GA1" si="174">FZ1+1</f>
        <v>177</v>
      </c>
      <c r="GB1" s="675">
        <f t="shared" ref="GB1" si="175">GA1+1</f>
        <v>178</v>
      </c>
      <c r="GC1" s="675">
        <f t="shared" ref="GC1" si="176">GB1+1</f>
        <v>179</v>
      </c>
      <c r="GD1" s="675">
        <f t="shared" ref="GD1" si="177">GC1+1</f>
        <v>180</v>
      </c>
      <c r="GE1" s="675">
        <f t="shared" ref="GE1" si="178">GD1+1</f>
        <v>181</v>
      </c>
      <c r="GF1" s="675">
        <f t="shared" ref="GF1" si="179">GE1+1</f>
        <v>182</v>
      </c>
      <c r="GG1" s="675">
        <f t="shared" ref="GG1" si="180">GF1+1</f>
        <v>183</v>
      </c>
      <c r="GH1" s="675">
        <f t="shared" ref="GH1" si="181">GG1+1</f>
        <v>184</v>
      </c>
      <c r="GI1" s="675">
        <f t="shared" ref="GI1" si="182">GH1+1</f>
        <v>185</v>
      </c>
      <c r="GJ1" s="675">
        <f t="shared" ref="GJ1" si="183">GI1+1</f>
        <v>186</v>
      </c>
      <c r="GK1" s="675">
        <f t="shared" ref="GK1" si="184">GJ1+1</f>
        <v>187</v>
      </c>
      <c r="GL1" s="675">
        <f t="shared" ref="GL1" si="185">GK1+1</f>
        <v>188</v>
      </c>
      <c r="GM1" s="675">
        <f t="shared" ref="GM1" si="186">GL1+1</f>
        <v>189</v>
      </c>
      <c r="GN1" s="675">
        <f t="shared" ref="GN1" si="187">GM1+1</f>
        <v>190</v>
      </c>
      <c r="GO1" s="675">
        <f t="shared" ref="GO1" si="188">GN1+1</f>
        <v>191</v>
      </c>
      <c r="GP1" s="675">
        <f t="shared" ref="GP1" si="189">GO1+1</f>
        <v>192</v>
      </c>
      <c r="GQ1" s="675">
        <f t="shared" ref="GQ1" si="190">GP1+1</f>
        <v>193</v>
      </c>
      <c r="GR1" s="675">
        <f t="shared" ref="GR1" si="191">GQ1+1</f>
        <v>194</v>
      </c>
      <c r="GS1" s="675">
        <f t="shared" ref="GS1" si="192">GR1+1</f>
        <v>195</v>
      </c>
      <c r="GT1" s="675">
        <f t="shared" ref="GT1" si="193">GS1+1</f>
        <v>196</v>
      </c>
      <c r="GU1" s="675">
        <f t="shared" ref="GU1" si="194">GT1+1</f>
        <v>197</v>
      </c>
      <c r="GV1" s="675">
        <f t="shared" ref="GV1" si="195">GU1+1</f>
        <v>198</v>
      </c>
      <c r="GW1" s="675">
        <f t="shared" ref="GW1" si="196">GV1+1</f>
        <v>199</v>
      </c>
      <c r="GX1" s="675">
        <f t="shared" ref="GX1" si="197">GW1+1</f>
        <v>200</v>
      </c>
      <c r="GY1" s="675">
        <f t="shared" ref="GY1" si="198">GX1+1</f>
        <v>201</v>
      </c>
      <c r="GZ1" s="675">
        <f t="shared" ref="GZ1" si="199">GY1+1</f>
        <v>202</v>
      </c>
      <c r="HA1" s="675">
        <f t="shared" ref="HA1" si="200">GZ1+1</f>
        <v>203</v>
      </c>
      <c r="HB1" s="675">
        <f t="shared" ref="HB1" si="201">HA1+1</f>
        <v>204</v>
      </c>
      <c r="HC1" s="675">
        <f t="shared" ref="HC1" si="202">HB1+1</f>
        <v>205</v>
      </c>
      <c r="HD1" s="675">
        <f t="shared" ref="HD1" si="203">HC1+1</f>
        <v>206</v>
      </c>
      <c r="HE1" s="675">
        <f t="shared" ref="HE1" si="204">HD1+1</f>
        <v>207</v>
      </c>
      <c r="HF1" s="675">
        <f t="shared" ref="HF1" si="205">HE1+1</f>
        <v>208</v>
      </c>
      <c r="HG1" s="675">
        <f t="shared" ref="HG1" si="206">HF1+1</f>
        <v>209</v>
      </c>
      <c r="HH1" s="675">
        <f t="shared" ref="HH1" si="207">HG1+1</f>
        <v>210</v>
      </c>
      <c r="HI1" s="675">
        <f t="shared" ref="HI1" si="208">HH1+1</f>
        <v>211</v>
      </c>
      <c r="HJ1" s="675">
        <f t="shared" ref="HJ1" si="209">HI1+1</f>
        <v>212</v>
      </c>
      <c r="HK1" s="675">
        <f t="shared" ref="HK1" si="210">HJ1+1</f>
        <v>213</v>
      </c>
      <c r="HL1" s="675">
        <f t="shared" ref="HL1" si="211">HK1+1</f>
        <v>214</v>
      </c>
      <c r="HM1" s="675">
        <f t="shared" ref="HM1" si="212">HL1+1</f>
        <v>215</v>
      </c>
      <c r="HN1" s="675">
        <f t="shared" ref="HN1" si="213">HM1+1</f>
        <v>216</v>
      </c>
      <c r="HO1" s="675">
        <f t="shared" ref="HO1" si="214">HN1+1</f>
        <v>217</v>
      </c>
      <c r="HP1" s="675">
        <f t="shared" ref="HP1" si="215">HO1+1</f>
        <v>218</v>
      </c>
      <c r="HQ1" s="675">
        <f t="shared" ref="HQ1" si="216">HP1+1</f>
        <v>219</v>
      </c>
      <c r="HR1" s="675">
        <f t="shared" ref="HR1" si="217">HQ1+1</f>
        <v>220</v>
      </c>
      <c r="HS1" s="675">
        <f t="shared" ref="HS1" si="218">HR1+1</f>
        <v>221</v>
      </c>
      <c r="HT1" s="675">
        <f t="shared" ref="HT1" si="219">HS1+1</f>
        <v>222</v>
      </c>
      <c r="HU1" s="675">
        <f t="shared" ref="HU1" si="220">HT1+1</f>
        <v>223</v>
      </c>
      <c r="HV1" s="675">
        <f t="shared" ref="HV1" si="221">HU1+1</f>
        <v>224</v>
      </c>
      <c r="HW1" s="675">
        <f t="shared" ref="HW1" si="222">HV1+1</f>
        <v>225</v>
      </c>
      <c r="HX1" s="675">
        <f t="shared" ref="HX1" si="223">HW1+1</f>
        <v>226</v>
      </c>
      <c r="HY1" s="675">
        <f t="shared" ref="HY1" si="224">HX1+1</f>
        <v>227</v>
      </c>
      <c r="HZ1" s="675">
        <f t="shared" ref="HZ1" si="225">HY1+1</f>
        <v>228</v>
      </c>
      <c r="IA1" s="675">
        <f t="shared" ref="IA1" si="226">HZ1+1</f>
        <v>229</v>
      </c>
      <c r="IB1" s="675">
        <f t="shared" ref="IB1" si="227">IA1+1</f>
        <v>230</v>
      </c>
      <c r="IC1" s="675">
        <f t="shared" ref="IC1" si="228">IB1+1</f>
        <v>231</v>
      </c>
      <c r="ID1" s="675">
        <f t="shared" ref="ID1" si="229">IC1+1</f>
        <v>232</v>
      </c>
      <c r="IE1" s="675">
        <f t="shared" ref="IE1" si="230">ID1+1</f>
        <v>233</v>
      </c>
      <c r="IF1" s="675">
        <f t="shared" ref="IF1" si="231">IE1+1</f>
        <v>234</v>
      </c>
      <c r="IG1" s="675">
        <f t="shared" ref="IG1" si="232">IF1+1</f>
        <v>235</v>
      </c>
      <c r="IH1" s="675">
        <f t="shared" ref="IH1" si="233">IG1+1</f>
        <v>236</v>
      </c>
      <c r="II1" s="675">
        <f t="shared" ref="II1" si="234">IH1+1</f>
        <v>237</v>
      </c>
      <c r="IJ1" s="675">
        <f t="shared" ref="IJ1" si="235">II1+1</f>
        <v>238</v>
      </c>
      <c r="IK1" s="675">
        <f t="shared" ref="IK1" si="236">IJ1+1</f>
        <v>239</v>
      </c>
      <c r="IL1" s="675">
        <f t="shared" ref="IL1" si="237">IK1+1</f>
        <v>240</v>
      </c>
      <c r="IM1" s="675">
        <f t="shared" ref="IM1" si="238">IL1+1</f>
        <v>241</v>
      </c>
      <c r="IN1" s="675">
        <f t="shared" ref="IN1" si="239">IM1+1</f>
        <v>242</v>
      </c>
      <c r="IO1" s="675">
        <f t="shared" ref="IO1" si="240">IN1+1</f>
        <v>243</v>
      </c>
      <c r="IP1" s="675">
        <f t="shared" ref="IP1" si="241">IO1+1</f>
        <v>244</v>
      </c>
      <c r="IQ1" s="675">
        <f t="shared" ref="IQ1" si="242">IP1+1</f>
        <v>245</v>
      </c>
      <c r="IR1" s="675">
        <f t="shared" ref="IR1" si="243">IQ1+1</f>
        <v>246</v>
      </c>
      <c r="IS1" s="675">
        <f t="shared" ref="IS1" si="244">IR1+1</f>
        <v>247</v>
      </c>
      <c r="IT1" s="675">
        <f t="shared" ref="IT1" si="245">IS1+1</f>
        <v>248</v>
      </c>
      <c r="IU1" s="675">
        <f t="shared" ref="IU1" si="246">IT1+1</f>
        <v>249</v>
      </c>
      <c r="IV1" s="675">
        <f t="shared" ref="IV1" si="247">IU1+1</f>
        <v>250</v>
      </c>
      <c r="IW1" s="675">
        <f t="shared" ref="IW1" si="248">IV1+1</f>
        <v>251</v>
      </c>
      <c r="IX1" s="675">
        <f t="shared" ref="IX1" si="249">IW1+1</f>
        <v>252</v>
      </c>
      <c r="IY1" s="675">
        <f t="shared" ref="IY1" si="250">IX1+1</f>
        <v>253</v>
      </c>
      <c r="IZ1" s="675">
        <f t="shared" ref="IZ1" si="251">IY1+1</f>
        <v>254</v>
      </c>
      <c r="JA1" s="675">
        <f t="shared" ref="JA1" si="252">IZ1+1</f>
        <v>255</v>
      </c>
      <c r="JB1" s="675">
        <f t="shared" ref="JB1" si="253">JA1+1</f>
        <v>256</v>
      </c>
      <c r="JC1" s="675">
        <f t="shared" ref="JC1" si="254">JB1+1</f>
        <v>257</v>
      </c>
      <c r="JD1" s="675">
        <f t="shared" ref="JD1" si="255">JC1+1</f>
        <v>258</v>
      </c>
      <c r="JE1" s="675">
        <f t="shared" ref="JE1" si="256">JD1+1</f>
        <v>259</v>
      </c>
      <c r="JF1" s="675">
        <f t="shared" ref="JF1" si="257">JE1+1</f>
        <v>260</v>
      </c>
      <c r="JG1" s="675">
        <f t="shared" ref="JG1" si="258">JF1+1</f>
        <v>261</v>
      </c>
      <c r="JH1" s="675">
        <f t="shared" ref="JH1" si="259">JG1+1</f>
        <v>262</v>
      </c>
      <c r="JI1" s="675">
        <f t="shared" ref="JI1" si="260">JH1+1</f>
        <v>263</v>
      </c>
      <c r="JJ1" s="675">
        <f t="shared" ref="JJ1" si="261">JI1+1</f>
        <v>264</v>
      </c>
      <c r="JK1" s="675">
        <f t="shared" ref="JK1" si="262">JJ1+1</f>
        <v>265</v>
      </c>
      <c r="JL1" s="675">
        <f t="shared" ref="JL1" si="263">JK1+1</f>
        <v>266</v>
      </c>
      <c r="JM1" s="675">
        <f t="shared" ref="JM1" si="264">JL1+1</f>
        <v>267</v>
      </c>
      <c r="JN1" s="675">
        <f t="shared" ref="JN1" si="265">JM1+1</f>
        <v>268</v>
      </c>
      <c r="JO1" s="675">
        <f t="shared" ref="JO1" si="266">JN1+1</f>
        <v>269</v>
      </c>
      <c r="JP1" s="675">
        <f t="shared" ref="JP1" si="267">JO1+1</f>
        <v>270</v>
      </c>
      <c r="JQ1" s="675">
        <f t="shared" ref="JQ1" si="268">JP1+1</f>
        <v>271</v>
      </c>
      <c r="JR1" s="675">
        <f t="shared" ref="JR1" si="269">JQ1+1</f>
        <v>272</v>
      </c>
      <c r="JS1" s="675">
        <f t="shared" ref="JS1" si="270">JR1+1</f>
        <v>273</v>
      </c>
      <c r="JT1" s="675">
        <f t="shared" ref="JT1" si="271">JS1+1</f>
        <v>274</v>
      </c>
      <c r="JU1" s="675">
        <f t="shared" ref="JU1" si="272">JT1+1</f>
        <v>275</v>
      </c>
      <c r="JV1" s="675">
        <f t="shared" ref="JV1" si="273">JU1+1</f>
        <v>276</v>
      </c>
      <c r="JW1" s="675">
        <f t="shared" ref="JW1" si="274">JV1+1</f>
        <v>277</v>
      </c>
      <c r="JX1" s="675">
        <f t="shared" ref="JX1" si="275">JW1+1</f>
        <v>278</v>
      </c>
      <c r="JY1" s="675">
        <f t="shared" ref="JY1" si="276">JX1+1</f>
        <v>279</v>
      </c>
      <c r="JZ1" s="675">
        <f t="shared" ref="JZ1" si="277">JY1+1</f>
        <v>280</v>
      </c>
      <c r="KA1" s="675">
        <f t="shared" ref="KA1" si="278">JZ1+1</f>
        <v>281</v>
      </c>
      <c r="KB1" s="675">
        <f t="shared" ref="KB1" si="279">KA1+1</f>
        <v>282</v>
      </c>
      <c r="KC1" s="675">
        <f t="shared" ref="KC1" si="280">KB1+1</f>
        <v>283</v>
      </c>
      <c r="KD1" s="675">
        <f t="shared" ref="KD1" si="281">KC1+1</f>
        <v>284</v>
      </c>
      <c r="KE1" s="675">
        <f t="shared" ref="KE1" si="282">KD1+1</f>
        <v>285</v>
      </c>
      <c r="KF1" s="675">
        <f t="shared" ref="KF1" si="283">KE1+1</f>
        <v>286</v>
      </c>
      <c r="KG1" s="675">
        <f t="shared" ref="KG1" si="284">KF1+1</f>
        <v>287</v>
      </c>
      <c r="KH1" s="675">
        <f t="shared" ref="KH1" si="285">KG1+1</f>
        <v>288</v>
      </c>
      <c r="KI1" s="675">
        <f t="shared" ref="KI1" si="286">KH1+1</f>
        <v>289</v>
      </c>
      <c r="KJ1" s="675">
        <f t="shared" ref="KJ1" si="287">KI1+1</f>
        <v>290</v>
      </c>
      <c r="KK1" s="675">
        <f t="shared" ref="KK1" si="288">KJ1+1</f>
        <v>291</v>
      </c>
      <c r="KL1" s="675">
        <f t="shared" ref="KL1" si="289">KK1+1</f>
        <v>292</v>
      </c>
      <c r="KM1" s="675">
        <f t="shared" ref="KM1" si="290">KL1+1</f>
        <v>293</v>
      </c>
      <c r="KN1" s="675">
        <f t="shared" ref="KN1" si="291">KM1+1</f>
        <v>294</v>
      </c>
      <c r="KO1" s="675">
        <f t="shared" ref="KO1" si="292">KN1+1</f>
        <v>295</v>
      </c>
      <c r="KP1" s="675">
        <f t="shared" ref="KP1" si="293">KO1+1</f>
        <v>296</v>
      </c>
      <c r="KQ1" s="675">
        <f t="shared" ref="KQ1" si="294">KP1+1</f>
        <v>297</v>
      </c>
      <c r="KR1" s="675">
        <f t="shared" ref="KR1" si="295">KQ1+1</f>
        <v>298</v>
      </c>
      <c r="KS1" s="675">
        <f t="shared" ref="KS1" si="296">KR1+1</f>
        <v>299</v>
      </c>
      <c r="KT1" s="675">
        <f t="shared" ref="KT1" si="297">KS1+1</f>
        <v>300</v>
      </c>
      <c r="KU1" s="675">
        <f t="shared" ref="KU1" si="298">KT1+1</f>
        <v>301</v>
      </c>
      <c r="KV1" s="675">
        <f t="shared" ref="KV1" si="299">KU1+1</f>
        <v>302</v>
      </c>
      <c r="KW1" s="675">
        <f t="shared" ref="KW1" si="300">KV1+1</f>
        <v>303</v>
      </c>
      <c r="KX1" s="675">
        <f t="shared" ref="KX1" si="301">KW1+1</f>
        <v>304</v>
      </c>
      <c r="KY1" s="675">
        <f t="shared" ref="KY1" si="302">KX1+1</f>
        <v>305</v>
      </c>
      <c r="KZ1" s="675">
        <f t="shared" ref="KZ1" si="303">KY1+1</f>
        <v>306</v>
      </c>
      <c r="LA1" s="675">
        <f t="shared" ref="LA1" si="304">KZ1+1</f>
        <v>307</v>
      </c>
      <c r="LB1" s="675">
        <f t="shared" ref="LB1" si="305">LA1+1</f>
        <v>308</v>
      </c>
      <c r="LC1" s="675">
        <f t="shared" ref="LC1" si="306">LB1+1</f>
        <v>309</v>
      </c>
      <c r="LD1" s="675">
        <f t="shared" ref="LD1" si="307">LC1+1</f>
        <v>310</v>
      </c>
      <c r="LE1" s="675">
        <f t="shared" ref="LE1" si="308">LD1+1</f>
        <v>311</v>
      </c>
      <c r="LF1" s="675">
        <f t="shared" ref="LF1" si="309">LE1+1</f>
        <v>312</v>
      </c>
      <c r="LG1" s="675">
        <f t="shared" ref="LG1" si="310">LF1+1</f>
        <v>313</v>
      </c>
      <c r="LH1" s="675">
        <f t="shared" ref="LH1" si="311">LG1+1</f>
        <v>314</v>
      </c>
      <c r="LI1" s="675">
        <f t="shared" ref="LI1" si="312">LH1+1</f>
        <v>315</v>
      </c>
      <c r="LJ1" s="675">
        <f t="shared" ref="LJ1" si="313">LI1+1</f>
        <v>316</v>
      </c>
      <c r="LK1" s="675">
        <f t="shared" ref="LK1" si="314">LJ1+1</f>
        <v>317</v>
      </c>
      <c r="LL1" s="675">
        <f t="shared" ref="LL1" si="315">LK1+1</f>
        <v>318</v>
      </c>
      <c r="LM1" s="675">
        <f t="shared" ref="LM1" si="316">LL1+1</f>
        <v>319</v>
      </c>
      <c r="LN1" s="675">
        <f t="shared" ref="LN1" si="317">LM1+1</f>
        <v>320</v>
      </c>
      <c r="LO1" s="675">
        <f t="shared" ref="LO1" si="318">LN1+1</f>
        <v>321</v>
      </c>
      <c r="LP1" s="675">
        <f t="shared" ref="LP1" si="319">LO1+1</f>
        <v>322</v>
      </c>
      <c r="LQ1" s="675">
        <f t="shared" ref="LQ1" si="320">LP1+1</f>
        <v>323</v>
      </c>
      <c r="LR1" s="675">
        <f t="shared" ref="LR1" si="321">LQ1+1</f>
        <v>324</v>
      </c>
      <c r="LS1" s="675">
        <f t="shared" ref="LS1" si="322">LR1+1</f>
        <v>325</v>
      </c>
      <c r="LT1" s="675">
        <f t="shared" ref="LT1" si="323">LS1+1</f>
        <v>326</v>
      </c>
      <c r="LU1" s="675"/>
      <c r="LV1" s="675">
        <f t="shared" ref="LV1" si="324">LT1+1</f>
        <v>327</v>
      </c>
      <c r="LW1" s="675">
        <f t="shared" ref="LW1" si="325">LV1+1</f>
        <v>328</v>
      </c>
      <c r="LX1" s="675">
        <f t="shared" ref="LX1" si="326">LW1+1</f>
        <v>329</v>
      </c>
      <c r="LY1" s="676">
        <f>LX1+1</f>
        <v>330</v>
      </c>
      <c r="LZ1" s="677">
        <f t="shared" ref="LZ1" si="327">LY1+1</f>
        <v>331</v>
      </c>
      <c r="MA1" s="677">
        <f t="shared" ref="MA1" si="328">LZ1+1</f>
        <v>332</v>
      </c>
      <c r="MB1" s="677">
        <f t="shared" ref="MB1" si="329">MA1+1</f>
        <v>333</v>
      </c>
      <c r="MC1" s="677">
        <f t="shared" ref="MC1" si="330">MB1+1</f>
        <v>334</v>
      </c>
      <c r="MD1" s="677">
        <f t="shared" ref="MD1" si="331">MC1+1</f>
        <v>335</v>
      </c>
      <c r="ME1" s="677">
        <f t="shared" ref="ME1" si="332">MD1+1</f>
        <v>336</v>
      </c>
      <c r="MF1" s="677">
        <f t="shared" ref="MF1" si="333">ME1+1</f>
        <v>337</v>
      </c>
      <c r="MG1" s="677">
        <f t="shared" ref="MG1" si="334">MF1+1</f>
        <v>338</v>
      </c>
      <c r="MH1" s="677">
        <f t="shared" ref="MH1" si="335">MG1+1</f>
        <v>339</v>
      </c>
      <c r="MI1" s="677">
        <f t="shared" ref="MI1" si="336">MH1+1</f>
        <v>340</v>
      </c>
      <c r="MJ1" s="677">
        <f t="shared" ref="MJ1" si="337">MI1+1</f>
        <v>341</v>
      </c>
      <c r="MK1" s="677">
        <f t="shared" ref="MK1" si="338">MJ1+1</f>
        <v>342</v>
      </c>
      <c r="ML1" s="677">
        <f t="shared" ref="ML1" si="339">MK1+1</f>
        <v>343</v>
      </c>
      <c r="MM1" s="677">
        <f t="shared" ref="MM1" si="340">ML1+1</f>
        <v>344</v>
      </c>
      <c r="MN1" s="677">
        <f t="shared" ref="MN1" si="341">MM1+1</f>
        <v>345</v>
      </c>
      <c r="MO1" s="677">
        <f t="shared" ref="MO1" si="342">MN1+1</f>
        <v>346</v>
      </c>
      <c r="MP1" s="677">
        <f t="shared" ref="MP1" si="343">MO1+1</f>
        <v>347</v>
      </c>
      <c r="MQ1" s="677">
        <f t="shared" ref="MQ1" si="344">MP1+1</f>
        <v>348</v>
      </c>
      <c r="MR1" s="677">
        <f t="shared" ref="MR1" si="345">MQ1+1</f>
        <v>349</v>
      </c>
      <c r="MS1" s="677">
        <f t="shared" ref="MS1" si="346">MR1+1</f>
        <v>350</v>
      </c>
      <c r="MT1" s="677">
        <f t="shared" ref="MT1" si="347">MS1+1</f>
        <v>351</v>
      </c>
      <c r="MU1" s="677">
        <f t="shared" ref="MU1" si="348">MT1+1</f>
        <v>352</v>
      </c>
      <c r="MV1" s="677">
        <f t="shared" ref="MV1" si="349">MU1+1</f>
        <v>353</v>
      </c>
      <c r="MW1" s="677">
        <f t="shared" ref="MW1" si="350">MV1+1</f>
        <v>354</v>
      </c>
      <c r="MX1" s="677">
        <f t="shared" ref="MX1" si="351">MW1+1</f>
        <v>355</v>
      </c>
      <c r="MY1" s="677">
        <f t="shared" ref="MY1" si="352">MX1+1</f>
        <v>356</v>
      </c>
      <c r="MZ1" s="677">
        <f t="shared" ref="MZ1" si="353">MY1+1</f>
        <v>357</v>
      </c>
      <c r="NA1" s="677">
        <f t="shared" ref="NA1" si="354">MZ1+1</f>
        <v>358</v>
      </c>
      <c r="NB1" s="677">
        <f t="shared" ref="NB1" si="355">NA1+1</f>
        <v>359</v>
      </c>
      <c r="NC1" s="677">
        <f t="shared" ref="NC1" si="356">NB1+1</f>
        <v>360</v>
      </c>
      <c r="ND1" s="677">
        <f t="shared" ref="ND1" si="357">NC1+1</f>
        <v>361</v>
      </c>
      <c r="NE1" s="677">
        <f t="shared" ref="NE1" si="358">ND1+1</f>
        <v>362</v>
      </c>
      <c r="NF1" s="677">
        <f t="shared" ref="NF1" si="359">NE1+1</f>
        <v>363</v>
      </c>
      <c r="NG1" s="677">
        <f t="shared" ref="NG1" si="360">NF1+1</f>
        <v>364</v>
      </c>
      <c r="NH1" s="677">
        <f t="shared" ref="NH1" si="361">NG1+1</f>
        <v>365</v>
      </c>
      <c r="NI1" s="677">
        <f t="shared" ref="NI1" si="362">NH1+1</f>
        <v>366</v>
      </c>
      <c r="NJ1" s="677">
        <f t="shared" ref="NJ1" si="363">NI1+1</f>
        <v>367</v>
      </c>
      <c r="NK1" s="677">
        <f t="shared" ref="NK1" si="364">NJ1+1</f>
        <v>368</v>
      </c>
      <c r="NL1" s="677">
        <f t="shared" ref="NL1" si="365">NK1+1</f>
        <v>369</v>
      </c>
      <c r="NM1" s="677">
        <f t="shared" ref="NM1" si="366">NL1+1</f>
        <v>370</v>
      </c>
      <c r="NN1" s="677">
        <f t="shared" ref="NN1" si="367">NM1+1</f>
        <v>371</v>
      </c>
      <c r="NO1" s="677">
        <f t="shared" ref="NO1" si="368">NN1+1</f>
        <v>372</v>
      </c>
      <c r="NP1" s="677">
        <f t="shared" ref="NP1" si="369">NO1+1</f>
        <v>373</v>
      </c>
      <c r="NQ1" s="677">
        <f t="shared" ref="NQ1" si="370">NP1+1</f>
        <v>374</v>
      </c>
      <c r="NR1" s="677">
        <f t="shared" ref="NR1" si="371">NQ1+1</f>
        <v>375</v>
      </c>
      <c r="NS1" s="677">
        <f t="shared" ref="NS1" si="372">NR1+1</f>
        <v>376</v>
      </c>
      <c r="NT1" s="677">
        <f t="shared" ref="NT1" si="373">NS1+1</f>
        <v>377</v>
      </c>
      <c r="NU1" s="677">
        <f t="shared" ref="NU1" si="374">NT1+1</f>
        <v>378</v>
      </c>
      <c r="NV1" s="677">
        <f t="shared" ref="NV1" si="375">NU1+1</f>
        <v>379</v>
      </c>
      <c r="NW1" s="677">
        <f t="shared" ref="NW1" si="376">NV1+1</f>
        <v>380</v>
      </c>
      <c r="NX1" s="677">
        <f t="shared" ref="NX1" si="377">NW1+1</f>
        <v>381</v>
      </c>
      <c r="NY1" s="677">
        <f t="shared" ref="NY1" si="378">NX1+1</f>
        <v>382</v>
      </c>
      <c r="NZ1" s="677">
        <f t="shared" ref="NZ1" si="379">NY1+1</f>
        <v>383</v>
      </c>
      <c r="OA1" s="677">
        <f t="shared" ref="OA1" si="380">NZ1+1</f>
        <v>384</v>
      </c>
      <c r="OB1" s="677">
        <f t="shared" ref="OB1" si="381">OA1+1</f>
        <v>385</v>
      </c>
      <c r="OC1" s="677">
        <f t="shared" ref="OC1" si="382">OB1+1</f>
        <v>386</v>
      </c>
      <c r="OD1" s="677">
        <f t="shared" ref="OD1" si="383">OC1+1</f>
        <v>387</v>
      </c>
      <c r="OE1" s="677">
        <f t="shared" ref="OE1" si="384">OD1+1</f>
        <v>388</v>
      </c>
      <c r="OF1" s="677">
        <f t="shared" ref="OF1" si="385">OE1+1</f>
        <v>389</v>
      </c>
      <c r="OG1" s="677">
        <f t="shared" ref="OG1" si="386">OF1+1</f>
        <v>390</v>
      </c>
      <c r="OH1" s="677">
        <f t="shared" ref="OH1" si="387">OG1+1</f>
        <v>391</v>
      </c>
      <c r="OI1" s="677">
        <f t="shared" ref="OI1" si="388">OH1+1</f>
        <v>392</v>
      </c>
      <c r="OJ1" s="677">
        <f t="shared" ref="OJ1" si="389">OI1+1</f>
        <v>393</v>
      </c>
      <c r="OK1" s="677">
        <f t="shared" ref="OK1" si="390">OJ1+1</f>
        <v>394</v>
      </c>
      <c r="OL1" s="677">
        <f t="shared" ref="OL1" si="391">OK1+1</f>
        <v>395</v>
      </c>
      <c r="OM1" s="677">
        <f t="shared" ref="OM1" si="392">OL1+1</f>
        <v>396</v>
      </c>
      <c r="ON1" s="677">
        <f t="shared" ref="ON1" si="393">OM1+1</f>
        <v>397</v>
      </c>
      <c r="OO1" s="677">
        <f t="shared" ref="OO1" si="394">ON1+1</f>
        <v>398</v>
      </c>
      <c r="OP1" s="677">
        <f t="shared" ref="OP1" si="395">OO1+1</f>
        <v>399</v>
      </c>
      <c r="OQ1" s="677">
        <f t="shared" ref="OQ1" si="396">OP1+1</f>
        <v>400</v>
      </c>
      <c r="OR1" s="677">
        <f t="shared" ref="OR1" si="397">OQ1+1</f>
        <v>401</v>
      </c>
      <c r="OS1" s="677">
        <f t="shared" ref="OS1" si="398">OR1+1</f>
        <v>402</v>
      </c>
      <c r="OT1" s="677">
        <f t="shared" ref="OT1" si="399">OS1+1</f>
        <v>403</v>
      </c>
      <c r="OU1" s="677">
        <f t="shared" ref="OU1" si="400">OT1+1</f>
        <v>404</v>
      </c>
      <c r="OV1" s="677">
        <f t="shared" ref="OV1" si="401">OU1+1</f>
        <v>405</v>
      </c>
      <c r="OW1" s="677">
        <f t="shared" ref="OW1" si="402">OV1+1</f>
        <v>406</v>
      </c>
      <c r="OX1" s="677">
        <f t="shared" ref="OX1" si="403">OW1+1</f>
        <v>407</v>
      </c>
      <c r="OY1" s="677">
        <f t="shared" ref="OY1" si="404">OX1+1</f>
        <v>408</v>
      </c>
      <c r="OZ1" s="677">
        <f t="shared" ref="OZ1" si="405">OY1+1</f>
        <v>409</v>
      </c>
      <c r="PA1" s="677">
        <f t="shared" ref="PA1" si="406">OZ1+1</f>
        <v>410</v>
      </c>
      <c r="PB1" s="677">
        <f t="shared" ref="PB1" si="407">PA1+1</f>
        <v>411</v>
      </c>
      <c r="PC1" s="677">
        <f t="shared" ref="PC1" si="408">PB1+1</f>
        <v>412</v>
      </c>
      <c r="PD1" s="677">
        <f t="shared" ref="PD1" si="409">PC1+1</f>
        <v>413</v>
      </c>
      <c r="PE1" s="677">
        <f t="shared" ref="PE1" si="410">PD1+1</f>
        <v>414</v>
      </c>
      <c r="PF1" s="677">
        <f t="shared" ref="PF1" si="411">PE1+1</f>
        <v>415</v>
      </c>
      <c r="PG1" s="677">
        <f t="shared" ref="PG1" si="412">PF1+1</f>
        <v>416</v>
      </c>
      <c r="PH1" s="677">
        <f t="shared" ref="PH1" si="413">PG1+1</f>
        <v>417</v>
      </c>
      <c r="PI1" s="677">
        <f t="shared" ref="PI1" si="414">PH1+1</f>
        <v>418</v>
      </c>
      <c r="PJ1" s="677">
        <f t="shared" ref="PJ1" si="415">PI1+1</f>
        <v>419</v>
      </c>
      <c r="PK1" s="677">
        <f t="shared" ref="PK1" si="416">PJ1+1</f>
        <v>420</v>
      </c>
      <c r="PL1" s="677">
        <f t="shared" ref="PL1" si="417">PK1+1</f>
        <v>421</v>
      </c>
      <c r="PM1" s="677">
        <f t="shared" ref="PM1" si="418">PL1+1</f>
        <v>422</v>
      </c>
      <c r="PN1" s="677">
        <f t="shared" ref="PN1" si="419">PM1+1</f>
        <v>423</v>
      </c>
      <c r="PO1" s="677">
        <f t="shared" ref="PO1" si="420">PN1+1</f>
        <v>424</v>
      </c>
      <c r="PP1" s="677">
        <f t="shared" ref="PP1" si="421">PO1+1</f>
        <v>425</v>
      </c>
      <c r="PQ1" s="677">
        <f t="shared" ref="PQ1" si="422">PP1+1</f>
        <v>426</v>
      </c>
      <c r="PR1" s="677">
        <f t="shared" ref="PR1" si="423">PQ1+1</f>
        <v>427</v>
      </c>
      <c r="PS1" s="677">
        <f t="shared" ref="PS1" si="424">PR1+1</f>
        <v>428</v>
      </c>
      <c r="PT1" s="677">
        <f t="shared" ref="PT1" si="425">PS1+1</f>
        <v>429</v>
      </c>
      <c r="PU1" s="677">
        <f t="shared" ref="PU1" si="426">PT1+1</f>
        <v>430</v>
      </c>
      <c r="PV1" s="677">
        <f t="shared" ref="PV1" si="427">PU1+1</f>
        <v>431</v>
      </c>
      <c r="PW1" s="677">
        <f t="shared" ref="PW1" si="428">PV1+1</f>
        <v>432</v>
      </c>
      <c r="PX1" s="677">
        <f t="shared" ref="PX1" si="429">PW1+1</f>
        <v>433</v>
      </c>
      <c r="PY1" s="677">
        <f t="shared" ref="PY1" si="430">PX1+1</f>
        <v>434</v>
      </c>
      <c r="PZ1" s="677">
        <f t="shared" ref="PZ1" si="431">PY1+1</f>
        <v>435</v>
      </c>
      <c r="QA1" s="677">
        <f t="shared" ref="QA1" si="432">PZ1+1</f>
        <v>436</v>
      </c>
      <c r="QB1" s="677">
        <f t="shared" ref="QB1" si="433">QA1+1</f>
        <v>437</v>
      </c>
      <c r="QC1" s="677">
        <f t="shared" ref="QC1" si="434">QB1+1</f>
        <v>438</v>
      </c>
      <c r="QD1" s="677">
        <f t="shared" ref="QD1" si="435">QC1+1</f>
        <v>439</v>
      </c>
      <c r="QE1" s="677">
        <f t="shared" ref="QE1" si="436">QD1+1</f>
        <v>440</v>
      </c>
      <c r="QF1" s="677">
        <f t="shared" ref="QF1" si="437">QE1+1</f>
        <v>441</v>
      </c>
      <c r="QG1" s="677">
        <f t="shared" ref="QG1" si="438">QF1+1</f>
        <v>442</v>
      </c>
      <c r="QH1" s="677">
        <f t="shared" ref="QH1" si="439">QG1+1</f>
        <v>443</v>
      </c>
      <c r="QI1" s="677">
        <f t="shared" ref="QI1" si="440">QH1+1</f>
        <v>444</v>
      </c>
      <c r="QJ1" s="677">
        <f t="shared" ref="QJ1" si="441">QI1+1</f>
        <v>445</v>
      </c>
      <c r="QK1" s="677">
        <f t="shared" ref="QK1" si="442">QJ1+1</f>
        <v>446</v>
      </c>
      <c r="QL1" s="677">
        <f t="shared" ref="QL1" si="443">QK1+1</f>
        <v>447</v>
      </c>
      <c r="QM1" s="677">
        <f t="shared" ref="QM1" si="444">QL1+1</f>
        <v>448</v>
      </c>
      <c r="QN1" s="677">
        <f t="shared" ref="QN1" si="445">QM1+1</f>
        <v>449</v>
      </c>
      <c r="QO1" s="677">
        <f t="shared" ref="QO1" si="446">QN1+1</f>
        <v>450</v>
      </c>
      <c r="QP1" s="677">
        <f t="shared" ref="QP1" si="447">QO1+1</f>
        <v>451</v>
      </c>
      <c r="QQ1" s="677">
        <f t="shared" ref="QQ1" si="448">QP1+1</f>
        <v>452</v>
      </c>
      <c r="QR1" s="677">
        <f t="shared" ref="QR1" si="449">QQ1+1</f>
        <v>453</v>
      </c>
      <c r="QS1" s="677">
        <f t="shared" ref="QS1" si="450">QR1+1</f>
        <v>454</v>
      </c>
      <c r="QT1" s="677">
        <f t="shared" ref="QT1" si="451">QS1+1</f>
        <v>455</v>
      </c>
      <c r="QU1" s="677">
        <f t="shared" ref="QU1" si="452">QT1+1</f>
        <v>456</v>
      </c>
      <c r="QV1" s="677">
        <f t="shared" ref="QV1" si="453">QU1+1</f>
        <v>457</v>
      </c>
      <c r="QW1" s="677">
        <f t="shared" ref="QW1" si="454">QV1+1</f>
        <v>458</v>
      </c>
      <c r="QX1" s="677">
        <f t="shared" ref="QX1" si="455">QW1+1</f>
        <v>459</v>
      </c>
      <c r="QY1" s="677">
        <f t="shared" ref="QY1" si="456">QX1+1</f>
        <v>460</v>
      </c>
      <c r="QZ1" s="677">
        <f t="shared" ref="QZ1" si="457">QY1+1</f>
        <v>461</v>
      </c>
      <c r="RA1" s="677">
        <f t="shared" ref="RA1" si="458">QZ1+1</f>
        <v>462</v>
      </c>
      <c r="RB1" s="677">
        <f t="shared" ref="RB1" si="459">RA1+1</f>
        <v>463</v>
      </c>
      <c r="RC1" s="677">
        <f t="shared" ref="RC1" si="460">RB1+1</f>
        <v>464</v>
      </c>
      <c r="RD1" s="677">
        <f t="shared" ref="RD1" si="461">RC1+1</f>
        <v>465</v>
      </c>
      <c r="RE1" s="677">
        <f t="shared" ref="RE1" si="462">RD1+1</f>
        <v>466</v>
      </c>
      <c r="RF1" s="677">
        <f t="shared" ref="RF1" si="463">RE1+1</f>
        <v>467</v>
      </c>
      <c r="RG1" s="677">
        <f t="shared" ref="RG1" si="464">RF1+1</f>
        <v>468</v>
      </c>
      <c r="RH1" s="677">
        <f t="shared" ref="RH1" si="465">RG1+1</f>
        <v>469</v>
      </c>
      <c r="RI1" s="677">
        <f t="shared" ref="RI1" si="466">RH1+1</f>
        <v>470</v>
      </c>
      <c r="RJ1" s="677">
        <f t="shared" ref="RJ1" si="467">RI1+1</f>
        <v>471</v>
      </c>
      <c r="RK1" s="677">
        <f t="shared" ref="RK1" si="468">RJ1+1</f>
        <v>472</v>
      </c>
      <c r="RL1" s="677">
        <f t="shared" ref="RL1" si="469">RK1+1</f>
        <v>473</v>
      </c>
      <c r="RM1" s="677">
        <f t="shared" ref="RM1" si="470">RL1+1</f>
        <v>474</v>
      </c>
      <c r="RN1" s="677">
        <f t="shared" ref="RN1" si="471">RM1+1</f>
        <v>475</v>
      </c>
      <c r="RO1" s="677">
        <f t="shared" ref="RO1" si="472">RN1+1</f>
        <v>476</v>
      </c>
      <c r="RP1" s="677">
        <f t="shared" ref="RP1" si="473">RO1+1</f>
        <v>477</v>
      </c>
      <c r="RQ1" s="677">
        <f t="shared" ref="RQ1" si="474">RP1+1</f>
        <v>478</v>
      </c>
      <c r="RR1" s="677">
        <f t="shared" ref="RR1" si="475">RQ1+1</f>
        <v>479</v>
      </c>
      <c r="RS1" s="677">
        <f t="shared" ref="RS1" si="476">RR1+1</f>
        <v>480</v>
      </c>
      <c r="RT1" s="677">
        <f t="shared" ref="RT1" si="477">RS1+1</f>
        <v>481</v>
      </c>
      <c r="RU1" s="677">
        <f t="shared" ref="RU1" si="478">RT1+1</f>
        <v>482</v>
      </c>
      <c r="RV1" s="677">
        <f t="shared" ref="RV1" si="479">RU1+1</f>
        <v>483</v>
      </c>
      <c r="RW1" s="677">
        <f t="shared" ref="RW1" si="480">RV1+1</f>
        <v>484</v>
      </c>
      <c r="RX1" s="677">
        <f t="shared" ref="RX1" si="481">RW1+1</f>
        <v>485</v>
      </c>
      <c r="RY1" s="677">
        <f t="shared" ref="RY1" si="482">RX1+1</f>
        <v>486</v>
      </c>
      <c r="RZ1" s="677">
        <f t="shared" ref="RZ1" si="483">RY1+1</f>
        <v>487</v>
      </c>
      <c r="SA1" s="677">
        <f t="shared" ref="SA1" si="484">RZ1+1</f>
        <v>488</v>
      </c>
      <c r="SB1" s="677">
        <f t="shared" ref="SB1" si="485">SA1+1</f>
        <v>489</v>
      </c>
      <c r="SC1" s="677">
        <f t="shared" ref="SC1" si="486">SB1+1</f>
        <v>490</v>
      </c>
      <c r="SD1" s="677">
        <f t="shared" ref="SD1" si="487">SC1+1</f>
        <v>491</v>
      </c>
      <c r="SE1" s="677">
        <f t="shared" ref="SE1" si="488">SD1+1</f>
        <v>492</v>
      </c>
      <c r="SF1" s="677">
        <f t="shared" ref="SF1" si="489">SE1+1</f>
        <v>493</v>
      </c>
      <c r="SG1" s="677">
        <f t="shared" ref="SG1" si="490">SF1+1</f>
        <v>494</v>
      </c>
      <c r="SH1" s="677">
        <f t="shared" ref="SH1" si="491">SG1+1</f>
        <v>495</v>
      </c>
      <c r="SI1" s="677">
        <f t="shared" ref="SI1" si="492">SH1+1</f>
        <v>496</v>
      </c>
      <c r="SJ1" s="677">
        <f t="shared" ref="SJ1" si="493">SI1+1</f>
        <v>497</v>
      </c>
      <c r="SK1" s="677">
        <f t="shared" ref="SK1" si="494">SJ1+1</f>
        <v>498</v>
      </c>
      <c r="SL1" s="677">
        <f t="shared" ref="SL1" si="495">SK1+1</f>
        <v>499</v>
      </c>
      <c r="SM1" s="677">
        <f t="shared" ref="SM1" si="496">SL1+1</f>
        <v>500</v>
      </c>
      <c r="SN1" s="677">
        <f t="shared" ref="SN1" si="497">SM1+1</f>
        <v>501</v>
      </c>
      <c r="SO1" s="677">
        <f t="shared" ref="SO1" si="498">SN1+1</f>
        <v>502</v>
      </c>
      <c r="SP1" s="677">
        <f t="shared" ref="SP1" si="499">SO1+1</f>
        <v>503</v>
      </c>
      <c r="SQ1" s="677">
        <f t="shared" ref="SQ1" si="500">SP1+1</f>
        <v>504</v>
      </c>
      <c r="SR1" s="677">
        <f t="shared" ref="SR1" si="501">SQ1+1</f>
        <v>505</v>
      </c>
      <c r="SS1" s="677">
        <f t="shared" ref="SS1" si="502">SR1+1</f>
        <v>506</v>
      </c>
      <c r="ST1" s="677">
        <f t="shared" ref="ST1" si="503">SS1+1</f>
        <v>507</v>
      </c>
      <c r="SU1" s="677">
        <f t="shared" ref="SU1" si="504">ST1+1</f>
        <v>508</v>
      </c>
      <c r="SV1" s="677">
        <f t="shared" ref="SV1" si="505">SU1+1</f>
        <v>509</v>
      </c>
      <c r="SW1" s="677">
        <f t="shared" ref="SW1" si="506">SV1+1</f>
        <v>510</v>
      </c>
      <c r="SX1" s="677">
        <f t="shared" ref="SX1" si="507">SW1+1</f>
        <v>511</v>
      </c>
      <c r="SY1" s="677">
        <f t="shared" ref="SY1" si="508">SX1+1</f>
        <v>512</v>
      </c>
      <c r="SZ1" s="677">
        <f t="shared" ref="SZ1" si="509">SY1+1</f>
        <v>513</v>
      </c>
      <c r="TA1" s="677">
        <f t="shared" ref="TA1" si="510">SZ1+1</f>
        <v>514</v>
      </c>
      <c r="TB1" s="677">
        <f t="shared" ref="TB1" si="511">TA1+1</f>
        <v>515</v>
      </c>
      <c r="TC1" s="677">
        <f t="shared" ref="TC1" si="512">TB1+1</f>
        <v>516</v>
      </c>
      <c r="TD1" s="677">
        <f t="shared" ref="TD1" si="513">TC1+1</f>
        <v>517</v>
      </c>
      <c r="TE1" s="677">
        <f t="shared" ref="TE1" si="514">TD1+1</f>
        <v>518</v>
      </c>
      <c r="TF1" s="677">
        <f t="shared" ref="TF1" si="515">TE1+1</f>
        <v>519</v>
      </c>
      <c r="TG1" s="677">
        <f t="shared" ref="TG1" si="516">TF1+1</f>
        <v>520</v>
      </c>
      <c r="TH1" s="677">
        <f t="shared" ref="TH1" si="517">TG1+1</f>
        <v>521</v>
      </c>
      <c r="TI1" s="677">
        <f t="shared" ref="TI1" si="518">TH1+1</f>
        <v>522</v>
      </c>
      <c r="TJ1" s="677">
        <f t="shared" ref="TJ1" si="519">TI1+1</f>
        <v>523</v>
      </c>
      <c r="TK1" s="677">
        <f t="shared" ref="TK1" si="520">TJ1+1</f>
        <v>524</v>
      </c>
      <c r="TL1" s="677">
        <f t="shared" ref="TL1" si="521">TK1+1</f>
        <v>525</v>
      </c>
      <c r="TM1" s="677">
        <f t="shared" ref="TM1" si="522">TL1+1</f>
        <v>526</v>
      </c>
      <c r="TN1" s="677">
        <f t="shared" ref="TN1" si="523">TM1+1</f>
        <v>527</v>
      </c>
      <c r="TO1" s="677">
        <f t="shared" ref="TO1" si="524">TN1+1</f>
        <v>528</v>
      </c>
      <c r="TP1" s="677">
        <f t="shared" ref="TP1" si="525">TO1+1</f>
        <v>529</v>
      </c>
      <c r="TQ1" s="677">
        <f t="shared" ref="TQ1" si="526">TP1+1</f>
        <v>530</v>
      </c>
      <c r="TR1" s="677">
        <f t="shared" ref="TR1" si="527">TQ1+1</f>
        <v>531</v>
      </c>
      <c r="TS1" s="677">
        <f t="shared" ref="TS1" si="528">TR1+1</f>
        <v>532</v>
      </c>
      <c r="TT1" s="677">
        <f t="shared" ref="TT1" si="529">TS1+1</f>
        <v>533</v>
      </c>
      <c r="TU1" s="677">
        <f t="shared" ref="TU1" si="530">TT1+1</f>
        <v>534</v>
      </c>
      <c r="TV1" s="677">
        <f t="shared" ref="TV1" si="531">TU1+1</f>
        <v>535</v>
      </c>
      <c r="TW1" s="677">
        <f t="shared" ref="TW1" si="532">TV1+1</f>
        <v>536</v>
      </c>
      <c r="TX1" s="677">
        <f t="shared" ref="TX1" si="533">TW1+1</f>
        <v>537</v>
      </c>
      <c r="TY1" s="677">
        <f t="shared" ref="TY1" si="534">TX1+1</f>
        <v>538</v>
      </c>
      <c r="TZ1" s="677">
        <f t="shared" ref="TZ1" si="535">TY1+1</f>
        <v>539</v>
      </c>
      <c r="UA1" s="677">
        <f t="shared" ref="UA1" si="536">TZ1+1</f>
        <v>540</v>
      </c>
      <c r="UB1" s="677">
        <f t="shared" ref="UB1" si="537">UA1+1</f>
        <v>541</v>
      </c>
      <c r="UC1" s="677">
        <f t="shared" ref="UC1" si="538">UB1+1</f>
        <v>542</v>
      </c>
      <c r="UD1" s="677">
        <f t="shared" ref="UD1" si="539">UC1+1</f>
        <v>543</v>
      </c>
      <c r="UE1" s="677">
        <f t="shared" ref="UE1" si="540">UD1+1</f>
        <v>544</v>
      </c>
      <c r="UF1" s="677">
        <f t="shared" ref="UF1" si="541">UE1+1</f>
        <v>545</v>
      </c>
      <c r="UG1" s="677">
        <f t="shared" ref="UG1" si="542">UF1+1</f>
        <v>546</v>
      </c>
      <c r="UH1" s="677">
        <f t="shared" ref="UH1" si="543">UG1+1</f>
        <v>547</v>
      </c>
      <c r="UI1" s="677">
        <f t="shared" ref="UI1" si="544">UH1+1</f>
        <v>548</v>
      </c>
      <c r="UJ1" s="677">
        <f t="shared" ref="UJ1" si="545">UI1+1</f>
        <v>549</v>
      </c>
      <c r="UK1" s="677">
        <f t="shared" ref="UK1" si="546">UJ1+1</f>
        <v>550</v>
      </c>
      <c r="UL1" s="677">
        <f t="shared" ref="UL1" si="547">UK1+1</f>
        <v>551</v>
      </c>
      <c r="UM1" s="677">
        <f t="shared" ref="UM1" si="548">UL1+1</f>
        <v>552</v>
      </c>
      <c r="UN1" s="677">
        <f t="shared" ref="UN1" si="549">UM1+1</f>
        <v>553</v>
      </c>
      <c r="UO1" s="677">
        <f t="shared" ref="UO1" si="550">UN1+1</f>
        <v>554</v>
      </c>
      <c r="UP1" s="677">
        <f t="shared" ref="UP1" si="551">UO1+1</f>
        <v>555</v>
      </c>
      <c r="UQ1" s="677">
        <f t="shared" ref="UQ1" si="552">UP1+1</f>
        <v>556</v>
      </c>
      <c r="UR1" s="677">
        <f t="shared" ref="UR1" si="553">UQ1+1</f>
        <v>557</v>
      </c>
      <c r="US1" s="677">
        <f t="shared" ref="US1" si="554">UR1+1</f>
        <v>558</v>
      </c>
      <c r="UT1" s="677">
        <f t="shared" ref="UT1" si="555">US1+1</f>
        <v>559</v>
      </c>
      <c r="UU1" s="677">
        <f t="shared" ref="UU1" si="556">UT1+1</f>
        <v>560</v>
      </c>
      <c r="UV1" s="677">
        <f t="shared" ref="UV1" si="557">UU1+1</f>
        <v>561</v>
      </c>
      <c r="UW1" s="677">
        <f t="shared" ref="UW1" si="558">UV1+1</f>
        <v>562</v>
      </c>
      <c r="UX1" s="677">
        <f t="shared" ref="UX1" si="559">UW1+1</f>
        <v>563</v>
      </c>
      <c r="UY1" s="677">
        <f t="shared" ref="UY1" si="560">UX1+1</f>
        <v>564</v>
      </c>
      <c r="UZ1" s="677">
        <f t="shared" ref="UZ1" si="561">UY1+1</f>
        <v>565</v>
      </c>
      <c r="VA1" s="677">
        <f t="shared" ref="VA1" si="562">UZ1+1</f>
        <v>566</v>
      </c>
      <c r="VB1" s="677">
        <f t="shared" ref="VB1" si="563">VA1+1</f>
        <v>567</v>
      </c>
      <c r="VC1" s="677">
        <f t="shared" ref="VC1" si="564">VB1+1</f>
        <v>568</v>
      </c>
      <c r="VD1" s="678">
        <f t="shared" ref="VD1" si="565">VC1+1</f>
        <v>569</v>
      </c>
      <c r="VE1" s="679">
        <f t="shared" ref="VE1" si="566">VD1+1</f>
        <v>570</v>
      </c>
      <c r="VF1" s="680">
        <f t="shared" ref="VF1" si="567">VE1+1</f>
        <v>571</v>
      </c>
      <c r="VG1" s="680">
        <f t="shared" ref="VG1" si="568">VF1+1</f>
        <v>572</v>
      </c>
      <c r="VH1" s="680">
        <f t="shared" ref="VH1" si="569">VG1+1</f>
        <v>573</v>
      </c>
      <c r="VI1" s="680">
        <f t="shared" ref="VI1" si="570">VH1+1</f>
        <v>574</v>
      </c>
      <c r="VJ1" s="680">
        <f t="shared" ref="VJ1" si="571">VI1+1</f>
        <v>575</v>
      </c>
      <c r="VK1" s="680">
        <f t="shared" ref="VK1" si="572">VJ1+1</f>
        <v>576</v>
      </c>
      <c r="VL1" s="680">
        <f t="shared" ref="VL1" si="573">VK1+1</f>
        <v>577</v>
      </c>
      <c r="VM1" s="680">
        <f t="shared" ref="VM1" si="574">VL1+1</f>
        <v>578</v>
      </c>
      <c r="VN1" s="680">
        <f t="shared" ref="VN1" si="575">VM1+1</f>
        <v>579</v>
      </c>
      <c r="VO1" s="680">
        <f t="shared" ref="VO1" si="576">VN1+1</f>
        <v>580</v>
      </c>
      <c r="VP1" s="680">
        <f t="shared" ref="VP1" si="577">VO1+1</f>
        <v>581</v>
      </c>
      <c r="VQ1" s="680">
        <f t="shared" ref="VQ1" si="578">VP1+1</f>
        <v>582</v>
      </c>
      <c r="VR1" s="680">
        <f t="shared" ref="VR1" si="579">VQ1+1</f>
        <v>583</v>
      </c>
      <c r="VS1" s="680">
        <f t="shared" ref="VS1" si="580">VR1+1</f>
        <v>584</v>
      </c>
      <c r="VT1" s="680">
        <f t="shared" ref="VT1" si="581">VS1+1</f>
        <v>585</v>
      </c>
      <c r="VU1" s="680">
        <f t="shared" ref="VU1" si="582">VT1+1</f>
        <v>586</v>
      </c>
      <c r="VV1" s="680">
        <f t="shared" ref="VV1" si="583">VU1+1</f>
        <v>587</v>
      </c>
      <c r="VW1" s="680">
        <f t="shared" ref="VW1" si="584">VV1+1</f>
        <v>588</v>
      </c>
      <c r="VX1" s="680">
        <f t="shared" ref="VX1" si="585">VW1+1</f>
        <v>589</v>
      </c>
      <c r="VY1" s="680">
        <f t="shared" ref="VY1" si="586">VX1+1</f>
        <v>590</v>
      </c>
      <c r="VZ1" s="680">
        <f t="shared" ref="VZ1" si="587">VY1+1</f>
        <v>591</v>
      </c>
      <c r="WA1" s="680">
        <f t="shared" ref="WA1" si="588">VZ1+1</f>
        <v>592</v>
      </c>
      <c r="WB1" s="680">
        <f t="shared" ref="WB1" si="589">WA1+1</f>
        <v>593</v>
      </c>
      <c r="WC1" s="680">
        <f t="shared" ref="WC1" si="590">WB1+1</f>
        <v>594</v>
      </c>
      <c r="WD1" s="680">
        <f t="shared" ref="WD1" si="591">WC1+1</f>
        <v>595</v>
      </c>
      <c r="WE1" s="680">
        <f t="shared" ref="WE1" si="592">WD1+1</f>
        <v>596</v>
      </c>
      <c r="WF1" s="680">
        <f t="shared" ref="WF1" si="593">WE1+1</f>
        <v>597</v>
      </c>
      <c r="WG1" s="680">
        <f t="shared" ref="WG1" si="594">WF1+1</f>
        <v>598</v>
      </c>
      <c r="WH1" s="680">
        <f t="shared" ref="WH1" si="595">WG1+1</f>
        <v>599</v>
      </c>
      <c r="WI1" s="680">
        <f t="shared" ref="WI1" si="596">WH1+1</f>
        <v>600</v>
      </c>
      <c r="WJ1" s="680">
        <f t="shared" ref="WJ1" si="597">WI1+1</f>
        <v>601</v>
      </c>
      <c r="WK1" s="680">
        <f t="shared" ref="WK1" si="598">WJ1+1</f>
        <v>602</v>
      </c>
      <c r="WL1" s="680">
        <f t="shared" ref="WL1" si="599">WK1+1</f>
        <v>603</v>
      </c>
      <c r="WM1" s="680">
        <f t="shared" ref="WM1" si="600">WL1+1</f>
        <v>604</v>
      </c>
      <c r="WN1" s="680">
        <f t="shared" ref="WN1" si="601">WM1+1</f>
        <v>605</v>
      </c>
      <c r="WO1" s="680">
        <f t="shared" ref="WO1" si="602">WN1+1</f>
        <v>606</v>
      </c>
      <c r="WP1" s="680">
        <f t="shared" ref="WP1" si="603">WO1+1</f>
        <v>607</v>
      </c>
      <c r="WQ1" s="680">
        <f t="shared" ref="WQ1" si="604">WP1+1</f>
        <v>608</v>
      </c>
      <c r="WR1" s="680">
        <f t="shared" ref="WR1" si="605">WQ1+1</f>
        <v>609</v>
      </c>
      <c r="WS1" s="680">
        <f t="shared" ref="WS1" si="606">WR1+1</f>
        <v>610</v>
      </c>
      <c r="WT1" s="680">
        <f t="shared" ref="WT1" si="607">WS1+1</f>
        <v>611</v>
      </c>
      <c r="WU1" s="680">
        <f t="shared" ref="WU1" si="608">WT1+1</f>
        <v>612</v>
      </c>
      <c r="WV1" s="680">
        <f t="shared" ref="WV1" si="609">WU1+1</f>
        <v>613</v>
      </c>
      <c r="WW1" s="680">
        <f t="shared" ref="WW1" si="610">WV1+1</f>
        <v>614</v>
      </c>
      <c r="WX1" s="680">
        <f t="shared" ref="WX1" si="611">WW1+1</f>
        <v>615</v>
      </c>
      <c r="WY1" s="680">
        <f t="shared" ref="WY1" si="612">WX1+1</f>
        <v>616</v>
      </c>
      <c r="WZ1" s="680">
        <f t="shared" ref="WZ1" si="613">WY1+1</f>
        <v>617</v>
      </c>
      <c r="XA1" s="680">
        <f t="shared" ref="XA1" si="614">WZ1+1</f>
        <v>618</v>
      </c>
      <c r="XB1" s="680">
        <f t="shared" ref="XB1" si="615">XA1+1</f>
        <v>619</v>
      </c>
      <c r="XC1" s="680">
        <f t="shared" ref="XC1" si="616">XB1+1</f>
        <v>620</v>
      </c>
      <c r="XD1" s="680">
        <f t="shared" ref="XD1" si="617">XC1+1</f>
        <v>621</v>
      </c>
      <c r="XE1" s="680">
        <f t="shared" ref="XE1" si="618">XD1+1</f>
        <v>622</v>
      </c>
      <c r="XF1" s="680">
        <f t="shared" ref="XF1" si="619">XE1+1</f>
        <v>623</v>
      </c>
      <c r="XG1" s="680">
        <f t="shared" ref="XG1" si="620">XF1+1</f>
        <v>624</v>
      </c>
      <c r="XH1" s="680">
        <f t="shared" ref="XH1" si="621">XG1+1</f>
        <v>625</v>
      </c>
      <c r="XI1" s="680">
        <f t="shared" ref="XI1" si="622">XH1+1</f>
        <v>626</v>
      </c>
      <c r="XJ1" s="680">
        <f t="shared" ref="XJ1" si="623">XI1+1</f>
        <v>627</v>
      </c>
      <c r="XK1" s="680">
        <f t="shared" ref="XK1" si="624">XJ1+1</f>
        <v>628</v>
      </c>
      <c r="XL1" s="680">
        <f t="shared" ref="XL1" si="625">XK1+1</f>
        <v>629</v>
      </c>
      <c r="XM1" s="680">
        <f t="shared" ref="XM1" si="626">XL1+1</f>
        <v>630</v>
      </c>
      <c r="XN1" s="680">
        <f t="shared" ref="XN1" si="627">XM1+1</f>
        <v>631</v>
      </c>
      <c r="XO1" s="680">
        <f t="shared" ref="XO1" si="628">XN1+1</f>
        <v>632</v>
      </c>
      <c r="XP1" s="680">
        <f t="shared" ref="XP1" si="629">XO1+1</f>
        <v>633</v>
      </c>
      <c r="XQ1" s="680">
        <f t="shared" ref="XQ1" si="630">XP1+1</f>
        <v>634</v>
      </c>
      <c r="XR1" s="680">
        <f t="shared" ref="XR1" si="631">XQ1+1</f>
        <v>635</v>
      </c>
      <c r="XS1" s="680">
        <f t="shared" ref="XS1" si="632">XR1+1</f>
        <v>636</v>
      </c>
      <c r="XT1" s="680">
        <f t="shared" ref="XT1" si="633">XS1+1</f>
        <v>637</v>
      </c>
      <c r="XU1" s="680">
        <f t="shared" ref="XU1" si="634">XT1+1</f>
        <v>638</v>
      </c>
      <c r="XV1" s="680">
        <f t="shared" ref="XV1" si="635">XU1+1</f>
        <v>639</v>
      </c>
      <c r="XW1" s="680">
        <f t="shared" ref="XW1" si="636">XV1+1</f>
        <v>640</v>
      </c>
      <c r="XX1" s="680">
        <f t="shared" ref="XX1" si="637">XW1+1</f>
        <v>641</v>
      </c>
      <c r="XY1" s="680">
        <f t="shared" ref="XY1" si="638">XX1+1</f>
        <v>642</v>
      </c>
      <c r="XZ1" s="680">
        <f t="shared" ref="XZ1" si="639">XY1+1</f>
        <v>643</v>
      </c>
      <c r="YA1" s="680">
        <f t="shared" ref="YA1" si="640">XZ1+1</f>
        <v>644</v>
      </c>
      <c r="YB1" s="680">
        <f t="shared" ref="YB1" si="641">YA1+1</f>
        <v>645</v>
      </c>
      <c r="YC1" s="680">
        <f t="shared" ref="YC1" si="642">YB1+1</f>
        <v>646</v>
      </c>
      <c r="YD1" s="680">
        <f t="shared" ref="YD1" si="643">YC1+1</f>
        <v>647</v>
      </c>
      <c r="YE1" s="680">
        <f t="shared" ref="YE1" si="644">YD1+1</f>
        <v>648</v>
      </c>
      <c r="YF1" s="680">
        <f t="shared" ref="YF1" si="645">YE1+1</f>
        <v>649</v>
      </c>
      <c r="YG1" s="680">
        <f t="shared" ref="YG1" si="646">YF1+1</f>
        <v>650</v>
      </c>
      <c r="YH1" s="680">
        <f t="shared" ref="YH1" si="647">YG1+1</f>
        <v>651</v>
      </c>
      <c r="YI1" s="680">
        <f t="shared" ref="YI1" si="648">YH1+1</f>
        <v>652</v>
      </c>
      <c r="YJ1" s="680">
        <f t="shared" ref="YJ1" si="649">YI1+1</f>
        <v>653</v>
      </c>
      <c r="YK1" s="680">
        <f t="shared" ref="YK1" si="650">YJ1+1</f>
        <v>654</v>
      </c>
      <c r="YL1" s="680">
        <f t="shared" ref="YL1" si="651">YK1+1</f>
        <v>655</v>
      </c>
      <c r="YM1" s="680">
        <f t="shared" ref="YM1" si="652">YL1+1</f>
        <v>656</v>
      </c>
      <c r="YN1" s="680">
        <f t="shared" ref="YN1" si="653">YM1+1</f>
        <v>657</v>
      </c>
      <c r="YO1" s="680">
        <f t="shared" ref="YO1" si="654">YN1+1</f>
        <v>658</v>
      </c>
      <c r="YP1" s="680">
        <f t="shared" ref="YP1" si="655">YO1+1</f>
        <v>659</v>
      </c>
      <c r="YQ1" s="680">
        <f t="shared" ref="YQ1" si="656">YP1+1</f>
        <v>660</v>
      </c>
      <c r="YR1" s="680">
        <f t="shared" ref="YR1" si="657">YQ1+1</f>
        <v>661</v>
      </c>
      <c r="YS1" s="680">
        <f t="shared" ref="YS1" si="658">YR1+1</f>
        <v>662</v>
      </c>
      <c r="YT1" s="680">
        <f t="shared" ref="YT1" si="659">YS1+1</f>
        <v>663</v>
      </c>
      <c r="YU1" s="680">
        <f t="shared" ref="YU1" si="660">YT1+1</f>
        <v>664</v>
      </c>
      <c r="YV1" s="680">
        <f t="shared" ref="YV1" si="661">YU1+1</f>
        <v>665</v>
      </c>
      <c r="YW1" s="680">
        <f t="shared" ref="YW1" si="662">YV1+1</f>
        <v>666</v>
      </c>
      <c r="YX1" s="680">
        <f t="shared" ref="YX1" si="663">YW1+1</f>
        <v>667</v>
      </c>
      <c r="YY1" s="680">
        <f t="shared" ref="YY1" si="664">YX1+1</f>
        <v>668</v>
      </c>
      <c r="YZ1" s="680">
        <f t="shared" ref="YZ1" si="665">YY1+1</f>
        <v>669</v>
      </c>
      <c r="ZA1" s="680">
        <f t="shared" ref="ZA1" si="666">YZ1+1</f>
        <v>670</v>
      </c>
      <c r="ZB1" s="680">
        <f t="shared" ref="ZB1" si="667">ZA1+1</f>
        <v>671</v>
      </c>
      <c r="ZC1" s="680">
        <f t="shared" ref="ZC1" si="668">ZB1+1</f>
        <v>672</v>
      </c>
      <c r="ZD1" s="680">
        <f t="shared" ref="ZD1" si="669">ZC1+1</f>
        <v>673</v>
      </c>
      <c r="ZE1" s="680">
        <f t="shared" ref="ZE1" si="670">ZD1+1</f>
        <v>674</v>
      </c>
      <c r="ZF1" s="680">
        <f t="shared" ref="ZF1" si="671">ZE1+1</f>
        <v>675</v>
      </c>
      <c r="ZG1" s="680">
        <f t="shared" ref="ZG1" si="672">ZF1+1</f>
        <v>676</v>
      </c>
      <c r="ZH1" s="680">
        <f t="shared" ref="ZH1" si="673">ZG1+1</f>
        <v>677</v>
      </c>
      <c r="ZI1" s="680">
        <f t="shared" ref="ZI1" si="674">ZH1+1</f>
        <v>678</v>
      </c>
      <c r="ZJ1" s="680">
        <f t="shared" ref="ZJ1" si="675">ZI1+1</f>
        <v>679</v>
      </c>
      <c r="ZK1" s="680">
        <f t="shared" ref="ZK1" si="676">ZJ1+1</f>
        <v>680</v>
      </c>
      <c r="ZL1" s="680">
        <f t="shared" ref="ZL1" si="677">ZK1+1</f>
        <v>681</v>
      </c>
      <c r="ZM1" s="680">
        <f t="shared" ref="ZM1" si="678">ZL1+1</f>
        <v>682</v>
      </c>
      <c r="ZN1" s="680">
        <f t="shared" ref="ZN1" si="679">ZM1+1</f>
        <v>683</v>
      </c>
      <c r="ZO1" s="680">
        <f t="shared" ref="ZO1" si="680">ZN1+1</f>
        <v>684</v>
      </c>
      <c r="ZP1" s="680">
        <f t="shared" ref="ZP1" si="681">ZO1+1</f>
        <v>685</v>
      </c>
      <c r="ZQ1" s="680">
        <f t="shared" ref="ZQ1" si="682">ZP1+1</f>
        <v>686</v>
      </c>
      <c r="ZR1" s="680">
        <f t="shared" ref="ZR1" si="683">ZQ1+1</f>
        <v>687</v>
      </c>
      <c r="ZS1" s="680">
        <f t="shared" ref="ZS1" si="684">ZR1+1</f>
        <v>688</v>
      </c>
      <c r="ZT1" s="680">
        <f t="shared" ref="ZT1" si="685">ZS1+1</f>
        <v>689</v>
      </c>
      <c r="ZU1" s="680">
        <f t="shared" ref="ZU1" si="686">ZT1+1</f>
        <v>690</v>
      </c>
      <c r="ZV1" s="680">
        <f t="shared" ref="ZV1" si="687">ZU1+1</f>
        <v>691</v>
      </c>
      <c r="ZW1" s="680">
        <f t="shared" ref="ZW1" si="688">ZV1+1</f>
        <v>692</v>
      </c>
      <c r="ZX1" s="680">
        <f t="shared" ref="ZX1" si="689">ZW1+1</f>
        <v>693</v>
      </c>
      <c r="ZY1" s="680">
        <f t="shared" ref="ZY1" si="690">ZX1+1</f>
        <v>694</v>
      </c>
      <c r="ZZ1" s="680">
        <f t="shared" ref="ZZ1" si="691">ZY1+1</f>
        <v>695</v>
      </c>
      <c r="AAA1" s="680">
        <f t="shared" ref="AAA1" si="692">ZZ1+1</f>
        <v>696</v>
      </c>
      <c r="AAB1" s="680">
        <f t="shared" ref="AAB1" si="693">AAA1+1</f>
        <v>697</v>
      </c>
      <c r="AAC1" s="680">
        <f t="shared" ref="AAC1" si="694">AAB1+1</f>
        <v>698</v>
      </c>
      <c r="AAD1" s="680">
        <f t="shared" ref="AAD1" si="695">AAC1+1</f>
        <v>699</v>
      </c>
      <c r="AAE1" s="680">
        <f t="shared" ref="AAE1" si="696">AAD1+1</f>
        <v>700</v>
      </c>
      <c r="AAF1" s="680">
        <f t="shared" ref="AAF1" si="697">AAE1+1</f>
        <v>701</v>
      </c>
      <c r="AAG1" s="680">
        <f t="shared" ref="AAG1" si="698">AAF1+1</f>
        <v>702</v>
      </c>
      <c r="AAH1" s="680">
        <f t="shared" ref="AAH1" si="699">AAG1+1</f>
        <v>703</v>
      </c>
      <c r="AAI1" s="680">
        <f t="shared" ref="AAI1" si="700">AAH1+1</f>
        <v>704</v>
      </c>
      <c r="AAJ1" s="680">
        <f t="shared" ref="AAJ1" si="701">AAI1+1</f>
        <v>705</v>
      </c>
      <c r="AAK1" s="680">
        <f t="shared" ref="AAK1" si="702">AAJ1+1</f>
        <v>706</v>
      </c>
      <c r="AAL1" s="680">
        <f t="shared" ref="AAL1" si="703">AAK1+1</f>
        <v>707</v>
      </c>
      <c r="AAM1" s="680">
        <f t="shared" ref="AAM1" si="704">AAL1+1</f>
        <v>708</v>
      </c>
      <c r="AAN1" s="680">
        <f t="shared" ref="AAN1" si="705">AAM1+1</f>
        <v>709</v>
      </c>
      <c r="AAO1" s="680">
        <f t="shared" ref="AAO1" si="706">AAN1+1</f>
        <v>710</v>
      </c>
      <c r="AAP1" s="680">
        <f t="shared" ref="AAP1" si="707">AAO1+1</f>
        <v>711</v>
      </c>
      <c r="AAQ1" s="680">
        <f t="shared" ref="AAQ1" si="708">AAP1+1</f>
        <v>712</v>
      </c>
      <c r="AAR1" s="680">
        <f t="shared" ref="AAR1" si="709">AAQ1+1</f>
        <v>713</v>
      </c>
      <c r="AAS1" s="680">
        <f t="shared" ref="AAS1" si="710">AAR1+1</f>
        <v>714</v>
      </c>
      <c r="AAT1" s="680">
        <f t="shared" ref="AAT1" si="711">AAS1+1</f>
        <v>715</v>
      </c>
      <c r="AAU1" s="680">
        <f t="shared" ref="AAU1" si="712">AAT1+1</f>
        <v>716</v>
      </c>
      <c r="AAV1" s="680">
        <f t="shared" ref="AAV1" si="713">AAU1+1</f>
        <v>717</v>
      </c>
      <c r="AAW1" s="680">
        <f t="shared" ref="AAW1" si="714">AAV1+1</f>
        <v>718</v>
      </c>
      <c r="AAX1" s="680">
        <f t="shared" ref="AAX1" si="715">AAW1+1</f>
        <v>719</v>
      </c>
      <c r="AAY1" s="680">
        <f t="shared" ref="AAY1" si="716">AAX1+1</f>
        <v>720</v>
      </c>
      <c r="AAZ1" s="680">
        <f t="shared" ref="AAZ1" si="717">AAY1+1</f>
        <v>721</v>
      </c>
      <c r="ABA1" s="680">
        <f t="shared" ref="ABA1" si="718">AAZ1+1</f>
        <v>722</v>
      </c>
      <c r="ABB1" s="680">
        <f t="shared" ref="ABB1" si="719">ABA1+1</f>
        <v>723</v>
      </c>
      <c r="ABC1" s="680">
        <f t="shared" ref="ABC1" si="720">ABB1+1</f>
        <v>724</v>
      </c>
      <c r="ABD1" s="680">
        <f t="shared" ref="ABD1" si="721">ABC1+1</f>
        <v>725</v>
      </c>
      <c r="ABE1" s="680">
        <f t="shared" ref="ABE1" si="722">ABD1+1</f>
        <v>726</v>
      </c>
      <c r="ABF1" s="680">
        <f t="shared" ref="ABF1" si="723">ABE1+1</f>
        <v>727</v>
      </c>
      <c r="ABG1" s="680">
        <f t="shared" ref="ABG1" si="724">ABF1+1</f>
        <v>728</v>
      </c>
      <c r="ABH1" s="680">
        <f t="shared" ref="ABH1" si="725">ABG1+1</f>
        <v>729</v>
      </c>
      <c r="ABI1" s="680">
        <f t="shared" ref="ABI1" si="726">ABH1+1</f>
        <v>730</v>
      </c>
      <c r="ABJ1" s="680">
        <f t="shared" ref="ABJ1" si="727">ABI1+1</f>
        <v>731</v>
      </c>
      <c r="ABK1" s="680">
        <f t="shared" ref="ABK1" si="728">ABJ1+1</f>
        <v>732</v>
      </c>
      <c r="ABL1" s="680">
        <f t="shared" ref="ABL1" si="729">ABK1+1</f>
        <v>733</v>
      </c>
      <c r="ABM1" s="680">
        <f t="shared" ref="ABM1" si="730">ABL1+1</f>
        <v>734</v>
      </c>
      <c r="ABN1" s="680">
        <f t="shared" ref="ABN1" si="731">ABM1+1</f>
        <v>735</v>
      </c>
      <c r="ABO1" s="680">
        <f t="shared" ref="ABO1" si="732">ABN1+1</f>
        <v>736</v>
      </c>
      <c r="ABP1" s="680">
        <f t="shared" ref="ABP1" si="733">ABO1+1</f>
        <v>737</v>
      </c>
      <c r="ABQ1" s="680">
        <f t="shared" ref="ABQ1" si="734">ABP1+1</f>
        <v>738</v>
      </c>
      <c r="ABR1" s="680">
        <f t="shared" ref="ABR1" si="735">ABQ1+1</f>
        <v>739</v>
      </c>
      <c r="ABS1" s="680">
        <f t="shared" ref="ABS1" si="736">ABR1+1</f>
        <v>740</v>
      </c>
      <c r="ABT1" s="680">
        <f t="shared" ref="ABT1" si="737">ABS1+1</f>
        <v>741</v>
      </c>
      <c r="ABU1" s="680">
        <f t="shared" ref="ABU1" si="738">ABT1+1</f>
        <v>742</v>
      </c>
      <c r="ABV1" s="680">
        <f t="shared" ref="ABV1" si="739">ABU1+1</f>
        <v>743</v>
      </c>
      <c r="ABW1" s="680">
        <f t="shared" ref="ABW1" si="740">ABV1+1</f>
        <v>744</v>
      </c>
      <c r="ABX1" s="680">
        <f t="shared" ref="ABX1" si="741">ABW1+1</f>
        <v>745</v>
      </c>
      <c r="ABY1" s="680">
        <f t="shared" ref="ABY1" si="742">ABX1+1</f>
        <v>746</v>
      </c>
      <c r="ABZ1" s="680">
        <f t="shared" ref="ABZ1" si="743">ABY1+1</f>
        <v>747</v>
      </c>
      <c r="ACA1" s="680">
        <f t="shared" ref="ACA1" si="744">ABZ1+1</f>
        <v>748</v>
      </c>
      <c r="ACB1" s="680">
        <f t="shared" ref="ACB1" si="745">ACA1+1</f>
        <v>749</v>
      </c>
      <c r="ACC1" s="680">
        <f t="shared" ref="ACC1" si="746">ACB1+1</f>
        <v>750</v>
      </c>
      <c r="ACD1" s="680">
        <f t="shared" ref="ACD1" si="747">ACC1+1</f>
        <v>751</v>
      </c>
      <c r="ACE1" s="680">
        <f t="shared" ref="ACE1" si="748">ACD1+1</f>
        <v>752</v>
      </c>
      <c r="ACF1" s="680">
        <f t="shared" ref="ACF1" si="749">ACE1+1</f>
        <v>753</v>
      </c>
      <c r="ACG1" s="680">
        <f t="shared" ref="ACG1" si="750">ACF1+1</f>
        <v>754</v>
      </c>
      <c r="ACH1" s="680">
        <f t="shared" ref="ACH1" si="751">ACG1+1</f>
        <v>755</v>
      </c>
      <c r="ACI1" s="680">
        <f t="shared" ref="ACI1" si="752">ACH1+1</f>
        <v>756</v>
      </c>
      <c r="ACJ1" s="680">
        <f t="shared" ref="ACJ1" si="753">ACI1+1</f>
        <v>757</v>
      </c>
      <c r="ACK1" s="680">
        <f t="shared" ref="ACK1" si="754">ACJ1+1</f>
        <v>758</v>
      </c>
      <c r="ACL1" s="680">
        <f t="shared" ref="ACL1" si="755">ACK1+1</f>
        <v>759</v>
      </c>
      <c r="ACM1" s="680">
        <f t="shared" ref="ACM1" si="756">ACL1+1</f>
        <v>760</v>
      </c>
      <c r="ACN1" s="680">
        <f t="shared" ref="ACN1" si="757">ACM1+1</f>
        <v>761</v>
      </c>
      <c r="ACO1" s="680">
        <f t="shared" ref="ACO1" si="758">ACN1+1</f>
        <v>762</v>
      </c>
      <c r="ACP1" s="680">
        <f t="shared" ref="ACP1" si="759">ACO1+1</f>
        <v>763</v>
      </c>
      <c r="ACQ1" s="680">
        <f t="shared" ref="ACQ1" si="760">ACP1+1</f>
        <v>764</v>
      </c>
      <c r="ACR1" s="680">
        <f t="shared" ref="ACR1" si="761">ACQ1+1</f>
        <v>765</v>
      </c>
      <c r="ACS1" s="680">
        <f t="shared" ref="ACS1" si="762">ACR1+1</f>
        <v>766</v>
      </c>
      <c r="ACT1" s="680">
        <f t="shared" ref="ACT1" si="763">ACS1+1</f>
        <v>767</v>
      </c>
      <c r="ACU1" s="680">
        <f t="shared" ref="ACU1" si="764">ACT1+1</f>
        <v>768</v>
      </c>
      <c r="ACV1" s="680">
        <f t="shared" ref="ACV1" si="765">ACU1+1</f>
        <v>769</v>
      </c>
      <c r="ACW1" s="680">
        <f t="shared" ref="ACW1" si="766">ACV1+1</f>
        <v>770</v>
      </c>
      <c r="ACX1" s="680">
        <f t="shared" ref="ACX1" si="767">ACW1+1</f>
        <v>771</v>
      </c>
      <c r="ACY1" s="680">
        <f t="shared" ref="ACY1" si="768">ACX1+1</f>
        <v>772</v>
      </c>
      <c r="ACZ1" s="680">
        <f t="shared" ref="ACZ1" si="769">ACY1+1</f>
        <v>773</v>
      </c>
      <c r="ADA1" s="680">
        <f t="shared" ref="ADA1" si="770">ACZ1+1</f>
        <v>774</v>
      </c>
      <c r="ADB1" s="680">
        <f t="shared" ref="ADB1" si="771">ADA1+1</f>
        <v>775</v>
      </c>
      <c r="ADC1" s="680">
        <f t="shared" ref="ADC1" si="772">ADB1+1</f>
        <v>776</v>
      </c>
      <c r="ADD1" s="680">
        <f t="shared" ref="ADD1" si="773">ADC1+1</f>
        <v>777</v>
      </c>
      <c r="ADE1" s="680">
        <f t="shared" ref="ADE1" si="774">ADD1+1</f>
        <v>778</v>
      </c>
      <c r="ADF1" s="680">
        <f t="shared" ref="ADF1" si="775">ADE1+1</f>
        <v>779</v>
      </c>
      <c r="ADG1" s="680">
        <f t="shared" ref="ADG1" si="776">ADF1+1</f>
        <v>780</v>
      </c>
      <c r="ADH1" s="680">
        <f t="shared" ref="ADH1" si="777">ADG1+1</f>
        <v>781</v>
      </c>
      <c r="ADI1" s="680">
        <f t="shared" ref="ADI1" si="778">ADH1+1</f>
        <v>782</v>
      </c>
      <c r="ADJ1" s="680">
        <f t="shared" ref="ADJ1" si="779">ADI1+1</f>
        <v>783</v>
      </c>
      <c r="ADK1" s="680">
        <f t="shared" ref="ADK1" si="780">ADJ1+1</f>
        <v>784</v>
      </c>
      <c r="ADL1" s="680">
        <f t="shared" ref="ADL1" si="781">ADK1+1</f>
        <v>785</v>
      </c>
      <c r="ADM1" s="680">
        <f t="shared" ref="ADM1" si="782">ADL1+1</f>
        <v>786</v>
      </c>
      <c r="ADN1" s="680">
        <f t="shared" ref="ADN1" si="783">ADM1+1</f>
        <v>787</v>
      </c>
      <c r="ADO1" s="680">
        <f t="shared" ref="ADO1" si="784">ADN1+1</f>
        <v>788</v>
      </c>
      <c r="ADP1" s="680">
        <f t="shared" ref="ADP1" si="785">ADO1+1</f>
        <v>789</v>
      </c>
      <c r="ADQ1" s="680">
        <f t="shared" ref="ADQ1" si="786">ADP1+1</f>
        <v>790</v>
      </c>
      <c r="ADR1" s="680">
        <f t="shared" ref="ADR1" si="787">ADQ1+1</f>
        <v>791</v>
      </c>
      <c r="ADS1" s="680">
        <f t="shared" ref="ADS1" si="788">ADR1+1</f>
        <v>792</v>
      </c>
      <c r="ADT1" s="680">
        <f t="shared" ref="ADT1" si="789">ADS1+1</f>
        <v>793</v>
      </c>
      <c r="ADU1" s="680">
        <f t="shared" ref="ADU1" si="790">ADT1+1</f>
        <v>794</v>
      </c>
      <c r="ADV1" s="680">
        <f t="shared" ref="ADV1" si="791">ADU1+1</f>
        <v>795</v>
      </c>
      <c r="ADW1" s="680">
        <f t="shared" ref="ADW1" si="792">ADV1+1</f>
        <v>796</v>
      </c>
      <c r="ADX1" s="680">
        <f t="shared" ref="ADX1" si="793">ADW1+1</f>
        <v>797</v>
      </c>
      <c r="ADY1" s="680">
        <f t="shared" ref="ADY1" si="794">ADX1+1</f>
        <v>798</v>
      </c>
      <c r="ADZ1" s="680">
        <f t="shared" ref="ADZ1" si="795">ADY1+1</f>
        <v>799</v>
      </c>
      <c r="AEA1" s="680">
        <f t="shared" ref="AEA1" si="796">ADZ1+1</f>
        <v>800</v>
      </c>
      <c r="AEB1" s="680">
        <f t="shared" ref="AEB1" si="797">AEA1+1</f>
        <v>801</v>
      </c>
      <c r="AEC1" s="680">
        <f t="shared" ref="AEC1" si="798">AEB1+1</f>
        <v>802</v>
      </c>
      <c r="AED1" s="680">
        <f t="shared" ref="AED1" si="799">AEC1+1</f>
        <v>803</v>
      </c>
      <c r="AEE1" s="680">
        <f t="shared" ref="AEE1" si="800">AED1+1</f>
        <v>804</v>
      </c>
      <c r="AEF1" s="680">
        <f t="shared" ref="AEF1" si="801">AEE1+1</f>
        <v>805</v>
      </c>
      <c r="AEG1" s="680">
        <f t="shared" ref="AEG1" si="802">AEF1+1</f>
        <v>806</v>
      </c>
      <c r="AEH1" s="680">
        <f t="shared" ref="AEH1" si="803">AEG1+1</f>
        <v>807</v>
      </c>
      <c r="AEI1" s="680">
        <f t="shared" ref="AEI1" si="804">AEH1+1</f>
        <v>808</v>
      </c>
      <c r="AEJ1" s="680">
        <f t="shared" ref="AEJ1" si="805">AEI1+1</f>
        <v>809</v>
      </c>
      <c r="AEK1" s="680">
        <f t="shared" ref="AEK1" si="806">AEJ1+1</f>
        <v>810</v>
      </c>
      <c r="AEL1" s="680">
        <f t="shared" ref="AEL1" si="807">AEK1+1</f>
        <v>811</v>
      </c>
      <c r="AEM1" s="680">
        <f t="shared" ref="AEM1" si="808">AEL1+1</f>
        <v>812</v>
      </c>
      <c r="AEN1" s="680">
        <f t="shared" ref="AEN1" si="809">AEM1+1</f>
        <v>813</v>
      </c>
      <c r="AEO1" s="680">
        <f t="shared" ref="AEO1" si="810">AEN1+1</f>
        <v>814</v>
      </c>
      <c r="AEP1" s="680">
        <f t="shared" ref="AEP1" si="811">AEO1+1</f>
        <v>815</v>
      </c>
      <c r="AEQ1" s="680">
        <f t="shared" ref="AEQ1" si="812">AEP1+1</f>
        <v>816</v>
      </c>
      <c r="AER1" s="680">
        <f t="shared" ref="AER1" si="813">AEQ1+1</f>
        <v>817</v>
      </c>
      <c r="AES1" s="680">
        <f t="shared" ref="AES1" si="814">AER1+1</f>
        <v>818</v>
      </c>
      <c r="AET1" s="680">
        <f t="shared" ref="AET1" si="815">AES1+1</f>
        <v>819</v>
      </c>
      <c r="AEU1" s="680">
        <f t="shared" ref="AEU1" si="816">AET1+1</f>
        <v>820</v>
      </c>
      <c r="AEV1" s="680">
        <f t="shared" ref="AEV1" si="817">AEU1+1</f>
        <v>821</v>
      </c>
      <c r="AEW1" s="680">
        <f t="shared" ref="AEW1" si="818">AEV1+1</f>
        <v>822</v>
      </c>
      <c r="AEX1" s="680">
        <f t="shared" ref="AEX1" si="819">AEW1+1</f>
        <v>823</v>
      </c>
      <c r="AEY1" s="680">
        <f t="shared" ref="AEY1" si="820">AEX1+1</f>
        <v>824</v>
      </c>
      <c r="AEZ1" s="680">
        <f t="shared" ref="AEZ1" si="821">AEY1+1</f>
        <v>825</v>
      </c>
      <c r="AFA1" s="680">
        <f t="shared" ref="AFA1" si="822">AEZ1+1</f>
        <v>826</v>
      </c>
      <c r="AFB1" s="680">
        <f t="shared" ref="AFB1" si="823">AFA1+1</f>
        <v>827</v>
      </c>
      <c r="AFC1" s="680">
        <f t="shared" ref="AFC1" si="824">AFB1+1</f>
        <v>828</v>
      </c>
      <c r="AFD1" s="680">
        <f t="shared" ref="AFD1" si="825">AFC1+1</f>
        <v>829</v>
      </c>
      <c r="AFE1" s="680">
        <f t="shared" ref="AFE1" si="826">AFD1+1</f>
        <v>830</v>
      </c>
      <c r="AFF1" s="680">
        <f t="shared" ref="AFF1" si="827">AFE1+1</f>
        <v>831</v>
      </c>
      <c r="AFG1" s="680">
        <f t="shared" ref="AFG1" si="828">AFF1+1</f>
        <v>832</v>
      </c>
      <c r="AFH1" s="680">
        <f t="shared" ref="AFH1" si="829">AFG1+1</f>
        <v>833</v>
      </c>
      <c r="AFI1" s="680">
        <f t="shared" ref="AFI1" si="830">AFH1+1</f>
        <v>834</v>
      </c>
      <c r="AFJ1" s="680">
        <f t="shared" ref="AFJ1" si="831">AFI1+1</f>
        <v>835</v>
      </c>
      <c r="AFK1" s="680">
        <f t="shared" ref="AFK1" si="832">AFJ1+1</f>
        <v>836</v>
      </c>
      <c r="AFL1" s="680">
        <f t="shared" ref="AFL1" si="833">AFK1+1</f>
        <v>837</v>
      </c>
      <c r="AFM1" s="680">
        <f t="shared" ref="AFM1" si="834">AFL1+1</f>
        <v>838</v>
      </c>
      <c r="AFN1" s="680">
        <f t="shared" ref="AFN1" si="835">AFM1+1</f>
        <v>839</v>
      </c>
      <c r="AFO1" s="680">
        <f t="shared" ref="AFO1" si="836">AFN1+1</f>
        <v>840</v>
      </c>
      <c r="AFP1" s="680">
        <f t="shared" ref="AFP1" si="837">AFO1+1</f>
        <v>841</v>
      </c>
      <c r="AFQ1" s="680">
        <f t="shared" ref="AFQ1" si="838">AFP1+1</f>
        <v>842</v>
      </c>
      <c r="AFR1" s="680">
        <f t="shared" ref="AFR1" si="839">AFQ1+1</f>
        <v>843</v>
      </c>
      <c r="AFS1" s="680">
        <f t="shared" ref="AFS1" si="840">AFR1+1</f>
        <v>844</v>
      </c>
      <c r="AFT1" s="680">
        <f t="shared" ref="AFT1" si="841">AFS1+1</f>
        <v>845</v>
      </c>
      <c r="AFU1" s="680">
        <f t="shared" ref="AFU1" si="842">AFT1+1</f>
        <v>846</v>
      </c>
      <c r="AFV1" s="680">
        <f t="shared" ref="AFV1" si="843">AFU1+1</f>
        <v>847</v>
      </c>
      <c r="AFW1" s="680">
        <f t="shared" ref="AFW1" si="844">AFV1+1</f>
        <v>848</v>
      </c>
      <c r="AFX1" s="680">
        <f t="shared" ref="AFX1" si="845">AFW1+1</f>
        <v>849</v>
      </c>
      <c r="AFY1" s="680">
        <f t="shared" ref="AFY1" si="846">AFX1+1</f>
        <v>850</v>
      </c>
      <c r="AFZ1" s="680">
        <f t="shared" ref="AFZ1" si="847">AFY1+1</f>
        <v>851</v>
      </c>
      <c r="AGA1" s="684">
        <f t="shared" ref="AGA1" si="848">AFZ1+1</f>
        <v>852</v>
      </c>
      <c r="AGB1" s="684">
        <f t="shared" ref="AGB1" si="849">AGA1+1</f>
        <v>853</v>
      </c>
      <c r="AGC1" s="684">
        <f t="shared" ref="AGC1" si="850">AGB1+1</f>
        <v>854</v>
      </c>
      <c r="AGD1" s="684">
        <f t="shared" ref="AGD1" si="851">AGC1+1</f>
        <v>855</v>
      </c>
      <c r="AGE1" s="684">
        <f t="shared" ref="AGE1" si="852">AGD1+1</f>
        <v>856</v>
      </c>
      <c r="AGF1" s="684">
        <f t="shared" ref="AGF1" si="853">AGE1+1</f>
        <v>857</v>
      </c>
      <c r="AGG1" s="684">
        <f t="shared" ref="AGG1" si="854">AGF1+1</f>
        <v>858</v>
      </c>
      <c r="AGH1" s="684">
        <f t="shared" ref="AGH1" si="855">AGG1+1</f>
        <v>859</v>
      </c>
      <c r="AGI1" s="680">
        <f t="shared" ref="AGI1" si="856">AGH1+1</f>
        <v>860</v>
      </c>
      <c r="AGJ1" s="680">
        <f t="shared" ref="AGJ1" si="857">AGI1+1</f>
        <v>861</v>
      </c>
      <c r="AGK1" s="680">
        <f t="shared" ref="AGK1" si="858">AGJ1+1</f>
        <v>862</v>
      </c>
      <c r="AGL1" s="680">
        <f t="shared" ref="AGL1" si="859">AGK1+1</f>
        <v>863</v>
      </c>
      <c r="AGM1" s="680">
        <f t="shared" ref="AGM1" si="860">AGL1+1</f>
        <v>864</v>
      </c>
      <c r="AGN1" s="680">
        <f t="shared" ref="AGN1" si="861">AGM1+1</f>
        <v>865</v>
      </c>
      <c r="AGO1" s="680">
        <f t="shared" ref="AGO1" si="862">AGN1+1</f>
        <v>866</v>
      </c>
      <c r="AGP1" s="680">
        <f t="shared" ref="AGP1" si="863">AGO1+1</f>
        <v>867</v>
      </c>
      <c r="AGQ1" s="680">
        <f t="shared" ref="AGQ1" si="864">AGP1+1</f>
        <v>868</v>
      </c>
      <c r="AGR1" s="680">
        <f t="shared" ref="AGR1" si="865">AGQ1+1</f>
        <v>869</v>
      </c>
      <c r="AGS1" s="680">
        <f t="shared" ref="AGS1" si="866">AGR1+1</f>
        <v>870</v>
      </c>
      <c r="AGT1" s="680">
        <f t="shared" ref="AGT1" si="867">AGS1+1</f>
        <v>871</v>
      </c>
      <c r="AGU1" s="680">
        <f t="shared" ref="AGU1" si="868">AGT1+1</f>
        <v>872</v>
      </c>
      <c r="AGV1" s="680">
        <f t="shared" ref="AGV1" si="869">AGU1+1</f>
        <v>873</v>
      </c>
      <c r="AGW1" s="680">
        <f t="shared" ref="AGW1" si="870">AGV1+1</f>
        <v>874</v>
      </c>
      <c r="AGX1" s="680">
        <f t="shared" ref="AGX1" si="871">AGW1+1</f>
        <v>875</v>
      </c>
      <c r="AGY1" s="680">
        <f t="shared" ref="AGY1" si="872">AGX1+1</f>
        <v>876</v>
      </c>
      <c r="AGZ1" s="680">
        <f t="shared" ref="AGZ1" si="873">AGY1+1</f>
        <v>877</v>
      </c>
      <c r="AHA1" s="680">
        <f t="shared" ref="AHA1" si="874">AGZ1+1</f>
        <v>878</v>
      </c>
      <c r="AHB1" s="680">
        <f t="shared" ref="AHB1" si="875">AHA1+1</f>
        <v>879</v>
      </c>
      <c r="AHC1" s="680">
        <f t="shared" ref="AHC1" si="876">AHB1+1</f>
        <v>880</v>
      </c>
      <c r="AHD1" s="680">
        <f t="shared" ref="AHD1" si="877">AHC1+1</f>
        <v>881</v>
      </c>
      <c r="AHE1" s="680">
        <f t="shared" ref="AHE1" si="878">AHD1+1</f>
        <v>882</v>
      </c>
      <c r="AHF1" s="680">
        <f t="shared" ref="AHF1" si="879">AHE1+1</f>
        <v>883</v>
      </c>
      <c r="AHG1" s="680">
        <f t="shared" ref="AHG1" si="880">AHF1+1</f>
        <v>884</v>
      </c>
      <c r="AHH1" s="680">
        <f t="shared" ref="AHH1" si="881">AHG1+1</f>
        <v>885</v>
      </c>
      <c r="AHI1" s="680">
        <f t="shared" ref="AHI1" si="882">AHH1+1</f>
        <v>886</v>
      </c>
      <c r="AHJ1" s="680">
        <f t="shared" ref="AHJ1" si="883">AHI1+1</f>
        <v>887</v>
      </c>
      <c r="AHK1" s="680">
        <f t="shared" ref="AHK1" si="884">AHJ1+1</f>
        <v>888</v>
      </c>
      <c r="AHL1" s="680">
        <f t="shared" ref="AHL1" si="885">AHK1+1</f>
        <v>889</v>
      </c>
      <c r="AHM1" s="680">
        <f t="shared" ref="AHM1" si="886">AHL1+1</f>
        <v>890</v>
      </c>
      <c r="AHN1" s="680">
        <f t="shared" ref="AHN1" si="887">AHM1+1</f>
        <v>891</v>
      </c>
      <c r="AHO1" s="680">
        <f t="shared" ref="AHO1" si="888">AHN1+1</f>
        <v>892</v>
      </c>
      <c r="AHP1" s="680">
        <f t="shared" ref="AHP1" si="889">AHO1+1</f>
        <v>893</v>
      </c>
      <c r="AHQ1" s="680">
        <f t="shared" ref="AHQ1" si="890">AHP1+1</f>
        <v>894</v>
      </c>
      <c r="AHR1" s="680">
        <f t="shared" ref="AHR1" si="891">AHQ1+1</f>
        <v>895</v>
      </c>
      <c r="AHS1" s="680">
        <f t="shared" ref="AHS1" si="892">AHR1+1</f>
        <v>896</v>
      </c>
      <c r="AHT1" s="680">
        <f t="shared" ref="AHT1" si="893">AHS1+1</f>
        <v>897</v>
      </c>
      <c r="AHU1" s="680">
        <f t="shared" ref="AHU1" si="894">AHT1+1</f>
        <v>898</v>
      </c>
      <c r="AHV1" s="680">
        <f t="shared" ref="AHV1" si="895">AHU1+1</f>
        <v>899</v>
      </c>
      <c r="AHW1" s="680">
        <f t="shared" ref="AHW1" si="896">AHV1+1</f>
        <v>900</v>
      </c>
      <c r="AHX1" s="680">
        <f t="shared" ref="AHX1" si="897">AHW1+1</f>
        <v>901</v>
      </c>
      <c r="AHY1" s="680">
        <f t="shared" ref="AHY1" si="898">AHX1+1</f>
        <v>902</v>
      </c>
      <c r="AHZ1" s="680">
        <f t="shared" ref="AHZ1" si="899">AHY1+1</f>
        <v>903</v>
      </c>
      <c r="AIA1" s="680">
        <f t="shared" ref="AIA1" si="900">AHZ1+1</f>
        <v>904</v>
      </c>
      <c r="AIB1" s="680">
        <f t="shared" ref="AIB1" si="901">AIA1+1</f>
        <v>905</v>
      </c>
      <c r="AIC1" s="680">
        <f t="shared" ref="AIC1" si="902">AIB1+1</f>
        <v>906</v>
      </c>
      <c r="AID1" s="680">
        <f t="shared" ref="AID1" si="903">AIC1+1</f>
        <v>907</v>
      </c>
      <c r="AIE1" s="680">
        <f t="shared" ref="AIE1" si="904">AID1+1</f>
        <v>908</v>
      </c>
      <c r="AIF1" s="680">
        <f t="shared" ref="AIF1" si="905">AIE1+1</f>
        <v>909</v>
      </c>
      <c r="AIG1" s="680">
        <f t="shared" ref="AIG1" si="906">AIF1+1</f>
        <v>910</v>
      </c>
      <c r="AIH1" s="680">
        <f t="shared" ref="AIH1" si="907">AIG1+1</f>
        <v>911</v>
      </c>
      <c r="AII1" s="680">
        <f t="shared" ref="AII1" si="908">AIH1+1</f>
        <v>912</v>
      </c>
      <c r="AIJ1" s="680">
        <f t="shared" ref="AIJ1" si="909">AII1+1</f>
        <v>913</v>
      </c>
      <c r="AIK1" s="680">
        <f t="shared" ref="AIK1" si="910">AIJ1+1</f>
        <v>914</v>
      </c>
      <c r="AIL1" s="680">
        <f t="shared" ref="AIL1" si="911">AIK1+1</f>
        <v>915</v>
      </c>
      <c r="AIM1" s="680">
        <f t="shared" ref="AIM1" si="912">AIL1+1</f>
        <v>916</v>
      </c>
      <c r="AIN1" s="680">
        <f t="shared" ref="AIN1" si="913">AIM1+1</f>
        <v>917</v>
      </c>
      <c r="AIO1" s="680">
        <f t="shared" ref="AIO1" si="914">AIN1+1</f>
        <v>918</v>
      </c>
      <c r="AIP1" s="680">
        <f t="shared" ref="AIP1" si="915">AIO1+1</f>
        <v>919</v>
      </c>
      <c r="AIQ1" s="680">
        <f t="shared" ref="AIQ1" si="916">AIP1+1</f>
        <v>920</v>
      </c>
      <c r="AIR1" s="680">
        <f t="shared" ref="AIR1" si="917">AIQ1+1</f>
        <v>921</v>
      </c>
      <c r="AIS1" s="680">
        <f t="shared" ref="AIS1" si="918">AIR1+1</f>
        <v>922</v>
      </c>
      <c r="AIT1" s="680">
        <f t="shared" ref="AIT1" si="919">AIS1+1</f>
        <v>923</v>
      </c>
      <c r="AIU1" s="680">
        <f t="shared" ref="AIU1" si="920">AIT1+1</f>
        <v>924</v>
      </c>
      <c r="AIV1" s="680">
        <f t="shared" ref="AIV1" si="921">AIU1+1</f>
        <v>925</v>
      </c>
      <c r="AIW1" s="680">
        <f t="shared" ref="AIW1" si="922">AIV1+1</f>
        <v>926</v>
      </c>
      <c r="AIX1" s="680">
        <f t="shared" ref="AIX1" si="923">AIW1+1</f>
        <v>927</v>
      </c>
      <c r="AIY1" s="680">
        <f t="shared" ref="AIY1" si="924">AIX1+1</f>
        <v>928</v>
      </c>
      <c r="AIZ1" s="680">
        <f t="shared" ref="AIZ1" si="925">AIY1+1</f>
        <v>929</v>
      </c>
      <c r="AJA1" s="680">
        <f t="shared" ref="AJA1" si="926">AIZ1+1</f>
        <v>930</v>
      </c>
      <c r="AJB1" s="680">
        <f t="shared" ref="AJB1" si="927">AJA1+1</f>
        <v>931</v>
      </c>
      <c r="AJC1" s="680">
        <f t="shared" ref="AJC1" si="928">AJB1+1</f>
        <v>932</v>
      </c>
      <c r="AJD1" s="681">
        <f>AJC1+1</f>
        <v>933</v>
      </c>
    </row>
    <row r="2" spans="1:940" s="690" customFormat="1" ht="24.95" customHeight="1" outlineLevel="1" thickBot="1">
      <c r="A2" s="688"/>
      <c r="B2" s="1599" t="s">
        <v>313</v>
      </c>
      <c r="C2" s="1600"/>
      <c r="D2" s="1601"/>
      <c r="E2" s="1594" t="s">
        <v>959</v>
      </c>
      <c r="F2" s="1595"/>
      <c r="G2" s="1595"/>
      <c r="H2" s="1596"/>
      <c r="I2" s="1594" t="s">
        <v>1381</v>
      </c>
      <c r="J2" s="1595"/>
      <c r="K2" s="1595"/>
      <c r="L2" s="1596"/>
      <c r="M2" s="1602" t="s">
        <v>36</v>
      </c>
      <c r="N2" s="1603"/>
      <c r="O2" s="1603"/>
      <c r="P2" s="1603"/>
      <c r="Q2" s="1603"/>
      <c r="R2" s="1603"/>
      <c r="S2" s="1603"/>
      <c r="T2" s="1603"/>
      <c r="U2" s="1603"/>
      <c r="V2" s="1603"/>
      <c r="W2" s="1603"/>
      <c r="X2" s="1603"/>
      <c r="Y2" s="1603"/>
      <c r="Z2" s="1603"/>
      <c r="AA2" s="1603"/>
      <c r="AB2" s="1603"/>
      <c r="AC2" s="1603"/>
      <c r="AD2" s="1603"/>
      <c r="AE2" s="1603"/>
      <c r="AF2" s="1603"/>
      <c r="AG2" s="1603"/>
      <c r="AH2" s="1603"/>
      <c r="AI2" s="1603"/>
      <c r="AJ2" s="1603"/>
      <c r="AK2" s="1603"/>
      <c r="AL2" s="994"/>
      <c r="AM2" s="994"/>
      <c r="AN2" s="994"/>
      <c r="AO2" s="994"/>
      <c r="AP2" s="994"/>
      <c r="AQ2" s="994"/>
      <c r="AR2" s="994"/>
      <c r="AS2" s="994"/>
      <c r="AT2" s="1144"/>
      <c r="AU2" s="1144"/>
      <c r="AV2" s="1144"/>
      <c r="AW2" s="994"/>
      <c r="AX2" s="1597" t="s">
        <v>960</v>
      </c>
      <c r="AY2" s="1598"/>
      <c r="AZ2" s="1598"/>
      <c r="BA2" s="1598"/>
      <c r="BB2" s="1598"/>
      <c r="BC2" s="1598"/>
      <c r="BD2" s="1598"/>
      <c r="BE2" s="1598"/>
      <c r="BF2" s="1598"/>
      <c r="BG2" s="1598"/>
      <c r="BH2" s="1598"/>
      <c r="BI2" s="1598"/>
      <c r="BJ2" s="1598"/>
      <c r="BK2" s="1598"/>
      <c r="BL2" s="1598"/>
      <c r="BM2" s="1598"/>
      <c r="BN2" s="1598"/>
      <c r="BO2" s="1598"/>
      <c r="BP2" s="1598"/>
      <c r="BQ2" s="1598"/>
      <c r="BR2" s="1598"/>
      <c r="BS2" s="1598"/>
      <c r="BT2" s="1598"/>
      <c r="BU2" s="1598"/>
      <c r="BV2" s="1598"/>
      <c r="BW2" s="1598"/>
      <c r="BX2" s="1598"/>
      <c r="BY2" s="1598"/>
      <c r="BZ2" s="1598"/>
      <c r="CA2" s="1598"/>
      <c r="CB2" s="1598"/>
      <c r="CC2" s="1598"/>
      <c r="CD2" s="1598"/>
      <c r="CE2" s="1598"/>
      <c r="CF2" s="1598"/>
      <c r="CG2" s="1598"/>
      <c r="CH2" s="1598"/>
      <c r="CI2" s="1598"/>
      <c r="CJ2" s="1598"/>
      <c r="CK2" s="1598"/>
      <c r="CL2" s="1598"/>
      <c r="CM2" s="1598"/>
      <c r="CN2" s="1598"/>
      <c r="CO2" s="1598"/>
      <c r="CP2" s="1598"/>
      <c r="CQ2" s="1598"/>
      <c r="CR2" s="1598"/>
      <c r="CS2" s="1598"/>
      <c r="CT2" s="1598"/>
      <c r="CU2" s="1598"/>
      <c r="CV2" s="1598"/>
      <c r="CW2" s="1598"/>
      <c r="CX2" s="1598"/>
      <c r="CY2" s="1598"/>
      <c r="CZ2" s="1598"/>
      <c r="DA2" s="1598"/>
      <c r="DB2" s="1598"/>
      <c r="DC2" s="1598"/>
      <c r="DD2" s="1598"/>
      <c r="DE2" s="1598"/>
      <c r="DF2" s="1598"/>
      <c r="DG2" s="1604"/>
      <c r="DH2" s="1576" t="s">
        <v>38</v>
      </c>
      <c r="DI2" s="1577"/>
      <c r="DJ2" s="1577"/>
      <c r="DK2" s="1577"/>
      <c r="DL2" s="1577"/>
      <c r="DM2" s="1577"/>
      <c r="DN2" s="1577"/>
      <c r="DO2" s="1577"/>
      <c r="DP2" s="1577"/>
      <c r="DQ2" s="1577"/>
      <c r="DR2" s="1577"/>
      <c r="DS2" s="1577"/>
      <c r="DT2" s="1577"/>
      <c r="DU2" s="1577"/>
      <c r="DV2" s="1577"/>
      <c r="DW2" s="1577"/>
      <c r="DX2" s="1577"/>
      <c r="DY2" s="1577"/>
      <c r="DZ2" s="1577"/>
      <c r="EA2" s="1578"/>
      <c r="EB2" s="1597" t="s">
        <v>39</v>
      </c>
      <c r="EC2" s="1598"/>
      <c r="ED2" s="1598"/>
      <c r="EE2" s="1598"/>
      <c r="EF2" s="1598"/>
      <c r="EG2" s="1598"/>
      <c r="EH2" s="1577"/>
      <c r="EI2" s="1577"/>
      <c r="EJ2" s="1577"/>
      <c r="EK2" s="1577"/>
      <c r="EL2" s="1577"/>
      <c r="EM2" s="1577"/>
      <c r="EN2" s="1577"/>
      <c r="EO2" s="1577"/>
      <c r="EP2" s="1577"/>
      <c r="EQ2" s="1577"/>
      <c r="ER2" s="1577"/>
      <c r="ES2" s="1577"/>
      <c r="ET2" s="1577"/>
      <c r="EU2" s="1577"/>
      <c r="EV2" s="1577"/>
      <c r="EW2" s="1577"/>
      <c r="EX2" s="1577"/>
      <c r="EY2" s="1577"/>
      <c r="EZ2" s="1577"/>
      <c r="FA2" s="1577"/>
      <c r="FB2" s="1577"/>
      <c r="FC2" s="1577"/>
      <c r="FD2" s="1577"/>
      <c r="FE2" s="1577"/>
      <c r="FF2" s="1577"/>
      <c r="FG2" s="1577"/>
      <c r="FH2" s="1577"/>
      <c r="FI2" s="1577"/>
      <c r="FJ2" s="1577"/>
      <c r="FK2" s="1577"/>
      <c r="FL2" s="1577"/>
      <c r="FM2" s="1577"/>
      <c r="FN2" s="1577"/>
      <c r="FO2" s="1577"/>
      <c r="FP2" s="1577"/>
      <c r="FQ2" s="1577"/>
      <c r="FR2" s="1577"/>
      <c r="FS2" s="1577"/>
      <c r="FT2" s="1577"/>
      <c r="FU2" s="1577"/>
      <c r="FV2" s="1577"/>
      <c r="FW2" s="1577"/>
      <c r="FX2" s="1577"/>
      <c r="FY2" s="1577"/>
      <c r="FZ2" s="1577"/>
      <c r="GA2" s="1577"/>
      <c r="GB2" s="1577"/>
      <c r="GC2" s="1577"/>
      <c r="GD2" s="1577"/>
      <c r="GE2" s="1577"/>
      <c r="GF2" s="1577"/>
      <c r="GG2" s="1577"/>
      <c r="GH2" s="1577"/>
      <c r="GI2" s="1577"/>
      <c r="GJ2" s="1577"/>
      <c r="GK2" s="1577"/>
      <c r="GL2" s="1577"/>
      <c r="GM2" s="1577"/>
      <c r="GN2" s="1577"/>
      <c r="GO2" s="1577"/>
      <c r="GP2" s="1577"/>
      <c r="GQ2" s="1577"/>
      <c r="GR2" s="1577"/>
      <c r="GS2" s="1577"/>
      <c r="GT2" s="1577"/>
      <c r="GU2" s="1577"/>
      <c r="GV2" s="1577"/>
      <c r="GW2" s="1577"/>
      <c r="GX2" s="1577"/>
      <c r="GY2" s="1577"/>
      <c r="GZ2" s="1577"/>
      <c r="HA2" s="1577"/>
      <c r="HB2" s="1577"/>
      <c r="HC2" s="1577"/>
      <c r="HD2" s="1577"/>
      <c r="HE2" s="1577"/>
      <c r="HF2" s="1577"/>
      <c r="HG2" s="1577"/>
      <c r="HH2" s="1577"/>
      <c r="HI2" s="1577"/>
      <c r="HJ2" s="1577"/>
      <c r="HK2" s="1577"/>
      <c r="HL2" s="1577"/>
      <c r="HM2" s="1577"/>
      <c r="HN2" s="1577"/>
      <c r="HO2" s="1577"/>
      <c r="HP2" s="1577"/>
      <c r="HQ2" s="1577"/>
      <c r="HR2" s="1577"/>
      <c r="HS2" s="1577"/>
      <c r="HT2" s="1577"/>
      <c r="HU2" s="1577"/>
      <c r="HV2" s="1577"/>
      <c r="HW2" s="1577"/>
      <c r="HX2" s="1577"/>
      <c r="HY2" s="1577"/>
      <c r="HZ2" s="1577"/>
      <c r="IA2" s="1577"/>
      <c r="IB2" s="1577"/>
      <c r="IC2" s="1577"/>
      <c r="ID2" s="1577"/>
      <c r="IE2" s="1577"/>
      <c r="IF2" s="1577"/>
      <c r="IG2" s="1577"/>
      <c r="IH2" s="1577"/>
      <c r="II2" s="1577"/>
      <c r="IJ2" s="1577"/>
      <c r="IK2" s="1577"/>
      <c r="IL2" s="1577"/>
      <c r="IM2" s="1577"/>
      <c r="IN2" s="1577"/>
      <c r="IO2" s="1577"/>
      <c r="IP2" s="1577"/>
      <c r="IQ2" s="1577"/>
      <c r="IR2" s="1577"/>
      <c r="IS2" s="1577"/>
      <c r="IT2" s="1597" t="s">
        <v>77</v>
      </c>
      <c r="IU2" s="1598"/>
      <c r="IV2" s="1598"/>
      <c r="IW2" s="1598"/>
      <c r="IX2" s="1598"/>
      <c r="IY2" s="1598"/>
      <c r="IZ2" s="1598"/>
      <c r="JA2" s="1598"/>
      <c r="JB2" s="1598"/>
      <c r="JC2" s="1598"/>
      <c r="JD2" s="1598"/>
      <c r="JE2" s="1598"/>
      <c r="JF2" s="1598"/>
      <c r="JG2" s="1597" t="s">
        <v>2164</v>
      </c>
      <c r="JH2" s="1598"/>
      <c r="JI2" s="1598"/>
      <c r="JJ2" s="1598"/>
      <c r="JK2" s="1598"/>
      <c r="JL2" s="1598"/>
      <c r="JM2" s="1598"/>
      <c r="JN2" s="1598"/>
      <c r="JO2" s="1598"/>
      <c r="JP2" s="1598"/>
      <c r="JQ2" s="1598"/>
      <c r="JR2" s="1598"/>
      <c r="JS2" s="1604"/>
      <c r="JT2" s="1597" t="s">
        <v>2163</v>
      </c>
      <c r="JU2" s="1598"/>
      <c r="JV2" s="1598"/>
      <c r="JW2" s="1598"/>
      <c r="JX2" s="1598"/>
      <c r="JY2" s="1598"/>
      <c r="JZ2" s="1598"/>
      <c r="KA2" s="1598"/>
      <c r="KB2" s="1598"/>
      <c r="KC2" s="1598"/>
      <c r="KD2" s="1598"/>
      <c r="KE2" s="1598"/>
      <c r="KF2" s="1598"/>
      <c r="KG2" s="1598"/>
      <c r="KH2" s="1598"/>
      <c r="KI2" s="1598"/>
      <c r="KJ2" s="1598"/>
      <c r="KK2" s="1598"/>
      <c r="KL2" s="1598"/>
      <c r="KM2" s="1598"/>
      <c r="KN2" s="1598"/>
      <c r="KO2" s="1598"/>
      <c r="KP2" s="1598"/>
      <c r="KQ2" s="1598"/>
      <c r="KR2" s="1598"/>
      <c r="KS2" s="1598"/>
      <c r="KT2" s="1598"/>
      <c r="KU2" s="1598"/>
      <c r="KV2" s="1598"/>
      <c r="KW2" s="1598"/>
      <c r="KX2" s="1598"/>
      <c r="KY2" s="1598"/>
      <c r="KZ2" s="1598"/>
      <c r="LA2" s="1598"/>
      <c r="LB2" s="1598"/>
      <c r="LC2" s="1598"/>
      <c r="LD2" s="1598"/>
      <c r="LE2" s="1598"/>
      <c r="LF2" s="1598"/>
      <c r="LG2" s="1598"/>
      <c r="LH2" s="1598"/>
      <c r="LI2" s="1598"/>
      <c r="LJ2" s="1604"/>
      <c r="LK2" s="1597" t="s">
        <v>961</v>
      </c>
      <c r="LL2" s="1598"/>
      <c r="LM2" s="1598"/>
      <c r="LN2" s="1598"/>
      <c r="LO2" s="1598"/>
      <c r="LP2" s="1598"/>
      <c r="LQ2" s="1598"/>
      <c r="LR2" s="1598"/>
      <c r="LS2" s="1598"/>
      <c r="LT2" s="1598"/>
      <c r="LU2" s="1604"/>
      <c r="LV2" s="1576" t="s">
        <v>2153</v>
      </c>
      <c r="LW2" s="1577"/>
      <c r="LX2" s="1578"/>
      <c r="LY2" s="1591" t="s">
        <v>962</v>
      </c>
      <c r="LZ2" s="1592"/>
      <c r="MA2" s="1592"/>
      <c r="MB2" s="1593"/>
      <c r="MC2" s="1591" t="s">
        <v>963</v>
      </c>
      <c r="MD2" s="1592"/>
      <c r="ME2" s="1592"/>
      <c r="MF2" s="1593"/>
      <c r="MG2" s="1591" t="s">
        <v>964</v>
      </c>
      <c r="MH2" s="1592"/>
      <c r="MI2" s="1592"/>
      <c r="MJ2" s="1593"/>
      <c r="MK2" s="1591" t="s">
        <v>965</v>
      </c>
      <c r="ML2" s="1592"/>
      <c r="MM2" s="1592"/>
      <c r="MN2" s="1593"/>
      <c r="MO2" s="1591" t="s">
        <v>966</v>
      </c>
      <c r="MP2" s="1592"/>
      <c r="MQ2" s="1592"/>
      <c r="MR2" s="1593"/>
      <c r="MS2" s="1591" t="s">
        <v>967</v>
      </c>
      <c r="MT2" s="1592"/>
      <c r="MU2" s="1592"/>
      <c r="MV2" s="1593"/>
      <c r="MW2" s="1591" t="s">
        <v>1321</v>
      </c>
      <c r="MX2" s="1592"/>
      <c r="MY2" s="1592"/>
      <c r="MZ2" s="1592"/>
      <c r="NA2" s="1592"/>
      <c r="NB2" s="1592"/>
      <c r="NC2" s="1592"/>
      <c r="ND2" s="1592"/>
      <c r="NE2" s="1592"/>
      <c r="NF2" s="1592"/>
      <c r="NG2" s="1592"/>
      <c r="NH2" s="1592"/>
      <c r="NI2" s="1592"/>
      <c r="NJ2" s="1592"/>
      <c r="NK2" s="1592"/>
      <c r="NL2" s="1592"/>
      <c r="NM2" s="1592"/>
      <c r="NN2" s="1592"/>
      <c r="NO2" s="1592"/>
      <c r="NP2" s="1592"/>
      <c r="NQ2" s="1592"/>
      <c r="NR2" s="1592"/>
      <c r="NS2" s="1592"/>
      <c r="NT2" s="1592"/>
      <c r="NU2" s="1592"/>
      <c r="NV2" s="1592"/>
      <c r="NW2" s="1592"/>
      <c r="NX2" s="1592"/>
      <c r="NY2" s="1592"/>
      <c r="NZ2" s="1592"/>
      <c r="OA2" s="1592"/>
      <c r="OB2" s="1592"/>
      <c r="OC2" s="1592"/>
      <c r="OD2" s="1592"/>
      <c r="OE2" s="1592"/>
      <c r="OF2" s="1593"/>
      <c r="OG2" s="1591" t="s">
        <v>1322</v>
      </c>
      <c r="OH2" s="1592"/>
      <c r="OI2" s="1592"/>
      <c r="OJ2" s="1592"/>
      <c r="OK2" s="1592"/>
      <c r="OL2" s="1592"/>
      <c r="OM2" s="1592"/>
      <c r="ON2" s="1592"/>
      <c r="OO2" s="1592"/>
      <c r="OP2" s="1592"/>
      <c r="OQ2" s="1592"/>
      <c r="OR2" s="1592"/>
      <c r="OS2" s="1592"/>
      <c r="OT2" s="1592"/>
      <c r="OU2" s="1592"/>
      <c r="OV2" s="1592"/>
      <c r="OW2" s="1592"/>
      <c r="OX2" s="1592"/>
      <c r="OY2" s="1592"/>
      <c r="OZ2" s="1592"/>
      <c r="PA2" s="1592"/>
      <c r="PB2" s="1592"/>
      <c r="PC2" s="1592"/>
      <c r="PD2" s="1593"/>
      <c r="PE2" s="1591" t="s">
        <v>1323</v>
      </c>
      <c r="PF2" s="1592"/>
      <c r="PG2" s="1592"/>
      <c r="PH2" s="1592"/>
      <c r="PI2" s="1592"/>
      <c r="PJ2" s="1592"/>
      <c r="PK2" s="1592"/>
      <c r="PL2" s="1592"/>
      <c r="PM2" s="1592"/>
      <c r="PN2" s="1592"/>
      <c r="PO2" s="1592"/>
      <c r="PP2" s="1592"/>
      <c r="PQ2" s="1592"/>
      <c r="PR2" s="1592"/>
      <c r="PS2" s="1592"/>
      <c r="PT2" s="1592"/>
      <c r="PU2" s="1592"/>
      <c r="PV2" s="1592"/>
      <c r="PW2" s="1592"/>
      <c r="PX2" s="1592"/>
      <c r="PY2" s="1592"/>
      <c r="PZ2" s="1592"/>
      <c r="QA2" s="1592"/>
      <c r="QB2" s="1592"/>
      <c r="QC2" s="1592"/>
      <c r="QD2" s="1592"/>
      <c r="QE2" s="1592"/>
      <c r="QF2" s="1592"/>
      <c r="QG2" s="1592"/>
      <c r="QH2" s="1593"/>
      <c r="QI2" s="1591" t="s">
        <v>1324</v>
      </c>
      <c r="QJ2" s="1592"/>
      <c r="QK2" s="1592"/>
      <c r="QL2" s="1592"/>
      <c r="QM2" s="1592"/>
      <c r="QN2" s="1592"/>
      <c r="QO2" s="1592"/>
      <c r="QP2" s="1592"/>
      <c r="QQ2" s="1592"/>
      <c r="QR2" s="1592"/>
      <c r="QS2" s="1592"/>
      <c r="QT2" s="1592"/>
      <c r="QU2" s="1592"/>
      <c r="QV2" s="1592"/>
      <c r="QW2" s="1592"/>
      <c r="QX2" s="1592"/>
      <c r="QY2" s="1592"/>
      <c r="QZ2" s="1592"/>
      <c r="RA2" s="1592"/>
      <c r="RB2" s="1592"/>
      <c r="RC2" s="1592"/>
      <c r="RD2" s="1592"/>
      <c r="RE2" s="1592"/>
      <c r="RF2" s="1592"/>
      <c r="RG2" s="1592"/>
      <c r="RH2" s="1592"/>
      <c r="RI2" s="1592"/>
      <c r="RJ2" s="1592"/>
      <c r="RK2" s="1592"/>
      <c r="RL2" s="1593"/>
      <c r="RM2" s="1591" t="s">
        <v>1325</v>
      </c>
      <c r="RN2" s="1592"/>
      <c r="RO2" s="1592"/>
      <c r="RP2" s="1592"/>
      <c r="RQ2" s="1592"/>
      <c r="RR2" s="1592"/>
      <c r="RS2" s="1592"/>
      <c r="RT2" s="1592"/>
      <c r="RU2" s="1592"/>
      <c r="RV2" s="1592"/>
      <c r="RW2" s="1592"/>
      <c r="RX2" s="1592"/>
      <c r="RY2" s="1592"/>
      <c r="RZ2" s="1592"/>
      <c r="SA2" s="1592"/>
      <c r="SB2" s="1592"/>
      <c r="SC2" s="1592"/>
      <c r="SD2" s="1592"/>
      <c r="SE2" s="1592"/>
      <c r="SF2" s="1592"/>
      <c r="SG2" s="1592"/>
      <c r="SH2" s="1592"/>
      <c r="SI2" s="1592"/>
      <c r="SJ2" s="1592"/>
      <c r="SK2" s="1592"/>
      <c r="SL2" s="1592"/>
      <c r="SM2" s="1592"/>
      <c r="SN2" s="1592"/>
      <c r="SO2" s="1592"/>
      <c r="SP2" s="1593"/>
      <c r="SQ2" s="1591" t="s">
        <v>1326</v>
      </c>
      <c r="SR2" s="1592"/>
      <c r="SS2" s="1592"/>
      <c r="ST2" s="1592"/>
      <c r="SU2" s="1592"/>
      <c r="SV2" s="1592"/>
      <c r="SW2" s="1592"/>
      <c r="SX2" s="1592"/>
      <c r="SY2" s="1592"/>
      <c r="SZ2" s="1592"/>
      <c r="TA2" s="1592"/>
      <c r="TB2" s="1592"/>
      <c r="TC2" s="1592"/>
      <c r="TD2" s="1592"/>
      <c r="TE2" s="1592"/>
      <c r="TF2" s="1592"/>
      <c r="TG2" s="1592"/>
      <c r="TH2" s="1592"/>
      <c r="TI2" s="1592"/>
      <c r="TJ2" s="1592"/>
      <c r="TK2" s="1592"/>
      <c r="TL2" s="1592"/>
      <c r="TM2" s="1592"/>
      <c r="TN2" s="1592"/>
      <c r="TO2" s="1592"/>
      <c r="TP2" s="1592"/>
      <c r="TQ2" s="1592"/>
      <c r="TR2" s="1592"/>
      <c r="TS2" s="1592"/>
      <c r="TT2" s="1593"/>
      <c r="TU2" s="1591" t="s">
        <v>1327</v>
      </c>
      <c r="TV2" s="1592"/>
      <c r="TW2" s="1592"/>
      <c r="TX2" s="1592"/>
      <c r="TY2" s="1592"/>
      <c r="TZ2" s="1592"/>
      <c r="UA2" s="1592"/>
      <c r="UB2" s="1592"/>
      <c r="UC2" s="1592"/>
      <c r="UD2" s="1592"/>
      <c r="UE2" s="1592"/>
      <c r="UF2" s="1592"/>
      <c r="UG2" s="1592"/>
      <c r="UH2" s="1592"/>
      <c r="UI2" s="1592"/>
      <c r="UJ2" s="1592"/>
      <c r="UK2" s="1592"/>
      <c r="UL2" s="1592"/>
      <c r="UM2" s="1592"/>
      <c r="UN2" s="1592"/>
      <c r="UO2" s="1592"/>
      <c r="UP2" s="1592"/>
      <c r="UQ2" s="1592"/>
      <c r="UR2" s="1592"/>
      <c r="US2" s="1592"/>
      <c r="UT2" s="1592"/>
      <c r="UU2" s="1592"/>
      <c r="UV2" s="1592"/>
      <c r="UW2" s="1592"/>
      <c r="UX2" s="1592"/>
      <c r="UY2" s="1592"/>
      <c r="UZ2" s="1592"/>
      <c r="VA2" s="1592"/>
      <c r="VB2" s="1592"/>
      <c r="VC2" s="1592"/>
      <c r="VD2" s="1593"/>
      <c r="VE2" s="1573" t="s">
        <v>1328</v>
      </c>
      <c r="VF2" s="1574"/>
      <c r="VG2" s="1574"/>
      <c r="VH2" s="1574"/>
      <c r="VI2" s="1574"/>
      <c r="VJ2" s="1574"/>
      <c r="VK2" s="1575"/>
      <c r="VL2" s="1573" t="s">
        <v>1331</v>
      </c>
      <c r="VM2" s="1574"/>
      <c r="VN2" s="1574"/>
      <c r="VO2" s="1574"/>
      <c r="VP2" s="1574"/>
      <c r="VQ2" s="1574"/>
      <c r="VR2" s="1574"/>
      <c r="VS2" s="1574"/>
      <c r="VT2" s="1574"/>
      <c r="VU2" s="1574"/>
      <c r="VV2" s="1574"/>
      <c r="VW2" s="1574"/>
      <c r="VX2" s="1574"/>
      <c r="VY2" s="1574"/>
      <c r="VZ2" s="1574"/>
      <c r="WA2" s="1574"/>
      <c r="WB2" s="1574"/>
      <c r="WC2" s="1574"/>
      <c r="WD2" s="1574"/>
      <c r="WE2" s="1574"/>
      <c r="WF2" s="1574"/>
      <c r="WG2" s="1574"/>
      <c r="WH2" s="1574"/>
      <c r="WI2" s="1574"/>
      <c r="WJ2" s="1574"/>
      <c r="WK2" s="1574"/>
      <c r="WL2" s="1574"/>
      <c r="WM2" s="1574"/>
      <c r="WN2" s="1574"/>
      <c r="WO2" s="1574"/>
      <c r="WP2" s="1574"/>
      <c r="WQ2" s="1574"/>
      <c r="WR2" s="1575"/>
      <c r="WS2" s="1571" t="s">
        <v>1989</v>
      </c>
      <c r="WT2" s="1572"/>
      <c r="WU2" s="1572"/>
      <c r="WV2" s="1572"/>
      <c r="WW2" s="1572"/>
      <c r="WX2" s="689"/>
      <c r="WY2" s="1573" t="s">
        <v>2168</v>
      </c>
      <c r="WZ2" s="1574"/>
      <c r="XA2" s="1574"/>
      <c r="XB2" s="1575"/>
      <c r="XC2" s="1589" t="s">
        <v>2169</v>
      </c>
      <c r="XD2" s="1589"/>
      <c r="XE2" s="1589"/>
      <c r="XF2" s="1589"/>
      <c r="XG2" s="1589"/>
      <c r="XH2" s="1589"/>
      <c r="XI2" s="1589"/>
      <c r="XJ2" s="1589"/>
      <c r="XK2" s="1579"/>
      <c r="XL2" s="1579"/>
      <c r="XM2" s="1579"/>
      <c r="XN2" s="1579"/>
      <c r="XO2" s="1579"/>
      <c r="XP2" s="1579"/>
      <c r="XQ2" s="1579"/>
      <c r="XR2" s="1579"/>
      <c r="XS2" s="1579"/>
      <c r="XT2" s="1579"/>
      <c r="XU2" s="1579"/>
      <c r="XV2" s="1579"/>
      <c r="XW2" s="1579"/>
      <c r="XX2" s="1579"/>
      <c r="XY2" s="1579"/>
      <c r="XZ2" s="1579"/>
      <c r="YA2" s="1589"/>
      <c r="YB2" s="1589"/>
      <c r="YC2" s="1589"/>
      <c r="YD2" s="1589"/>
      <c r="YE2" s="1589"/>
      <c r="YF2" s="1589"/>
      <c r="YG2" s="1589"/>
      <c r="YH2" s="1590"/>
      <c r="YI2" s="1579" t="s">
        <v>2170</v>
      </c>
      <c r="YJ2" s="1579"/>
      <c r="YK2" s="1579"/>
      <c r="YL2" s="1579"/>
      <c r="YM2" s="1579"/>
      <c r="YN2" s="1579"/>
      <c r="YO2" s="1579"/>
      <c r="YP2" s="1579"/>
      <c r="YQ2" s="1579"/>
      <c r="YR2" s="1579"/>
      <c r="YS2" s="1579"/>
      <c r="YT2" s="1579"/>
      <c r="YU2" s="1579"/>
      <c r="YV2" s="1579"/>
      <c r="YW2" s="1579"/>
      <c r="YX2" s="1579"/>
      <c r="YY2" s="1579"/>
      <c r="YZ2" s="1579"/>
      <c r="ZA2" s="1579"/>
      <c r="ZB2" s="1579"/>
      <c r="ZC2" s="1579"/>
      <c r="ZD2" s="1579"/>
      <c r="ZE2" s="1579"/>
      <c r="ZF2" s="1579"/>
      <c r="ZG2" s="1579"/>
      <c r="ZH2" s="1579"/>
      <c r="ZI2" s="1579"/>
      <c r="ZJ2" s="1579"/>
      <c r="ZK2" s="1579"/>
      <c r="ZL2" s="1579"/>
      <c r="ZM2" s="1579"/>
      <c r="ZN2" s="1580"/>
      <c r="ZO2" s="1581" t="s">
        <v>2171</v>
      </c>
      <c r="ZP2" s="1581"/>
      <c r="ZQ2" s="1581"/>
      <c r="ZR2" s="1581"/>
      <c r="ZS2" s="1581"/>
      <c r="ZT2" s="1581"/>
      <c r="ZU2" s="1581"/>
      <c r="ZV2" s="1581"/>
      <c r="ZW2" s="1581"/>
      <c r="ZX2" s="1581"/>
      <c r="ZY2" s="1581"/>
      <c r="ZZ2" s="1581"/>
      <c r="AAA2" s="1581"/>
      <c r="AAB2" s="1581"/>
      <c r="AAC2" s="1581"/>
      <c r="AAD2" s="1581"/>
      <c r="AAE2" s="1582"/>
      <c r="AAF2" s="1582"/>
      <c r="AAG2" s="1582"/>
      <c r="AAH2" s="1582"/>
      <c r="AAI2" s="1582"/>
      <c r="AAJ2" s="1582"/>
      <c r="AAK2" s="1582"/>
      <c r="AAL2" s="1582"/>
      <c r="AAM2" s="1581"/>
      <c r="AAN2" s="1581"/>
      <c r="AAO2" s="1581"/>
      <c r="AAP2" s="1581"/>
      <c r="AAQ2" s="1581"/>
      <c r="AAR2" s="1581"/>
      <c r="AAS2" s="1581"/>
      <c r="AAT2" s="1583"/>
      <c r="AAU2" s="1582" t="s">
        <v>2172</v>
      </c>
      <c r="AAV2" s="1582"/>
      <c r="AAW2" s="1582"/>
      <c r="AAX2" s="1582"/>
      <c r="AAY2" s="1582"/>
      <c r="AAZ2" s="1582"/>
      <c r="ABA2" s="1582"/>
      <c r="ABB2" s="1582"/>
      <c r="ABC2" s="1582"/>
      <c r="ABD2" s="1582"/>
      <c r="ABE2" s="1582"/>
      <c r="ABF2" s="1582"/>
      <c r="ABG2" s="1582"/>
      <c r="ABH2" s="1582"/>
      <c r="ABI2" s="1582"/>
      <c r="ABJ2" s="1582"/>
      <c r="ABK2" s="1582"/>
      <c r="ABL2" s="1582"/>
      <c r="ABM2" s="1582"/>
      <c r="ABN2" s="1582"/>
      <c r="ABO2" s="1582"/>
      <c r="ABP2" s="1582"/>
      <c r="ABQ2" s="1582"/>
      <c r="ABR2" s="1582"/>
      <c r="ABS2" s="1582"/>
      <c r="ABT2" s="1582"/>
      <c r="ABU2" s="1582"/>
      <c r="ABV2" s="1582"/>
      <c r="ABW2" s="1582"/>
      <c r="ABX2" s="1582"/>
      <c r="ABY2" s="1582"/>
      <c r="ABZ2" s="1584"/>
      <c r="ACA2" s="1582" t="s">
        <v>2173</v>
      </c>
      <c r="ACB2" s="1582"/>
      <c r="ACC2" s="1582"/>
      <c r="ACD2" s="1582"/>
      <c r="ACE2" s="1582"/>
      <c r="ACF2" s="1582"/>
      <c r="ACG2" s="1582"/>
      <c r="ACH2" s="1582"/>
      <c r="ACI2" s="1582"/>
      <c r="ACJ2" s="1582"/>
      <c r="ACK2" s="1582"/>
      <c r="ACL2" s="1582"/>
      <c r="ACM2" s="1582"/>
      <c r="ACN2" s="1582"/>
      <c r="ACO2" s="1582"/>
      <c r="ACP2" s="1582"/>
      <c r="ACQ2" s="1582"/>
      <c r="ACR2" s="1582"/>
      <c r="ACS2" s="1582"/>
      <c r="ACT2" s="1582"/>
      <c r="ACU2" s="1582"/>
      <c r="ACV2" s="1582"/>
      <c r="ACW2" s="1582"/>
      <c r="ACX2" s="1582"/>
      <c r="ACY2" s="1582"/>
      <c r="ACZ2" s="1582"/>
      <c r="ADA2" s="1582"/>
      <c r="ADB2" s="1582"/>
      <c r="ADC2" s="1582"/>
      <c r="ADD2" s="1582"/>
      <c r="ADE2" s="1582"/>
      <c r="ADF2" s="1584"/>
      <c r="ADG2" s="1582" t="s">
        <v>2174</v>
      </c>
      <c r="ADH2" s="1582"/>
      <c r="ADI2" s="1582"/>
      <c r="ADJ2" s="1582"/>
      <c r="ADK2" s="1582"/>
      <c r="ADL2" s="1582"/>
      <c r="ADM2" s="1582"/>
      <c r="ADN2" s="1582"/>
      <c r="ADO2" s="1582"/>
      <c r="ADP2" s="1582"/>
      <c r="ADQ2" s="1582"/>
      <c r="ADR2" s="1582"/>
      <c r="ADS2" s="1582"/>
      <c r="ADT2" s="1582"/>
      <c r="ADU2" s="1582"/>
      <c r="ADV2" s="1582"/>
      <c r="ADW2" s="1582"/>
      <c r="ADX2" s="1582"/>
      <c r="ADY2" s="1582"/>
      <c r="ADZ2" s="1582"/>
      <c r="AEA2" s="1582"/>
      <c r="AEB2" s="1582"/>
      <c r="AEC2" s="1582"/>
      <c r="AED2" s="1582"/>
      <c r="AEE2" s="1582"/>
      <c r="AEF2" s="1582"/>
      <c r="AEG2" s="1582"/>
      <c r="AEH2" s="1582"/>
      <c r="AEI2" s="1582"/>
      <c r="AEJ2" s="1582"/>
      <c r="AEK2" s="1582"/>
      <c r="AEL2" s="1584"/>
      <c r="AEM2" s="1582" t="s">
        <v>2175</v>
      </c>
      <c r="AEN2" s="1582"/>
      <c r="AEO2" s="1582"/>
      <c r="AEP2" s="1582"/>
      <c r="AEQ2" s="1582"/>
      <c r="AER2" s="1582"/>
      <c r="AES2" s="1582"/>
      <c r="AET2" s="1582"/>
      <c r="AEU2" s="1582"/>
      <c r="AEV2" s="1582"/>
      <c r="AEW2" s="1582"/>
      <c r="AEX2" s="1582"/>
      <c r="AEY2" s="1582"/>
      <c r="AEZ2" s="1582"/>
      <c r="AFA2" s="1582"/>
      <c r="AFB2" s="1582"/>
      <c r="AFC2" s="1582"/>
      <c r="AFD2" s="1582"/>
      <c r="AFE2" s="1582"/>
      <c r="AFF2" s="1582"/>
      <c r="AFG2" s="1582"/>
      <c r="AFH2" s="1582"/>
      <c r="AFI2" s="1582"/>
      <c r="AFJ2" s="1582"/>
      <c r="AFK2" s="1581"/>
      <c r="AFL2" s="1581"/>
      <c r="AFM2" s="1581"/>
      <c r="AFN2" s="1581"/>
      <c r="AFO2" s="1581"/>
      <c r="AFP2" s="1581"/>
      <c r="AFQ2" s="1581"/>
      <c r="AFR2" s="1583"/>
      <c r="AFS2" s="1574" t="s">
        <v>2176</v>
      </c>
      <c r="AFT2" s="1574"/>
      <c r="AFU2" s="1574"/>
      <c r="AFV2" s="1574"/>
      <c r="AFW2" s="1574"/>
      <c r="AFX2" s="1574"/>
      <c r="AFY2" s="1574"/>
      <c r="AFZ2" s="1575"/>
      <c r="AGA2" s="1586" t="s">
        <v>2177</v>
      </c>
      <c r="AGB2" s="1587"/>
      <c r="AGC2" s="1587"/>
      <c r="AGD2" s="1587"/>
      <c r="AGE2" s="1587"/>
      <c r="AGF2" s="1587"/>
      <c r="AGG2" s="1587"/>
      <c r="AGH2" s="1588"/>
      <c r="AGI2" s="1571" t="s">
        <v>2179</v>
      </c>
      <c r="AGJ2" s="1572"/>
      <c r="AGK2" s="1572"/>
      <c r="AGL2" s="1572"/>
      <c r="AGM2" s="1572"/>
      <c r="AGN2" s="1572"/>
      <c r="AGO2" s="1572"/>
      <c r="AGP2" s="1585"/>
      <c r="AGQ2" s="1571" t="s">
        <v>2178</v>
      </c>
      <c r="AGR2" s="1572"/>
      <c r="AGS2" s="1572"/>
      <c r="AGT2" s="1572"/>
      <c r="AGU2" s="1572"/>
      <c r="AGV2" s="1572"/>
      <c r="AGW2" s="1572"/>
      <c r="AGX2" s="1585"/>
      <c r="AGY2" s="1572" t="s">
        <v>2180</v>
      </c>
      <c r="AGZ2" s="1572"/>
      <c r="AHA2" s="1572"/>
      <c r="AHB2" s="1572"/>
      <c r="AHC2" s="1572"/>
      <c r="AHD2" s="1572"/>
      <c r="AHE2" s="1572"/>
      <c r="AHF2" s="1572"/>
      <c r="AHG2" s="1572"/>
      <c r="AHH2" s="1572"/>
      <c r="AHI2" s="1572"/>
      <c r="AHJ2" s="1572"/>
      <c r="AHK2" s="1572"/>
      <c r="AHL2" s="1572"/>
      <c r="AHM2" s="1572"/>
      <c r="AHN2" s="1572"/>
      <c r="AHO2" s="1572"/>
      <c r="AHP2" s="1572"/>
      <c r="AHQ2" s="1572"/>
      <c r="AHR2" s="1572"/>
      <c r="AHS2" s="1572"/>
      <c r="AHT2" s="1572"/>
      <c r="AHU2" s="1572"/>
      <c r="AHV2" s="1572"/>
      <c r="AHW2" s="1572"/>
      <c r="AHX2" s="1572"/>
      <c r="AHY2" s="1572"/>
      <c r="AHZ2" s="1572"/>
      <c r="AIA2" s="1572"/>
      <c r="AIB2" s="1572"/>
      <c r="AIC2" s="1572"/>
      <c r="AID2" s="1572"/>
      <c r="AIE2" s="1572"/>
      <c r="AIF2" s="1572"/>
      <c r="AIG2" s="1572"/>
      <c r="AIH2" s="1572"/>
      <c r="AII2" s="1572"/>
      <c r="AIJ2" s="1572"/>
      <c r="AIK2" s="1572"/>
      <c r="AIL2" s="1572"/>
      <c r="AIM2" s="1572"/>
      <c r="AIN2" s="1572"/>
      <c r="AIO2" s="1572"/>
      <c r="AIP2" s="1572"/>
      <c r="AIQ2" s="1572"/>
      <c r="AIR2" s="1572"/>
      <c r="AIS2" s="1572"/>
      <c r="AIT2" s="1572"/>
      <c r="AIU2" s="1573" t="s">
        <v>2181</v>
      </c>
      <c r="AIV2" s="1574"/>
      <c r="AIW2" s="1574"/>
      <c r="AIX2" s="1574"/>
      <c r="AIY2" s="1574"/>
      <c r="AIZ2" s="1574"/>
      <c r="AJA2" s="1574"/>
      <c r="AJB2" s="1574"/>
      <c r="AJC2" s="1574"/>
      <c r="AJD2" s="1575"/>
    </row>
    <row r="3" spans="1:940" s="735" customFormat="1" ht="64.5" customHeight="1" outlineLevel="1" thickBot="1">
      <c r="A3" s="760" t="s">
        <v>1990</v>
      </c>
      <c r="B3" s="761" t="s">
        <v>2061</v>
      </c>
      <c r="C3" s="752" t="s">
        <v>2061</v>
      </c>
      <c r="D3" s="753" t="s">
        <v>2061</v>
      </c>
      <c r="E3" s="708" t="s">
        <v>812</v>
      </c>
      <c r="F3" s="706" t="s">
        <v>2062</v>
      </c>
      <c r="G3" s="706" t="s">
        <v>2062</v>
      </c>
      <c r="H3" s="706" t="s">
        <v>2062</v>
      </c>
      <c r="I3" s="708" t="s">
        <v>1383</v>
      </c>
      <c r="J3" s="706" t="s">
        <v>2063</v>
      </c>
      <c r="K3" s="706" t="s">
        <v>2063</v>
      </c>
      <c r="L3" s="707" t="s">
        <v>2063</v>
      </c>
      <c r="M3" s="992" t="s">
        <v>2064</v>
      </c>
      <c r="N3" s="993" t="s">
        <v>2129</v>
      </c>
      <c r="O3" s="624" t="s">
        <v>2055</v>
      </c>
      <c r="P3" s="624" t="s">
        <v>2055</v>
      </c>
      <c r="Q3" s="993" t="s">
        <v>2055</v>
      </c>
      <c r="R3" s="624" t="s">
        <v>2069</v>
      </c>
      <c r="S3" s="624" t="s">
        <v>2069</v>
      </c>
      <c r="T3" s="624" t="s">
        <v>2069</v>
      </c>
      <c r="U3" s="624" t="s">
        <v>2069</v>
      </c>
      <c r="V3" s="993" t="s">
        <v>2069</v>
      </c>
      <c r="W3" s="624" t="s">
        <v>2052</v>
      </c>
      <c r="X3" s="624" t="s">
        <v>2052</v>
      </c>
      <c r="Y3" s="624" t="s">
        <v>2052</v>
      </c>
      <c r="Z3" s="624" t="s">
        <v>2052</v>
      </c>
      <c r="AA3" s="993" t="s">
        <v>2052</v>
      </c>
      <c r="AB3" s="624" t="s">
        <v>2070</v>
      </c>
      <c r="AC3" s="624" t="s">
        <v>2070</v>
      </c>
      <c r="AD3" s="624" t="s">
        <v>2070</v>
      </c>
      <c r="AE3" s="624" t="s">
        <v>2070</v>
      </c>
      <c r="AF3" s="993" t="s">
        <v>2083</v>
      </c>
      <c r="AG3" s="624" t="s">
        <v>2081</v>
      </c>
      <c r="AH3" s="624" t="s">
        <v>2081</v>
      </c>
      <c r="AI3" s="624" t="s">
        <v>2081</v>
      </c>
      <c r="AJ3" s="624" t="s">
        <v>2081</v>
      </c>
      <c r="AK3" s="993" t="s">
        <v>2082</v>
      </c>
      <c r="AL3" s="624" t="s">
        <v>2656</v>
      </c>
      <c r="AM3" s="624" t="s">
        <v>2656</v>
      </c>
      <c r="AN3" s="624" t="s">
        <v>2656</v>
      </c>
      <c r="AO3" s="624" t="s">
        <v>2656</v>
      </c>
      <c r="AP3" s="624" t="s">
        <v>2656</v>
      </c>
      <c r="AQ3" s="624" t="s">
        <v>2656</v>
      </c>
      <c r="AR3" s="624" t="s">
        <v>2656</v>
      </c>
      <c r="AS3" s="1004" t="s">
        <v>2928</v>
      </c>
      <c r="AT3" s="624" t="s">
        <v>2928</v>
      </c>
      <c r="AU3" s="624" t="s">
        <v>2928</v>
      </c>
      <c r="AV3" s="624" t="s">
        <v>2928</v>
      </c>
      <c r="AW3" s="624" t="s">
        <v>2928</v>
      </c>
      <c r="AX3" s="992" t="s">
        <v>2084</v>
      </c>
      <c r="AY3" s="624" t="s">
        <v>2128</v>
      </c>
      <c r="AZ3" s="624" t="s">
        <v>2056</v>
      </c>
      <c r="BA3" s="624" t="s">
        <v>2056</v>
      </c>
      <c r="BB3" s="624" t="s">
        <v>2056</v>
      </c>
      <c r="BC3" s="624" t="s">
        <v>2167</v>
      </c>
      <c r="BD3" s="993" t="s">
        <v>2087</v>
      </c>
      <c r="BE3" s="624" t="s">
        <v>2085</v>
      </c>
      <c r="BF3" s="624" t="s">
        <v>2085</v>
      </c>
      <c r="BG3" s="624" t="s">
        <v>2085</v>
      </c>
      <c r="BH3" s="624" t="s">
        <v>2085</v>
      </c>
      <c r="BI3" s="624" t="s">
        <v>2085</v>
      </c>
      <c r="BJ3" s="624" t="s">
        <v>2085</v>
      </c>
      <c r="BK3" s="624" t="s">
        <v>2085</v>
      </c>
      <c r="BL3" s="624" t="s">
        <v>2085</v>
      </c>
      <c r="BM3" s="624" t="s">
        <v>2085</v>
      </c>
      <c r="BN3" s="624" t="s">
        <v>2085</v>
      </c>
      <c r="BO3" s="624" t="s">
        <v>2085</v>
      </c>
      <c r="BP3" s="624" t="s">
        <v>2085</v>
      </c>
      <c r="BQ3" s="624" t="s">
        <v>2085</v>
      </c>
      <c r="BR3" s="624" t="s">
        <v>2085</v>
      </c>
      <c r="BS3" s="993" t="s">
        <v>2085</v>
      </c>
      <c r="BT3" s="624" t="s">
        <v>2095</v>
      </c>
      <c r="BU3" s="624" t="s">
        <v>2095</v>
      </c>
      <c r="BV3" s="624" t="s">
        <v>2095</v>
      </c>
      <c r="BW3" s="624" t="s">
        <v>2095</v>
      </c>
      <c r="BX3" s="624" t="s">
        <v>2095</v>
      </c>
      <c r="BY3" s="624" t="s">
        <v>2095</v>
      </c>
      <c r="BZ3" s="624" t="s">
        <v>2095</v>
      </c>
      <c r="CA3" s="624" t="s">
        <v>2095</v>
      </c>
      <c r="CB3" s="624" t="s">
        <v>2095</v>
      </c>
      <c r="CC3" s="624" t="s">
        <v>2095</v>
      </c>
      <c r="CD3" s="624" t="s">
        <v>2095</v>
      </c>
      <c r="CE3" s="624" t="s">
        <v>2095</v>
      </c>
      <c r="CF3" s="624" t="s">
        <v>2095</v>
      </c>
      <c r="CG3" s="624" t="s">
        <v>2095</v>
      </c>
      <c r="CH3" s="624" t="s">
        <v>2095</v>
      </c>
      <c r="CI3" s="1004" t="s">
        <v>2096</v>
      </c>
      <c r="CJ3" s="624" t="s">
        <v>2096</v>
      </c>
      <c r="CK3" s="624" t="s">
        <v>2096</v>
      </c>
      <c r="CL3" s="624" t="s">
        <v>2096</v>
      </c>
      <c r="CM3" s="624" t="s">
        <v>2096</v>
      </c>
      <c r="CN3" s="624" t="s">
        <v>2096</v>
      </c>
      <c r="CO3" s="624" t="s">
        <v>2096</v>
      </c>
      <c r="CP3" s="624" t="s">
        <v>2096</v>
      </c>
      <c r="CQ3" s="624" t="s">
        <v>2096</v>
      </c>
      <c r="CR3" s="624" t="s">
        <v>2096</v>
      </c>
      <c r="CS3" s="624" t="s">
        <v>2096</v>
      </c>
      <c r="CT3" s="624" t="s">
        <v>2096</v>
      </c>
      <c r="CU3" s="624" t="s">
        <v>2096</v>
      </c>
      <c r="CV3" s="624" t="s">
        <v>2096</v>
      </c>
      <c r="CW3" s="624" t="s">
        <v>2096</v>
      </c>
      <c r="CX3" s="985" t="s">
        <v>2053</v>
      </c>
      <c r="CY3" s="624" t="s">
        <v>2053</v>
      </c>
      <c r="CZ3" s="624" t="s">
        <v>2053</v>
      </c>
      <c r="DA3" s="624" t="s">
        <v>2053</v>
      </c>
      <c r="DB3" s="624" t="s">
        <v>2053</v>
      </c>
      <c r="DC3" s="1004" t="s">
        <v>3033</v>
      </c>
      <c r="DD3" s="624" t="s">
        <v>3033</v>
      </c>
      <c r="DE3" s="624" t="s">
        <v>3033</v>
      </c>
      <c r="DF3" s="624" t="s">
        <v>3033</v>
      </c>
      <c r="DG3" s="624" t="s">
        <v>3033</v>
      </c>
      <c r="DH3" s="709" t="s">
        <v>2130</v>
      </c>
      <c r="DI3" s="710" t="s">
        <v>2132</v>
      </c>
      <c r="DJ3" s="710" t="s">
        <v>2133</v>
      </c>
      <c r="DK3" s="710" t="s">
        <v>2131</v>
      </c>
      <c r="DL3" s="710" t="s">
        <v>2131</v>
      </c>
      <c r="DM3" s="710" t="s">
        <v>2131</v>
      </c>
      <c r="DN3" s="985" t="s">
        <v>2733</v>
      </c>
      <c r="DO3" s="710" t="s">
        <v>2733</v>
      </c>
      <c r="DP3" s="710" t="s">
        <v>2733</v>
      </c>
      <c r="DQ3" s="710" t="s">
        <v>2733</v>
      </c>
      <c r="DR3" s="710" t="s">
        <v>2733</v>
      </c>
      <c r="DS3" s="710" t="s">
        <v>2733</v>
      </c>
      <c r="DT3" s="710" t="s">
        <v>2733</v>
      </c>
      <c r="DU3" s="985" t="s">
        <v>2967</v>
      </c>
      <c r="DV3" s="710" t="s">
        <v>2967</v>
      </c>
      <c r="DW3" s="710" t="s">
        <v>2967</v>
      </c>
      <c r="DX3" s="710" t="s">
        <v>2967</v>
      </c>
      <c r="DY3" s="710" t="s">
        <v>2967</v>
      </c>
      <c r="DZ3" s="710" t="s">
        <v>2967</v>
      </c>
      <c r="EA3" s="712" t="s">
        <v>2967</v>
      </c>
      <c r="EB3" s="1100" t="s">
        <v>2134</v>
      </c>
      <c r="EC3" s="624" t="s">
        <v>2135</v>
      </c>
      <c r="ED3" s="624" t="s">
        <v>2139</v>
      </c>
      <c r="EE3" s="624" t="s">
        <v>2140</v>
      </c>
      <c r="EF3" s="624" t="s">
        <v>2140</v>
      </c>
      <c r="EG3" s="624" t="s">
        <v>2140</v>
      </c>
      <c r="EH3" s="711" t="s">
        <v>2869</v>
      </c>
      <c r="EI3" s="710" t="s">
        <v>2869</v>
      </c>
      <c r="EJ3" s="710" t="s">
        <v>2869</v>
      </c>
      <c r="EK3" s="710" t="s">
        <v>2869</v>
      </c>
      <c r="EL3" s="710" t="s">
        <v>2869</v>
      </c>
      <c r="EM3" s="710" t="s">
        <v>2869</v>
      </c>
      <c r="EN3" s="710" t="s">
        <v>2869</v>
      </c>
      <c r="EO3" s="710" t="s">
        <v>2869</v>
      </c>
      <c r="EP3" s="710" t="s">
        <v>2869</v>
      </c>
      <c r="EQ3" s="710" t="s">
        <v>2869</v>
      </c>
      <c r="ER3" s="710" t="s">
        <v>2869</v>
      </c>
      <c r="ES3" s="710" t="s">
        <v>2869</v>
      </c>
      <c r="ET3" s="710" t="s">
        <v>2869</v>
      </c>
      <c r="EU3" s="710" t="s">
        <v>2869</v>
      </c>
      <c r="EV3" s="710" t="s">
        <v>2869</v>
      </c>
      <c r="EW3" s="710" t="s">
        <v>2869</v>
      </c>
      <c r="EX3" s="710" t="s">
        <v>2869</v>
      </c>
      <c r="EY3" s="710" t="s">
        <v>2869</v>
      </c>
      <c r="EZ3" s="710" t="s">
        <v>2869</v>
      </c>
      <c r="FA3" s="710" t="s">
        <v>2869</v>
      </c>
      <c r="FB3" s="710" t="s">
        <v>2869</v>
      </c>
      <c r="FC3" s="710" t="s">
        <v>2869</v>
      </c>
      <c r="FD3" s="710" t="s">
        <v>2869</v>
      </c>
      <c r="FE3" s="710" t="s">
        <v>2869</v>
      </c>
      <c r="FF3" s="710" t="s">
        <v>2869</v>
      </c>
      <c r="FG3" s="710" t="s">
        <v>2869</v>
      </c>
      <c r="FH3" s="710" t="s">
        <v>2869</v>
      </c>
      <c r="FI3" s="710" t="s">
        <v>2869</v>
      </c>
      <c r="FJ3" s="710" t="s">
        <v>2869</v>
      </c>
      <c r="FK3" s="710" t="s">
        <v>2869</v>
      </c>
      <c r="FL3" s="710" t="s">
        <v>2869</v>
      </c>
      <c r="FM3" s="710" t="s">
        <v>2869</v>
      </c>
      <c r="FN3" s="710" t="s">
        <v>2869</v>
      </c>
      <c r="FO3" s="710" t="s">
        <v>2869</v>
      </c>
      <c r="FP3" s="710" t="s">
        <v>2869</v>
      </c>
      <c r="FQ3" s="710" t="s">
        <v>2869</v>
      </c>
      <c r="FR3" s="710" t="s">
        <v>2869</v>
      </c>
      <c r="FS3" s="710" t="s">
        <v>2869</v>
      </c>
      <c r="FT3" s="710" t="s">
        <v>2869</v>
      </c>
      <c r="FU3" s="710" t="s">
        <v>2869</v>
      </c>
      <c r="FV3" s="710" t="s">
        <v>2869</v>
      </c>
      <c r="FW3" s="710" t="s">
        <v>2869</v>
      </c>
      <c r="FX3" s="710" t="s">
        <v>2869</v>
      </c>
      <c r="FY3" s="710" t="s">
        <v>2869</v>
      </c>
      <c r="FZ3" s="710" t="s">
        <v>2869</v>
      </c>
      <c r="GA3" s="710" t="s">
        <v>2869</v>
      </c>
      <c r="GB3" s="710" t="s">
        <v>2869</v>
      </c>
      <c r="GC3" s="710" t="s">
        <v>2869</v>
      </c>
      <c r="GD3" s="710" t="s">
        <v>2869</v>
      </c>
      <c r="GE3" s="710" t="s">
        <v>2869</v>
      </c>
      <c r="GF3" s="710" t="s">
        <v>2869</v>
      </c>
      <c r="GG3" s="710" t="s">
        <v>2869</v>
      </c>
      <c r="GH3" s="710" t="s">
        <v>2869</v>
      </c>
      <c r="GI3" s="710" t="s">
        <v>2869</v>
      </c>
      <c r="GJ3" s="710" t="s">
        <v>2869</v>
      </c>
      <c r="GK3" s="710" t="s">
        <v>2869</v>
      </c>
      <c r="GL3" s="710" t="s">
        <v>2869</v>
      </c>
      <c r="GM3" s="710" t="s">
        <v>2869</v>
      </c>
      <c r="GN3" s="985" t="s">
        <v>2966</v>
      </c>
      <c r="GO3" s="710" t="s">
        <v>2966</v>
      </c>
      <c r="GP3" s="710" t="s">
        <v>2966</v>
      </c>
      <c r="GQ3" s="710" t="s">
        <v>2966</v>
      </c>
      <c r="GR3" s="710" t="s">
        <v>2966</v>
      </c>
      <c r="GS3" s="710" t="s">
        <v>2966</v>
      </c>
      <c r="GT3" s="710" t="s">
        <v>2966</v>
      </c>
      <c r="GU3" s="710" t="s">
        <v>2966</v>
      </c>
      <c r="GV3" s="710" t="s">
        <v>2966</v>
      </c>
      <c r="GW3" s="710" t="s">
        <v>2966</v>
      </c>
      <c r="GX3" s="710" t="s">
        <v>2966</v>
      </c>
      <c r="GY3" s="710" t="s">
        <v>2966</v>
      </c>
      <c r="GZ3" s="710" t="s">
        <v>2966</v>
      </c>
      <c r="HA3" s="710" t="s">
        <v>2966</v>
      </c>
      <c r="HB3" s="710" t="s">
        <v>2966</v>
      </c>
      <c r="HC3" s="710" t="s">
        <v>2966</v>
      </c>
      <c r="HD3" s="710" t="s">
        <v>2966</v>
      </c>
      <c r="HE3" s="710" t="s">
        <v>2966</v>
      </c>
      <c r="HF3" s="710" t="s">
        <v>2966</v>
      </c>
      <c r="HG3" s="710" t="s">
        <v>2966</v>
      </c>
      <c r="HH3" s="710" t="s">
        <v>2966</v>
      </c>
      <c r="HI3" s="710" t="s">
        <v>2966</v>
      </c>
      <c r="HJ3" s="710" t="s">
        <v>2966</v>
      </c>
      <c r="HK3" s="710" t="s">
        <v>2966</v>
      </c>
      <c r="HL3" s="710" t="s">
        <v>2966</v>
      </c>
      <c r="HM3" s="710" t="s">
        <v>2966</v>
      </c>
      <c r="HN3" s="710" t="s">
        <v>2966</v>
      </c>
      <c r="HO3" s="710" t="s">
        <v>2966</v>
      </c>
      <c r="HP3" s="710" t="s">
        <v>2966</v>
      </c>
      <c r="HQ3" s="710" t="s">
        <v>2966</v>
      </c>
      <c r="HR3" s="710" t="s">
        <v>2966</v>
      </c>
      <c r="HS3" s="710" t="s">
        <v>2966</v>
      </c>
      <c r="HT3" s="710" t="s">
        <v>2966</v>
      </c>
      <c r="HU3" s="710" t="s">
        <v>2966</v>
      </c>
      <c r="HV3" s="710" t="s">
        <v>2966</v>
      </c>
      <c r="HW3" s="710" t="s">
        <v>2966</v>
      </c>
      <c r="HX3" s="710" t="s">
        <v>2966</v>
      </c>
      <c r="HY3" s="710" t="s">
        <v>2966</v>
      </c>
      <c r="HZ3" s="710" t="s">
        <v>2966</v>
      </c>
      <c r="IA3" s="710" t="s">
        <v>2966</v>
      </c>
      <c r="IB3" s="710" t="s">
        <v>2966</v>
      </c>
      <c r="IC3" s="710" t="s">
        <v>2966</v>
      </c>
      <c r="ID3" s="710" t="s">
        <v>2966</v>
      </c>
      <c r="IE3" s="710" t="s">
        <v>2966</v>
      </c>
      <c r="IF3" s="710" t="s">
        <v>2966</v>
      </c>
      <c r="IG3" s="710" t="s">
        <v>2966</v>
      </c>
      <c r="IH3" s="710" t="s">
        <v>2966</v>
      </c>
      <c r="II3" s="710" t="s">
        <v>2966</v>
      </c>
      <c r="IJ3" s="710" t="s">
        <v>2966</v>
      </c>
      <c r="IK3" s="710" t="s">
        <v>2966</v>
      </c>
      <c r="IL3" s="710" t="s">
        <v>2966</v>
      </c>
      <c r="IM3" s="710" t="s">
        <v>2966</v>
      </c>
      <c r="IN3" s="710" t="s">
        <v>2966</v>
      </c>
      <c r="IO3" s="710" t="s">
        <v>2966</v>
      </c>
      <c r="IP3" s="710" t="s">
        <v>2966</v>
      </c>
      <c r="IQ3" s="710" t="s">
        <v>2966</v>
      </c>
      <c r="IR3" s="710" t="s">
        <v>2966</v>
      </c>
      <c r="IS3" s="710" t="s">
        <v>2966</v>
      </c>
      <c r="IT3" s="709" t="s">
        <v>2141</v>
      </c>
      <c r="IU3" s="710" t="s">
        <v>2142</v>
      </c>
      <c r="IV3" s="710" t="s">
        <v>2143</v>
      </c>
      <c r="IW3" s="710" t="s">
        <v>2144</v>
      </c>
      <c r="IX3" s="710" t="s">
        <v>2147</v>
      </c>
      <c r="IY3" s="710" t="s">
        <v>2054</v>
      </c>
      <c r="IZ3" s="710" t="s">
        <v>2054</v>
      </c>
      <c r="JA3" s="774" t="s">
        <v>2054</v>
      </c>
      <c r="JB3" s="710" t="s">
        <v>2050</v>
      </c>
      <c r="JC3" s="710" t="s">
        <v>2050</v>
      </c>
      <c r="JD3" s="710" t="s">
        <v>2050</v>
      </c>
      <c r="JE3" s="710" t="s">
        <v>2050</v>
      </c>
      <c r="JF3" s="712" t="s">
        <v>2050</v>
      </c>
      <c r="JG3" s="711" t="s">
        <v>2146</v>
      </c>
      <c r="JH3" s="710" t="s">
        <v>2143</v>
      </c>
      <c r="JI3" s="710" t="s">
        <v>2144</v>
      </c>
      <c r="JJ3" s="710" t="s">
        <v>239</v>
      </c>
      <c r="JK3" s="710" t="s">
        <v>2049</v>
      </c>
      <c r="JL3" s="710" t="s">
        <v>2049</v>
      </c>
      <c r="JM3" s="710" t="s">
        <v>2049</v>
      </c>
      <c r="JN3" s="985" t="s">
        <v>2057</v>
      </c>
      <c r="JO3" s="710" t="s">
        <v>2057</v>
      </c>
      <c r="JP3" s="710" t="s">
        <v>2057</v>
      </c>
      <c r="JQ3" s="710" t="s">
        <v>2057</v>
      </c>
      <c r="JR3" s="710" t="s">
        <v>2057</v>
      </c>
      <c r="JS3" s="1208" t="s">
        <v>3091</v>
      </c>
      <c r="JT3" s="1173" t="s">
        <v>2148</v>
      </c>
      <c r="JU3" s="1174" t="s">
        <v>56</v>
      </c>
      <c r="JV3" s="1174" t="s">
        <v>2058</v>
      </c>
      <c r="JW3" s="1174" t="s">
        <v>2058</v>
      </c>
      <c r="JX3" s="1174" t="s">
        <v>2058</v>
      </c>
      <c r="JY3" s="1175" t="s">
        <v>2051</v>
      </c>
      <c r="JZ3" s="1174" t="s">
        <v>2051</v>
      </c>
      <c r="KA3" s="1174" t="s">
        <v>2051</v>
      </c>
      <c r="KB3" s="1174" t="s">
        <v>2051</v>
      </c>
      <c r="KC3" s="1174" t="s">
        <v>2051</v>
      </c>
      <c r="KD3" s="1175" t="s">
        <v>3010</v>
      </c>
      <c r="KE3" s="1174" t="s">
        <v>3010</v>
      </c>
      <c r="KF3" s="1174" t="s">
        <v>3010</v>
      </c>
      <c r="KG3" s="1174" t="s">
        <v>3010</v>
      </c>
      <c r="KH3" s="1174" t="s">
        <v>3010</v>
      </c>
      <c r="KI3" s="1174" t="s">
        <v>3010</v>
      </c>
      <c r="KJ3" s="1174" t="s">
        <v>3010</v>
      </c>
      <c r="KK3" s="1174" t="s">
        <v>3010</v>
      </c>
      <c r="KL3" s="1174" t="s">
        <v>3010</v>
      </c>
      <c r="KM3" s="1175" t="s">
        <v>3041</v>
      </c>
      <c r="KN3" s="1174" t="s">
        <v>3041</v>
      </c>
      <c r="KO3" s="1174" t="s">
        <v>3041</v>
      </c>
      <c r="KP3" s="1174" t="s">
        <v>3041</v>
      </c>
      <c r="KQ3" s="1174" t="s">
        <v>3041</v>
      </c>
      <c r="KR3" s="1174" t="s">
        <v>3041</v>
      </c>
      <c r="KS3" s="1174" t="s">
        <v>3041</v>
      </c>
      <c r="KT3" s="1174" t="s">
        <v>3041</v>
      </c>
      <c r="KU3" s="1174" t="s">
        <v>3041</v>
      </c>
      <c r="KV3" s="1175" t="s">
        <v>3054</v>
      </c>
      <c r="KW3" s="1174" t="s">
        <v>3054</v>
      </c>
      <c r="KX3" s="1174" t="s">
        <v>3054</v>
      </c>
      <c r="KY3" s="1174" t="s">
        <v>3054</v>
      </c>
      <c r="KZ3" s="1174" t="s">
        <v>3054</v>
      </c>
      <c r="LA3" s="1174" t="s">
        <v>3054</v>
      </c>
      <c r="LB3" s="1174" t="s">
        <v>3054</v>
      </c>
      <c r="LC3" s="1174" t="s">
        <v>3054</v>
      </c>
      <c r="LD3" s="1174" t="s">
        <v>3054</v>
      </c>
      <c r="LE3" s="1004" t="s">
        <v>3055</v>
      </c>
      <c r="LF3" s="624" t="s">
        <v>3055</v>
      </c>
      <c r="LG3" s="624" t="s">
        <v>3055</v>
      </c>
      <c r="LH3" s="624" t="s">
        <v>3055</v>
      </c>
      <c r="LI3" s="624" t="s">
        <v>3055</v>
      </c>
      <c r="LJ3" s="1208" t="s">
        <v>3094</v>
      </c>
      <c r="LK3" s="711" t="s">
        <v>2149</v>
      </c>
      <c r="LL3" s="710" t="s">
        <v>2150</v>
      </c>
      <c r="LM3" s="710" t="s">
        <v>2059</v>
      </c>
      <c r="LN3" s="710" t="s">
        <v>2059</v>
      </c>
      <c r="LO3" s="710" t="s">
        <v>2059</v>
      </c>
      <c r="LP3" s="985" t="s">
        <v>2060</v>
      </c>
      <c r="LQ3" s="710" t="s">
        <v>2060</v>
      </c>
      <c r="LR3" s="710" t="s">
        <v>2060</v>
      </c>
      <c r="LS3" s="710" t="s">
        <v>2060</v>
      </c>
      <c r="LT3" s="710" t="s">
        <v>2060</v>
      </c>
      <c r="LU3" s="1208" t="s">
        <v>3094</v>
      </c>
      <c r="LV3" s="711" t="s">
        <v>2154</v>
      </c>
      <c r="LW3" s="710" t="s">
        <v>2154</v>
      </c>
      <c r="LX3" s="710" t="s">
        <v>2154</v>
      </c>
      <c r="LY3" s="713" t="s">
        <v>778</v>
      </c>
      <c r="LZ3" s="714" t="s">
        <v>2183</v>
      </c>
      <c r="MA3" s="714" t="s">
        <v>2183</v>
      </c>
      <c r="MB3" s="715" t="s">
        <v>2183</v>
      </c>
      <c r="MC3" s="716" t="s">
        <v>775</v>
      </c>
      <c r="MD3" s="716" t="s">
        <v>2184</v>
      </c>
      <c r="ME3" s="716" t="s">
        <v>2184</v>
      </c>
      <c r="MF3" s="716" t="s">
        <v>2184</v>
      </c>
      <c r="MG3" s="713" t="s">
        <v>776</v>
      </c>
      <c r="MH3" s="714" t="s">
        <v>2185</v>
      </c>
      <c r="MI3" s="714" t="s">
        <v>2185</v>
      </c>
      <c r="MJ3" s="715" t="s">
        <v>2185</v>
      </c>
      <c r="MK3" s="716" t="s">
        <v>777</v>
      </c>
      <c r="ML3" s="716" t="s">
        <v>2186</v>
      </c>
      <c r="MM3" s="716" t="s">
        <v>2186</v>
      </c>
      <c r="MN3" s="716" t="s">
        <v>2186</v>
      </c>
      <c r="MO3" s="713" t="s">
        <v>779</v>
      </c>
      <c r="MP3" s="714" t="s">
        <v>2187</v>
      </c>
      <c r="MQ3" s="714" t="s">
        <v>2187</v>
      </c>
      <c r="MR3" s="715" t="s">
        <v>2187</v>
      </c>
      <c r="MS3" s="713" t="s">
        <v>780</v>
      </c>
      <c r="MT3" s="714" t="s">
        <v>2188</v>
      </c>
      <c r="MU3" s="714" t="s">
        <v>2188</v>
      </c>
      <c r="MV3" s="715" t="s">
        <v>2188</v>
      </c>
      <c r="MW3" s="694" t="s">
        <v>1281</v>
      </c>
      <c r="MX3" s="695" t="s">
        <v>1281</v>
      </c>
      <c r="MY3" s="695" t="s">
        <v>1281</v>
      </c>
      <c r="MZ3" s="695" t="s">
        <v>1281</v>
      </c>
      <c r="NA3" s="695" t="s">
        <v>1281</v>
      </c>
      <c r="NB3" s="692" t="s">
        <v>1281</v>
      </c>
      <c r="NC3" s="695" t="s">
        <v>1282</v>
      </c>
      <c r="ND3" s="695" t="s">
        <v>1282</v>
      </c>
      <c r="NE3" s="695" t="s">
        <v>1282</v>
      </c>
      <c r="NF3" s="695" t="s">
        <v>1282</v>
      </c>
      <c r="NG3" s="695" t="s">
        <v>1282</v>
      </c>
      <c r="NH3" s="692" t="s">
        <v>1282</v>
      </c>
      <c r="NI3" s="695" t="s">
        <v>1283</v>
      </c>
      <c r="NJ3" s="695" t="s">
        <v>1283</v>
      </c>
      <c r="NK3" s="695" t="s">
        <v>1283</v>
      </c>
      <c r="NL3" s="695" t="s">
        <v>1283</v>
      </c>
      <c r="NM3" s="695" t="s">
        <v>1283</v>
      </c>
      <c r="NN3" s="692" t="s">
        <v>1283</v>
      </c>
      <c r="NO3" s="695" t="s">
        <v>1284</v>
      </c>
      <c r="NP3" s="695" t="s">
        <v>1284</v>
      </c>
      <c r="NQ3" s="695" t="s">
        <v>1284</v>
      </c>
      <c r="NR3" s="695" t="s">
        <v>1284</v>
      </c>
      <c r="NS3" s="695" t="s">
        <v>1284</v>
      </c>
      <c r="NT3" s="692" t="s">
        <v>1284</v>
      </c>
      <c r="NU3" s="695" t="s">
        <v>1285</v>
      </c>
      <c r="NV3" s="695" t="s">
        <v>1285</v>
      </c>
      <c r="NW3" s="695" t="s">
        <v>1285</v>
      </c>
      <c r="NX3" s="695" t="s">
        <v>1285</v>
      </c>
      <c r="NY3" s="695" t="s">
        <v>1285</v>
      </c>
      <c r="NZ3" s="692" t="s">
        <v>1285</v>
      </c>
      <c r="OA3" s="695" t="s">
        <v>1286</v>
      </c>
      <c r="OB3" s="695" t="s">
        <v>1286</v>
      </c>
      <c r="OC3" s="695" t="s">
        <v>1286</v>
      </c>
      <c r="OD3" s="695" t="s">
        <v>1286</v>
      </c>
      <c r="OE3" s="695" t="s">
        <v>1286</v>
      </c>
      <c r="OF3" s="696" t="s">
        <v>1286</v>
      </c>
      <c r="OG3" s="694" t="s">
        <v>1287</v>
      </c>
      <c r="OH3" s="695" t="s">
        <v>1287</v>
      </c>
      <c r="OI3" s="695" t="s">
        <v>1287</v>
      </c>
      <c r="OJ3" s="695" t="s">
        <v>1287</v>
      </c>
      <c r="OK3" s="695" t="s">
        <v>1287</v>
      </c>
      <c r="OL3" s="692" t="s">
        <v>1287</v>
      </c>
      <c r="OM3" s="695" t="s">
        <v>1288</v>
      </c>
      <c r="ON3" s="695" t="s">
        <v>1288</v>
      </c>
      <c r="OO3" s="695" t="s">
        <v>1288</v>
      </c>
      <c r="OP3" s="695" t="s">
        <v>1288</v>
      </c>
      <c r="OQ3" s="695" t="s">
        <v>1288</v>
      </c>
      <c r="OR3" s="692" t="s">
        <v>1288</v>
      </c>
      <c r="OS3" s="695" t="s">
        <v>1289</v>
      </c>
      <c r="OT3" s="695" t="s">
        <v>1289</v>
      </c>
      <c r="OU3" s="695" t="s">
        <v>1289</v>
      </c>
      <c r="OV3" s="695" t="s">
        <v>1289</v>
      </c>
      <c r="OW3" s="695" t="s">
        <v>1289</v>
      </c>
      <c r="OX3" s="692" t="s">
        <v>1289</v>
      </c>
      <c r="OY3" s="695" t="s">
        <v>1290</v>
      </c>
      <c r="OZ3" s="695" t="s">
        <v>1290</v>
      </c>
      <c r="PA3" s="695" t="s">
        <v>1290</v>
      </c>
      <c r="PB3" s="695" t="s">
        <v>1290</v>
      </c>
      <c r="PC3" s="695" t="s">
        <v>1290</v>
      </c>
      <c r="PD3" s="696" t="s">
        <v>1290</v>
      </c>
      <c r="PE3" s="694" t="s">
        <v>1291</v>
      </c>
      <c r="PF3" s="695" t="s">
        <v>1291</v>
      </c>
      <c r="PG3" s="695" t="s">
        <v>1291</v>
      </c>
      <c r="PH3" s="695" t="s">
        <v>1291</v>
      </c>
      <c r="PI3" s="695" t="s">
        <v>1291</v>
      </c>
      <c r="PJ3" s="692" t="s">
        <v>1291</v>
      </c>
      <c r="PK3" s="695" t="s">
        <v>1292</v>
      </c>
      <c r="PL3" s="695" t="s">
        <v>1292</v>
      </c>
      <c r="PM3" s="695" t="s">
        <v>1292</v>
      </c>
      <c r="PN3" s="695" t="s">
        <v>1292</v>
      </c>
      <c r="PO3" s="695" t="s">
        <v>1292</v>
      </c>
      <c r="PP3" s="692" t="s">
        <v>1292</v>
      </c>
      <c r="PQ3" s="695" t="s">
        <v>1293</v>
      </c>
      <c r="PR3" s="695" t="s">
        <v>1293</v>
      </c>
      <c r="PS3" s="695" t="s">
        <v>1293</v>
      </c>
      <c r="PT3" s="695" t="s">
        <v>1293</v>
      </c>
      <c r="PU3" s="695" t="s">
        <v>1293</v>
      </c>
      <c r="PV3" s="692" t="s">
        <v>1293</v>
      </c>
      <c r="PW3" s="695" t="s">
        <v>1294</v>
      </c>
      <c r="PX3" s="695" t="s">
        <v>1294</v>
      </c>
      <c r="PY3" s="695" t="s">
        <v>1294</v>
      </c>
      <c r="PZ3" s="695" t="s">
        <v>1294</v>
      </c>
      <c r="QA3" s="695" t="s">
        <v>1294</v>
      </c>
      <c r="QB3" s="692" t="s">
        <v>1294</v>
      </c>
      <c r="QC3" s="695" t="s">
        <v>1295</v>
      </c>
      <c r="QD3" s="695" t="s">
        <v>1295</v>
      </c>
      <c r="QE3" s="695" t="s">
        <v>1295</v>
      </c>
      <c r="QF3" s="695" t="s">
        <v>1295</v>
      </c>
      <c r="QG3" s="695" t="s">
        <v>1295</v>
      </c>
      <c r="QH3" s="696" t="s">
        <v>1295</v>
      </c>
      <c r="QI3" s="694" t="s">
        <v>1296</v>
      </c>
      <c r="QJ3" s="695" t="s">
        <v>1296</v>
      </c>
      <c r="QK3" s="695" t="s">
        <v>1296</v>
      </c>
      <c r="QL3" s="695" t="s">
        <v>1296</v>
      </c>
      <c r="QM3" s="695" t="s">
        <v>1296</v>
      </c>
      <c r="QN3" s="692" t="s">
        <v>1296</v>
      </c>
      <c r="QO3" s="695" t="s">
        <v>1280</v>
      </c>
      <c r="QP3" s="695" t="s">
        <v>1280</v>
      </c>
      <c r="QQ3" s="695" t="s">
        <v>1280</v>
      </c>
      <c r="QR3" s="695" t="s">
        <v>1280</v>
      </c>
      <c r="QS3" s="695" t="s">
        <v>1280</v>
      </c>
      <c r="QT3" s="692" t="s">
        <v>1280</v>
      </c>
      <c r="QU3" s="695" t="s">
        <v>1297</v>
      </c>
      <c r="QV3" s="695" t="s">
        <v>1297</v>
      </c>
      <c r="QW3" s="695" t="s">
        <v>1297</v>
      </c>
      <c r="QX3" s="695" t="s">
        <v>1297</v>
      </c>
      <c r="QY3" s="695" t="s">
        <v>1297</v>
      </c>
      <c r="QZ3" s="692" t="s">
        <v>1297</v>
      </c>
      <c r="RA3" s="695" t="s">
        <v>1298</v>
      </c>
      <c r="RB3" s="695" t="s">
        <v>1298</v>
      </c>
      <c r="RC3" s="695" t="s">
        <v>1298</v>
      </c>
      <c r="RD3" s="695" t="s">
        <v>1298</v>
      </c>
      <c r="RE3" s="695" t="s">
        <v>1298</v>
      </c>
      <c r="RF3" s="692" t="s">
        <v>1298</v>
      </c>
      <c r="RG3" s="695" t="s">
        <v>1299</v>
      </c>
      <c r="RH3" s="695" t="s">
        <v>1299</v>
      </c>
      <c r="RI3" s="695" t="s">
        <v>1299</v>
      </c>
      <c r="RJ3" s="695" t="s">
        <v>1299</v>
      </c>
      <c r="RK3" s="695" t="s">
        <v>1299</v>
      </c>
      <c r="RL3" s="696" t="s">
        <v>1299</v>
      </c>
      <c r="RM3" s="694" t="s">
        <v>1300</v>
      </c>
      <c r="RN3" s="695" t="s">
        <v>1300</v>
      </c>
      <c r="RO3" s="695" t="s">
        <v>1300</v>
      </c>
      <c r="RP3" s="695" t="s">
        <v>1300</v>
      </c>
      <c r="RQ3" s="695" t="s">
        <v>1300</v>
      </c>
      <c r="RR3" s="692" t="s">
        <v>1300</v>
      </c>
      <c r="RS3" s="695" t="s">
        <v>1301</v>
      </c>
      <c r="RT3" s="695" t="s">
        <v>1301</v>
      </c>
      <c r="RU3" s="695" t="s">
        <v>1301</v>
      </c>
      <c r="RV3" s="695" t="s">
        <v>1301</v>
      </c>
      <c r="RW3" s="695" t="s">
        <v>1301</v>
      </c>
      <c r="RX3" s="695" t="s">
        <v>1301</v>
      </c>
      <c r="RY3" s="704" t="s">
        <v>1302</v>
      </c>
      <c r="RZ3" s="695" t="s">
        <v>1302</v>
      </c>
      <c r="SA3" s="695" t="s">
        <v>1302</v>
      </c>
      <c r="SB3" s="695" t="s">
        <v>1302</v>
      </c>
      <c r="SC3" s="695" t="s">
        <v>1302</v>
      </c>
      <c r="SD3" s="695" t="s">
        <v>1302</v>
      </c>
      <c r="SE3" s="704" t="s">
        <v>1303</v>
      </c>
      <c r="SF3" s="695" t="s">
        <v>1303</v>
      </c>
      <c r="SG3" s="695" t="s">
        <v>1303</v>
      </c>
      <c r="SH3" s="695" t="s">
        <v>1303</v>
      </c>
      <c r="SI3" s="695" t="s">
        <v>1303</v>
      </c>
      <c r="SJ3" s="695" t="s">
        <v>1303</v>
      </c>
      <c r="SK3" s="704" t="s">
        <v>1304</v>
      </c>
      <c r="SL3" s="695" t="s">
        <v>1304</v>
      </c>
      <c r="SM3" s="695" t="s">
        <v>1304</v>
      </c>
      <c r="SN3" s="695" t="s">
        <v>1304</v>
      </c>
      <c r="SO3" s="695" t="s">
        <v>1304</v>
      </c>
      <c r="SP3" s="696" t="s">
        <v>1304</v>
      </c>
      <c r="SQ3" s="694" t="s">
        <v>1305</v>
      </c>
      <c r="SR3" s="695" t="s">
        <v>1305</v>
      </c>
      <c r="SS3" s="695" t="s">
        <v>1305</v>
      </c>
      <c r="ST3" s="695" t="s">
        <v>1305</v>
      </c>
      <c r="SU3" s="695" t="s">
        <v>1305</v>
      </c>
      <c r="SV3" s="695" t="s">
        <v>1305</v>
      </c>
      <c r="SW3" s="704" t="s">
        <v>1306</v>
      </c>
      <c r="SX3" s="695" t="s">
        <v>1306</v>
      </c>
      <c r="SY3" s="695" t="s">
        <v>1306</v>
      </c>
      <c r="SZ3" s="695" t="s">
        <v>1306</v>
      </c>
      <c r="TA3" s="695" t="s">
        <v>1306</v>
      </c>
      <c r="TB3" s="695" t="s">
        <v>1306</v>
      </c>
      <c r="TC3" s="704" t="s">
        <v>1307</v>
      </c>
      <c r="TD3" s="695" t="s">
        <v>1307</v>
      </c>
      <c r="TE3" s="695" t="s">
        <v>1307</v>
      </c>
      <c r="TF3" s="695" t="s">
        <v>1307</v>
      </c>
      <c r="TG3" s="695" t="s">
        <v>1307</v>
      </c>
      <c r="TH3" s="695" t="s">
        <v>1307</v>
      </c>
      <c r="TI3" s="704" t="s">
        <v>1308</v>
      </c>
      <c r="TJ3" s="695" t="s">
        <v>1308</v>
      </c>
      <c r="TK3" s="695" t="s">
        <v>1308</v>
      </c>
      <c r="TL3" s="695" t="s">
        <v>1308</v>
      </c>
      <c r="TM3" s="695" t="s">
        <v>1308</v>
      </c>
      <c r="TN3" s="695" t="s">
        <v>1308</v>
      </c>
      <c r="TO3" s="704" t="s">
        <v>1309</v>
      </c>
      <c r="TP3" s="695" t="s">
        <v>1309</v>
      </c>
      <c r="TQ3" s="695" t="s">
        <v>1309</v>
      </c>
      <c r="TR3" s="695" t="s">
        <v>1309</v>
      </c>
      <c r="TS3" s="695" t="s">
        <v>1309</v>
      </c>
      <c r="TT3" s="696" t="s">
        <v>1309</v>
      </c>
      <c r="TU3" s="694" t="s">
        <v>1310</v>
      </c>
      <c r="TV3" s="695" t="s">
        <v>1310</v>
      </c>
      <c r="TW3" s="695" t="s">
        <v>1310</v>
      </c>
      <c r="TX3" s="695" t="s">
        <v>1310</v>
      </c>
      <c r="TY3" s="695" t="s">
        <v>1310</v>
      </c>
      <c r="TZ3" s="695" t="s">
        <v>1310</v>
      </c>
      <c r="UA3" s="704" t="s">
        <v>1311</v>
      </c>
      <c r="UB3" s="695" t="s">
        <v>1311</v>
      </c>
      <c r="UC3" s="695" t="s">
        <v>1311</v>
      </c>
      <c r="UD3" s="695" t="s">
        <v>1311</v>
      </c>
      <c r="UE3" s="695" t="s">
        <v>1311</v>
      </c>
      <c r="UF3" s="695" t="s">
        <v>1311</v>
      </c>
      <c r="UG3" s="704" t="s">
        <v>1312</v>
      </c>
      <c r="UH3" s="695" t="s">
        <v>1312</v>
      </c>
      <c r="UI3" s="695" t="s">
        <v>1312</v>
      </c>
      <c r="UJ3" s="695" t="s">
        <v>1312</v>
      </c>
      <c r="UK3" s="695" t="s">
        <v>1312</v>
      </c>
      <c r="UL3" s="695" t="s">
        <v>1312</v>
      </c>
      <c r="UM3" s="704" t="s">
        <v>1313</v>
      </c>
      <c r="UN3" s="695" t="s">
        <v>1313</v>
      </c>
      <c r="UO3" s="695" t="s">
        <v>1313</v>
      </c>
      <c r="UP3" s="695" t="s">
        <v>1313</v>
      </c>
      <c r="UQ3" s="695" t="s">
        <v>1313</v>
      </c>
      <c r="UR3" s="692" t="s">
        <v>1313</v>
      </c>
      <c r="US3" s="695" t="s">
        <v>1314</v>
      </c>
      <c r="UT3" s="695" t="s">
        <v>1314</v>
      </c>
      <c r="UU3" s="695" t="s">
        <v>1314</v>
      </c>
      <c r="UV3" s="695" t="s">
        <v>1314</v>
      </c>
      <c r="UW3" s="695" t="s">
        <v>1314</v>
      </c>
      <c r="UX3" s="695" t="s">
        <v>1314</v>
      </c>
      <c r="UY3" s="704" t="s">
        <v>1315</v>
      </c>
      <c r="UZ3" s="695" t="s">
        <v>1315</v>
      </c>
      <c r="VA3" s="695" t="s">
        <v>1315</v>
      </c>
      <c r="VB3" s="695" t="s">
        <v>1315</v>
      </c>
      <c r="VC3" s="695" t="s">
        <v>1315</v>
      </c>
      <c r="VD3" s="696" t="s">
        <v>1315</v>
      </c>
      <c r="VE3" s="682" t="s">
        <v>1335</v>
      </c>
      <c r="VF3" s="683" t="s">
        <v>1335</v>
      </c>
      <c r="VG3" s="683" t="s">
        <v>1335</v>
      </c>
      <c r="VH3" s="683" t="s">
        <v>1335</v>
      </c>
      <c r="VI3" s="683" t="s">
        <v>1335</v>
      </c>
      <c r="VJ3" s="683" t="s">
        <v>1335</v>
      </c>
      <c r="VK3" s="772" t="s">
        <v>1335</v>
      </c>
      <c r="VL3" s="717" t="s">
        <v>1992</v>
      </c>
      <c r="VM3" s="717" t="s">
        <v>1992</v>
      </c>
      <c r="VN3" s="718" t="s">
        <v>1992</v>
      </c>
      <c r="VO3" s="719" t="s">
        <v>1993</v>
      </c>
      <c r="VP3" s="717" t="s">
        <v>1993</v>
      </c>
      <c r="VQ3" s="718" t="s">
        <v>1993</v>
      </c>
      <c r="VR3" s="719" t="s">
        <v>1994</v>
      </c>
      <c r="VS3" s="717" t="s">
        <v>1994</v>
      </c>
      <c r="VT3" s="718" t="s">
        <v>1994</v>
      </c>
      <c r="VU3" s="719" t="s">
        <v>1995</v>
      </c>
      <c r="VV3" s="717" t="s">
        <v>1995</v>
      </c>
      <c r="VW3" s="718" t="s">
        <v>1995</v>
      </c>
      <c r="VX3" s="719" t="s">
        <v>1996</v>
      </c>
      <c r="VY3" s="717" t="s">
        <v>1996</v>
      </c>
      <c r="VZ3" s="718" t="s">
        <v>1996</v>
      </c>
      <c r="WA3" s="719" t="s">
        <v>1997</v>
      </c>
      <c r="WB3" s="717" t="s">
        <v>1997</v>
      </c>
      <c r="WC3" s="718" t="s">
        <v>1997</v>
      </c>
      <c r="WD3" s="719" t="s">
        <v>1998</v>
      </c>
      <c r="WE3" s="717" t="s">
        <v>1998</v>
      </c>
      <c r="WF3" s="718" t="s">
        <v>1998</v>
      </c>
      <c r="WG3" s="719" t="s">
        <v>1999</v>
      </c>
      <c r="WH3" s="717" t="s">
        <v>1999</v>
      </c>
      <c r="WI3" s="718" t="s">
        <v>1999</v>
      </c>
      <c r="WJ3" s="719" t="s">
        <v>2000</v>
      </c>
      <c r="WK3" s="717" t="s">
        <v>2000</v>
      </c>
      <c r="WL3" s="718" t="s">
        <v>2000</v>
      </c>
      <c r="WM3" s="719" t="s">
        <v>2001</v>
      </c>
      <c r="WN3" s="717" t="s">
        <v>2001</v>
      </c>
      <c r="WO3" s="718" t="s">
        <v>2001</v>
      </c>
      <c r="WP3" s="719" t="s">
        <v>2002</v>
      </c>
      <c r="WQ3" s="717" t="s">
        <v>2002</v>
      </c>
      <c r="WR3" s="717" t="s">
        <v>2002</v>
      </c>
      <c r="WS3" s="768" t="s">
        <v>2003</v>
      </c>
      <c r="WT3" s="720" t="s">
        <v>2003</v>
      </c>
      <c r="WU3" s="720" t="s">
        <v>2003</v>
      </c>
      <c r="WV3" s="720" t="s">
        <v>2003</v>
      </c>
      <c r="WW3" s="769" t="s">
        <v>2003</v>
      </c>
      <c r="WX3" s="767" t="s">
        <v>2011</v>
      </c>
      <c r="WY3" s="722" t="s">
        <v>2009</v>
      </c>
      <c r="WZ3" s="723" t="s">
        <v>2009</v>
      </c>
      <c r="XA3" s="723" t="s">
        <v>2009</v>
      </c>
      <c r="XB3" s="724" t="s">
        <v>2009</v>
      </c>
      <c r="XC3" s="723" t="s">
        <v>2008</v>
      </c>
      <c r="XD3" s="723" t="s">
        <v>2008</v>
      </c>
      <c r="XE3" s="723" t="s">
        <v>2008</v>
      </c>
      <c r="XF3" s="723" t="s">
        <v>2008</v>
      </c>
      <c r="XG3" s="723" t="s">
        <v>2008</v>
      </c>
      <c r="XH3" s="723" t="s">
        <v>2008</v>
      </c>
      <c r="XI3" s="723" t="s">
        <v>2008</v>
      </c>
      <c r="XJ3" s="723" t="s">
        <v>2008</v>
      </c>
      <c r="XK3" s="722" t="s">
        <v>2007</v>
      </c>
      <c r="XL3" s="723" t="s">
        <v>2007</v>
      </c>
      <c r="XM3" s="723" t="s">
        <v>2007</v>
      </c>
      <c r="XN3" s="723" t="s">
        <v>2007</v>
      </c>
      <c r="XO3" s="723" t="s">
        <v>2007</v>
      </c>
      <c r="XP3" s="723" t="s">
        <v>2007</v>
      </c>
      <c r="XQ3" s="723" t="s">
        <v>2007</v>
      </c>
      <c r="XR3" s="723" t="s">
        <v>2007</v>
      </c>
      <c r="XS3" s="722" t="s">
        <v>2005</v>
      </c>
      <c r="XT3" s="723" t="s">
        <v>2005</v>
      </c>
      <c r="XU3" s="723" t="s">
        <v>2005</v>
      </c>
      <c r="XV3" s="723" t="s">
        <v>2005</v>
      </c>
      <c r="XW3" s="723" t="s">
        <v>2005</v>
      </c>
      <c r="XX3" s="723" t="s">
        <v>2005</v>
      </c>
      <c r="XY3" s="723" t="s">
        <v>2005</v>
      </c>
      <c r="XZ3" s="724" t="s">
        <v>2005</v>
      </c>
      <c r="YA3" s="723" t="s">
        <v>2006</v>
      </c>
      <c r="YB3" s="723" t="s">
        <v>2006</v>
      </c>
      <c r="YC3" s="723" t="s">
        <v>2006</v>
      </c>
      <c r="YD3" s="723" t="s">
        <v>2006</v>
      </c>
      <c r="YE3" s="723" t="s">
        <v>2006</v>
      </c>
      <c r="YF3" s="723" t="s">
        <v>2006</v>
      </c>
      <c r="YG3" s="723" t="s">
        <v>2006</v>
      </c>
      <c r="YH3" s="723" t="s">
        <v>2006</v>
      </c>
      <c r="YI3" s="722" t="s">
        <v>2012</v>
      </c>
      <c r="YJ3" s="723" t="s">
        <v>2012</v>
      </c>
      <c r="YK3" s="723" t="s">
        <v>2012</v>
      </c>
      <c r="YL3" s="723" t="s">
        <v>2012</v>
      </c>
      <c r="YM3" s="723" t="s">
        <v>2012</v>
      </c>
      <c r="YN3" s="723" t="s">
        <v>2012</v>
      </c>
      <c r="YO3" s="723" t="s">
        <v>2012</v>
      </c>
      <c r="YP3" s="723" t="s">
        <v>2012</v>
      </c>
      <c r="YQ3" s="722" t="s">
        <v>2013</v>
      </c>
      <c r="YR3" s="723" t="s">
        <v>2013</v>
      </c>
      <c r="YS3" s="723" t="s">
        <v>2013</v>
      </c>
      <c r="YT3" s="723" t="s">
        <v>2013</v>
      </c>
      <c r="YU3" s="723" t="s">
        <v>2013</v>
      </c>
      <c r="YV3" s="723" t="s">
        <v>2013</v>
      </c>
      <c r="YW3" s="723" t="s">
        <v>2013</v>
      </c>
      <c r="YX3" s="723" t="s">
        <v>2013</v>
      </c>
      <c r="YY3" s="722" t="s">
        <v>2014</v>
      </c>
      <c r="YZ3" s="723" t="s">
        <v>2014</v>
      </c>
      <c r="ZA3" s="723" t="s">
        <v>2014</v>
      </c>
      <c r="ZB3" s="723" t="s">
        <v>2014</v>
      </c>
      <c r="ZC3" s="723" t="s">
        <v>2014</v>
      </c>
      <c r="ZD3" s="723" t="s">
        <v>2014</v>
      </c>
      <c r="ZE3" s="723" t="s">
        <v>2014</v>
      </c>
      <c r="ZF3" s="723" t="s">
        <v>2014</v>
      </c>
      <c r="ZG3" s="725" t="s">
        <v>2015</v>
      </c>
      <c r="ZH3" s="726" t="s">
        <v>2015</v>
      </c>
      <c r="ZI3" s="726" t="s">
        <v>2015</v>
      </c>
      <c r="ZJ3" s="726" t="s">
        <v>2015</v>
      </c>
      <c r="ZK3" s="726" t="s">
        <v>2015</v>
      </c>
      <c r="ZL3" s="726" t="s">
        <v>2015</v>
      </c>
      <c r="ZM3" s="726" t="s">
        <v>2015</v>
      </c>
      <c r="ZN3" s="726" t="s">
        <v>2015</v>
      </c>
      <c r="ZO3" s="722" t="s">
        <v>2016</v>
      </c>
      <c r="ZP3" s="723" t="s">
        <v>2016</v>
      </c>
      <c r="ZQ3" s="723" t="s">
        <v>2016</v>
      </c>
      <c r="ZR3" s="723" t="s">
        <v>2016</v>
      </c>
      <c r="ZS3" s="723" t="s">
        <v>2016</v>
      </c>
      <c r="ZT3" s="723" t="s">
        <v>2016</v>
      </c>
      <c r="ZU3" s="723" t="s">
        <v>2016</v>
      </c>
      <c r="ZV3" s="723" t="s">
        <v>2016</v>
      </c>
      <c r="ZW3" s="722" t="s">
        <v>2017</v>
      </c>
      <c r="ZX3" s="723" t="s">
        <v>2017</v>
      </c>
      <c r="ZY3" s="723" t="s">
        <v>2017</v>
      </c>
      <c r="ZZ3" s="723" t="s">
        <v>2017</v>
      </c>
      <c r="AAA3" s="723" t="s">
        <v>2017</v>
      </c>
      <c r="AAB3" s="723" t="s">
        <v>2017</v>
      </c>
      <c r="AAC3" s="723" t="s">
        <v>2017</v>
      </c>
      <c r="AAD3" s="724" t="s">
        <v>2017</v>
      </c>
      <c r="AAE3" s="722" t="s">
        <v>2018</v>
      </c>
      <c r="AAF3" s="723" t="s">
        <v>2018</v>
      </c>
      <c r="AAG3" s="723" t="s">
        <v>2018</v>
      </c>
      <c r="AAH3" s="723" t="s">
        <v>2018</v>
      </c>
      <c r="AAI3" s="723" t="s">
        <v>2018</v>
      </c>
      <c r="AAJ3" s="723" t="s">
        <v>2018</v>
      </c>
      <c r="AAK3" s="723" t="s">
        <v>2018</v>
      </c>
      <c r="AAL3" s="723" t="s">
        <v>2018</v>
      </c>
      <c r="AAM3" s="722" t="s">
        <v>2019</v>
      </c>
      <c r="AAN3" s="723" t="s">
        <v>2019</v>
      </c>
      <c r="AAO3" s="723" t="s">
        <v>2019</v>
      </c>
      <c r="AAP3" s="723" t="s">
        <v>2019</v>
      </c>
      <c r="AAQ3" s="723" t="s">
        <v>2019</v>
      </c>
      <c r="AAR3" s="723" t="s">
        <v>2019</v>
      </c>
      <c r="AAS3" s="723" t="s">
        <v>2019</v>
      </c>
      <c r="AAT3" s="724" t="s">
        <v>2019</v>
      </c>
      <c r="AAU3" s="722" t="s">
        <v>2020</v>
      </c>
      <c r="AAV3" s="723" t="s">
        <v>2020</v>
      </c>
      <c r="AAW3" s="723" t="s">
        <v>2020</v>
      </c>
      <c r="AAX3" s="723" t="s">
        <v>2020</v>
      </c>
      <c r="AAY3" s="723" t="s">
        <v>2020</v>
      </c>
      <c r="AAZ3" s="723" t="s">
        <v>2020</v>
      </c>
      <c r="ABA3" s="723" t="s">
        <v>2020</v>
      </c>
      <c r="ABB3" s="724" t="s">
        <v>2020</v>
      </c>
      <c r="ABC3" s="722" t="s">
        <v>2033</v>
      </c>
      <c r="ABD3" s="723" t="s">
        <v>2033</v>
      </c>
      <c r="ABE3" s="723" t="s">
        <v>2033</v>
      </c>
      <c r="ABF3" s="723" t="s">
        <v>2033</v>
      </c>
      <c r="ABG3" s="723" t="s">
        <v>2033</v>
      </c>
      <c r="ABH3" s="723" t="s">
        <v>2033</v>
      </c>
      <c r="ABI3" s="723" t="s">
        <v>2033</v>
      </c>
      <c r="ABJ3" s="724" t="s">
        <v>2033</v>
      </c>
      <c r="ABK3" s="722" t="s">
        <v>2034</v>
      </c>
      <c r="ABL3" s="723" t="s">
        <v>2034</v>
      </c>
      <c r="ABM3" s="723" t="s">
        <v>2034</v>
      </c>
      <c r="ABN3" s="723" t="s">
        <v>2034</v>
      </c>
      <c r="ABO3" s="723" t="s">
        <v>2034</v>
      </c>
      <c r="ABP3" s="723" t="s">
        <v>2034</v>
      </c>
      <c r="ABQ3" s="723" t="s">
        <v>2034</v>
      </c>
      <c r="ABR3" s="724" t="s">
        <v>2034</v>
      </c>
      <c r="ABS3" s="722" t="s">
        <v>2035</v>
      </c>
      <c r="ABT3" s="723" t="s">
        <v>2035</v>
      </c>
      <c r="ABU3" s="723" t="s">
        <v>2035</v>
      </c>
      <c r="ABV3" s="723" t="s">
        <v>2035</v>
      </c>
      <c r="ABW3" s="723" t="s">
        <v>2035</v>
      </c>
      <c r="ABX3" s="723" t="s">
        <v>2035</v>
      </c>
      <c r="ABY3" s="723" t="s">
        <v>2035</v>
      </c>
      <c r="ABZ3" s="724" t="s">
        <v>2035</v>
      </c>
      <c r="ACA3" s="727" t="s">
        <v>2036</v>
      </c>
      <c r="ACB3" s="728" t="s">
        <v>2036</v>
      </c>
      <c r="ACC3" s="728" t="s">
        <v>2036</v>
      </c>
      <c r="ACD3" s="728" t="s">
        <v>2036</v>
      </c>
      <c r="ACE3" s="728" t="s">
        <v>2036</v>
      </c>
      <c r="ACF3" s="728" t="s">
        <v>2036</v>
      </c>
      <c r="ACG3" s="728" t="s">
        <v>2036</v>
      </c>
      <c r="ACH3" s="729" t="s">
        <v>2036</v>
      </c>
      <c r="ACI3" s="727" t="s">
        <v>2037</v>
      </c>
      <c r="ACJ3" s="728" t="s">
        <v>2037</v>
      </c>
      <c r="ACK3" s="728" t="s">
        <v>2037</v>
      </c>
      <c r="ACL3" s="728" t="s">
        <v>2037</v>
      </c>
      <c r="ACM3" s="728" t="s">
        <v>2037</v>
      </c>
      <c r="ACN3" s="728" t="s">
        <v>2037</v>
      </c>
      <c r="ACO3" s="728" t="s">
        <v>2037</v>
      </c>
      <c r="ACP3" s="729" t="s">
        <v>2037</v>
      </c>
      <c r="ACQ3" s="727" t="s">
        <v>2038</v>
      </c>
      <c r="ACR3" s="728" t="s">
        <v>2038</v>
      </c>
      <c r="ACS3" s="728" t="s">
        <v>2038</v>
      </c>
      <c r="ACT3" s="728" t="s">
        <v>2038</v>
      </c>
      <c r="ACU3" s="728" t="s">
        <v>2038</v>
      </c>
      <c r="ACV3" s="728" t="s">
        <v>2038</v>
      </c>
      <c r="ACW3" s="728" t="s">
        <v>2038</v>
      </c>
      <c r="ACX3" s="729" t="s">
        <v>2038</v>
      </c>
      <c r="ACY3" s="727" t="s">
        <v>2039</v>
      </c>
      <c r="ACZ3" s="728" t="s">
        <v>2039</v>
      </c>
      <c r="ADA3" s="728" t="s">
        <v>2039</v>
      </c>
      <c r="ADB3" s="728" t="s">
        <v>2039</v>
      </c>
      <c r="ADC3" s="728" t="s">
        <v>2039</v>
      </c>
      <c r="ADD3" s="728" t="s">
        <v>2039</v>
      </c>
      <c r="ADE3" s="728" t="s">
        <v>2039</v>
      </c>
      <c r="ADF3" s="729" t="s">
        <v>2039</v>
      </c>
      <c r="ADG3" s="722" t="s">
        <v>2040</v>
      </c>
      <c r="ADH3" s="723" t="s">
        <v>2040</v>
      </c>
      <c r="ADI3" s="723" t="s">
        <v>2040</v>
      </c>
      <c r="ADJ3" s="723" t="s">
        <v>2040</v>
      </c>
      <c r="ADK3" s="723" t="s">
        <v>2040</v>
      </c>
      <c r="ADL3" s="723" t="s">
        <v>2040</v>
      </c>
      <c r="ADM3" s="723" t="s">
        <v>2040</v>
      </c>
      <c r="ADN3" s="724" t="s">
        <v>2040</v>
      </c>
      <c r="ADO3" s="722" t="s">
        <v>2041</v>
      </c>
      <c r="ADP3" s="723" t="s">
        <v>2041</v>
      </c>
      <c r="ADQ3" s="723" t="s">
        <v>2041</v>
      </c>
      <c r="ADR3" s="723" t="s">
        <v>2041</v>
      </c>
      <c r="ADS3" s="723" t="s">
        <v>2041</v>
      </c>
      <c r="ADT3" s="723" t="s">
        <v>2041</v>
      </c>
      <c r="ADU3" s="723" t="s">
        <v>2041</v>
      </c>
      <c r="ADV3" s="724" t="s">
        <v>2041</v>
      </c>
      <c r="ADW3" s="722" t="s">
        <v>2042</v>
      </c>
      <c r="ADX3" s="723" t="s">
        <v>2042</v>
      </c>
      <c r="ADY3" s="723" t="s">
        <v>2042</v>
      </c>
      <c r="ADZ3" s="723" t="s">
        <v>2042</v>
      </c>
      <c r="AEA3" s="723" t="s">
        <v>2042</v>
      </c>
      <c r="AEB3" s="723" t="s">
        <v>2042</v>
      </c>
      <c r="AEC3" s="723" t="s">
        <v>2042</v>
      </c>
      <c r="AED3" s="724" t="s">
        <v>2042</v>
      </c>
      <c r="AEE3" s="722" t="s">
        <v>2043</v>
      </c>
      <c r="AEF3" s="723" t="s">
        <v>2043</v>
      </c>
      <c r="AEG3" s="723" t="s">
        <v>2043</v>
      </c>
      <c r="AEH3" s="723" t="s">
        <v>2043</v>
      </c>
      <c r="AEI3" s="723" t="s">
        <v>2043</v>
      </c>
      <c r="AEJ3" s="723" t="s">
        <v>2043</v>
      </c>
      <c r="AEK3" s="723" t="s">
        <v>2043</v>
      </c>
      <c r="AEL3" s="724" t="s">
        <v>2043</v>
      </c>
      <c r="AEM3" s="722" t="s">
        <v>2044</v>
      </c>
      <c r="AEN3" s="723" t="s">
        <v>2044</v>
      </c>
      <c r="AEO3" s="723" t="s">
        <v>2044</v>
      </c>
      <c r="AEP3" s="723" t="s">
        <v>2044</v>
      </c>
      <c r="AEQ3" s="723" t="s">
        <v>2044</v>
      </c>
      <c r="AER3" s="723" t="s">
        <v>2044</v>
      </c>
      <c r="AES3" s="723" t="s">
        <v>2044</v>
      </c>
      <c r="AET3" s="724" t="s">
        <v>2044</v>
      </c>
      <c r="AEU3" s="722" t="s">
        <v>2045</v>
      </c>
      <c r="AEV3" s="723" t="s">
        <v>2045</v>
      </c>
      <c r="AEW3" s="723" t="s">
        <v>2045</v>
      </c>
      <c r="AEX3" s="723" t="s">
        <v>2045</v>
      </c>
      <c r="AEY3" s="723" t="s">
        <v>2045</v>
      </c>
      <c r="AEZ3" s="723" t="s">
        <v>2045</v>
      </c>
      <c r="AFA3" s="723" t="s">
        <v>2045</v>
      </c>
      <c r="AFB3" s="724" t="s">
        <v>2045</v>
      </c>
      <c r="AFC3" s="722" t="s">
        <v>2046</v>
      </c>
      <c r="AFD3" s="723" t="s">
        <v>2046</v>
      </c>
      <c r="AFE3" s="723" t="s">
        <v>2046</v>
      </c>
      <c r="AFF3" s="723" t="s">
        <v>2046</v>
      </c>
      <c r="AFG3" s="723" t="s">
        <v>2046</v>
      </c>
      <c r="AFH3" s="723" t="s">
        <v>2046</v>
      </c>
      <c r="AFI3" s="723" t="s">
        <v>2046</v>
      </c>
      <c r="AFJ3" s="723" t="s">
        <v>2046</v>
      </c>
      <c r="AFK3" s="722" t="s">
        <v>2047</v>
      </c>
      <c r="AFL3" s="723" t="s">
        <v>2047</v>
      </c>
      <c r="AFM3" s="723" t="s">
        <v>2047</v>
      </c>
      <c r="AFN3" s="723" t="s">
        <v>2047</v>
      </c>
      <c r="AFO3" s="723" t="s">
        <v>2047</v>
      </c>
      <c r="AFP3" s="723" t="s">
        <v>2047</v>
      </c>
      <c r="AFQ3" s="723" t="s">
        <v>2047</v>
      </c>
      <c r="AFR3" s="724" t="s">
        <v>2047</v>
      </c>
      <c r="AFS3" s="730" t="s">
        <v>1357</v>
      </c>
      <c r="AFT3" s="730" t="s">
        <v>1357</v>
      </c>
      <c r="AFU3" s="730" t="s">
        <v>1357</v>
      </c>
      <c r="AFV3" s="730" t="s">
        <v>1357</v>
      </c>
      <c r="AFW3" s="730" t="s">
        <v>1357</v>
      </c>
      <c r="AFX3" s="730" t="s">
        <v>1357</v>
      </c>
      <c r="AFY3" s="730" t="s">
        <v>1357</v>
      </c>
      <c r="AFZ3" s="731" t="s">
        <v>1357</v>
      </c>
      <c r="AGA3" s="721" t="s">
        <v>1358</v>
      </c>
      <c r="AGB3" s="732" t="s">
        <v>1358</v>
      </c>
      <c r="AGC3" s="732" t="s">
        <v>1358</v>
      </c>
      <c r="AGD3" s="732" t="s">
        <v>1358</v>
      </c>
      <c r="AGE3" s="732" t="s">
        <v>1358</v>
      </c>
      <c r="AGF3" s="732" t="s">
        <v>1358</v>
      </c>
      <c r="AGG3" s="732" t="s">
        <v>1358</v>
      </c>
      <c r="AGH3" s="733" t="s">
        <v>1358</v>
      </c>
      <c r="AGI3" s="732" t="s">
        <v>1359</v>
      </c>
      <c r="AGJ3" s="732" t="s">
        <v>1359</v>
      </c>
      <c r="AGK3" s="732" t="s">
        <v>1359</v>
      </c>
      <c r="AGL3" s="732" t="s">
        <v>1359</v>
      </c>
      <c r="AGM3" s="732" t="s">
        <v>1359</v>
      </c>
      <c r="AGN3" s="732" t="s">
        <v>1359</v>
      </c>
      <c r="AGO3" s="732" t="s">
        <v>1359</v>
      </c>
      <c r="AGP3" s="732" t="s">
        <v>1359</v>
      </c>
      <c r="AGQ3" s="734" t="s">
        <v>1360</v>
      </c>
      <c r="AGR3" s="730" t="s">
        <v>1360</v>
      </c>
      <c r="AGS3" s="730" t="s">
        <v>1360</v>
      </c>
      <c r="AGT3" s="730" t="s">
        <v>1360</v>
      </c>
      <c r="AGU3" s="730" t="s">
        <v>1360</v>
      </c>
      <c r="AGV3" s="730" t="s">
        <v>1360</v>
      </c>
      <c r="AGW3" s="730" t="s">
        <v>1360</v>
      </c>
      <c r="AGX3" s="731" t="s">
        <v>1360</v>
      </c>
      <c r="AGY3" s="730" t="s">
        <v>1228</v>
      </c>
      <c r="AGZ3" s="730" t="s">
        <v>1228</v>
      </c>
      <c r="AHA3" s="730" t="s">
        <v>1228</v>
      </c>
      <c r="AHB3" s="730" t="s">
        <v>1228</v>
      </c>
      <c r="AHC3" s="730" t="s">
        <v>1228</v>
      </c>
      <c r="AHD3" s="730" t="s">
        <v>1228</v>
      </c>
      <c r="AHE3" s="730" t="s">
        <v>1228</v>
      </c>
      <c r="AHF3" s="730" t="s">
        <v>1228</v>
      </c>
      <c r="AHG3" s="734" t="s">
        <v>1229</v>
      </c>
      <c r="AHH3" s="730" t="s">
        <v>1229</v>
      </c>
      <c r="AHI3" s="730" t="s">
        <v>1229</v>
      </c>
      <c r="AHJ3" s="730" t="s">
        <v>1229</v>
      </c>
      <c r="AHK3" s="730" t="s">
        <v>1229</v>
      </c>
      <c r="AHL3" s="730" t="s">
        <v>1229</v>
      </c>
      <c r="AHM3" s="730" t="s">
        <v>1229</v>
      </c>
      <c r="AHN3" s="731" t="s">
        <v>1229</v>
      </c>
      <c r="AHO3" s="734" t="s">
        <v>1230</v>
      </c>
      <c r="AHP3" s="730" t="s">
        <v>1230</v>
      </c>
      <c r="AHQ3" s="730" t="s">
        <v>1230</v>
      </c>
      <c r="AHR3" s="730" t="s">
        <v>1230</v>
      </c>
      <c r="AHS3" s="730" t="s">
        <v>1230</v>
      </c>
      <c r="AHT3" s="730" t="s">
        <v>1230</v>
      </c>
      <c r="AHU3" s="730" t="s">
        <v>1230</v>
      </c>
      <c r="AHV3" s="731" t="s">
        <v>1230</v>
      </c>
      <c r="AHW3" s="734" t="s">
        <v>1231</v>
      </c>
      <c r="AHX3" s="730" t="s">
        <v>1231</v>
      </c>
      <c r="AHY3" s="730" t="s">
        <v>1231</v>
      </c>
      <c r="AHZ3" s="730" t="s">
        <v>1231</v>
      </c>
      <c r="AIA3" s="730" t="s">
        <v>1231</v>
      </c>
      <c r="AIB3" s="730" t="s">
        <v>1231</v>
      </c>
      <c r="AIC3" s="730" t="s">
        <v>1231</v>
      </c>
      <c r="AID3" s="731" t="s">
        <v>1231</v>
      </c>
      <c r="AIE3" s="734" t="s">
        <v>1232</v>
      </c>
      <c r="AIF3" s="730" t="s">
        <v>1232</v>
      </c>
      <c r="AIG3" s="730" t="s">
        <v>1232</v>
      </c>
      <c r="AIH3" s="730" t="s">
        <v>1232</v>
      </c>
      <c r="AII3" s="730" t="s">
        <v>1232</v>
      </c>
      <c r="AIJ3" s="730" t="s">
        <v>1232</v>
      </c>
      <c r="AIK3" s="730" t="s">
        <v>1232</v>
      </c>
      <c r="AIL3" s="731" t="s">
        <v>1232</v>
      </c>
      <c r="AIM3" s="734" t="s">
        <v>1233</v>
      </c>
      <c r="AIN3" s="730" t="s">
        <v>1233</v>
      </c>
      <c r="AIO3" s="730" t="s">
        <v>1233</v>
      </c>
      <c r="AIP3" s="730" t="s">
        <v>1233</v>
      </c>
      <c r="AIQ3" s="730" t="s">
        <v>1233</v>
      </c>
      <c r="AIR3" s="730" t="s">
        <v>1233</v>
      </c>
      <c r="AIS3" s="730" t="s">
        <v>1233</v>
      </c>
      <c r="AIT3" s="730" t="s">
        <v>1233</v>
      </c>
      <c r="AIU3" s="685" t="s">
        <v>2021</v>
      </c>
      <c r="AIV3" s="686" t="s">
        <v>2021</v>
      </c>
      <c r="AIW3" s="686" t="s">
        <v>2021</v>
      </c>
      <c r="AIX3" s="686" t="s">
        <v>2021</v>
      </c>
      <c r="AIY3" s="686" t="s">
        <v>2021</v>
      </c>
      <c r="AIZ3" s="686" t="s">
        <v>2021</v>
      </c>
      <c r="AJA3" s="686" t="s">
        <v>2021</v>
      </c>
      <c r="AJB3" s="686" t="s">
        <v>2021</v>
      </c>
      <c r="AJC3" s="686" t="s">
        <v>2021</v>
      </c>
      <c r="AJD3" s="687" t="s">
        <v>2021</v>
      </c>
    </row>
    <row r="4" spans="1:940" s="117" customFormat="1" ht="45" outlineLevel="1">
      <c r="A4" s="80" t="s">
        <v>1991</v>
      </c>
      <c r="B4" s="762" t="s">
        <v>1333</v>
      </c>
      <c r="C4" s="754" t="s">
        <v>1334</v>
      </c>
      <c r="D4" s="755" t="s">
        <v>1332</v>
      </c>
      <c r="E4" s="736"/>
      <c r="F4" s="566" t="s">
        <v>1333</v>
      </c>
      <c r="G4" s="566" t="s">
        <v>1334</v>
      </c>
      <c r="H4" s="566" t="s">
        <v>1332</v>
      </c>
      <c r="I4" s="736"/>
      <c r="J4" s="566" t="s">
        <v>1333</v>
      </c>
      <c r="K4" s="566" t="s">
        <v>1334</v>
      </c>
      <c r="L4" s="567" t="s">
        <v>1332</v>
      </c>
      <c r="M4" s="582"/>
      <c r="N4" s="775"/>
      <c r="O4" s="590" t="s">
        <v>339</v>
      </c>
      <c r="P4" s="590" t="s">
        <v>340</v>
      </c>
      <c r="Q4" s="781" t="s">
        <v>341</v>
      </c>
      <c r="R4" s="583" t="s">
        <v>980</v>
      </c>
      <c r="S4" s="583" t="s">
        <v>2067</v>
      </c>
      <c r="T4" s="583" t="s">
        <v>932</v>
      </c>
      <c r="U4" s="583" t="s">
        <v>2068</v>
      </c>
      <c r="V4" s="775" t="s">
        <v>933</v>
      </c>
      <c r="W4" s="583" t="s">
        <v>342</v>
      </c>
      <c r="X4" s="583" t="s">
        <v>343</v>
      </c>
      <c r="Y4" s="583" t="s">
        <v>344</v>
      </c>
      <c r="Z4" s="583" t="s">
        <v>345</v>
      </c>
      <c r="AA4" s="775" t="s">
        <v>346</v>
      </c>
      <c r="AB4" s="583" t="s">
        <v>980</v>
      </c>
      <c r="AC4" s="583" t="s">
        <v>2067</v>
      </c>
      <c r="AD4" s="583" t="s">
        <v>932</v>
      </c>
      <c r="AE4" s="583" t="s">
        <v>2068</v>
      </c>
      <c r="AF4" s="775" t="s">
        <v>933</v>
      </c>
      <c r="AG4" s="583" t="s">
        <v>980</v>
      </c>
      <c r="AH4" s="583" t="s">
        <v>2067</v>
      </c>
      <c r="AI4" s="583" t="s">
        <v>932</v>
      </c>
      <c r="AJ4" s="583" t="s">
        <v>2068</v>
      </c>
      <c r="AK4" s="583" t="s">
        <v>933</v>
      </c>
      <c r="AL4" s="986">
        <v>2020</v>
      </c>
      <c r="AM4" s="583">
        <v>2025</v>
      </c>
      <c r="AN4" s="583">
        <v>2030</v>
      </c>
      <c r="AO4" s="583">
        <v>2035</v>
      </c>
      <c r="AP4" s="583">
        <v>2040</v>
      </c>
      <c r="AQ4" s="583">
        <v>2045</v>
      </c>
      <c r="AR4" s="583">
        <v>2050</v>
      </c>
      <c r="AS4" s="986" t="s">
        <v>2685</v>
      </c>
      <c r="AT4" s="583" t="s">
        <v>85</v>
      </c>
      <c r="AU4" s="583" t="s">
        <v>86</v>
      </c>
      <c r="AV4" s="583" t="s">
        <v>87</v>
      </c>
      <c r="AW4" s="583" t="s">
        <v>88</v>
      </c>
      <c r="AX4" s="582"/>
      <c r="AY4" s="583"/>
      <c r="AZ4" s="590" t="s">
        <v>1333</v>
      </c>
      <c r="BA4" s="590" t="s">
        <v>1334</v>
      </c>
      <c r="BB4" s="590" t="s">
        <v>1332</v>
      </c>
      <c r="BC4" s="583"/>
      <c r="BD4" s="775"/>
      <c r="BE4" s="583" t="s">
        <v>2067</v>
      </c>
      <c r="BF4" s="583" t="s">
        <v>2068</v>
      </c>
      <c r="BG4" s="583" t="s">
        <v>2086</v>
      </c>
      <c r="BH4" s="583" t="s">
        <v>980</v>
      </c>
      <c r="BI4" s="583" t="s">
        <v>2088</v>
      </c>
      <c r="BJ4" s="583" t="s">
        <v>2089</v>
      </c>
      <c r="BK4" s="583" t="s">
        <v>932</v>
      </c>
      <c r="BL4" s="583" t="s">
        <v>2090</v>
      </c>
      <c r="BM4" s="583" t="s">
        <v>2091</v>
      </c>
      <c r="BN4" s="583" t="s">
        <v>2092</v>
      </c>
      <c r="BO4" s="583" t="s">
        <v>986</v>
      </c>
      <c r="BP4" s="583" t="s">
        <v>987</v>
      </c>
      <c r="BQ4" s="583" t="s">
        <v>2093</v>
      </c>
      <c r="BR4" s="583" t="s">
        <v>784</v>
      </c>
      <c r="BS4" s="775" t="s">
        <v>2094</v>
      </c>
      <c r="BT4" s="583" t="s">
        <v>2067</v>
      </c>
      <c r="BU4" s="583" t="s">
        <v>2068</v>
      </c>
      <c r="BV4" s="583" t="s">
        <v>2086</v>
      </c>
      <c r="BW4" s="583" t="s">
        <v>980</v>
      </c>
      <c r="BX4" s="583" t="s">
        <v>2088</v>
      </c>
      <c r="BY4" s="583" t="s">
        <v>2089</v>
      </c>
      <c r="BZ4" s="583" t="s">
        <v>932</v>
      </c>
      <c r="CA4" s="583" t="s">
        <v>2090</v>
      </c>
      <c r="CB4" s="583" t="s">
        <v>2091</v>
      </c>
      <c r="CC4" s="583" t="s">
        <v>2092</v>
      </c>
      <c r="CD4" s="583" t="s">
        <v>986</v>
      </c>
      <c r="CE4" s="583" t="s">
        <v>987</v>
      </c>
      <c r="CF4" s="583" t="s">
        <v>2093</v>
      </c>
      <c r="CG4" s="583" t="s">
        <v>784</v>
      </c>
      <c r="CH4" s="583" t="s">
        <v>2094</v>
      </c>
      <c r="CI4" s="986" t="s">
        <v>2067</v>
      </c>
      <c r="CJ4" s="583" t="s">
        <v>2068</v>
      </c>
      <c r="CK4" s="583" t="s">
        <v>2086</v>
      </c>
      <c r="CL4" s="583" t="s">
        <v>980</v>
      </c>
      <c r="CM4" s="583" t="s">
        <v>2088</v>
      </c>
      <c r="CN4" s="583" t="s">
        <v>2089</v>
      </c>
      <c r="CO4" s="583" t="s">
        <v>932</v>
      </c>
      <c r="CP4" s="583" t="s">
        <v>2090</v>
      </c>
      <c r="CQ4" s="583" t="s">
        <v>2091</v>
      </c>
      <c r="CR4" s="583" t="s">
        <v>2092</v>
      </c>
      <c r="CS4" s="583" t="s">
        <v>986</v>
      </c>
      <c r="CT4" s="583" t="s">
        <v>987</v>
      </c>
      <c r="CU4" s="583" t="s">
        <v>2093</v>
      </c>
      <c r="CV4" s="583" t="s">
        <v>784</v>
      </c>
      <c r="CW4" s="583" t="s">
        <v>2094</v>
      </c>
      <c r="CX4" s="986" t="s">
        <v>342</v>
      </c>
      <c r="CY4" s="583" t="s">
        <v>343</v>
      </c>
      <c r="CZ4" s="583" t="s">
        <v>344</v>
      </c>
      <c r="DA4" s="583" t="s">
        <v>345</v>
      </c>
      <c r="DB4" s="583" t="s">
        <v>346</v>
      </c>
      <c r="DC4" s="986" t="s">
        <v>2685</v>
      </c>
      <c r="DD4" s="583" t="s">
        <v>85</v>
      </c>
      <c r="DE4" s="583" t="s">
        <v>86</v>
      </c>
      <c r="DF4" s="583" t="s">
        <v>87</v>
      </c>
      <c r="DG4" s="583" t="s">
        <v>88</v>
      </c>
      <c r="DH4" s="623"/>
      <c r="DI4" s="583"/>
      <c r="DJ4" s="583"/>
      <c r="DK4" s="590" t="s">
        <v>1333</v>
      </c>
      <c r="DL4" s="590" t="s">
        <v>1334</v>
      </c>
      <c r="DM4" s="590" t="s">
        <v>1332</v>
      </c>
      <c r="DN4" s="1033">
        <v>1</v>
      </c>
      <c r="DO4" s="590">
        <v>2</v>
      </c>
      <c r="DP4" s="590">
        <v>3</v>
      </c>
      <c r="DQ4" s="590">
        <v>4</v>
      </c>
      <c r="DR4" s="590">
        <v>5</v>
      </c>
      <c r="DS4" s="590">
        <v>6</v>
      </c>
      <c r="DT4" s="590">
        <v>7</v>
      </c>
      <c r="DU4" s="1033" t="s">
        <v>325</v>
      </c>
      <c r="DV4" s="590" t="s">
        <v>2734</v>
      </c>
      <c r="DW4" s="590" t="s">
        <v>2735</v>
      </c>
      <c r="DX4" s="590" t="s">
        <v>2736</v>
      </c>
      <c r="DY4" s="590" t="s">
        <v>2737</v>
      </c>
      <c r="DZ4" s="590" t="s">
        <v>2738</v>
      </c>
      <c r="EA4" s="1098" t="s">
        <v>2739</v>
      </c>
      <c r="EB4" s="581"/>
      <c r="EC4" s="583"/>
      <c r="ED4" s="583"/>
      <c r="EE4" s="590" t="s">
        <v>1333</v>
      </c>
      <c r="EF4" s="590" t="s">
        <v>1334</v>
      </c>
      <c r="EG4" s="590" t="s">
        <v>1332</v>
      </c>
      <c r="EH4" s="582">
        <v>1</v>
      </c>
      <c r="EI4" s="590">
        <f>EH4+1</f>
        <v>2</v>
      </c>
      <c r="EJ4" s="590">
        <f t="shared" ref="EJ4:GM4" si="929">EI4+1</f>
        <v>3</v>
      </c>
      <c r="EK4" s="590">
        <f t="shared" si="929"/>
        <v>4</v>
      </c>
      <c r="EL4" s="590">
        <f t="shared" si="929"/>
        <v>5</v>
      </c>
      <c r="EM4" s="590">
        <f t="shared" si="929"/>
        <v>6</v>
      </c>
      <c r="EN4" s="590">
        <f t="shared" si="929"/>
        <v>7</v>
      </c>
      <c r="EO4" s="590">
        <f t="shared" si="929"/>
        <v>8</v>
      </c>
      <c r="EP4" s="590">
        <f t="shared" si="929"/>
        <v>9</v>
      </c>
      <c r="EQ4" s="590">
        <f t="shared" si="929"/>
        <v>10</v>
      </c>
      <c r="ER4" s="590">
        <f t="shared" si="929"/>
        <v>11</v>
      </c>
      <c r="ES4" s="590">
        <f t="shared" si="929"/>
        <v>12</v>
      </c>
      <c r="ET4" s="590">
        <f t="shared" si="929"/>
        <v>13</v>
      </c>
      <c r="EU4" s="590">
        <f t="shared" si="929"/>
        <v>14</v>
      </c>
      <c r="EV4" s="590">
        <f t="shared" si="929"/>
        <v>15</v>
      </c>
      <c r="EW4" s="590">
        <f t="shared" si="929"/>
        <v>16</v>
      </c>
      <c r="EX4" s="590">
        <f t="shared" si="929"/>
        <v>17</v>
      </c>
      <c r="EY4" s="590">
        <f t="shared" si="929"/>
        <v>18</v>
      </c>
      <c r="EZ4" s="590">
        <f t="shared" si="929"/>
        <v>19</v>
      </c>
      <c r="FA4" s="590">
        <f t="shared" si="929"/>
        <v>20</v>
      </c>
      <c r="FB4" s="590">
        <f t="shared" si="929"/>
        <v>21</v>
      </c>
      <c r="FC4" s="590">
        <f t="shared" si="929"/>
        <v>22</v>
      </c>
      <c r="FD4" s="590">
        <f t="shared" si="929"/>
        <v>23</v>
      </c>
      <c r="FE4" s="590">
        <f t="shared" si="929"/>
        <v>24</v>
      </c>
      <c r="FF4" s="590">
        <f t="shared" si="929"/>
        <v>25</v>
      </c>
      <c r="FG4" s="590">
        <f t="shared" si="929"/>
        <v>26</v>
      </c>
      <c r="FH4" s="590">
        <f t="shared" si="929"/>
        <v>27</v>
      </c>
      <c r="FI4" s="590">
        <f t="shared" si="929"/>
        <v>28</v>
      </c>
      <c r="FJ4" s="590">
        <f t="shared" si="929"/>
        <v>29</v>
      </c>
      <c r="FK4" s="590">
        <f t="shared" si="929"/>
        <v>30</v>
      </c>
      <c r="FL4" s="590">
        <f t="shared" si="929"/>
        <v>31</v>
      </c>
      <c r="FM4" s="590">
        <f t="shared" si="929"/>
        <v>32</v>
      </c>
      <c r="FN4" s="590">
        <f t="shared" si="929"/>
        <v>33</v>
      </c>
      <c r="FO4" s="590">
        <f t="shared" si="929"/>
        <v>34</v>
      </c>
      <c r="FP4" s="590">
        <f t="shared" si="929"/>
        <v>35</v>
      </c>
      <c r="FQ4" s="590">
        <f t="shared" si="929"/>
        <v>36</v>
      </c>
      <c r="FR4" s="590">
        <f t="shared" si="929"/>
        <v>37</v>
      </c>
      <c r="FS4" s="590">
        <f t="shared" si="929"/>
        <v>38</v>
      </c>
      <c r="FT4" s="590">
        <f t="shared" si="929"/>
        <v>39</v>
      </c>
      <c r="FU4" s="590">
        <f t="shared" si="929"/>
        <v>40</v>
      </c>
      <c r="FV4" s="590">
        <f t="shared" si="929"/>
        <v>41</v>
      </c>
      <c r="FW4" s="590">
        <f t="shared" si="929"/>
        <v>42</v>
      </c>
      <c r="FX4" s="590">
        <f t="shared" si="929"/>
        <v>43</v>
      </c>
      <c r="FY4" s="590">
        <f t="shared" si="929"/>
        <v>44</v>
      </c>
      <c r="FZ4" s="590">
        <f t="shared" si="929"/>
        <v>45</v>
      </c>
      <c r="GA4" s="590">
        <f t="shared" si="929"/>
        <v>46</v>
      </c>
      <c r="GB4" s="590">
        <f t="shared" si="929"/>
        <v>47</v>
      </c>
      <c r="GC4" s="590">
        <f t="shared" si="929"/>
        <v>48</v>
      </c>
      <c r="GD4" s="590">
        <f t="shared" si="929"/>
        <v>49</v>
      </c>
      <c r="GE4" s="590">
        <f t="shared" si="929"/>
        <v>50</v>
      </c>
      <c r="GF4" s="590">
        <f t="shared" si="929"/>
        <v>51</v>
      </c>
      <c r="GG4" s="590">
        <f t="shared" si="929"/>
        <v>52</v>
      </c>
      <c r="GH4" s="590">
        <f t="shared" si="929"/>
        <v>53</v>
      </c>
      <c r="GI4" s="590">
        <f t="shared" si="929"/>
        <v>54</v>
      </c>
      <c r="GJ4" s="590">
        <f t="shared" si="929"/>
        <v>55</v>
      </c>
      <c r="GK4" s="590">
        <f t="shared" si="929"/>
        <v>56</v>
      </c>
      <c r="GL4" s="590">
        <f t="shared" si="929"/>
        <v>57</v>
      </c>
      <c r="GM4" s="590">
        <f t="shared" si="929"/>
        <v>58</v>
      </c>
      <c r="GN4" s="1033" t="s">
        <v>2870</v>
      </c>
      <c r="GO4" s="590" t="s">
        <v>2871</v>
      </c>
      <c r="GP4" s="590" t="s">
        <v>2872</v>
      </c>
      <c r="GQ4" s="590" t="s">
        <v>2873</v>
      </c>
      <c r="GR4" s="590" t="s">
        <v>2874</v>
      </c>
      <c r="GS4" s="590" t="s">
        <v>2875</v>
      </c>
      <c r="GT4" s="590" t="s">
        <v>2876</v>
      </c>
      <c r="GU4" s="590" t="s">
        <v>2877</v>
      </c>
      <c r="GV4" s="590" t="s">
        <v>2878</v>
      </c>
      <c r="GW4" s="590" t="s">
        <v>2879</v>
      </c>
      <c r="GX4" s="590" t="s">
        <v>2880</v>
      </c>
      <c r="GY4" s="590" t="s">
        <v>2881</v>
      </c>
      <c r="GZ4" s="590" t="s">
        <v>2882</v>
      </c>
      <c r="HA4" s="590" t="s">
        <v>2883</v>
      </c>
      <c r="HB4" s="590" t="s">
        <v>2884</v>
      </c>
      <c r="HC4" s="590" t="s">
        <v>2885</v>
      </c>
      <c r="HD4" s="590" t="s">
        <v>2886</v>
      </c>
      <c r="HE4" s="590" t="s">
        <v>2887</v>
      </c>
      <c r="HF4" s="590" t="s">
        <v>2888</v>
      </c>
      <c r="HG4" s="590" t="s">
        <v>2889</v>
      </c>
      <c r="HH4" s="590" t="s">
        <v>2890</v>
      </c>
      <c r="HI4" s="590" t="s">
        <v>2891</v>
      </c>
      <c r="HJ4" s="590" t="s">
        <v>2892</v>
      </c>
      <c r="HK4" s="590" t="s">
        <v>2893</v>
      </c>
      <c r="HL4" s="590" t="s">
        <v>2894</v>
      </c>
      <c r="HM4" s="590" t="s">
        <v>2895</v>
      </c>
      <c r="HN4" s="590" t="s">
        <v>2896</v>
      </c>
      <c r="HO4" s="590" t="s">
        <v>2897</v>
      </c>
      <c r="HP4" s="590" t="s">
        <v>2898</v>
      </c>
      <c r="HQ4" s="590" t="s">
        <v>2899</v>
      </c>
      <c r="HR4" s="590" t="s">
        <v>2900</v>
      </c>
      <c r="HS4" s="590" t="s">
        <v>2901</v>
      </c>
      <c r="HT4" s="590" t="s">
        <v>2902</v>
      </c>
      <c r="HU4" s="590" t="s">
        <v>2903</v>
      </c>
      <c r="HV4" s="590" t="s">
        <v>2904</v>
      </c>
      <c r="HW4" s="590" t="s">
        <v>2905</v>
      </c>
      <c r="HX4" s="590" t="s">
        <v>2906</v>
      </c>
      <c r="HY4" s="590" t="s">
        <v>2907</v>
      </c>
      <c r="HZ4" s="590" t="s">
        <v>2908</v>
      </c>
      <c r="IA4" s="590" t="s">
        <v>2909</v>
      </c>
      <c r="IB4" s="590" t="s">
        <v>2910</v>
      </c>
      <c r="IC4" s="590" t="s">
        <v>2911</v>
      </c>
      <c r="ID4" s="590" t="s">
        <v>2912</v>
      </c>
      <c r="IE4" s="590" t="s">
        <v>2913</v>
      </c>
      <c r="IF4" s="590" t="s">
        <v>2914</v>
      </c>
      <c r="IG4" s="590" t="s">
        <v>2915</v>
      </c>
      <c r="IH4" s="590" t="s">
        <v>2916</v>
      </c>
      <c r="II4" s="590" t="s">
        <v>2917</v>
      </c>
      <c r="IJ4" s="590" t="s">
        <v>2918</v>
      </c>
      <c r="IK4" s="590" t="s">
        <v>2919</v>
      </c>
      <c r="IL4" s="590" t="s">
        <v>2920</v>
      </c>
      <c r="IM4" s="590" t="s">
        <v>2921</v>
      </c>
      <c r="IN4" s="590" t="s">
        <v>2922</v>
      </c>
      <c r="IO4" s="590" t="s">
        <v>2923</v>
      </c>
      <c r="IP4" s="590" t="s">
        <v>2924</v>
      </c>
      <c r="IQ4" s="590" t="s">
        <v>2925</v>
      </c>
      <c r="IR4" s="590" t="s">
        <v>2926</v>
      </c>
      <c r="IS4" s="590" t="s">
        <v>2927</v>
      </c>
      <c r="IT4" s="588"/>
      <c r="IU4" s="583"/>
      <c r="IV4" s="583"/>
      <c r="IW4" s="583"/>
      <c r="IX4" s="583"/>
      <c r="IY4" s="583" t="s">
        <v>1333</v>
      </c>
      <c r="IZ4" s="583" t="s">
        <v>1334</v>
      </c>
      <c r="JA4" s="775" t="s">
        <v>1332</v>
      </c>
      <c r="JB4" s="583"/>
      <c r="JC4" s="583"/>
      <c r="JD4" s="583"/>
      <c r="JE4" s="583"/>
      <c r="JF4" s="584"/>
      <c r="JG4" s="588"/>
      <c r="JH4" s="583"/>
      <c r="JI4" s="583"/>
      <c r="JJ4" s="583"/>
      <c r="JK4" s="583" t="s">
        <v>1333</v>
      </c>
      <c r="JL4" s="583" t="s">
        <v>1334</v>
      </c>
      <c r="JM4" s="583" t="s">
        <v>1332</v>
      </c>
      <c r="JN4" s="986" t="s">
        <v>342</v>
      </c>
      <c r="JO4" s="583" t="s">
        <v>343</v>
      </c>
      <c r="JP4" s="583" t="s">
        <v>344</v>
      </c>
      <c r="JQ4" s="583" t="s">
        <v>345</v>
      </c>
      <c r="JR4" s="583" t="s">
        <v>346</v>
      </c>
      <c r="JS4" s="1209"/>
      <c r="JT4" s="1150"/>
      <c r="JU4" s="1151"/>
      <c r="JV4" s="1151" t="s">
        <v>1333</v>
      </c>
      <c r="JW4" s="1151" t="s">
        <v>1334</v>
      </c>
      <c r="JX4" s="1151" t="s">
        <v>1332</v>
      </c>
      <c r="JY4" s="1152" t="s">
        <v>342</v>
      </c>
      <c r="JZ4" s="1151" t="s">
        <v>343</v>
      </c>
      <c r="KA4" s="1151" t="s">
        <v>344</v>
      </c>
      <c r="KB4" s="1151" t="s">
        <v>345</v>
      </c>
      <c r="KC4" s="1151" t="s">
        <v>346</v>
      </c>
      <c r="KD4" s="1176" t="s">
        <v>3039</v>
      </c>
      <c r="KE4" s="1177" t="s">
        <v>3002</v>
      </c>
      <c r="KF4" s="1177" t="s">
        <v>3040</v>
      </c>
      <c r="KG4" s="1177" t="s">
        <v>3003</v>
      </c>
      <c r="KH4" s="1177" t="s">
        <v>933</v>
      </c>
      <c r="KI4" s="1177" t="s">
        <v>3004</v>
      </c>
      <c r="KJ4" s="1177" t="s">
        <v>986</v>
      </c>
      <c r="KK4" s="1177" t="s">
        <v>987</v>
      </c>
      <c r="KL4" s="1177" t="s">
        <v>3005</v>
      </c>
      <c r="KM4" s="1176" t="s">
        <v>3039</v>
      </c>
      <c r="KN4" s="1177" t="s">
        <v>3002</v>
      </c>
      <c r="KO4" s="1177" t="s">
        <v>3040</v>
      </c>
      <c r="KP4" s="1177" t="s">
        <v>3003</v>
      </c>
      <c r="KQ4" s="1177" t="s">
        <v>933</v>
      </c>
      <c r="KR4" s="1177" t="s">
        <v>3004</v>
      </c>
      <c r="KS4" s="1177" t="s">
        <v>986</v>
      </c>
      <c r="KT4" s="1177" t="s">
        <v>987</v>
      </c>
      <c r="KU4" s="1177" t="s">
        <v>3005</v>
      </c>
      <c r="KV4" s="1176" t="s">
        <v>3039</v>
      </c>
      <c r="KW4" s="1177" t="s">
        <v>3002</v>
      </c>
      <c r="KX4" s="1177" t="s">
        <v>3040</v>
      </c>
      <c r="KY4" s="1177" t="s">
        <v>3003</v>
      </c>
      <c r="KZ4" s="1177" t="s">
        <v>933</v>
      </c>
      <c r="LA4" s="1177" t="s">
        <v>3004</v>
      </c>
      <c r="LB4" s="1177" t="s">
        <v>986</v>
      </c>
      <c r="LC4" s="1177" t="s">
        <v>987</v>
      </c>
      <c r="LD4" s="1177" t="s">
        <v>3005</v>
      </c>
      <c r="LE4" s="986" t="s">
        <v>2685</v>
      </c>
      <c r="LF4" s="583" t="s">
        <v>85</v>
      </c>
      <c r="LG4" s="583" t="s">
        <v>86</v>
      </c>
      <c r="LH4" s="583" t="s">
        <v>87</v>
      </c>
      <c r="LI4" s="583" t="s">
        <v>88</v>
      </c>
      <c r="LJ4" s="1209"/>
      <c r="LK4" s="588"/>
      <c r="LL4" s="583"/>
      <c r="LM4" s="583" t="s">
        <v>1333</v>
      </c>
      <c r="LN4" s="583" t="s">
        <v>1334</v>
      </c>
      <c r="LO4" s="583" t="s">
        <v>1332</v>
      </c>
      <c r="LP4" s="986" t="s">
        <v>342</v>
      </c>
      <c r="LQ4" s="583" t="s">
        <v>343</v>
      </c>
      <c r="LR4" s="583" t="s">
        <v>344</v>
      </c>
      <c r="LS4" s="583" t="s">
        <v>345</v>
      </c>
      <c r="LT4" s="583" t="s">
        <v>346</v>
      </c>
      <c r="LU4" s="1209"/>
      <c r="LV4" s="588" t="s">
        <v>1333</v>
      </c>
      <c r="LW4" s="583" t="s">
        <v>1334</v>
      </c>
      <c r="LX4" s="583" t="s">
        <v>1332</v>
      </c>
      <c r="LY4" s="593"/>
      <c r="LZ4" s="594" t="s">
        <v>1333</v>
      </c>
      <c r="MA4" s="594" t="s">
        <v>1334</v>
      </c>
      <c r="MB4" s="595" t="s">
        <v>1332</v>
      </c>
      <c r="MC4" s="594"/>
      <c r="MD4" s="594" t="s">
        <v>1333</v>
      </c>
      <c r="ME4" s="594" t="s">
        <v>1334</v>
      </c>
      <c r="MF4" s="595" t="s">
        <v>1332</v>
      </c>
      <c r="MG4" s="593"/>
      <c r="MH4" s="594" t="s">
        <v>1333</v>
      </c>
      <c r="MI4" s="594" t="s">
        <v>1334</v>
      </c>
      <c r="MJ4" s="595" t="s">
        <v>1332</v>
      </c>
      <c r="MK4" s="594"/>
      <c r="ML4" s="594" t="s">
        <v>1333</v>
      </c>
      <c r="MM4" s="594" t="s">
        <v>1334</v>
      </c>
      <c r="MN4" s="595" t="s">
        <v>1332</v>
      </c>
      <c r="MO4" s="593"/>
      <c r="MP4" s="594" t="s">
        <v>1333</v>
      </c>
      <c r="MQ4" s="594" t="s">
        <v>1334</v>
      </c>
      <c r="MR4" s="595" t="s">
        <v>1332</v>
      </c>
      <c r="MS4" s="593"/>
      <c r="MT4" s="594" t="s">
        <v>1333</v>
      </c>
      <c r="MU4" s="594" t="s">
        <v>1334</v>
      </c>
      <c r="MV4" s="595" t="s">
        <v>1332</v>
      </c>
      <c r="MW4" s="697" t="s">
        <v>1316</v>
      </c>
      <c r="MX4" s="596" t="s">
        <v>1317</v>
      </c>
      <c r="MY4" s="596" t="s">
        <v>1318</v>
      </c>
      <c r="MZ4" s="596" t="s">
        <v>887</v>
      </c>
      <c r="NA4" s="596" t="s">
        <v>1319</v>
      </c>
      <c r="NB4" s="597" t="s">
        <v>1320</v>
      </c>
      <c r="NC4" s="596" t="s">
        <v>1316</v>
      </c>
      <c r="ND4" s="596" t="s">
        <v>1317</v>
      </c>
      <c r="NE4" s="596" t="s">
        <v>1318</v>
      </c>
      <c r="NF4" s="596" t="s">
        <v>887</v>
      </c>
      <c r="NG4" s="596" t="s">
        <v>1319</v>
      </c>
      <c r="NH4" s="597" t="s">
        <v>1320</v>
      </c>
      <c r="NI4" s="691" t="s">
        <v>1316</v>
      </c>
      <c r="NJ4" s="691" t="s">
        <v>1317</v>
      </c>
      <c r="NK4" s="691" t="s">
        <v>1318</v>
      </c>
      <c r="NL4" s="691" t="s">
        <v>887</v>
      </c>
      <c r="NM4" s="691" t="s">
        <v>1319</v>
      </c>
      <c r="NN4" s="693" t="s">
        <v>1320</v>
      </c>
      <c r="NO4" s="596" t="s">
        <v>1316</v>
      </c>
      <c r="NP4" s="596" t="s">
        <v>1317</v>
      </c>
      <c r="NQ4" s="596" t="s">
        <v>1318</v>
      </c>
      <c r="NR4" s="596" t="s">
        <v>887</v>
      </c>
      <c r="NS4" s="596" t="s">
        <v>1319</v>
      </c>
      <c r="NT4" s="597" t="s">
        <v>1320</v>
      </c>
      <c r="NU4" s="691" t="s">
        <v>1316</v>
      </c>
      <c r="NV4" s="691" t="s">
        <v>1317</v>
      </c>
      <c r="NW4" s="691" t="s">
        <v>1318</v>
      </c>
      <c r="NX4" s="691" t="s">
        <v>887</v>
      </c>
      <c r="NY4" s="691" t="s">
        <v>1319</v>
      </c>
      <c r="NZ4" s="693" t="s">
        <v>1320</v>
      </c>
      <c r="OA4" s="691" t="s">
        <v>1316</v>
      </c>
      <c r="OB4" s="691" t="s">
        <v>1317</v>
      </c>
      <c r="OC4" s="691" t="s">
        <v>1318</v>
      </c>
      <c r="OD4" s="691" t="s">
        <v>887</v>
      </c>
      <c r="OE4" s="691" t="s">
        <v>1319</v>
      </c>
      <c r="OF4" s="698" t="s">
        <v>1320</v>
      </c>
      <c r="OG4" s="700" t="s">
        <v>1316</v>
      </c>
      <c r="OH4" s="691" t="s">
        <v>1317</v>
      </c>
      <c r="OI4" s="691" t="s">
        <v>1318</v>
      </c>
      <c r="OJ4" s="691" t="s">
        <v>887</v>
      </c>
      <c r="OK4" s="691" t="s">
        <v>1319</v>
      </c>
      <c r="OL4" s="693" t="s">
        <v>1320</v>
      </c>
      <c r="OM4" s="691" t="s">
        <v>1316</v>
      </c>
      <c r="ON4" s="691" t="s">
        <v>1317</v>
      </c>
      <c r="OO4" s="691" t="s">
        <v>1318</v>
      </c>
      <c r="OP4" s="691" t="s">
        <v>887</v>
      </c>
      <c r="OQ4" s="691" t="s">
        <v>1319</v>
      </c>
      <c r="OR4" s="693" t="s">
        <v>1320</v>
      </c>
      <c r="OS4" s="691" t="s">
        <v>1316</v>
      </c>
      <c r="OT4" s="691" t="s">
        <v>1317</v>
      </c>
      <c r="OU4" s="691" t="s">
        <v>1318</v>
      </c>
      <c r="OV4" s="691" t="s">
        <v>887</v>
      </c>
      <c r="OW4" s="691" t="s">
        <v>1319</v>
      </c>
      <c r="OX4" s="693" t="s">
        <v>1320</v>
      </c>
      <c r="OY4" s="691" t="s">
        <v>1316</v>
      </c>
      <c r="OZ4" s="691" t="s">
        <v>1317</v>
      </c>
      <c r="PA4" s="691" t="s">
        <v>1318</v>
      </c>
      <c r="PB4" s="691" t="s">
        <v>887</v>
      </c>
      <c r="PC4" s="691" t="s">
        <v>1319</v>
      </c>
      <c r="PD4" s="698" t="s">
        <v>1320</v>
      </c>
      <c r="PE4" s="700" t="s">
        <v>1316</v>
      </c>
      <c r="PF4" s="691" t="s">
        <v>1317</v>
      </c>
      <c r="PG4" s="691" t="s">
        <v>1318</v>
      </c>
      <c r="PH4" s="691" t="s">
        <v>887</v>
      </c>
      <c r="PI4" s="691" t="s">
        <v>1319</v>
      </c>
      <c r="PJ4" s="693" t="s">
        <v>1320</v>
      </c>
      <c r="PK4" s="691" t="s">
        <v>1316</v>
      </c>
      <c r="PL4" s="691" t="s">
        <v>1317</v>
      </c>
      <c r="PM4" s="691" t="s">
        <v>1318</v>
      </c>
      <c r="PN4" s="691" t="s">
        <v>887</v>
      </c>
      <c r="PO4" s="691" t="s">
        <v>1319</v>
      </c>
      <c r="PP4" s="693" t="s">
        <v>1320</v>
      </c>
      <c r="PQ4" s="596" t="s">
        <v>1316</v>
      </c>
      <c r="PR4" s="596" t="s">
        <v>1317</v>
      </c>
      <c r="PS4" s="596" t="s">
        <v>1318</v>
      </c>
      <c r="PT4" s="596" t="s">
        <v>887</v>
      </c>
      <c r="PU4" s="596" t="s">
        <v>1319</v>
      </c>
      <c r="PV4" s="597" t="s">
        <v>1320</v>
      </c>
      <c r="PW4" s="691" t="s">
        <v>1316</v>
      </c>
      <c r="PX4" s="691" t="s">
        <v>1317</v>
      </c>
      <c r="PY4" s="691" t="s">
        <v>1318</v>
      </c>
      <c r="PZ4" s="691" t="s">
        <v>887</v>
      </c>
      <c r="QA4" s="691" t="s">
        <v>1319</v>
      </c>
      <c r="QB4" s="693" t="s">
        <v>1320</v>
      </c>
      <c r="QC4" s="596" t="s">
        <v>1316</v>
      </c>
      <c r="QD4" s="596" t="s">
        <v>1317</v>
      </c>
      <c r="QE4" s="596" t="s">
        <v>1318</v>
      </c>
      <c r="QF4" s="596" t="s">
        <v>887</v>
      </c>
      <c r="QG4" s="596" t="s">
        <v>1319</v>
      </c>
      <c r="QH4" s="699" t="s">
        <v>1320</v>
      </c>
      <c r="QI4" s="697" t="s">
        <v>1316</v>
      </c>
      <c r="QJ4" s="596" t="s">
        <v>1317</v>
      </c>
      <c r="QK4" s="596" t="s">
        <v>1318</v>
      </c>
      <c r="QL4" s="596" t="s">
        <v>887</v>
      </c>
      <c r="QM4" s="596" t="s">
        <v>1319</v>
      </c>
      <c r="QN4" s="597" t="s">
        <v>1320</v>
      </c>
      <c r="QO4" s="596" t="s">
        <v>1316</v>
      </c>
      <c r="QP4" s="596" t="s">
        <v>1317</v>
      </c>
      <c r="QQ4" s="596" t="s">
        <v>1318</v>
      </c>
      <c r="QR4" s="596" t="s">
        <v>887</v>
      </c>
      <c r="QS4" s="596" t="s">
        <v>1319</v>
      </c>
      <c r="QT4" s="597" t="s">
        <v>1320</v>
      </c>
      <c r="QU4" s="596" t="s">
        <v>1316</v>
      </c>
      <c r="QV4" s="596" t="s">
        <v>1317</v>
      </c>
      <c r="QW4" s="596" t="s">
        <v>1318</v>
      </c>
      <c r="QX4" s="596" t="s">
        <v>887</v>
      </c>
      <c r="QY4" s="596" t="s">
        <v>1319</v>
      </c>
      <c r="QZ4" s="597" t="s">
        <v>1320</v>
      </c>
      <c r="RA4" s="596" t="s">
        <v>1316</v>
      </c>
      <c r="RB4" s="596" t="s">
        <v>1317</v>
      </c>
      <c r="RC4" s="596" t="s">
        <v>1318</v>
      </c>
      <c r="RD4" s="596" t="s">
        <v>887</v>
      </c>
      <c r="RE4" s="596" t="s">
        <v>1319</v>
      </c>
      <c r="RF4" s="597" t="s">
        <v>1320</v>
      </c>
      <c r="RG4" s="596" t="s">
        <v>1316</v>
      </c>
      <c r="RH4" s="596" t="s">
        <v>1317</v>
      </c>
      <c r="RI4" s="596" t="s">
        <v>1318</v>
      </c>
      <c r="RJ4" s="596" t="s">
        <v>887</v>
      </c>
      <c r="RK4" s="596" t="s">
        <v>1319</v>
      </c>
      <c r="RL4" s="699" t="s">
        <v>1320</v>
      </c>
      <c r="RM4" s="697" t="s">
        <v>1316</v>
      </c>
      <c r="RN4" s="596" t="s">
        <v>1317</v>
      </c>
      <c r="RO4" s="596" t="s">
        <v>1318</v>
      </c>
      <c r="RP4" s="596" t="s">
        <v>887</v>
      </c>
      <c r="RQ4" s="596" t="s">
        <v>1319</v>
      </c>
      <c r="RR4" s="597" t="s">
        <v>1320</v>
      </c>
      <c r="RS4" s="596" t="s">
        <v>1316</v>
      </c>
      <c r="RT4" s="596" t="s">
        <v>1317</v>
      </c>
      <c r="RU4" s="596" t="s">
        <v>1318</v>
      </c>
      <c r="RV4" s="596" t="s">
        <v>887</v>
      </c>
      <c r="RW4" s="596" t="s">
        <v>1319</v>
      </c>
      <c r="RX4" s="597" t="s">
        <v>1320</v>
      </c>
      <c r="RY4" s="596" t="s">
        <v>1316</v>
      </c>
      <c r="RZ4" s="596" t="s">
        <v>1317</v>
      </c>
      <c r="SA4" s="596" t="s">
        <v>1318</v>
      </c>
      <c r="SB4" s="596" t="s">
        <v>887</v>
      </c>
      <c r="SC4" s="596" t="s">
        <v>1319</v>
      </c>
      <c r="SD4" s="597" t="s">
        <v>1320</v>
      </c>
      <c r="SE4" s="596" t="s">
        <v>1316</v>
      </c>
      <c r="SF4" s="596" t="s">
        <v>1317</v>
      </c>
      <c r="SG4" s="596" t="s">
        <v>1318</v>
      </c>
      <c r="SH4" s="596" t="s">
        <v>887</v>
      </c>
      <c r="SI4" s="596" t="s">
        <v>1319</v>
      </c>
      <c r="SJ4" s="597" t="s">
        <v>1320</v>
      </c>
      <c r="SK4" s="596" t="s">
        <v>1316</v>
      </c>
      <c r="SL4" s="596" t="s">
        <v>1317</v>
      </c>
      <c r="SM4" s="596" t="s">
        <v>1318</v>
      </c>
      <c r="SN4" s="596" t="s">
        <v>887</v>
      </c>
      <c r="SO4" s="596" t="s">
        <v>1319</v>
      </c>
      <c r="SP4" s="699" t="s">
        <v>1320</v>
      </c>
      <c r="SQ4" s="697" t="s">
        <v>1316</v>
      </c>
      <c r="SR4" s="596" t="s">
        <v>1317</v>
      </c>
      <c r="SS4" s="596" t="s">
        <v>1318</v>
      </c>
      <c r="ST4" s="596" t="s">
        <v>887</v>
      </c>
      <c r="SU4" s="596" t="s">
        <v>1319</v>
      </c>
      <c r="SV4" s="597" t="s">
        <v>1320</v>
      </c>
      <c r="SW4" s="596" t="s">
        <v>1316</v>
      </c>
      <c r="SX4" s="596" t="s">
        <v>1317</v>
      </c>
      <c r="SY4" s="596" t="s">
        <v>1318</v>
      </c>
      <c r="SZ4" s="596" t="s">
        <v>887</v>
      </c>
      <c r="TA4" s="596" t="s">
        <v>1319</v>
      </c>
      <c r="TB4" s="597" t="s">
        <v>1320</v>
      </c>
      <c r="TC4" s="596" t="s">
        <v>1316</v>
      </c>
      <c r="TD4" s="596" t="s">
        <v>1317</v>
      </c>
      <c r="TE4" s="596" t="s">
        <v>1318</v>
      </c>
      <c r="TF4" s="596" t="s">
        <v>887</v>
      </c>
      <c r="TG4" s="596" t="s">
        <v>1319</v>
      </c>
      <c r="TH4" s="597" t="s">
        <v>1320</v>
      </c>
      <c r="TI4" s="596" t="s">
        <v>1316</v>
      </c>
      <c r="TJ4" s="596" t="s">
        <v>1317</v>
      </c>
      <c r="TK4" s="596" t="s">
        <v>1318</v>
      </c>
      <c r="TL4" s="596" t="s">
        <v>887</v>
      </c>
      <c r="TM4" s="596" t="s">
        <v>1319</v>
      </c>
      <c r="TN4" s="597" t="s">
        <v>1320</v>
      </c>
      <c r="TO4" s="596" t="s">
        <v>1316</v>
      </c>
      <c r="TP4" s="596" t="s">
        <v>1317</v>
      </c>
      <c r="TQ4" s="596" t="s">
        <v>1318</v>
      </c>
      <c r="TR4" s="596" t="s">
        <v>887</v>
      </c>
      <c r="TS4" s="596" t="s">
        <v>1319</v>
      </c>
      <c r="TT4" s="699" t="s">
        <v>1320</v>
      </c>
      <c r="TU4" s="697" t="s">
        <v>1316</v>
      </c>
      <c r="TV4" s="596" t="s">
        <v>1317</v>
      </c>
      <c r="TW4" s="596" t="s">
        <v>1318</v>
      </c>
      <c r="TX4" s="596" t="s">
        <v>887</v>
      </c>
      <c r="TY4" s="596" t="s">
        <v>1319</v>
      </c>
      <c r="TZ4" s="597" t="s">
        <v>1320</v>
      </c>
      <c r="UA4" s="596" t="s">
        <v>1316</v>
      </c>
      <c r="UB4" s="596" t="s">
        <v>1317</v>
      </c>
      <c r="UC4" s="596" t="s">
        <v>1318</v>
      </c>
      <c r="UD4" s="596" t="s">
        <v>887</v>
      </c>
      <c r="UE4" s="596" t="s">
        <v>1319</v>
      </c>
      <c r="UF4" s="597" t="s">
        <v>1320</v>
      </c>
      <c r="UG4" s="596" t="s">
        <v>1316</v>
      </c>
      <c r="UH4" s="596" t="s">
        <v>1317</v>
      </c>
      <c r="UI4" s="596" t="s">
        <v>1318</v>
      </c>
      <c r="UJ4" s="596" t="s">
        <v>887</v>
      </c>
      <c r="UK4" s="596" t="s">
        <v>1319</v>
      </c>
      <c r="UL4" s="597" t="s">
        <v>1320</v>
      </c>
      <c r="UM4" s="596" t="s">
        <v>1316</v>
      </c>
      <c r="UN4" s="596" t="s">
        <v>1317</v>
      </c>
      <c r="UO4" s="596" t="s">
        <v>1318</v>
      </c>
      <c r="UP4" s="596" t="s">
        <v>887</v>
      </c>
      <c r="UQ4" s="596" t="s">
        <v>1319</v>
      </c>
      <c r="UR4" s="597" t="s">
        <v>1320</v>
      </c>
      <c r="US4" s="596" t="s">
        <v>1316</v>
      </c>
      <c r="UT4" s="596" t="s">
        <v>1317</v>
      </c>
      <c r="UU4" s="596" t="s">
        <v>1318</v>
      </c>
      <c r="UV4" s="596" t="s">
        <v>887</v>
      </c>
      <c r="UW4" s="596" t="s">
        <v>1319</v>
      </c>
      <c r="UX4" s="597" t="s">
        <v>1320</v>
      </c>
      <c r="UY4" s="596" t="s">
        <v>1316</v>
      </c>
      <c r="UZ4" s="596" t="s">
        <v>1317</v>
      </c>
      <c r="VA4" s="596" t="s">
        <v>1318</v>
      </c>
      <c r="VB4" s="596" t="s">
        <v>887</v>
      </c>
      <c r="VC4" s="596" t="s">
        <v>1319</v>
      </c>
      <c r="VD4" s="699" t="s">
        <v>1320</v>
      </c>
      <c r="VE4" s="603" t="s">
        <v>1220</v>
      </c>
      <c r="VF4" s="604" t="s">
        <v>1221</v>
      </c>
      <c r="VG4" s="604" t="s">
        <v>1222</v>
      </c>
      <c r="VH4" s="604" t="s">
        <v>1246</v>
      </c>
      <c r="VI4" s="604" t="s">
        <v>1224</v>
      </c>
      <c r="VJ4" s="604" t="s">
        <v>1225</v>
      </c>
      <c r="VK4" s="749" t="s">
        <v>1329</v>
      </c>
      <c r="VL4" s="606" t="s">
        <v>1333</v>
      </c>
      <c r="VM4" s="606" t="s">
        <v>1334</v>
      </c>
      <c r="VN4" s="607" t="s">
        <v>1332</v>
      </c>
      <c r="VO4" s="608" t="s">
        <v>1333</v>
      </c>
      <c r="VP4" s="606" t="s">
        <v>1334</v>
      </c>
      <c r="VQ4" s="607" t="s">
        <v>1332</v>
      </c>
      <c r="VR4" s="608" t="s">
        <v>1333</v>
      </c>
      <c r="VS4" s="606" t="s">
        <v>1334</v>
      </c>
      <c r="VT4" s="607" t="s">
        <v>1332</v>
      </c>
      <c r="VU4" s="608" t="s">
        <v>1333</v>
      </c>
      <c r="VV4" s="606" t="s">
        <v>1334</v>
      </c>
      <c r="VW4" s="607" t="s">
        <v>1332</v>
      </c>
      <c r="VX4" s="608" t="s">
        <v>1333</v>
      </c>
      <c r="VY4" s="606" t="s">
        <v>1334</v>
      </c>
      <c r="VZ4" s="607" t="s">
        <v>1332</v>
      </c>
      <c r="WA4" s="608" t="s">
        <v>1333</v>
      </c>
      <c r="WB4" s="606" t="s">
        <v>1334</v>
      </c>
      <c r="WC4" s="607" t="s">
        <v>1332</v>
      </c>
      <c r="WD4" s="608" t="s">
        <v>1333</v>
      </c>
      <c r="WE4" s="606" t="s">
        <v>1334</v>
      </c>
      <c r="WF4" s="607" t="s">
        <v>1332</v>
      </c>
      <c r="WG4" s="608" t="s">
        <v>1333</v>
      </c>
      <c r="WH4" s="606" t="s">
        <v>1334</v>
      </c>
      <c r="WI4" s="607" t="s">
        <v>1332</v>
      </c>
      <c r="WJ4" s="608" t="s">
        <v>1333</v>
      </c>
      <c r="WK4" s="606" t="s">
        <v>1334</v>
      </c>
      <c r="WL4" s="607" t="s">
        <v>1332</v>
      </c>
      <c r="WM4" s="608" t="s">
        <v>1333</v>
      </c>
      <c r="WN4" s="606" t="s">
        <v>1334</v>
      </c>
      <c r="WO4" s="607" t="s">
        <v>1332</v>
      </c>
      <c r="WP4" s="608" t="s">
        <v>1333</v>
      </c>
      <c r="WQ4" s="606" t="s">
        <v>1334</v>
      </c>
      <c r="WR4" s="606" t="s">
        <v>1332</v>
      </c>
      <c r="WS4" s="770" t="s">
        <v>1253</v>
      </c>
      <c r="WT4" s="737" t="s">
        <v>1216</v>
      </c>
      <c r="WU4" s="737" t="s">
        <v>1219</v>
      </c>
      <c r="WV4" s="737" t="s">
        <v>1245</v>
      </c>
      <c r="WW4" s="771" t="s">
        <v>1217</v>
      </c>
      <c r="WX4" s="738" t="s">
        <v>2010</v>
      </c>
      <c r="WY4" s="609" t="s">
        <v>1249</v>
      </c>
      <c r="WZ4" s="611" t="s">
        <v>1250</v>
      </c>
      <c r="XA4" s="611" t="s">
        <v>1251</v>
      </c>
      <c r="XB4" s="766" t="s">
        <v>1252</v>
      </c>
      <c r="XC4" s="611" t="s">
        <v>933</v>
      </c>
      <c r="XD4" s="604" t="s">
        <v>1220</v>
      </c>
      <c r="XE4" s="604" t="s">
        <v>1221</v>
      </c>
      <c r="XF4" s="604" t="s">
        <v>1222</v>
      </c>
      <c r="XG4" s="604" t="s">
        <v>1246</v>
      </c>
      <c r="XH4" s="604" t="s">
        <v>1224</v>
      </c>
      <c r="XI4" s="604" t="s">
        <v>1225</v>
      </c>
      <c r="XJ4" s="604" t="s">
        <v>1361</v>
      </c>
      <c r="XK4" s="609" t="s">
        <v>933</v>
      </c>
      <c r="XL4" s="625" t="s">
        <v>1220</v>
      </c>
      <c r="XM4" s="625" t="s">
        <v>1221</v>
      </c>
      <c r="XN4" s="625" t="s">
        <v>1222</v>
      </c>
      <c r="XO4" s="625" t="s">
        <v>1246</v>
      </c>
      <c r="XP4" s="625" t="s">
        <v>1224</v>
      </c>
      <c r="XQ4" s="625" t="s">
        <v>1225</v>
      </c>
      <c r="XR4" s="626" t="s">
        <v>1361</v>
      </c>
      <c r="XS4" s="609" t="s">
        <v>933</v>
      </c>
      <c r="XT4" s="625" t="s">
        <v>1220</v>
      </c>
      <c r="XU4" s="625" t="s">
        <v>1221</v>
      </c>
      <c r="XV4" s="625" t="s">
        <v>1222</v>
      </c>
      <c r="XW4" s="625" t="s">
        <v>1246</v>
      </c>
      <c r="XX4" s="625" t="s">
        <v>1224</v>
      </c>
      <c r="XY4" s="625" t="s">
        <v>1225</v>
      </c>
      <c r="XZ4" s="626" t="s">
        <v>1361</v>
      </c>
      <c r="YA4" s="611" t="s">
        <v>933</v>
      </c>
      <c r="YB4" s="604" t="s">
        <v>1220</v>
      </c>
      <c r="YC4" s="604" t="s">
        <v>1221</v>
      </c>
      <c r="YD4" s="604" t="s">
        <v>1222</v>
      </c>
      <c r="YE4" s="604" t="s">
        <v>1246</v>
      </c>
      <c r="YF4" s="604" t="s">
        <v>1224</v>
      </c>
      <c r="YG4" s="604" t="s">
        <v>1225</v>
      </c>
      <c r="YH4" s="604" t="s">
        <v>1361</v>
      </c>
      <c r="YI4" s="609" t="s">
        <v>933</v>
      </c>
      <c r="YJ4" s="625" t="s">
        <v>1220</v>
      </c>
      <c r="YK4" s="625" t="s">
        <v>1221</v>
      </c>
      <c r="YL4" s="625" t="s">
        <v>1222</v>
      </c>
      <c r="YM4" s="625" t="s">
        <v>1246</v>
      </c>
      <c r="YN4" s="625" t="s">
        <v>1224</v>
      </c>
      <c r="YO4" s="625" t="s">
        <v>1225</v>
      </c>
      <c r="YP4" s="626" t="s">
        <v>1361</v>
      </c>
      <c r="YQ4" s="609" t="s">
        <v>933</v>
      </c>
      <c r="YR4" s="625" t="s">
        <v>1220</v>
      </c>
      <c r="YS4" s="625" t="s">
        <v>1221</v>
      </c>
      <c r="YT4" s="625" t="s">
        <v>1222</v>
      </c>
      <c r="YU4" s="625" t="s">
        <v>1246</v>
      </c>
      <c r="YV4" s="625" t="s">
        <v>1224</v>
      </c>
      <c r="YW4" s="625" t="s">
        <v>1225</v>
      </c>
      <c r="YX4" s="626" t="s">
        <v>1361</v>
      </c>
      <c r="YY4" s="605" t="s">
        <v>933</v>
      </c>
      <c r="YZ4" s="604" t="s">
        <v>1220</v>
      </c>
      <c r="ZA4" s="604" t="s">
        <v>1221</v>
      </c>
      <c r="ZB4" s="604" t="s">
        <v>1222</v>
      </c>
      <c r="ZC4" s="604" t="s">
        <v>1246</v>
      </c>
      <c r="ZD4" s="604" t="s">
        <v>1224</v>
      </c>
      <c r="ZE4" s="604" t="s">
        <v>1225</v>
      </c>
      <c r="ZF4" s="604" t="s">
        <v>1361</v>
      </c>
      <c r="ZG4" s="609" t="s">
        <v>933</v>
      </c>
      <c r="ZH4" s="625" t="s">
        <v>1220</v>
      </c>
      <c r="ZI4" s="625" t="s">
        <v>1221</v>
      </c>
      <c r="ZJ4" s="625" t="s">
        <v>1222</v>
      </c>
      <c r="ZK4" s="625" t="s">
        <v>1246</v>
      </c>
      <c r="ZL4" s="625" t="s">
        <v>1224</v>
      </c>
      <c r="ZM4" s="625" t="s">
        <v>1225</v>
      </c>
      <c r="ZN4" s="626" t="s">
        <v>1361</v>
      </c>
      <c r="ZO4" s="605" t="s">
        <v>933</v>
      </c>
      <c r="ZP4" s="604" t="s">
        <v>1220</v>
      </c>
      <c r="ZQ4" s="604" t="s">
        <v>1221</v>
      </c>
      <c r="ZR4" s="604" t="s">
        <v>1222</v>
      </c>
      <c r="ZS4" s="604" t="s">
        <v>1246</v>
      </c>
      <c r="ZT4" s="604" t="s">
        <v>1224</v>
      </c>
      <c r="ZU4" s="604" t="s">
        <v>1225</v>
      </c>
      <c r="ZV4" s="604" t="s">
        <v>1361</v>
      </c>
      <c r="ZW4" s="609" t="s">
        <v>933</v>
      </c>
      <c r="ZX4" s="625" t="s">
        <v>1220</v>
      </c>
      <c r="ZY4" s="625" t="s">
        <v>1221</v>
      </c>
      <c r="ZZ4" s="625" t="s">
        <v>1222</v>
      </c>
      <c r="AAA4" s="625" t="s">
        <v>1246</v>
      </c>
      <c r="AAB4" s="625" t="s">
        <v>1224</v>
      </c>
      <c r="AAC4" s="625" t="s">
        <v>1225</v>
      </c>
      <c r="AAD4" s="626" t="s">
        <v>1361</v>
      </c>
      <c r="AAE4" s="611" t="s">
        <v>933</v>
      </c>
      <c r="AAF4" s="625" t="s">
        <v>1220</v>
      </c>
      <c r="AAG4" s="625" t="s">
        <v>1221</v>
      </c>
      <c r="AAH4" s="625" t="s">
        <v>1222</v>
      </c>
      <c r="AAI4" s="625" t="s">
        <v>1246</v>
      </c>
      <c r="AAJ4" s="625" t="s">
        <v>1224</v>
      </c>
      <c r="AAK4" s="625" t="s">
        <v>1225</v>
      </c>
      <c r="AAL4" s="625" t="s">
        <v>1361</v>
      </c>
      <c r="AAM4" s="609" t="s">
        <v>933</v>
      </c>
      <c r="AAN4" s="625" t="s">
        <v>1220</v>
      </c>
      <c r="AAO4" s="625" t="s">
        <v>1221</v>
      </c>
      <c r="AAP4" s="625" t="s">
        <v>1222</v>
      </c>
      <c r="AAQ4" s="625" t="s">
        <v>1246</v>
      </c>
      <c r="AAR4" s="625" t="s">
        <v>1224</v>
      </c>
      <c r="AAS4" s="625" t="s">
        <v>1225</v>
      </c>
      <c r="AAT4" s="626" t="s">
        <v>1361</v>
      </c>
      <c r="AAU4" s="611" t="s">
        <v>933</v>
      </c>
      <c r="AAV4" s="625" t="s">
        <v>1220</v>
      </c>
      <c r="AAW4" s="625" t="s">
        <v>1221</v>
      </c>
      <c r="AAX4" s="625" t="s">
        <v>1222</v>
      </c>
      <c r="AAY4" s="625" t="s">
        <v>1246</v>
      </c>
      <c r="AAZ4" s="625" t="s">
        <v>1224</v>
      </c>
      <c r="ABA4" s="625" t="s">
        <v>1225</v>
      </c>
      <c r="ABB4" s="625" t="s">
        <v>1361</v>
      </c>
      <c r="ABC4" s="609" t="s">
        <v>933</v>
      </c>
      <c r="ABD4" s="625" t="s">
        <v>1220</v>
      </c>
      <c r="ABE4" s="625" t="s">
        <v>1221</v>
      </c>
      <c r="ABF4" s="625" t="s">
        <v>1222</v>
      </c>
      <c r="ABG4" s="625" t="s">
        <v>1246</v>
      </c>
      <c r="ABH4" s="625" t="s">
        <v>1224</v>
      </c>
      <c r="ABI4" s="625" t="s">
        <v>1225</v>
      </c>
      <c r="ABJ4" s="626" t="s">
        <v>1361</v>
      </c>
      <c r="ABK4" s="611" t="s">
        <v>933</v>
      </c>
      <c r="ABL4" s="625" t="s">
        <v>1220</v>
      </c>
      <c r="ABM4" s="625" t="s">
        <v>1221</v>
      </c>
      <c r="ABN4" s="625" t="s">
        <v>1222</v>
      </c>
      <c r="ABO4" s="625" t="s">
        <v>1246</v>
      </c>
      <c r="ABP4" s="625" t="s">
        <v>1224</v>
      </c>
      <c r="ABQ4" s="625" t="s">
        <v>1225</v>
      </c>
      <c r="ABR4" s="625" t="s">
        <v>1361</v>
      </c>
      <c r="ABS4" s="609" t="s">
        <v>933</v>
      </c>
      <c r="ABT4" s="625" t="s">
        <v>1220</v>
      </c>
      <c r="ABU4" s="625" t="s">
        <v>1221</v>
      </c>
      <c r="ABV4" s="625" t="s">
        <v>1222</v>
      </c>
      <c r="ABW4" s="625" t="s">
        <v>1246</v>
      </c>
      <c r="ABX4" s="625" t="s">
        <v>1224</v>
      </c>
      <c r="ABY4" s="625" t="s">
        <v>1225</v>
      </c>
      <c r="ABZ4" s="626" t="s">
        <v>1361</v>
      </c>
      <c r="ACA4" s="611" t="s">
        <v>933</v>
      </c>
      <c r="ACB4" s="625" t="s">
        <v>1220</v>
      </c>
      <c r="ACC4" s="625" t="s">
        <v>1221</v>
      </c>
      <c r="ACD4" s="625" t="s">
        <v>1222</v>
      </c>
      <c r="ACE4" s="625" t="s">
        <v>1246</v>
      </c>
      <c r="ACF4" s="625" t="s">
        <v>1224</v>
      </c>
      <c r="ACG4" s="625" t="s">
        <v>1225</v>
      </c>
      <c r="ACH4" s="625" t="s">
        <v>1361</v>
      </c>
      <c r="ACI4" s="609" t="s">
        <v>933</v>
      </c>
      <c r="ACJ4" s="625" t="s">
        <v>1220</v>
      </c>
      <c r="ACK4" s="625" t="s">
        <v>1221</v>
      </c>
      <c r="ACL4" s="625" t="s">
        <v>1222</v>
      </c>
      <c r="ACM4" s="625" t="s">
        <v>1246</v>
      </c>
      <c r="ACN4" s="625" t="s">
        <v>1224</v>
      </c>
      <c r="ACO4" s="625" t="s">
        <v>1225</v>
      </c>
      <c r="ACP4" s="626" t="s">
        <v>1361</v>
      </c>
      <c r="ACQ4" s="611" t="s">
        <v>933</v>
      </c>
      <c r="ACR4" s="625" t="s">
        <v>1220</v>
      </c>
      <c r="ACS4" s="625" t="s">
        <v>1221</v>
      </c>
      <c r="ACT4" s="625" t="s">
        <v>1222</v>
      </c>
      <c r="ACU4" s="625" t="s">
        <v>1246</v>
      </c>
      <c r="ACV4" s="625" t="s">
        <v>1224</v>
      </c>
      <c r="ACW4" s="625" t="s">
        <v>1225</v>
      </c>
      <c r="ACX4" s="625" t="s">
        <v>1361</v>
      </c>
      <c r="ACY4" s="609" t="s">
        <v>933</v>
      </c>
      <c r="ACZ4" s="625" t="s">
        <v>1220</v>
      </c>
      <c r="ADA4" s="625" t="s">
        <v>1221</v>
      </c>
      <c r="ADB4" s="625" t="s">
        <v>1222</v>
      </c>
      <c r="ADC4" s="625" t="s">
        <v>1246</v>
      </c>
      <c r="ADD4" s="625" t="s">
        <v>1224</v>
      </c>
      <c r="ADE4" s="625" t="s">
        <v>1225</v>
      </c>
      <c r="ADF4" s="626" t="s">
        <v>1361</v>
      </c>
      <c r="ADG4" s="611" t="s">
        <v>933</v>
      </c>
      <c r="ADH4" s="625" t="s">
        <v>1220</v>
      </c>
      <c r="ADI4" s="625" t="s">
        <v>1221</v>
      </c>
      <c r="ADJ4" s="625" t="s">
        <v>1222</v>
      </c>
      <c r="ADK4" s="625" t="s">
        <v>1246</v>
      </c>
      <c r="ADL4" s="625" t="s">
        <v>1224</v>
      </c>
      <c r="ADM4" s="625" t="s">
        <v>1225</v>
      </c>
      <c r="ADN4" s="625" t="s">
        <v>1361</v>
      </c>
      <c r="ADO4" s="609" t="s">
        <v>933</v>
      </c>
      <c r="ADP4" s="625" t="s">
        <v>1220</v>
      </c>
      <c r="ADQ4" s="625" t="s">
        <v>1221</v>
      </c>
      <c r="ADR4" s="625" t="s">
        <v>1222</v>
      </c>
      <c r="ADS4" s="625" t="s">
        <v>1246</v>
      </c>
      <c r="ADT4" s="625" t="s">
        <v>1224</v>
      </c>
      <c r="ADU4" s="625" t="s">
        <v>1225</v>
      </c>
      <c r="ADV4" s="626" t="s">
        <v>1361</v>
      </c>
      <c r="ADW4" s="611" t="s">
        <v>933</v>
      </c>
      <c r="ADX4" s="625" t="s">
        <v>1220</v>
      </c>
      <c r="ADY4" s="625" t="s">
        <v>1221</v>
      </c>
      <c r="ADZ4" s="625" t="s">
        <v>1222</v>
      </c>
      <c r="AEA4" s="625" t="s">
        <v>1246</v>
      </c>
      <c r="AEB4" s="625" t="s">
        <v>1224</v>
      </c>
      <c r="AEC4" s="625" t="s">
        <v>1225</v>
      </c>
      <c r="AED4" s="625" t="s">
        <v>1361</v>
      </c>
      <c r="AEE4" s="609" t="s">
        <v>933</v>
      </c>
      <c r="AEF4" s="625" t="s">
        <v>1220</v>
      </c>
      <c r="AEG4" s="625" t="s">
        <v>1221</v>
      </c>
      <c r="AEH4" s="625" t="s">
        <v>1222</v>
      </c>
      <c r="AEI4" s="625" t="s">
        <v>1246</v>
      </c>
      <c r="AEJ4" s="625" t="s">
        <v>1224</v>
      </c>
      <c r="AEK4" s="625" t="s">
        <v>1225</v>
      </c>
      <c r="AEL4" s="626" t="s">
        <v>1361</v>
      </c>
      <c r="AEM4" s="611" t="s">
        <v>933</v>
      </c>
      <c r="AEN4" s="625" t="s">
        <v>1220</v>
      </c>
      <c r="AEO4" s="625" t="s">
        <v>1221</v>
      </c>
      <c r="AEP4" s="625" t="s">
        <v>1222</v>
      </c>
      <c r="AEQ4" s="625" t="s">
        <v>1246</v>
      </c>
      <c r="AER4" s="625" t="s">
        <v>1224</v>
      </c>
      <c r="AES4" s="625" t="s">
        <v>1225</v>
      </c>
      <c r="AET4" s="625" t="s">
        <v>1361</v>
      </c>
      <c r="AEU4" s="609" t="s">
        <v>933</v>
      </c>
      <c r="AEV4" s="625" t="s">
        <v>1220</v>
      </c>
      <c r="AEW4" s="625" t="s">
        <v>1221</v>
      </c>
      <c r="AEX4" s="625" t="s">
        <v>1222</v>
      </c>
      <c r="AEY4" s="625" t="s">
        <v>1246</v>
      </c>
      <c r="AEZ4" s="625" t="s">
        <v>1224</v>
      </c>
      <c r="AFA4" s="625" t="s">
        <v>1225</v>
      </c>
      <c r="AFB4" s="626" t="s">
        <v>1361</v>
      </c>
      <c r="AFC4" s="611" t="s">
        <v>933</v>
      </c>
      <c r="AFD4" s="625" t="s">
        <v>1220</v>
      </c>
      <c r="AFE4" s="625" t="s">
        <v>1221</v>
      </c>
      <c r="AFF4" s="625" t="s">
        <v>1222</v>
      </c>
      <c r="AFG4" s="625" t="s">
        <v>1246</v>
      </c>
      <c r="AFH4" s="625" t="s">
        <v>1224</v>
      </c>
      <c r="AFI4" s="625" t="s">
        <v>1225</v>
      </c>
      <c r="AFJ4" s="625" t="s">
        <v>1361</v>
      </c>
      <c r="AFK4" s="609" t="s">
        <v>933</v>
      </c>
      <c r="AFL4" s="625" t="s">
        <v>1220</v>
      </c>
      <c r="AFM4" s="625" t="s">
        <v>1221</v>
      </c>
      <c r="AFN4" s="625" t="s">
        <v>1222</v>
      </c>
      <c r="AFO4" s="625" t="s">
        <v>1246</v>
      </c>
      <c r="AFP4" s="625" t="s">
        <v>1224</v>
      </c>
      <c r="AFQ4" s="625" t="s">
        <v>1225</v>
      </c>
      <c r="AFR4" s="626" t="s">
        <v>1361</v>
      </c>
      <c r="AFS4" s="609" t="s">
        <v>933</v>
      </c>
      <c r="AFT4" s="625" t="s">
        <v>1220</v>
      </c>
      <c r="AFU4" s="625" t="s">
        <v>1221</v>
      </c>
      <c r="AFV4" s="625" t="s">
        <v>1222</v>
      </c>
      <c r="AFW4" s="625" t="s">
        <v>1246</v>
      </c>
      <c r="AFX4" s="625" t="s">
        <v>1224</v>
      </c>
      <c r="AFY4" s="625" t="s">
        <v>1225</v>
      </c>
      <c r="AFZ4" s="626" t="s">
        <v>1361</v>
      </c>
      <c r="AGA4" s="609" t="s">
        <v>933</v>
      </c>
      <c r="AGB4" s="625" t="s">
        <v>1220</v>
      </c>
      <c r="AGC4" s="625" t="s">
        <v>1221</v>
      </c>
      <c r="AGD4" s="625" t="s">
        <v>1222</v>
      </c>
      <c r="AGE4" s="625" t="s">
        <v>1246</v>
      </c>
      <c r="AGF4" s="625" t="s">
        <v>1224</v>
      </c>
      <c r="AGG4" s="625" t="s">
        <v>1225</v>
      </c>
      <c r="AGH4" s="626" t="s">
        <v>1361</v>
      </c>
      <c r="AGI4" s="609" t="s">
        <v>933</v>
      </c>
      <c r="AGJ4" s="625" t="s">
        <v>1220</v>
      </c>
      <c r="AGK4" s="625" t="s">
        <v>1221</v>
      </c>
      <c r="AGL4" s="625" t="s">
        <v>1222</v>
      </c>
      <c r="AGM4" s="625" t="s">
        <v>1246</v>
      </c>
      <c r="AGN4" s="625" t="s">
        <v>1224</v>
      </c>
      <c r="AGO4" s="625" t="s">
        <v>1225</v>
      </c>
      <c r="AGP4" s="626" t="s">
        <v>1361</v>
      </c>
      <c r="AGQ4" s="609" t="s">
        <v>933</v>
      </c>
      <c r="AGR4" s="625" t="s">
        <v>1220</v>
      </c>
      <c r="AGS4" s="625" t="s">
        <v>1221</v>
      </c>
      <c r="AGT4" s="625" t="s">
        <v>1222</v>
      </c>
      <c r="AGU4" s="625" t="s">
        <v>1246</v>
      </c>
      <c r="AGV4" s="625" t="s">
        <v>1224</v>
      </c>
      <c r="AGW4" s="625" t="s">
        <v>1225</v>
      </c>
      <c r="AGX4" s="626" t="s">
        <v>1361</v>
      </c>
      <c r="AGY4" s="609" t="s">
        <v>933</v>
      </c>
      <c r="AGZ4" s="625" t="s">
        <v>1220</v>
      </c>
      <c r="AHA4" s="625" t="s">
        <v>1221</v>
      </c>
      <c r="AHB4" s="625" t="s">
        <v>1222</v>
      </c>
      <c r="AHC4" s="625" t="s">
        <v>1246</v>
      </c>
      <c r="AHD4" s="625" t="s">
        <v>1224</v>
      </c>
      <c r="AHE4" s="625" t="s">
        <v>1225</v>
      </c>
      <c r="AHF4" s="626" t="s">
        <v>1361</v>
      </c>
      <c r="AHG4" s="609" t="s">
        <v>933</v>
      </c>
      <c r="AHH4" s="625" t="s">
        <v>1220</v>
      </c>
      <c r="AHI4" s="625" t="s">
        <v>1221</v>
      </c>
      <c r="AHJ4" s="625" t="s">
        <v>1222</v>
      </c>
      <c r="AHK4" s="625" t="s">
        <v>1246</v>
      </c>
      <c r="AHL4" s="625" t="s">
        <v>1224</v>
      </c>
      <c r="AHM4" s="625" t="s">
        <v>1225</v>
      </c>
      <c r="AHN4" s="626" t="s">
        <v>1361</v>
      </c>
      <c r="AHO4" s="609" t="s">
        <v>933</v>
      </c>
      <c r="AHP4" s="625" t="s">
        <v>1220</v>
      </c>
      <c r="AHQ4" s="625" t="s">
        <v>1221</v>
      </c>
      <c r="AHR4" s="625" t="s">
        <v>1222</v>
      </c>
      <c r="AHS4" s="625" t="s">
        <v>1246</v>
      </c>
      <c r="AHT4" s="625" t="s">
        <v>1224</v>
      </c>
      <c r="AHU4" s="625" t="s">
        <v>1225</v>
      </c>
      <c r="AHV4" s="626" t="s">
        <v>1361</v>
      </c>
      <c r="AHW4" s="609" t="s">
        <v>933</v>
      </c>
      <c r="AHX4" s="625" t="s">
        <v>1220</v>
      </c>
      <c r="AHY4" s="625" t="s">
        <v>1221</v>
      </c>
      <c r="AHZ4" s="625" t="s">
        <v>1222</v>
      </c>
      <c r="AIA4" s="625" t="s">
        <v>1246</v>
      </c>
      <c r="AIB4" s="625" t="s">
        <v>1224</v>
      </c>
      <c r="AIC4" s="625" t="s">
        <v>1225</v>
      </c>
      <c r="AID4" s="626" t="s">
        <v>1361</v>
      </c>
      <c r="AIE4" s="609" t="s">
        <v>933</v>
      </c>
      <c r="AIF4" s="625" t="s">
        <v>1220</v>
      </c>
      <c r="AIG4" s="625" t="s">
        <v>1221</v>
      </c>
      <c r="AIH4" s="625" t="s">
        <v>1222</v>
      </c>
      <c r="AII4" s="625" t="s">
        <v>1246</v>
      </c>
      <c r="AIJ4" s="625" t="s">
        <v>1224</v>
      </c>
      <c r="AIK4" s="625" t="s">
        <v>1225</v>
      </c>
      <c r="AIL4" s="626" t="s">
        <v>1361</v>
      </c>
      <c r="AIM4" s="609" t="s">
        <v>933</v>
      </c>
      <c r="AIN4" s="625" t="s">
        <v>1220</v>
      </c>
      <c r="AIO4" s="625" t="s">
        <v>1221</v>
      </c>
      <c r="AIP4" s="625" t="s">
        <v>1222</v>
      </c>
      <c r="AIQ4" s="625" t="s">
        <v>1246</v>
      </c>
      <c r="AIR4" s="625" t="s">
        <v>1224</v>
      </c>
      <c r="AIS4" s="625" t="s">
        <v>1225</v>
      </c>
      <c r="AIT4" s="626" t="s">
        <v>1361</v>
      </c>
      <c r="AIU4" s="740" t="s">
        <v>2023</v>
      </c>
      <c r="AIV4" s="684" t="s">
        <v>2024</v>
      </c>
      <c r="AIW4" s="684" t="s">
        <v>2025</v>
      </c>
      <c r="AIX4" s="741" t="s">
        <v>2026</v>
      </c>
      <c r="AIY4" s="740" t="s">
        <v>2022</v>
      </c>
      <c r="AIZ4" s="684" t="s">
        <v>2027</v>
      </c>
      <c r="AJA4" s="684" t="s">
        <v>2028</v>
      </c>
      <c r="AJB4" s="684" t="s">
        <v>2029</v>
      </c>
      <c r="AJC4" s="684" t="s">
        <v>2030</v>
      </c>
      <c r="AJD4" s="741" t="s">
        <v>2031</v>
      </c>
    </row>
    <row r="5" spans="1:940" s="117" customFormat="1" ht="30" outlineLevel="1">
      <c r="A5" s="80" t="s">
        <v>1362</v>
      </c>
      <c r="B5" s="763" t="s">
        <v>89</v>
      </c>
      <c r="C5" s="756" t="s">
        <v>89</v>
      </c>
      <c r="D5" s="757" t="s">
        <v>89</v>
      </c>
      <c r="E5" s="568" t="s">
        <v>1388</v>
      </c>
      <c r="F5" s="566" t="s">
        <v>89</v>
      </c>
      <c r="G5" s="566" t="s">
        <v>89</v>
      </c>
      <c r="H5" s="566" t="s">
        <v>89</v>
      </c>
      <c r="I5" s="568" t="s">
        <v>1388</v>
      </c>
      <c r="J5" s="566" t="s">
        <v>89</v>
      </c>
      <c r="K5" s="566" t="s">
        <v>89</v>
      </c>
      <c r="L5" s="567" t="s">
        <v>89</v>
      </c>
      <c r="M5" s="582" t="s">
        <v>2127</v>
      </c>
      <c r="N5" s="775" t="s">
        <v>2066</v>
      </c>
      <c r="O5" s="591" t="s">
        <v>89</v>
      </c>
      <c r="P5" s="591" t="s">
        <v>89</v>
      </c>
      <c r="Q5" s="780" t="s">
        <v>89</v>
      </c>
      <c r="R5" s="591" t="s">
        <v>89</v>
      </c>
      <c r="S5" s="591" t="s">
        <v>89</v>
      </c>
      <c r="T5" s="591" t="s">
        <v>89</v>
      </c>
      <c r="U5" s="591" t="s">
        <v>89</v>
      </c>
      <c r="V5" s="780" t="s">
        <v>89</v>
      </c>
      <c r="W5" s="591" t="s">
        <v>997</v>
      </c>
      <c r="X5" s="591" t="s">
        <v>997</v>
      </c>
      <c r="Y5" s="591" t="s">
        <v>997</v>
      </c>
      <c r="Z5" s="591" t="s">
        <v>997</v>
      </c>
      <c r="AA5" s="780" t="s">
        <v>997</v>
      </c>
      <c r="AB5" s="583" t="s">
        <v>1202</v>
      </c>
      <c r="AC5" s="583" t="s">
        <v>1202</v>
      </c>
      <c r="AD5" s="583" t="s">
        <v>1202</v>
      </c>
      <c r="AE5" s="583" t="s">
        <v>1202</v>
      </c>
      <c r="AF5" s="775" t="s">
        <v>2071</v>
      </c>
      <c r="AG5" s="583" t="s">
        <v>1202</v>
      </c>
      <c r="AH5" s="583" t="s">
        <v>1202</v>
      </c>
      <c r="AI5" s="583" t="s">
        <v>1202</v>
      </c>
      <c r="AJ5" s="583" t="s">
        <v>1202</v>
      </c>
      <c r="AK5" s="583" t="s">
        <v>2071</v>
      </c>
      <c r="AL5" s="986" t="s">
        <v>89</v>
      </c>
      <c r="AM5" s="583" t="s">
        <v>89</v>
      </c>
      <c r="AN5" s="583" t="s">
        <v>89</v>
      </c>
      <c r="AO5" s="583" t="s">
        <v>89</v>
      </c>
      <c r="AP5" s="583" t="s">
        <v>89</v>
      </c>
      <c r="AQ5" s="583" t="s">
        <v>89</v>
      </c>
      <c r="AR5" s="583" t="s">
        <v>89</v>
      </c>
      <c r="AS5" s="986" t="s">
        <v>89</v>
      </c>
      <c r="AT5" s="583" t="s">
        <v>89</v>
      </c>
      <c r="AU5" s="583" t="s">
        <v>89</v>
      </c>
      <c r="AV5" s="583" t="s">
        <v>89</v>
      </c>
      <c r="AW5" s="583" t="s">
        <v>89</v>
      </c>
      <c r="AX5" s="582" t="s">
        <v>2127</v>
      </c>
      <c r="AY5" s="583"/>
      <c r="AZ5" s="581" t="s">
        <v>89</v>
      </c>
      <c r="BA5" s="581" t="s">
        <v>89</v>
      </c>
      <c r="BB5" s="581" t="s">
        <v>89</v>
      </c>
      <c r="BC5" s="583" t="s">
        <v>2152</v>
      </c>
      <c r="BD5" s="775" t="s">
        <v>2152</v>
      </c>
      <c r="BE5" s="583" t="s">
        <v>89</v>
      </c>
      <c r="BF5" s="583" t="s">
        <v>89</v>
      </c>
      <c r="BG5" s="583" t="s">
        <v>89</v>
      </c>
      <c r="BH5" s="583" t="s">
        <v>89</v>
      </c>
      <c r="BI5" s="583" t="s">
        <v>89</v>
      </c>
      <c r="BJ5" s="583" t="s">
        <v>89</v>
      </c>
      <c r="BK5" s="583" t="s">
        <v>89</v>
      </c>
      <c r="BL5" s="583" t="s">
        <v>89</v>
      </c>
      <c r="BM5" s="583" t="s">
        <v>89</v>
      </c>
      <c r="BN5" s="583" t="s">
        <v>89</v>
      </c>
      <c r="BO5" s="583" t="s">
        <v>89</v>
      </c>
      <c r="BP5" s="583" t="s">
        <v>89</v>
      </c>
      <c r="BQ5" s="583" t="s">
        <v>89</v>
      </c>
      <c r="BR5" s="583" t="s">
        <v>89</v>
      </c>
      <c r="BS5" s="775" t="s">
        <v>89</v>
      </c>
      <c r="BT5" s="583" t="s">
        <v>2152</v>
      </c>
      <c r="BU5" s="583" t="s">
        <v>2152</v>
      </c>
      <c r="BV5" s="583" t="s">
        <v>2152</v>
      </c>
      <c r="BW5" s="583" t="s">
        <v>2152</v>
      </c>
      <c r="BX5" s="583" t="s">
        <v>2152</v>
      </c>
      <c r="BY5" s="583" t="s">
        <v>2152</v>
      </c>
      <c r="BZ5" s="583" t="s">
        <v>2152</v>
      </c>
      <c r="CA5" s="583" t="s">
        <v>2152</v>
      </c>
      <c r="CB5" s="583" t="s">
        <v>2152</v>
      </c>
      <c r="CC5" s="583" t="s">
        <v>2152</v>
      </c>
      <c r="CD5" s="583" t="s">
        <v>2152</v>
      </c>
      <c r="CE5" s="583" t="s">
        <v>2152</v>
      </c>
      <c r="CF5" s="583" t="s">
        <v>2152</v>
      </c>
      <c r="CG5" s="583" t="s">
        <v>2152</v>
      </c>
      <c r="CH5" s="583" t="s">
        <v>2421</v>
      </c>
      <c r="CI5" s="986" t="s">
        <v>2152</v>
      </c>
      <c r="CJ5" s="583" t="s">
        <v>2152</v>
      </c>
      <c r="CK5" s="583" t="s">
        <v>2152</v>
      </c>
      <c r="CL5" s="583" t="s">
        <v>2152</v>
      </c>
      <c r="CM5" s="583" t="s">
        <v>2152</v>
      </c>
      <c r="CN5" s="583" t="s">
        <v>2152</v>
      </c>
      <c r="CO5" s="583" t="s">
        <v>2152</v>
      </c>
      <c r="CP5" s="583" t="s">
        <v>2152</v>
      </c>
      <c r="CQ5" s="583" t="s">
        <v>2152</v>
      </c>
      <c r="CR5" s="583" t="s">
        <v>2152</v>
      </c>
      <c r="CS5" s="583" t="s">
        <v>2152</v>
      </c>
      <c r="CT5" s="583" t="s">
        <v>2152</v>
      </c>
      <c r="CU5" s="583" t="s">
        <v>2152</v>
      </c>
      <c r="CV5" s="583" t="s">
        <v>2152</v>
      </c>
      <c r="CW5" s="583" t="s">
        <v>2421</v>
      </c>
      <c r="CX5" s="1034" t="s">
        <v>997</v>
      </c>
      <c r="CY5" s="581" t="s">
        <v>997</v>
      </c>
      <c r="CZ5" s="581" t="s">
        <v>997</v>
      </c>
      <c r="DA5" s="581" t="s">
        <v>997</v>
      </c>
      <c r="DB5" s="581" t="s">
        <v>997</v>
      </c>
      <c r="DC5" s="986" t="s">
        <v>89</v>
      </c>
      <c r="DD5" s="583" t="s">
        <v>89</v>
      </c>
      <c r="DE5" s="583" t="s">
        <v>89</v>
      </c>
      <c r="DF5" s="583" t="s">
        <v>89</v>
      </c>
      <c r="DG5" s="583" t="s">
        <v>89</v>
      </c>
      <c r="DH5" s="588" t="s">
        <v>2127</v>
      </c>
      <c r="DI5" s="583" t="s">
        <v>2066</v>
      </c>
      <c r="DJ5" s="583" t="s">
        <v>2071</v>
      </c>
      <c r="DK5" s="581" t="s">
        <v>89</v>
      </c>
      <c r="DL5" s="581" t="s">
        <v>89</v>
      </c>
      <c r="DM5" s="581" t="s">
        <v>89</v>
      </c>
      <c r="DN5" s="1034"/>
      <c r="DO5" s="581"/>
      <c r="DP5" s="581"/>
      <c r="DQ5" s="581"/>
      <c r="DR5" s="581"/>
      <c r="DS5" s="581"/>
      <c r="DT5" s="581"/>
      <c r="DU5" s="1034" t="s">
        <v>2935</v>
      </c>
      <c r="DV5" s="581" t="s">
        <v>2935</v>
      </c>
      <c r="DW5" s="581" t="s">
        <v>2935</v>
      </c>
      <c r="DX5" s="581" t="s">
        <v>2935</v>
      </c>
      <c r="DY5" s="581" t="s">
        <v>2935</v>
      </c>
      <c r="DZ5" s="581" t="s">
        <v>2935</v>
      </c>
      <c r="EA5" s="1099" t="s">
        <v>2935</v>
      </c>
      <c r="EB5" s="583" t="s">
        <v>2127</v>
      </c>
      <c r="EC5" s="583" t="s">
        <v>2066</v>
      </c>
      <c r="ED5" s="583" t="s">
        <v>2071</v>
      </c>
      <c r="EE5" s="581" t="s">
        <v>89</v>
      </c>
      <c r="EF5" s="581" t="s">
        <v>89</v>
      </c>
      <c r="EG5" s="581" t="s">
        <v>89</v>
      </c>
      <c r="EH5" s="623"/>
      <c r="EI5" s="581"/>
      <c r="EJ5" s="581"/>
      <c r="EK5" s="581"/>
      <c r="EL5" s="581"/>
      <c r="EM5" s="581"/>
      <c r="EN5" s="581"/>
      <c r="EO5" s="581"/>
      <c r="EP5" s="581"/>
      <c r="EQ5" s="581"/>
      <c r="ER5" s="581"/>
      <c r="ES5" s="581"/>
      <c r="ET5" s="581"/>
      <c r="EU5" s="581"/>
      <c r="EV5" s="581"/>
      <c r="EW5" s="581"/>
      <c r="EX5" s="581"/>
      <c r="EY5" s="581"/>
      <c r="EZ5" s="581"/>
      <c r="FA5" s="581"/>
      <c r="FB5" s="581"/>
      <c r="FC5" s="581"/>
      <c r="FD5" s="581"/>
      <c r="FE5" s="581"/>
      <c r="FF5" s="581"/>
      <c r="FG5" s="581"/>
      <c r="FH5" s="581"/>
      <c r="FI5" s="581"/>
      <c r="FJ5" s="581"/>
      <c r="FK5" s="581"/>
      <c r="FL5" s="581"/>
      <c r="FM5" s="581"/>
      <c r="FN5" s="581"/>
      <c r="FO5" s="581"/>
      <c r="FP5" s="581"/>
      <c r="FQ5" s="581"/>
      <c r="FR5" s="581"/>
      <c r="FS5" s="581"/>
      <c r="FT5" s="581"/>
      <c r="FU5" s="581"/>
      <c r="FV5" s="581"/>
      <c r="FW5" s="581"/>
      <c r="FX5" s="581"/>
      <c r="FY5" s="581"/>
      <c r="FZ5" s="581"/>
      <c r="GA5" s="581"/>
      <c r="GB5" s="581"/>
      <c r="GC5" s="581"/>
      <c r="GD5" s="581"/>
      <c r="GE5" s="581"/>
      <c r="GF5" s="581"/>
      <c r="GG5" s="581"/>
      <c r="GH5" s="581"/>
      <c r="GI5" s="581"/>
      <c r="GJ5" s="581"/>
      <c r="GK5" s="581"/>
      <c r="GL5" s="581"/>
      <c r="GM5" s="581"/>
      <c r="GN5" s="1034" t="s">
        <v>2935</v>
      </c>
      <c r="GO5" s="581" t="s">
        <v>2935</v>
      </c>
      <c r="GP5" s="581" t="s">
        <v>2935</v>
      </c>
      <c r="GQ5" s="581" t="s">
        <v>2935</v>
      </c>
      <c r="GR5" s="581" t="s">
        <v>2935</v>
      </c>
      <c r="GS5" s="581" t="s">
        <v>2935</v>
      </c>
      <c r="GT5" s="581" t="s">
        <v>2935</v>
      </c>
      <c r="GU5" s="581" t="s">
        <v>2935</v>
      </c>
      <c r="GV5" s="581" t="s">
        <v>2935</v>
      </c>
      <c r="GW5" s="581" t="s">
        <v>2935</v>
      </c>
      <c r="GX5" s="581" t="s">
        <v>2935</v>
      </c>
      <c r="GY5" s="581" t="s">
        <v>2935</v>
      </c>
      <c r="GZ5" s="581" t="s">
        <v>2935</v>
      </c>
      <c r="HA5" s="581" t="s">
        <v>2935</v>
      </c>
      <c r="HB5" s="581" t="s">
        <v>2935</v>
      </c>
      <c r="HC5" s="581" t="s">
        <v>2935</v>
      </c>
      <c r="HD5" s="581" t="s">
        <v>2935</v>
      </c>
      <c r="HE5" s="581" t="s">
        <v>2935</v>
      </c>
      <c r="HF5" s="581" t="s">
        <v>2935</v>
      </c>
      <c r="HG5" s="581" t="s">
        <v>2935</v>
      </c>
      <c r="HH5" s="581" t="s">
        <v>2935</v>
      </c>
      <c r="HI5" s="581" t="s">
        <v>2935</v>
      </c>
      <c r="HJ5" s="581" t="s">
        <v>2935</v>
      </c>
      <c r="HK5" s="581" t="s">
        <v>2935</v>
      </c>
      <c r="HL5" s="581" t="s">
        <v>2935</v>
      </c>
      <c r="HM5" s="581" t="s">
        <v>2935</v>
      </c>
      <c r="HN5" s="581" t="s">
        <v>2935</v>
      </c>
      <c r="HO5" s="581" t="s">
        <v>2935</v>
      </c>
      <c r="HP5" s="581" t="s">
        <v>2935</v>
      </c>
      <c r="HQ5" s="581" t="s">
        <v>2935</v>
      </c>
      <c r="HR5" s="581" t="s">
        <v>2935</v>
      </c>
      <c r="HS5" s="581" t="s">
        <v>2935</v>
      </c>
      <c r="HT5" s="581" t="s">
        <v>2935</v>
      </c>
      <c r="HU5" s="581" t="s">
        <v>2935</v>
      </c>
      <c r="HV5" s="581" t="s">
        <v>2935</v>
      </c>
      <c r="HW5" s="581" t="s">
        <v>2935</v>
      </c>
      <c r="HX5" s="581" t="s">
        <v>2935</v>
      </c>
      <c r="HY5" s="581" t="s">
        <v>2935</v>
      </c>
      <c r="HZ5" s="581" t="s">
        <v>2935</v>
      </c>
      <c r="IA5" s="581" t="s">
        <v>2935</v>
      </c>
      <c r="IB5" s="581" t="s">
        <v>2935</v>
      </c>
      <c r="IC5" s="581" t="s">
        <v>2935</v>
      </c>
      <c r="ID5" s="581" t="s">
        <v>2935</v>
      </c>
      <c r="IE5" s="581" t="s">
        <v>2935</v>
      </c>
      <c r="IF5" s="581" t="s">
        <v>2935</v>
      </c>
      <c r="IG5" s="581" t="s">
        <v>2935</v>
      </c>
      <c r="IH5" s="581" t="s">
        <v>2935</v>
      </c>
      <c r="II5" s="581" t="s">
        <v>2935</v>
      </c>
      <c r="IJ5" s="581" t="s">
        <v>2935</v>
      </c>
      <c r="IK5" s="581" t="s">
        <v>2935</v>
      </c>
      <c r="IL5" s="581" t="s">
        <v>2935</v>
      </c>
      <c r="IM5" s="581" t="s">
        <v>2935</v>
      </c>
      <c r="IN5" s="581" t="s">
        <v>2935</v>
      </c>
      <c r="IO5" s="581" t="s">
        <v>2935</v>
      </c>
      <c r="IP5" s="581" t="s">
        <v>2935</v>
      </c>
      <c r="IQ5" s="581" t="s">
        <v>2935</v>
      </c>
      <c r="IR5" s="581" t="s">
        <v>2935</v>
      </c>
      <c r="IS5" s="581" t="s">
        <v>2935</v>
      </c>
      <c r="IT5" s="588" t="s">
        <v>2127</v>
      </c>
      <c r="IU5" s="583" t="s">
        <v>2066</v>
      </c>
      <c r="IV5" s="583" t="s">
        <v>2152</v>
      </c>
      <c r="IW5" s="583" t="s">
        <v>2982</v>
      </c>
      <c r="IX5" s="583" t="s">
        <v>89</v>
      </c>
      <c r="IY5" s="589" t="s">
        <v>89</v>
      </c>
      <c r="IZ5" s="589" t="s">
        <v>89</v>
      </c>
      <c r="JA5" s="984" t="s">
        <v>89</v>
      </c>
      <c r="JB5" s="583" t="s">
        <v>342</v>
      </c>
      <c r="JC5" s="583" t="s">
        <v>343</v>
      </c>
      <c r="JD5" s="583" t="s">
        <v>344</v>
      </c>
      <c r="JE5" s="583" t="s">
        <v>345</v>
      </c>
      <c r="JF5" s="584" t="s">
        <v>346</v>
      </c>
      <c r="JG5" s="588" t="s">
        <v>2048</v>
      </c>
      <c r="JH5" s="583" t="s">
        <v>2152</v>
      </c>
      <c r="JI5" s="583" t="s">
        <v>2071</v>
      </c>
      <c r="JJ5" s="589" t="s">
        <v>89</v>
      </c>
      <c r="JK5" s="589" t="s">
        <v>89</v>
      </c>
      <c r="JL5" s="589" t="s">
        <v>89</v>
      </c>
      <c r="JM5" s="589" t="s">
        <v>89</v>
      </c>
      <c r="JN5" s="987" t="s">
        <v>997</v>
      </c>
      <c r="JO5" s="591" t="s">
        <v>997</v>
      </c>
      <c r="JP5" s="591" t="s">
        <v>997</v>
      </c>
      <c r="JQ5" s="591" t="s">
        <v>997</v>
      </c>
      <c r="JR5" s="591" t="s">
        <v>997</v>
      </c>
      <c r="JS5" s="1210"/>
      <c r="JT5" s="1150" t="s">
        <v>2048</v>
      </c>
      <c r="JU5" s="1151" t="s">
        <v>3027</v>
      </c>
      <c r="JV5" s="1155" t="s">
        <v>89</v>
      </c>
      <c r="JW5" s="1155" t="s">
        <v>89</v>
      </c>
      <c r="JX5" s="1155" t="s">
        <v>89</v>
      </c>
      <c r="JY5" s="1156" t="s">
        <v>997</v>
      </c>
      <c r="JZ5" s="1157" t="s">
        <v>997</v>
      </c>
      <c r="KA5" s="1157" t="s">
        <v>997</v>
      </c>
      <c r="KB5" s="1157" t="s">
        <v>997</v>
      </c>
      <c r="KC5" s="1157" t="s">
        <v>997</v>
      </c>
      <c r="KD5" s="1156" t="s">
        <v>89</v>
      </c>
      <c r="KE5" s="1157" t="s">
        <v>89</v>
      </c>
      <c r="KF5" s="1157" t="s">
        <v>89</v>
      </c>
      <c r="KG5" s="1157" t="s">
        <v>89</v>
      </c>
      <c r="KH5" s="1157" t="s">
        <v>89</v>
      </c>
      <c r="KI5" s="1157" t="s">
        <v>89</v>
      </c>
      <c r="KJ5" s="1157" t="s">
        <v>89</v>
      </c>
      <c r="KK5" s="1157" t="s">
        <v>89</v>
      </c>
      <c r="KL5" s="1157" t="s">
        <v>89</v>
      </c>
      <c r="KM5" s="1152" t="s">
        <v>3053</v>
      </c>
      <c r="KN5" s="1151" t="s">
        <v>3053</v>
      </c>
      <c r="KO5" s="1151" t="s">
        <v>3053</v>
      </c>
      <c r="KP5" s="1151" t="s">
        <v>3053</v>
      </c>
      <c r="KQ5" s="1151"/>
      <c r="KR5" s="1151" t="s">
        <v>3053</v>
      </c>
      <c r="KS5" s="1151" t="s">
        <v>3053</v>
      </c>
      <c r="KT5" s="1151" t="s">
        <v>3053</v>
      </c>
      <c r="KU5" s="1151" t="s">
        <v>3053</v>
      </c>
      <c r="KV5" s="1152" t="s">
        <v>3053</v>
      </c>
      <c r="KW5" s="1151" t="s">
        <v>3053</v>
      </c>
      <c r="KX5" s="1151" t="s">
        <v>3053</v>
      </c>
      <c r="KY5" s="1151" t="s">
        <v>3053</v>
      </c>
      <c r="KZ5" s="1151"/>
      <c r="LA5" s="1151" t="s">
        <v>3053</v>
      </c>
      <c r="LB5" s="1151" t="s">
        <v>3053</v>
      </c>
      <c r="LC5" s="1151" t="s">
        <v>3053</v>
      </c>
      <c r="LD5" s="1151" t="s">
        <v>3053</v>
      </c>
      <c r="LE5" s="986" t="s">
        <v>89</v>
      </c>
      <c r="LF5" s="583" t="s">
        <v>89</v>
      </c>
      <c r="LG5" s="583" t="s">
        <v>89</v>
      </c>
      <c r="LH5" s="583" t="s">
        <v>89</v>
      </c>
      <c r="LI5" s="583" t="s">
        <v>89</v>
      </c>
      <c r="LJ5" s="1209" t="s">
        <v>3092</v>
      </c>
      <c r="LK5" s="588" t="s">
        <v>2048</v>
      </c>
      <c r="LL5" s="583" t="s">
        <v>2151</v>
      </c>
      <c r="LM5" s="624" t="s">
        <v>89</v>
      </c>
      <c r="LN5" s="624" t="s">
        <v>89</v>
      </c>
      <c r="LO5" s="624" t="s">
        <v>89</v>
      </c>
      <c r="LP5" s="987" t="s">
        <v>997</v>
      </c>
      <c r="LQ5" s="591" t="s">
        <v>997</v>
      </c>
      <c r="LR5" s="591" t="s">
        <v>997</v>
      </c>
      <c r="LS5" s="591" t="s">
        <v>997</v>
      </c>
      <c r="LT5" s="591" t="s">
        <v>997</v>
      </c>
      <c r="LU5" s="1210" t="s">
        <v>3092</v>
      </c>
      <c r="LV5" s="627" t="s">
        <v>89</v>
      </c>
      <c r="LW5" s="624" t="s">
        <v>89</v>
      </c>
      <c r="LX5" s="624" t="s">
        <v>89</v>
      </c>
      <c r="LY5" s="593"/>
      <c r="LZ5" s="594"/>
      <c r="MA5" s="594"/>
      <c r="MB5" s="595"/>
      <c r="MC5" s="594"/>
      <c r="MD5" s="594"/>
      <c r="ME5" s="594"/>
      <c r="MF5" s="594"/>
      <c r="MG5" s="593"/>
      <c r="MH5" s="594"/>
      <c r="MI5" s="594"/>
      <c r="MJ5" s="595"/>
      <c r="MK5" s="594"/>
      <c r="ML5" s="594"/>
      <c r="MM5" s="594"/>
      <c r="MN5" s="594"/>
      <c r="MO5" s="593"/>
      <c r="MP5" s="594"/>
      <c r="MQ5" s="594"/>
      <c r="MR5" s="595"/>
      <c r="MS5" s="593"/>
      <c r="MT5" s="594"/>
      <c r="MU5" s="594"/>
      <c r="MV5" s="595"/>
      <c r="MW5" s="703"/>
      <c r="MX5" s="592"/>
      <c r="MY5" s="592"/>
      <c r="MZ5" s="592"/>
      <c r="NA5" s="592"/>
      <c r="NB5" s="702"/>
      <c r="NC5" s="592"/>
      <c r="ND5" s="592"/>
      <c r="NE5" s="592"/>
      <c r="NF5" s="592"/>
      <c r="NG5" s="592"/>
      <c r="NH5" s="702"/>
      <c r="NI5" s="742"/>
      <c r="NJ5" s="742"/>
      <c r="NK5" s="742"/>
      <c r="NL5" s="742"/>
      <c r="NM5" s="742"/>
      <c r="NN5" s="743"/>
      <c r="NO5" s="592"/>
      <c r="NP5" s="592"/>
      <c r="NQ5" s="592"/>
      <c r="NR5" s="592"/>
      <c r="NS5" s="592"/>
      <c r="NT5" s="702"/>
      <c r="NU5" s="592"/>
      <c r="NV5" s="592"/>
      <c r="NW5" s="592"/>
      <c r="NX5" s="592"/>
      <c r="NY5" s="592"/>
      <c r="NZ5" s="702"/>
      <c r="OA5" s="592"/>
      <c r="OB5" s="592"/>
      <c r="OC5" s="592"/>
      <c r="OD5" s="592"/>
      <c r="OE5" s="592"/>
      <c r="OF5" s="705"/>
      <c r="OG5" s="703"/>
      <c r="OH5" s="592"/>
      <c r="OI5" s="592"/>
      <c r="OJ5" s="592"/>
      <c r="OK5" s="592"/>
      <c r="OL5" s="702"/>
      <c r="OM5" s="592"/>
      <c r="ON5" s="592"/>
      <c r="OO5" s="592"/>
      <c r="OP5" s="592"/>
      <c r="OQ5" s="592"/>
      <c r="OR5" s="702"/>
      <c r="OS5" s="592"/>
      <c r="OT5" s="592"/>
      <c r="OU5" s="592"/>
      <c r="OV5" s="592"/>
      <c r="OW5" s="592"/>
      <c r="OX5" s="702"/>
      <c r="OY5" s="701"/>
      <c r="OZ5" s="592"/>
      <c r="PA5" s="592"/>
      <c r="PB5" s="592"/>
      <c r="PC5" s="592"/>
      <c r="PD5" s="705"/>
      <c r="PE5" s="703"/>
      <c r="PF5" s="592"/>
      <c r="PG5" s="592"/>
      <c r="PH5" s="592"/>
      <c r="PI5" s="592"/>
      <c r="PJ5" s="702"/>
      <c r="PK5" s="592"/>
      <c r="PL5" s="592"/>
      <c r="PM5" s="592"/>
      <c r="PN5" s="592"/>
      <c r="PO5" s="592"/>
      <c r="PP5" s="702"/>
      <c r="PQ5" s="592"/>
      <c r="PR5" s="592"/>
      <c r="PS5" s="592"/>
      <c r="PT5" s="592"/>
      <c r="PU5" s="592"/>
      <c r="PV5" s="702"/>
      <c r="PW5" s="592"/>
      <c r="PX5" s="592"/>
      <c r="PY5" s="592"/>
      <c r="PZ5" s="592"/>
      <c r="QA5" s="592"/>
      <c r="QB5" s="702"/>
      <c r="QC5" s="592"/>
      <c r="QD5" s="592"/>
      <c r="QE5" s="592"/>
      <c r="QF5" s="592"/>
      <c r="QG5" s="592"/>
      <c r="QH5" s="705"/>
      <c r="QI5" s="703"/>
      <c r="QJ5" s="592"/>
      <c r="QK5" s="592"/>
      <c r="QL5" s="592"/>
      <c r="QM5" s="592"/>
      <c r="QN5" s="702"/>
      <c r="QO5" s="592"/>
      <c r="QP5" s="592"/>
      <c r="QQ5" s="592"/>
      <c r="QR5" s="592"/>
      <c r="QS5" s="592"/>
      <c r="QT5" s="702"/>
      <c r="QU5" s="592"/>
      <c r="QV5" s="592"/>
      <c r="QW5" s="592"/>
      <c r="QX5" s="592"/>
      <c r="QY5" s="592"/>
      <c r="QZ5" s="702"/>
      <c r="RA5" s="592"/>
      <c r="RB5" s="592"/>
      <c r="RC5" s="592"/>
      <c r="RD5" s="592"/>
      <c r="RE5" s="592"/>
      <c r="RF5" s="702"/>
      <c r="RG5" s="592"/>
      <c r="RH5" s="592"/>
      <c r="RI5" s="592"/>
      <c r="RJ5" s="592"/>
      <c r="RK5" s="592"/>
      <c r="RL5" s="705"/>
      <c r="RM5" s="703"/>
      <c r="RN5" s="592"/>
      <c r="RO5" s="592"/>
      <c r="RP5" s="592"/>
      <c r="RQ5" s="592"/>
      <c r="RR5" s="702"/>
      <c r="RS5" s="592"/>
      <c r="RT5" s="592"/>
      <c r="RU5" s="592"/>
      <c r="RV5" s="592"/>
      <c r="RW5" s="592"/>
      <c r="RX5" s="702"/>
      <c r="RY5" s="592"/>
      <c r="RZ5" s="592"/>
      <c r="SA5" s="592"/>
      <c r="SB5" s="592"/>
      <c r="SC5" s="592"/>
      <c r="SD5" s="702"/>
      <c r="SE5" s="592"/>
      <c r="SF5" s="592"/>
      <c r="SG5" s="592"/>
      <c r="SH5" s="592"/>
      <c r="SI5" s="592"/>
      <c r="SJ5" s="702"/>
      <c r="SK5" s="592"/>
      <c r="SL5" s="592"/>
      <c r="SM5" s="592"/>
      <c r="SN5" s="592"/>
      <c r="SO5" s="592"/>
      <c r="SP5" s="705"/>
      <c r="SQ5" s="703"/>
      <c r="SR5" s="592"/>
      <c r="SS5" s="592"/>
      <c r="ST5" s="592"/>
      <c r="SU5" s="592"/>
      <c r="SV5" s="702"/>
      <c r="SW5" s="592"/>
      <c r="SX5" s="592"/>
      <c r="SY5" s="592"/>
      <c r="SZ5" s="592"/>
      <c r="TA5" s="592"/>
      <c r="TB5" s="702"/>
      <c r="TC5" s="592"/>
      <c r="TD5" s="592"/>
      <c r="TE5" s="592"/>
      <c r="TF5" s="592"/>
      <c r="TG5" s="592"/>
      <c r="TH5" s="702"/>
      <c r="TI5" s="592"/>
      <c r="TJ5" s="592"/>
      <c r="TK5" s="592"/>
      <c r="TL5" s="592"/>
      <c r="TM5" s="592"/>
      <c r="TN5" s="702"/>
      <c r="TO5" s="592"/>
      <c r="TP5" s="592"/>
      <c r="TQ5" s="592"/>
      <c r="TR5" s="592"/>
      <c r="TS5" s="592"/>
      <c r="TT5" s="705"/>
      <c r="TU5" s="703"/>
      <c r="TV5" s="592"/>
      <c r="TW5" s="592"/>
      <c r="TX5" s="592"/>
      <c r="TY5" s="592"/>
      <c r="TZ5" s="702"/>
      <c r="UA5" s="592"/>
      <c r="UB5" s="592"/>
      <c r="UC5" s="592"/>
      <c r="UD5" s="592"/>
      <c r="UE5" s="592"/>
      <c r="UF5" s="702"/>
      <c r="UG5" s="592"/>
      <c r="UH5" s="592"/>
      <c r="UI5" s="592"/>
      <c r="UJ5" s="592"/>
      <c r="UK5" s="592"/>
      <c r="UL5" s="702"/>
      <c r="UM5" s="592"/>
      <c r="UN5" s="592"/>
      <c r="UO5" s="592"/>
      <c r="UP5" s="592"/>
      <c r="UQ5" s="592"/>
      <c r="UR5" s="702"/>
      <c r="US5" s="592"/>
      <c r="UT5" s="592"/>
      <c r="UU5" s="592"/>
      <c r="UV5" s="592"/>
      <c r="UW5" s="592"/>
      <c r="UX5" s="702"/>
      <c r="UY5" s="592"/>
      <c r="UZ5" s="592"/>
      <c r="VA5" s="592"/>
      <c r="VB5" s="592"/>
      <c r="VC5" s="592"/>
      <c r="VD5" s="705"/>
      <c r="VE5" s="575" t="s">
        <v>1388</v>
      </c>
      <c r="VF5" s="576" t="s">
        <v>1388</v>
      </c>
      <c r="VG5" s="576" t="s">
        <v>1388</v>
      </c>
      <c r="VH5" s="576" t="s">
        <v>1388</v>
      </c>
      <c r="VI5" s="576" t="s">
        <v>1388</v>
      </c>
      <c r="VJ5" s="576" t="s">
        <v>1388</v>
      </c>
      <c r="VK5" s="773" t="s">
        <v>1389</v>
      </c>
      <c r="VL5" s="574" t="s">
        <v>89</v>
      </c>
      <c r="VM5" s="574" t="s">
        <v>89</v>
      </c>
      <c r="VN5" s="613" t="s">
        <v>89</v>
      </c>
      <c r="VO5" s="573" t="s">
        <v>89</v>
      </c>
      <c r="VP5" s="574" t="s">
        <v>89</v>
      </c>
      <c r="VQ5" s="613" t="s">
        <v>89</v>
      </c>
      <c r="VR5" s="573" t="s">
        <v>89</v>
      </c>
      <c r="VS5" s="574" t="s">
        <v>89</v>
      </c>
      <c r="VT5" s="613" t="s">
        <v>89</v>
      </c>
      <c r="VU5" s="573" t="s">
        <v>89</v>
      </c>
      <c r="VV5" s="574" t="s">
        <v>89</v>
      </c>
      <c r="VW5" s="613" t="s">
        <v>89</v>
      </c>
      <c r="VX5" s="573" t="s">
        <v>89</v>
      </c>
      <c r="VY5" s="574" t="s">
        <v>89</v>
      </c>
      <c r="VZ5" s="613" t="s">
        <v>89</v>
      </c>
      <c r="WA5" s="573" t="s">
        <v>89</v>
      </c>
      <c r="WB5" s="574" t="s">
        <v>89</v>
      </c>
      <c r="WC5" s="613" t="s">
        <v>89</v>
      </c>
      <c r="WD5" s="573" t="s">
        <v>89</v>
      </c>
      <c r="WE5" s="574" t="s">
        <v>89</v>
      </c>
      <c r="WF5" s="613" t="s">
        <v>89</v>
      </c>
      <c r="WG5" s="573" t="s">
        <v>89</v>
      </c>
      <c r="WH5" s="574" t="s">
        <v>89</v>
      </c>
      <c r="WI5" s="613" t="s">
        <v>89</v>
      </c>
      <c r="WJ5" s="573" t="s">
        <v>89</v>
      </c>
      <c r="WK5" s="574" t="s">
        <v>89</v>
      </c>
      <c r="WL5" s="613" t="s">
        <v>89</v>
      </c>
      <c r="WM5" s="573" t="s">
        <v>89</v>
      </c>
      <c r="WN5" s="574" t="s">
        <v>89</v>
      </c>
      <c r="WO5" s="613" t="s">
        <v>89</v>
      </c>
      <c r="WP5" s="573" t="s">
        <v>89</v>
      </c>
      <c r="WQ5" s="574" t="s">
        <v>89</v>
      </c>
      <c r="WR5" s="574" t="s">
        <v>89</v>
      </c>
      <c r="WS5" s="612"/>
      <c r="WT5" s="574"/>
      <c r="WU5" s="574"/>
      <c r="WV5" s="574"/>
      <c r="WW5" s="614"/>
      <c r="WX5" s="738" t="s">
        <v>1247</v>
      </c>
      <c r="WY5" s="612" t="s">
        <v>89</v>
      </c>
      <c r="WZ5" s="574" t="s">
        <v>89</v>
      </c>
      <c r="XA5" s="574" t="s">
        <v>89</v>
      </c>
      <c r="XB5" s="614" t="s">
        <v>89</v>
      </c>
      <c r="XC5" s="604" t="s">
        <v>1247</v>
      </c>
      <c r="XD5" s="604" t="s">
        <v>1247</v>
      </c>
      <c r="XE5" s="604" t="s">
        <v>1247</v>
      </c>
      <c r="XF5" s="604" t="s">
        <v>1247</v>
      </c>
      <c r="XG5" s="604" t="s">
        <v>1247</v>
      </c>
      <c r="XH5" s="604" t="s">
        <v>1247</v>
      </c>
      <c r="XI5" s="604" t="s">
        <v>1247</v>
      </c>
      <c r="XJ5" s="604" t="s">
        <v>1247</v>
      </c>
      <c r="XK5" s="603" t="s">
        <v>1247</v>
      </c>
      <c r="XL5" s="604" t="s">
        <v>1247</v>
      </c>
      <c r="XM5" s="604" t="s">
        <v>1247</v>
      </c>
      <c r="XN5" s="604" t="s">
        <v>1247</v>
      </c>
      <c r="XO5" s="604" t="s">
        <v>1247</v>
      </c>
      <c r="XP5" s="604" t="s">
        <v>1247</v>
      </c>
      <c r="XQ5" s="604" t="s">
        <v>1247</v>
      </c>
      <c r="XR5" s="739" t="s">
        <v>1247</v>
      </c>
      <c r="XS5" s="603" t="s">
        <v>1247</v>
      </c>
      <c r="XT5" s="604" t="s">
        <v>1247</v>
      </c>
      <c r="XU5" s="604" t="s">
        <v>1247</v>
      </c>
      <c r="XV5" s="604" t="s">
        <v>1247</v>
      </c>
      <c r="XW5" s="604" t="s">
        <v>1247</v>
      </c>
      <c r="XX5" s="604" t="s">
        <v>1247</v>
      </c>
      <c r="XY5" s="604" t="s">
        <v>1247</v>
      </c>
      <c r="XZ5" s="739" t="s">
        <v>1247</v>
      </c>
      <c r="YA5" s="604" t="s">
        <v>1247</v>
      </c>
      <c r="YB5" s="604" t="s">
        <v>1247</v>
      </c>
      <c r="YC5" s="604" t="s">
        <v>1247</v>
      </c>
      <c r="YD5" s="604" t="s">
        <v>1247</v>
      </c>
      <c r="YE5" s="604" t="s">
        <v>1247</v>
      </c>
      <c r="YF5" s="604" t="s">
        <v>1247</v>
      </c>
      <c r="YG5" s="604" t="s">
        <v>1247</v>
      </c>
      <c r="YH5" s="604" t="s">
        <v>1247</v>
      </c>
      <c r="YI5" s="603" t="s">
        <v>1247</v>
      </c>
      <c r="YJ5" s="604" t="s">
        <v>1247</v>
      </c>
      <c r="YK5" s="604" t="s">
        <v>1247</v>
      </c>
      <c r="YL5" s="604" t="s">
        <v>1247</v>
      </c>
      <c r="YM5" s="604" t="s">
        <v>1247</v>
      </c>
      <c r="YN5" s="604" t="s">
        <v>1247</v>
      </c>
      <c r="YO5" s="604" t="s">
        <v>1247</v>
      </c>
      <c r="YP5" s="739" t="s">
        <v>1247</v>
      </c>
      <c r="YQ5" s="603" t="s">
        <v>1247</v>
      </c>
      <c r="YR5" s="604" t="s">
        <v>1247</v>
      </c>
      <c r="YS5" s="604" t="s">
        <v>1247</v>
      </c>
      <c r="YT5" s="604" t="s">
        <v>1247</v>
      </c>
      <c r="YU5" s="604" t="s">
        <v>1247</v>
      </c>
      <c r="YV5" s="604" t="s">
        <v>1247</v>
      </c>
      <c r="YW5" s="604" t="s">
        <v>1247</v>
      </c>
      <c r="YX5" s="739" t="s">
        <v>1247</v>
      </c>
      <c r="YY5" s="604" t="s">
        <v>1247</v>
      </c>
      <c r="YZ5" s="604" t="s">
        <v>1247</v>
      </c>
      <c r="ZA5" s="604" t="s">
        <v>1247</v>
      </c>
      <c r="ZB5" s="604" t="s">
        <v>1247</v>
      </c>
      <c r="ZC5" s="604" t="s">
        <v>1247</v>
      </c>
      <c r="ZD5" s="604" t="s">
        <v>1247</v>
      </c>
      <c r="ZE5" s="604" t="s">
        <v>1247</v>
      </c>
      <c r="ZF5" s="604" t="s">
        <v>1247</v>
      </c>
      <c r="ZG5" s="603" t="s">
        <v>1247</v>
      </c>
      <c r="ZH5" s="604" t="s">
        <v>1247</v>
      </c>
      <c r="ZI5" s="604" t="s">
        <v>1247</v>
      </c>
      <c r="ZJ5" s="604" t="s">
        <v>1247</v>
      </c>
      <c r="ZK5" s="604" t="s">
        <v>1247</v>
      </c>
      <c r="ZL5" s="604" t="s">
        <v>1247</v>
      </c>
      <c r="ZM5" s="604" t="s">
        <v>1247</v>
      </c>
      <c r="ZN5" s="739" t="s">
        <v>1247</v>
      </c>
      <c r="ZO5" s="604" t="s">
        <v>1247</v>
      </c>
      <c r="ZP5" s="604" t="s">
        <v>1247</v>
      </c>
      <c r="ZQ5" s="604" t="s">
        <v>1247</v>
      </c>
      <c r="ZR5" s="604" t="s">
        <v>1247</v>
      </c>
      <c r="ZS5" s="604" t="s">
        <v>1247</v>
      </c>
      <c r="ZT5" s="604" t="s">
        <v>1247</v>
      </c>
      <c r="ZU5" s="604" t="s">
        <v>1247</v>
      </c>
      <c r="ZV5" s="604" t="s">
        <v>1247</v>
      </c>
      <c r="ZW5" s="603" t="s">
        <v>1247</v>
      </c>
      <c r="ZX5" s="604" t="s">
        <v>1247</v>
      </c>
      <c r="ZY5" s="604" t="s">
        <v>1247</v>
      </c>
      <c r="ZZ5" s="604" t="s">
        <v>1247</v>
      </c>
      <c r="AAA5" s="604" t="s">
        <v>1247</v>
      </c>
      <c r="AAB5" s="604" t="s">
        <v>1247</v>
      </c>
      <c r="AAC5" s="604" t="s">
        <v>1247</v>
      </c>
      <c r="AAD5" s="739" t="s">
        <v>1247</v>
      </c>
      <c r="AAE5" s="604" t="s">
        <v>1247</v>
      </c>
      <c r="AAF5" s="604" t="s">
        <v>1247</v>
      </c>
      <c r="AAG5" s="604" t="s">
        <v>1247</v>
      </c>
      <c r="AAH5" s="604" t="s">
        <v>1247</v>
      </c>
      <c r="AAI5" s="604" t="s">
        <v>1247</v>
      </c>
      <c r="AAJ5" s="604" t="s">
        <v>1247</v>
      </c>
      <c r="AAK5" s="604" t="s">
        <v>1247</v>
      </c>
      <c r="AAL5" s="604" t="s">
        <v>1247</v>
      </c>
      <c r="AAM5" s="603" t="s">
        <v>1247</v>
      </c>
      <c r="AAN5" s="604" t="s">
        <v>1247</v>
      </c>
      <c r="AAO5" s="604" t="s">
        <v>1247</v>
      </c>
      <c r="AAP5" s="604" t="s">
        <v>1247</v>
      </c>
      <c r="AAQ5" s="604" t="s">
        <v>1247</v>
      </c>
      <c r="AAR5" s="604" t="s">
        <v>1247</v>
      </c>
      <c r="AAS5" s="604" t="s">
        <v>1247</v>
      </c>
      <c r="AAT5" s="739" t="s">
        <v>1247</v>
      </c>
      <c r="AAU5" s="604" t="s">
        <v>1247</v>
      </c>
      <c r="AAV5" s="604" t="s">
        <v>1247</v>
      </c>
      <c r="AAW5" s="604" t="s">
        <v>1247</v>
      </c>
      <c r="AAX5" s="604" t="s">
        <v>1247</v>
      </c>
      <c r="AAY5" s="604" t="s">
        <v>1247</v>
      </c>
      <c r="AAZ5" s="604" t="s">
        <v>1247</v>
      </c>
      <c r="ABA5" s="604" t="s">
        <v>1247</v>
      </c>
      <c r="ABB5" s="604" t="s">
        <v>1247</v>
      </c>
      <c r="ABC5" s="603" t="s">
        <v>1247</v>
      </c>
      <c r="ABD5" s="604" t="s">
        <v>1247</v>
      </c>
      <c r="ABE5" s="604" t="s">
        <v>1247</v>
      </c>
      <c r="ABF5" s="604" t="s">
        <v>1247</v>
      </c>
      <c r="ABG5" s="604" t="s">
        <v>1247</v>
      </c>
      <c r="ABH5" s="604" t="s">
        <v>1247</v>
      </c>
      <c r="ABI5" s="604" t="s">
        <v>1247</v>
      </c>
      <c r="ABJ5" s="739" t="s">
        <v>1247</v>
      </c>
      <c r="ABK5" s="604" t="s">
        <v>1247</v>
      </c>
      <c r="ABL5" s="604" t="s">
        <v>1247</v>
      </c>
      <c r="ABM5" s="604" t="s">
        <v>1247</v>
      </c>
      <c r="ABN5" s="604" t="s">
        <v>1247</v>
      </c>
      <c r="ABO5" s="604" t="s">
        <v>1247</v>
      </c>
      <c r="ABP5" s="604" t="s">
        <v>1247</v>
      </c>
      <c r="ABQ5" s="604" t="s">
        <v>1247</v>
      </c>
      <c r="ABR5" s="604" t="s">
        <v>1247</v>
      </c>
      <c r="ABS5" s="603" t="s">
        <v>1247</v>
      </c>
      <c r="ABT5" s="604" t="s">
        <v>1247</v>
      </c>
      <c r="ABU5" s="604" t="s">
        <v>1247</v>
      </c>
      <c r="ABV5" s="604" t="s">
        <v>1247</v>
      </c>
      <c r="ABW5" s="604" t="s">
        <v>1247</v>
      </c>
      <c r="ABX5" s="604" t="s">
        <v>1247</v>
      </c>
      <c r="ABY5" s="604" t="s">
        <v>1247</v>
      </c>
      <c r="ABZ5" s="739" t="s">
        <v>1247</v>
      </c>
      <c r="ACA5" s="604" t="s">
        <v>1247</v>
      </c>
      <c r="ACB5" s="604" t="s">
        <v>1247</v>
      </c>
      <c r="ACC5" s="604" t="s">
        <v>1247</v>
      </c>
      <c r="ACD5" s="604" t="s">
        <v>1247</v>
      </c>
      <c r="ACE5" s="604" t="s">
        <v>1247</v>
      </c>
      <c r="ACF5" s="604" t="s">
        <v>1247</v>
      </c>
      <c r="ACG5" s="604" t="s">
        <v>1247</v>
      </c>
      <c r="ACH5" s="604" t="s">
        <v>1247</v>
      </c>
      <c r="ACI5" s="603" t="s">
        <v>1247</v>
      </c>
      <c r="ACJ5" s="604" t="s">
        <v>1247</v>
      </c>
      <c r="ACK5" s="604" t="s">
        <v>1247</v>
      </c>
      <c r="ACL5" s="604" t="s">
        <v>1247</v>
      </c>
      <c r="ACM5" s="604" t="s">
        <v>1247</v>
      </c>
      <c r="ACN5" s="604" t="s">
        <v>1247</v>
      </c>
      <c r="ACO5" s="604" t="s">
        <v>1247</v>
      </c>
      <c r="ACP5" s="739" t="s">
        <v>1247</v>
      </c>
      <c r="ACQ5" s="604" t="s">
        <v>1247</v>
      </c>
      <c r="ACR5" s="604" t="s">
        <v>1247</v>
      </c>
      <c r="ACS5" s="604" t="s">
        <v>1247</v>
      </c>
      <c r="ACT5" s="604" t="s">
        <v>1247</v>
      </c>
      <c r="ACU5" s="604" t="s">
        <v>1247</v>
      </c>
      <c r="ACV5" s="604" t="s">
        <v>1247</v>
      </c>
      <c r="ACW5" s="604" t="s">
        <v>1247</v>
      </c>
      <c r="ACX5" s="604" t="s">
        <v>1247</v>
      </c>
      <c r="ACY5" s="603" t="s">
        <v>1247</v>
      </c>
      <c r="ACZ5" s="604" t="s">
        <v>1247</v>
      </c>
      <c r="ADA5" s="604" t="s">
        <v>1247</v>
      </c>
      <c r="ADB5" s="604" t="s">
        <v>1247</v>
      </c>
      <c r="ADC5" s="604" t="s">
        <v>1247</v>
      </c>
      <c r="ADD5" s="604" t="s">
        <v>1247</v>
      </c>
      <c r="ADE5" s="604" t="s">
        <v>1247</v>
      </c>
      <c r="ADF5" s="739" t="s">
        <v>1247</v>
      </c>
      <c r="ADG5" s="604" t="s">
        <v>1247</v>
      </c>
      <c r="ADH5" s="604" t="s">
        <v>1247</v>
      </c>
      <c r="ADI5" s="604" t="s">
        <v>1247</v>
      </c>
      <c r="ADJ5" s="604" t="s">
        <v>1247</v>
      </c>
      <c r="ADK5" s="604" t="s">
        <v>1247</v>
      </c>
      <c r="ADL5" s="604" t="s">
        <v>1247</v>
      </c>
      <c r="ADM5" s="604" t="s">
        <v>1247</v>
      </c>
      <c r="ADN5" s="604" t="s">
        <v>1247</v>
      </c>
      <c r="ADO5" s="603" t="s">
        <v>1247</v>
      </c>
      <c r="ADP5" s="604" t="s">
        <v>1247</v>
      </c>
      <c r="ADQ5" s="604" t="s">
        <v>1247</v>
      </c>
      <c r="ADR5" s="604" t="s">
        <v>1247</v>
      </c>
      <c r="ADS5" s="604" t="s">
        <v>1247</v>
      </c>
      <c r="ADT5" s="604" t="s">
        <v>1247</v>
      </c>
      <c r="ADU5" s="604" t="s">
        <v>1247</v>
      </c>
      <c r="ADV5" s="739" t="s">
        <v>1247</v>
      </c>
      <c r="ADW5" s="604" t="s">
        <v>1247</v>
      </c>
      <c r="ADX5" s="604" t="s">
        <v>1247</v>
      </c>
      <c r="ADY5" s="604" t="s">
        <v>1247</v>
      </c>
      <c r="ADZ5" s="604" t="s">
        <v>1247</v>
      </c>
      <c r="AEA5" s="604" t="s">
        <v>1247</v>
      </c>
      <c r="AEB5" s="604" t="s">
        <v>1247</v>
      </c>
      <c r="AEC5" s="604" t="s">
        <v>1247</v>
      </c>
      <c r="AED5" s="604" t="s">
        <v>1247</v>
      </c>
      <c r="AEE5" s="603" t="s">
        <v>1247</v>
      </c>
      <c r="AEF5" s="604" t="s">
        <v>1247</v>
      </c>
      <c r="AEG5" s="604" t="s">
        <v>1247</v>
      </c>
      <c r="AEH5" s="604" t="s">
        <v>1247</v>
      </c>
      <c r="AEI5" s="604" t="s">
        <v>1247</v>
      </c>
      <c r="AEJ5" s="604" t="s">
        <v>1247</v>
      </c>
      <c r="AEK5" s="604" t="s">
        <v>1247</v>
      </c>
      <c r="AEL5" s="739" t="s">
        <v>1247</v>
      </c>
      <c r="AEM5" s="604" t="s">
        <v>1247</v>
      </c>
      <c r="AEN5" s="604" t="s">
        <v>1247</v>
      </c>
      <c r="AEO5" s="604" t="s">
        <v>1247</v>
      </c>
      <c r="AEP5" s="604" t="s">
        <v>1247</v>
      </c>
      <c r="AEQ5" s="604" t="s">
        <v>1247</v>
      </c>
      <c r="AER5" s="604" t="s">
        <v>1247</v>
      </c>
      <c r="AES5" s="604" t="s">
        <v>1247</v>
      </c>
      <c r="AET5" s="604" t="s">
        <v>1247</v>
      </c>
      <c r="AEU5" s="603" t="s">
        <v>1247</v>
      </c>
      <c r="AEV5" s="604" t="s">
        <v>1247</v>
      </c>
      <c r="AEW5" s="604" t="s">
        <v>1247</v>
      </c>
      <c r="AEX5" s="604" t="s">
        <v>1247</v>
      </c>
      <c r="AEY5" s="604" t="s">
        <v>1247</v>
      </c>
      <c r="AEZ5" s="604" t="s">
        <v>1247</v>
      </c>
      <c r="AFA5" s="604" t="s">
        <v>1247</v>
      </c>
      <c r="AFB5" s="739" t="s">
        <v>1247</v>
      </c>
      <c r="AFC5" s="604" t="s">
        <v>1247</v>
      </c>
      <c r="AFD5" s="604" t="s">
        <v>1247</v>
      </c>
      <c r="AFE5" s="604" t="s">
        <v>1247</v>
      </c>
      <c r="AFF5" s="604" t="s">
        <v>1247</v>
      </c>
      <c r="AFG5" s="604" t="s">
        <v>1247</v>
      </c>
      <c r="AFH5" s="604" t="s">
        <v>1247</v>
      </c>
      <c r="AFI5" s="604" t="s">
        <v>1247</v>
      </c>
      <c r="AFJ5" s="604" t="s">
        <v>1247</v>
      </c>
      <c r="AFK5" s="603" t="s">
        <v>1247</v>
      </c>
      <c r="AFL5" s="604" t="s">
        <v>1247</v>
      </c>
      <c r="AFM5" s="604" t="s">
        <v>1247</v>
      </c>
      <c r="AFN5" s="604" t="s">
        <v>1247</v>
      </c>
      <c r="AFO5" s="604" t="s">
        <v>1247</v>
      </c>
      <c r="AFP5" s="604" t="s">
        <v>1247</v>
      </c>
      <c r="AFQ5" s="604" t="s">
        <v>1247</v>
      </c>
      <c r="AFR5" s="739" t="s">
        <v>1247</v>
      </c>
      <c r="AFS5" s="603" t="s">
        <v>1247</v>
      </c>
      <c r="AFT5" s="604" t="s">
        <v>1247</v>
      </c>
      <c r="AFU5" s="604" t="s">
        <v>1247</v>
      </c>
      <c r="AFV5" s="604" t="s">
        <v>1247</v>
      </c>
      <c r="AFW5" s="604" t="s">
        <v>1247</v>
      </c>
      <c r="AFX5" s="604" t="s">
        <v>1247</v>
      </c>
      <c r="AFY5" s="604" t="s">
        <v>1247</v>
      </c>
      <c r="AFZ5" s="739" t="s">
        <v>1247</v>
      </c>
      <c r="AGA5" s="603" t="s">
        <v>1247</v>
      </c>
      <c r="AGB5" s="604" t="s">
        <v>1247</v>
      </c>
      <c r="AGC5" s="604" t="s">
        <v>1247</v>
      </c>
      <c r="AGD5" s="604" t="s">
        <v>1247</v>
      </c>
      <c r="AGE5" s="604" t="s">
        <v>1247</v>
      </c>
      <c r="AGF5" s="604" t="s">
        <v>1247</v>
      </c>
      <c r="AGG5" s="604" t="s">
        <v>1247</v>
      </c>
      <c r="AGH5" s="739" t="s">
        <v>1247</v>
      </c>
      <c r="AGI5" s="603" t="s">
        <v>1247</v>
      </c>
      <c r="AGJ5" s="604" t="s">
        <v>1247</v>
      </c>
      <c r="AGK5" s="604" t="s">
        <v>1247</v>
      </c>
      <c r="AGL5" s="604" t="s">
        <v>1247</v>
      </c>
      <c r="AGM5" s="604" t="s">
        <v>1247</v>
      </c>
      <c r="AGN5" s="604" t="s">
        <v>1247</v>
      </c>
      <c r="AGO5" s="604" t="s">
        <v>1247</v>
      </c>
      <c r="AGP5" s="739" t="s">
        <v>1247</v>
      </c>
      <c r="AGQ5" s="603" t="s">
        <v>1247</v>
      </c>
      <c r="AGR5" s="604" t="s">
        <v>1247</v>
      </c>
      <c r="AGS5" s="604" t="s">
        <v>1247</v>
      </c>
      <c r="AGT5" s="604" t="s">
        <v>1247</v>
      </c>
      <c r="AGU5" s="604" t="s">
        <v>1247</v>
      </c>
      <c r="AGV5" s="604" t="s">
        <v>1247</v>
      </c>
      <c r="AGW5" s="604" t="s">
        <v>1247</v>
      </c>
      <c r="AGX5" s="739" t="s">
        <v>1247</v>
      </c>
      <c r="AGY5" s="603" t="s">
        <v>2032</v>
      </c>
      <c r="AGZ5" s="604" t="s">
        <v>2032</v>
      </c>
      <c r="AHA5" s="604" t="s">
        <v>2032</v>
      </c>
      <c r="AHB5" s="604" t="s">
        <v>2032</v>
      </c>
      <c r="AHC5" s="604" t="s">
        <v>2032</v>
      </c>
      <c r="AHD5" s="604" t="s">
        <v>2032</v>
      </c>
      <c r="AHE5" s="604" t="s">
        <v>2032</v>
      </c>
      <c r="AHF5" s="739" t="s">
        <v>2032</v>
      </c>
      <c r="AHG5" s="603" t="s">
        <v>2032</v>
      </c>
      <c r="AHH5" s="604" t="s">
        <v>2032</v>
      </c>
      <c r="AHI5" s="604" t="s">
        <v>2032</v>
      </c>
      <c r="AHJ5" s="604" t="s">
        <v>2032</v>
      </c>
      <c r="AHK5" s="604" t="s">
        <v>2032</v>
      </c>
      <c r="AHL5" s="604" t="s">
        <v>2032</v>
      </c>
      <c r="AHM5" s="604" t="s">
        <v>2032</v>
      </c>
      <c r="AHN5" s="739" t="s">
        <v>2032</v>
      </c>
      <c r="AHO5" s="603" t="s">
        <v>2032</v>
      </c>
      <c r="AHP5" s="604" t="s">
        <v>2032</v>
      </c>
      <c r="AHQ5" s="604" t="s">
        <v>2032</v>
      </c>
      <c r="AHR5" s="604" t="s">
        <v>2032</v>
      </c>
      <c r="AHS5" s="604" t="s">
        <v>2032</v>
      </c>
      <c r="AHT5" s="604" t="s">
        <v>2032</v>
      </c>
      <c r="AHU5" s="604" t="s">
        <v>2032</v>
      </c>
      <c r="AHV5" s="739" t="s">
        <v>2032</v>
      </c>
      <c r="AHW5" s="603" t="s">
        <v>2032</v>
      </c>
      <c r="AHX5" s="604" t="s">
        <v>2032</v>
      </c>
      <c r="AHY5" s="604" t="s">
        <v>2032</v>
      </c>
      <c r="AHZ5" s="604" t="s">
        <v>2032</v>
      </c>
      <c r="AIA5" s="604" t="s">
        <v>2032</v>
      </c>
      <c r="AIB5" s="604" t="s">
        <v>2032</v>
      </c>
      <c r="AIC5" s="604" t="s">
        <v>2032</v>
      </c>
      <c r="AID5" s="739" t="s">
        <v>2032</v>
      </c>
      <c r="AIE5" s="603" t="s">
        <v>2032</v>
      </c>
      <c r="AIF5" s="604" t="s">
        <v>2032</v>
      </c>
      <c r="AIG5" s="604" t="s">
        <v>2032</v>
      </c>
      <c r="AIH5" s="604" t="s">
        <v>2032</v>
      </c>
      <c r="AII5" s="604" t="s">
        <v>2032</v>
      </c>
      <c r="AIJ5" s="604" t="s">
        <v>2032</v>
      </c>
      <c r="AIK5" s="604" t="s">
        <v>2032</v>
      </c>
      <c r="AIL5" s="739" t="s">
        <v>2032</v>
      </c>
      <c r="AIM5" s="603" t="s">
        <v>2032</v>
      </c>
      <c r="AIN5" s="604" t="s">
        <v>2032</v>
      </c>
      <c r="AIO5" s="604" t="s">
        <v>2032</v>
      </c>
      <c r="AIP5" s="604" t="s">
        <v>2032</v>
      </c>
      <c r="AIQ5" s="604" t="s">
        <v>2032</v>
      </c>
      <c r="AIR5" s="604" t="s">
        <v>2032</v>
      </c>
      <c r="AIS5" s="604" t="s">
        <v>2032</v>
      </c>
      <c r="AIT5" s="739" t="s">
        <v>2032</v>
      </c>
      <c r="AIU5" s="612"/>
      <c r="AIV5" s="574"/>
      <c r="AIW5" s="574"/>
      <c r="AIX5" s="614"/>
      <c r="AIY5" s="612"/>
      <c r="AIZ5" s="574"/>
      <c r="AJA5" s="574"/>
      <c r="AJB5" s="574"/>
      <c r="AJC5" s="574"/>
      <c r="AJD5" s="614"/>
    </row>
    <row r="6" spans="1:940" s="117" customFormat="1" ht="15.75" outlineLevel="1">
      <c r="A6" s="80" t="s">
        <v>146</v>
      </c>
      <c r="B6" s="762">
        <v>2016</v>
      </c>
      <c r="C6" s="754">
        <v>2016</v>
      </c>
      <c r="D6" s="755">
        <v>2016</v>
      </c>
      <c r="E6" s="568">
        <v>2013</v>
      </c>
      <c r="F6" s="566">
        <v>2016</v>
      </c>
      <c r="G6" s="566">
        <v>2016</v>
      </c>
      <c r="H6" s="566">
        <v>2016</v>
      </c>
      <c r="I6" s="568"/>
      <c r="J6" s="566"/>
      <c r="K6" s="566"/>
      <c r="L6" s="567"/>
      <c r="M6" s="582"/>
      <c r="N6" s="775"/>
      <c r="O6" s="583">
        <v>2016</v>
      </c>
      <c r="P6" s="583">
        <v>2016</v>
      </c>
      <c r="Q6" s="775">
        <v>2016</v>
      </c>
      <c r="R6" s="583"/>
      <c r="S6" s="583"/>
      <c r="T6" s="583"/>
      <c r="U6" s="583"/>
      <c r="V6" s="775"/>
      <c r="W6" s="583"/>
      <c r="X6" s="583"/>
      <c r="Y6" s="583"/>
      <c r="Z6" s="583"/>
      <c r="AA6" s="775"/>
      <c r="AB6" s="583"/>
      <c r="AC6" s="583"/>
      <c r="AD6" s="583"/>
      <c r="AE6" s="583"/>
      <c r="AF6" s="775"/>
      <c r="AG6" s="583"/>
      <c r="AH6" s="583"/>
      <c r="AI6" s="583"/>
      <c r="AJ6" s="583"/>
      <c r="AK6" s="583"/>
      <c r="AL6" s="986"/>
      <c r="AM6" s="583"/>
      <c r="AN6" s="583"/>
      <c r="AO6" s="583"/>
      <c r="AP6" s="583"/>
      <c r="AQ6" s="583"/>
      <c r="AR6" s="583"/>
      <c r="AS6" s="986"/>
      <c r="AT6" s="583"/>
      <c r="AU6" s="583"/>
      <c r="AV6" s="583"/>
      <c r="AW6" s="583"/>
      <c r="AX6" s="582"/>
      <c r="AY6" s="583">
        <v>2011</v>
      </c>
      <c r="AZ6" s="583">
        <v>2016</v>
      </c>
      <c r="BA6" s="583">
        <v>2016</v>
      </c>
      <c r="BB6" s="583">
        <v>2016</v>
      </c>
      <c r="BC6" s="583"/>
      <c r="BD6" s="775"/>
      <c r="BE6" s="583"/>
      <c r="BF6" s="583"/>
      <c r="BG6" s="583"/>
      <c r="BH6" s="583"/>
      <c r="BI6" s="583"/>
      <c r="BJ6" s="583"/>
      <c r="BK6" s="583"/>
      <c r="BL6" s="583"/>
      <c r="BM6" s="583"/>
      <c r="BN6" s="583"/>
      <c r="BO6" s="583"/>
      <c r="BP6" s="583"/>
      <c r="BQ6" s="583"/>
      <c r="BR6" s="583"/>
      <c r="BS6" s="775"/>
      <c r="BT6" s="583"/>
      <c r="BU6" s="583"/>
      <c r="BV6" s="583"/>
      <c r="BW6" s="583"/>
      <c r="BX6" s="583"/>
      <c r="BY6" s="583"/>
      <c r="BZ6" s="583"/>
      <c r="CA6" s="583"/>
      <c r="CB6" s="583"/>
      <c r="CC6" s="583"/>
      <c r="CD6" s="583"/>
      <c r="CE6" s="583"/>
      <c r="CF6" s="583"/>
      <c r="CG6" s="583"/>
      <c r="CH6" s="583"/>
      <c r="CI6" s="986"/>
      <c r="CJ6" s="583"/>
      <c r="CK6" s="583"/>
      <c r="CL6" s="583"/>
      <c r="CM6" s="583"/>
      <c r="CN6" s="583"/>
      <c r="CO6" s="583"/>
      <c r="CP6" s="583"/>
      <c r="CQ6" s="583"/>
      <c r="CR6" s="583"/>
      <c r="CS6" s="583"/>
      <c r="CT6" s="583"/>
      <c r="CU6" s="583"/>
      <c r="CV6" s="583"/>
      <c r="CW6" s="583"/>
      <c r="CX6" s="986"/>
      <c r="CY6" s="583"/>
      <c r="CZ6" s="583"/>
      <c r="DA6" s="583"/>
      <c r="DB6" s="583"/>
      <c r="DC6" s="986"/>
      <c r="DD6" s="583"/>
      <c r="DE6" s="583"/>
      <c r="DF6" s="583"/>
      <c r="DG6" s="583"/>
      <c r="DH6" s="582" t="s">
        <v>161</v>
      </c>
      <c r="DI6" s="583"/>
      <c r="DJ6" s="583"/>
      <c r="DK6" s="583">
        <v>2016</v>
      </c>
      <c r="DL6" s="583">
        <v>2016</v>
      </c>
      <c r="DM6" s="583">
        <v>2016</v>
      </c>
      <c r="DN6" s="986"/>
      <c r="DO6" s="583"/>
      <c r="DP6" s="583"/>
      <c r="DQ6" s="583"/>
      <c r="DR6" s="583"/>
      <c r="DS6" s="583"/>
      <c r="DT6" s="583"/>
      <c r="DU6" s="986"/>
      <c r="DV6" s="583"/>
      <c r="DW6" s="583"/>
      <c r="DX6" s="583"/>
      <c r="DY6" s="583"/>
      <c r="DZ6" s="583"/>
      <c r="EA6" s="584"/>
      <c r="EB6" s="590" t="s">
        <v>161</v>
      </c>
      <c r="EC6" s="583"/>
      <c r="ED6" s="583"/>
      <c r="EE6" s="583">
        <v>2016</v>
      </c>
      <c r="EF6" s="583">
        <v>2016</v>
      </c>
      <c r="EG6" s="583">
        <v>2016</v>
      </c>
      <c r="EH6" s="588"/>
      <c r="EI6" s="583"/>
      <c r="EJ6" s="583"/>
      <c r="EK6" s="583"/>
      <c r="EL6" s="583"/>
      <c r="EM6" s="583"/>
      <c r="EN6" s="583"/>
      <c r="EO6" s="583"/>
      <c r="EP6" s="583"/>
      <c r="EQ6" s="583"/>
      <c r="ER6" s="583"/>
      <c r="ES6" s="583"/>
      <c r="ET6" s="583"/>
      <c r="EU6" s="583"/>
      <c r="EV6" s="583"/>
      <c r="EW6" s="583"/>
      <c r="EX6" s="583"/>
      <c r="EY6" s="583"/>
      <c r="EZ6" s="583"/>
      <c r="FA6" s="583"/>
      <c r="FB6" s="583"/>
      <c r="FC6" s="583"/>
      <c r="FD6" s="583"/>
      <c r="FE6" s="583"/>
      <c r="FF6" s="583"/>
      <c r="FG6" s="583"/>
      <c r="FH6" s="583"/>
      <c r="FI6" s="583"/>
      <c r="FJ6" s="583"/>
      <c r="FK6" s="583"/>
      <c r="FL6" s="583"/>
      <c r="FM6" s="583"/>
      <c r="FN6" s="583"/>
      <c r="FO6" s="583"/>
      <c r="FP6" s="583"/>
      <c r="FQ6" s="583"/>
      <c r="FR6" s="583"/>
      <c r="FS6" s="583"/>
      <c r="FT6" s="583"/>
      <c r="FU6" s="583"/>
      <c r="FV6" s="583"/>
      <c r="FW6" s="583"/>
      <c r="FX6" s="583"/>
      <c r="FY6" s="583"/>
      <c r="FZ6" s="583"/>
      <c r="GA6" s="583"/>
      <c r="GB6" s="583"/>
      <c r="GC6" s="583"/>
      <c r="GD6" s="583"/>
      <c r="GE6" s="583"/>
      <c r="GF6" s="583"/>
      <c r="GG6" s="583"/>
      <c r="GH6" s="583"/>
      <c r="GI6" s="583"/>
      <c r="GJ6" s="583"/>
      <c r="GK6" s="583"/>
      <c r="GL6" s="583"/>
      <c r="GM6" s="583"/>
      <c r="GN6" s="986"/>
      <c r="GO6" s="583"/>
      <c r="GP6" s="583"/>
      <c r="GQ6" s="583"/>
      <c r="GR6" s="583"/>
      <c r="GS6" s="583"/>
      <c r="GT6" s="583"/>
      <c r="GU6" s="583"/>
      <c r="GV6" s="583"/>
      <c r="GW6" s="583"/>
      <c r="GX6" s="583"/>
      <c r="GY6" s="583"/>
      <c r="GZ6" s="583"/>
      <c r="HA6" s="583"/>
      <c r="HB6" s="583"/>
      <c r="HC6" s="583"/>
      <c r="HD6" s="583"/>
      <c r="HE6" s="583"/>
      <c r="HF6" s="583"/>
      <c r="HG6" s="583"/>
      <c r="HH6" s="583"/>
      <c r="HI6" s="583"/>
      <c r="HJ6" s="583"/>
      <c r="HK6" s="583"/>
      <c r="HL6" s="583"/>
      <c r="HM6" s="583"/>
      <c r="HN6" s="583"/>
      <c r="HO6" s="583"/>
      <c r="HP6" s="583"/>
      <c r="HQ6" s="583"/>
      <c r="HR6" s="583"/>
      <c r="HS6" s="583"/>
      <c r="HT6" s="583"/>
      <c r="HU6" s="583"/>
      <c r="HV6" s="583"/>
      <c r="HW6" s="583"/>
      <c r="HX6" s="583"/>
      <c r="HY6" s="583"/>
      <c r="HZ6" s="583"/>
      <c r="IA6" s="583"/>
      <c r="IB6" s="583"/>
      <c r="IC6" s="583"/>
      <c r="ID6" s="583"/>
      <c r="IE6" s="583"/>
      <c r="IF6" s="583"/>
      <c r="IG6" s="583"/>
      <c r="IH6" s="583"/>
      <c r="II6" s="583"/>
      <c r="IJ6" s="583"/>
      <c r="IK6" s="583"/>
      <c r="IL6" s="583"/>
      <c r="IM6" s="583"/>
      <c r="IN6" s="583"/>
      <c r="IO6" s="583"/>
      <c r="IP6" s="583"/>
      <c r="IQ6" s="583"/>
      <c r="IR6" s="583"/>
      <c r="IS6" s="583"/>
      <c r="IT6" s="588"/>
      <c r="IU6" s="583"/>
      <c r="IV6" s="583"/>
      <c r="IW6" s="583"/>
      <c r="IX6" s="583"/>
      <c r="IY6" s="583">
        <v>2016</v>
      </c>
      <c r="IZ6" s="583">
        <v>2016</v>
      </c>
      <c r="JA6" s="775">
        <v>2016</v>
      </c>
      <c r="JB6" s="583"/>
      <c r="JC6" s="583"/>
      <c r="JD6" s="583"/>
      <c r="JE6" s="583"/>
      <c r="JF6" s="584"/>
      <c r="JG6" s="588"/>
      <c r="JH6" s="583"/>
      <c r="JI6" s="583"/>
      <c r="JJ6" s="583"/>
      <c r="JK6" s="583">
        <v>2016</v>
      </c>
      <c r="JL6" s="583">
        <v>2016</v>
      </c>
      <c r="JM6" s="583">
        <v>2016</v>
      </c>
      <c r="JN6" s="986"/>
      <c r="JO6" s="583"/>
      <c r="JP6" s="583"/>
      <c r="JQ6" s="583"/>
      <c r="JR6" s="583"/>
      <c r="JS6" s="1209" t="s">
        <v>3092</v>
      </c>
      <c r="JT6" s="1150"/>
      <c r="JU6" s="1151"/>
      <c r="JV6" s="1151">
        <v>2016</v>
      </c>
      <c r="JW6" s="1151">
        <v>2016</v>
      </c>
      <c r="JX6" s="1151">
        <v>2016</v>
      </c>
      <c r="JY6" s="1158"/>
      <c r="JZ6" s="1155"/>
      <c r="KA6" s="1155"/>
      <c r="KB6" s="1155"/>
      <c r="KC6" s="1155"/>
      <c r="KD6" s="1158"/>
      <c r="KE6" s="1155"/>
      <c r="KF6" s="1155"/>
      <c r="KG6" s="1155"/>
      <c r="KH6" s="1155"/>
      <c r="KI6" s="1155"/>
      <c r="KJ6" s="1155"/>
      <c r="KK6" s="1155"/>
      <c r="KL6" s="1155"/>
      <c r="KM6" s="1158"/>
      <c r="KN6" s="1155"/>
      <c r="KO6" s="1155"/>
      <c r="KP6" s="1155"/>
      <c r="KQ6" s="1155"/>
      <c r="KR6" s="1155"/>
      <c r="KS6" s="1155"/>
      <c r="KT6" s="1155"/>
      <c r="KU6" s="1155"/>
      <c r="KV6" s="1158"/>
      <c r="KW6" s="1155"/>
      <c r="KX6" s="1155"/>
      <c r="KY6" s="1155"/>
      <c r="KZ6" s="1155"/>
      <c r="LA6" s="1155"/>
      <c r="LB6" s="1155"/>
      <c r="LC6" s="1155"/>
      <c r="LD6" s="1155"/>
      <c r="LE6" s="986"/>
      <c r="LF6" s="583"/>
      <c r="LG6" s="583"/>
      <c r="LH6" s="583"/>
      <c r="LI6" s="583"/>
      <c r="LJ6" s="1209"/>
      <c r="LK6" s="588"/>
      <c r="LL6" s="583"/>
      <c r="LM6" s="583">
        <v>2016</v>
      </c>
      <c r="LN6" s="583">
        <v>2016</v>
      </c>
      <c r="LO6" s="583">
        <v>2016</v>
      </c>
      <c r="LP6" s="991"/>
      <c r="LQ6" s="589"/>
      <c r="LR6" s="589"/>
      <c r="LS6" s="589"/>
      <c r="LT6" s="589"/>
      <c r="LU6" s="1214"/>
      <c r="LV6" s="744"/>
      <c r="LW6" s="589"/>
      <c r="LX6" s="589"/>
      <c r="LY6" s="745"/>
      <c r="LZ6" s="746"/>
      <c r="MA6" s="746"/>
      <c r="MB6" s="747"/>
      <c r="MC6" s="746"/>
      <c r="MD6" s="746"/>
      <c r="ME6" s="746"/>
      <c r="MF6" s="746"/>
      <c r="MG6" s="745"/>
      <c r="MH6" s="746"/>
      <c r="MI6" s="746"/>
      <c r="MJ6" s="747"/>
      <c r="MK6" s="746"/>
      <c r="ML6" s="746"/>
      <c r="MM6" s="746"/>
      <c r="MN6" s="746"/>
      <c r="MO6" s="745"/>
      <c r="MP6" s="746"/>
      <c r="MQ6" s="746"/>
      <c r="MR6" s="747"/>
      <c r="MS6" s="745"/>
      <c r="MT6" s="746"/>
      <c r="MU6" s="746"/>
      <c r="MV6" s="747"/>
      <c r="MW6" s="703">
        <v>2019</v>
      </c>
      <c r="MX6" s="592">
        <v>2019</v>
      </c>
      <c r="MY6" s="592">
        <v>2019</v>
      </c>
      <c r="MZ6" s="592">
        <v>2019</v>
      </c>
      <c r="NA6" s="592">
        <v>2019</v>
      </c>
      <c r="NB6" s="702">
        <v>2019</v>
      </c>
      <c r="NC6" s="592">
        <v>2019</v>
      </c>
      <c r="ND6" s="592">
        <v>2019</v>
      </c>
      <c r="NE6" s="592">
        <v>2019</v>
      </c>
      <c r="NF6" s="592">
        <v>2019</v>
      </c>
      <c r="NG6" s="592">
        <v>2019</v>
      </c>
      <c r="NH6" s="702">
        <v>2019</v>
      </c>
      <c r="NI6" s="592">
        <v>2019</v>
      </c>
      <c r="NJ6" s="592">
        <v>2019</v>
      </c>
      <c r="NK6" s="592">
        <v>2019</v>
      </c>
      <c r="NL6" s="592">
        <v>2019</v>
      </c>
      <c r="NM6" s="592">
        <v>2019</v>
      </c>
      <c r="NN6" s="702">
        <v>2019</v>
      </c>
      <c r="NO6" s="592">
        <v>2019</v>
      </c>
      <c r="NP6" s="592">
        <v>2019</v>
      </c>
      <c r="NQ6" s="592">
        <v>2019</v>
      </c>
      <c r="NR6" s="592">
        <v>2019</v>
      </c>
      <c r="NS6" s="592">
        <v>2019</v>
      </c>
      <c r="NT6" s="702">
        <v>2019</v>
      </c>
      <c r="NU6" s="592">
        <v>2019</v>
      </c>
      <c r="NV6" s="592">
        <v>2019</v>
      </c>
      <c r="NW6" s="592">
        <v>2019</v>
      </c>
      <c r="NX6" s="592">
        <v>2019</v>
      </c>
      <c r="NY6" s="592">
        <v>2019</v>
      </c>
      <c r="NZ6" s="702">
        <v>2019</v>
      </c>
      <c r="OA6" s="592">
        <v>2020</v>
      </c>
      <c r="OB6" s="592">
        <v>2020</v>
      </c>
      <c r="OC6" s="592">
        <v>2019</v>
      </c>
      <c r="OD6" s="592">
        <v>2019</v>
      </c>
      <c r="OE6" s="592">
        <v>2019</v>
      </c>
      <c r="OF6" s="705">
        <v>2019</v>
      </c>
      <c r="OG6" s="703">
        <v>2019</v>
      </c>
      <c r="OH6" s="592">
        <v>2019</v>
      </c>
      <c r="OI6" s="592">
        <v>2019</v>
      </c>
      <c r="OJ6" s="592">
        <v>2019</v>
      </c>
      <c r="OK6" s="592">
        <v>2019</v>
      </c>
      <c r="OL6" s="702">
        <v>2019</v>
      </c>
      <c r="OM6" s="592">
        <v>2019</v>
      </c>
      <c r="ON6" s="592">
        <v>2019</v>
      </c>
      <c r="OO6" s="592">
        <v>2019</v>
      </c>
      <c r="OP6" s="592">
        <v>2019</v>
      </c>
      <c r="OQ6" s="592">
        <v>2019</v>
      </c>
      <c r="OR6" s="702">
        <v>2019</v>
      </c>
      <c r="OS6" s="592">
        <v>2019</v>
      </c>
      <c r="OT6" s="592">
        <v>2019</v>
      </c>
      <c r="OU6" s="592">
        <v>2019</v>
      </c>
      <c r="OV6" s="592">
        <v>2019</v>
      </c>
      <c r="OW6" s="592">
        <v>2019</v>
      </c>
      <c r="OX6" s="702">
        <v>2019</v>
      </c>
      <c r="OY6" s="592">
        <v>2019</v>
      </c>
      <c r="OZ6" s="592">
        <v>2019</v>
      </c>
      <c r="PA6" s="592">
        <v>2019</v>
      </c>
      <c r="PB6" s="592">
        <v>2019</v>
      </c>
      <c r="PC6" s="592">
        <v>2019</v>
      </c>
      <c r="PD6" s="705">
        <v>2019</v>
      </c>
      <c r="PE6" s="703">
        <v>2020</v>
      </c>
      <c r="PF6" s="592">
        <v>2020</v>
      </c>
      <c r="PG6" s="592">
        <v>2019</v>
      </c>
      <c r="PH6" s="592">
        <v>2019</v>
      </c>
      <c r="PI6" s="592">
        <v>2019</v>
      </c>
      <c r="PJ6" s="702">
        <v>2019</v>
      </c>
      <c r="PK6" s="592">
        <v>2019</v>
      </c>
      <c r="PL6" s="592">
        <v>2019</v>
      </c>
      <c r="PM6" s="592">
        <v>2019</v>
      </c>
      <c r="PN6" s="592">
        <v>2019</v>
      </c>
      <c r="PO6" s="592">
        <v>2019</v>
      </c>
      <c r="PP6" s="702">
        <v>2019</v>
      </c>
      <c r="PQ6" s="592">
        <v>2019</v>
      </c>
      <c r="PR6" s="592">
        <v>2019</v>
      </c>
      <c r="PS6" s="592">
        <v>2019</v>
      </c>
      <c r="PT6" s="592">
        <v>2019</v>
      </c>
      <c r="PU6" s="592">
        <v>2019</v>
      </c>
      <c r="PV6" s="702">
        <v>2019</v>
      </c>
      <c r="PW6" s="592">
        <v>2019</v>
      </c>
      <c r="PX6" s="592">
        <v>2019</v>
      </c>
      <c r="PY6" s="592">
        <v>2019</v>
      </c>
      <c r="PZ6" s="592">
        <v>2019</v>
      </c>
      <c r="QA6" s="592">
        <v>2019</v>
      </c>
      <c r="QB6" s="702">
        <v>2019</v>
      </c>
      <c r="QC6" s="592">
        <v>2019</v>
      </c>
      <c r="QD6" s="592">
        <v>2019</v>
      </c>
      <c r="QE6" s="592">
        <v>2019</v>
      </c>
      <c r="QF6" s="592">
        <v>2019</v>
      </c>
      <c r="QG6" s="592">
        <v>2019</v>
      </c>
      <c r="QH6" s="705">
        <v>2019</v>
      </c>
      <c r="QI6" s="703">
        <v>2019</v>
      </c>
      <c r="QJ6" s="592">
        <v>2019</v>
      </c>
      <c r="QK6" s="592">
        <v>2019</v>
      </c>
      <c r="QL6" s="592">
        <v>2019</v>
      </c>
      <c r="QM6" s="592">
        <v>2019</v>
      </c>
      <c r="QN6" s="702">
        <v>2019</v>
      </c>
      <c r="QO6" s="592">
        <v>2019</v>
      </c>
      <c r="QP6" s="592">
        <v>2019</v>
      </c>
      <c r="QQ6" s="592">
        <v>2019</v>
      </c>
      <c r="QR6" s="592">
        <v>2019</v>
      </c>
      <c r="QS6" s="592">
        <v>2019</v>
      </c>
      <c r="QT6" s="702">
        <v>2019</v>
      </c>
      <c r="QU6" s="592">
        <v>2019</v>
      </c>
      <c r="QV6" s="592">
        <v>2019</v>
      </c>
      <c r="QW6" s="592">
        <v>2019</v>
      </c>
      <c r="QX6" s="592">
        <v>2019</v>
      </c>
      <c r="QY6" s="592">
        <v>2019</v>
      </c>
      <c r="QZ6" s="702">
        <v>2019</v>
      </c>
      <c r="RA6" s="592">
        <v>2019</v>
      </c>
      <c r="RB6" s="592">
        <v>2019</v>
      </c>
      <c r="RC6" s="592">
        <v>2019</v>
      </c>
      <c r="RD6" s="592">
        <v>2019</v>
      </c>
      <c r="RE6" s="592">
        <v>2019</v>
      </c>
      <c r="RF6" s="702">
        <v>2019</v>
      </c>
      <c r="RG6" s="592">
        <v>2019</v>
      </c>
      <c r="RH6" s="592">
        <v>2019</v>
      </c>
      <c r="RI6" s="592">
        <v>2019</v>
      </c>
      <c r="RJ6" s="592">
        <v>2019</v>
      </c>
      <c r="RK6" s="592">
        <v>2019</v>
      </c>
      <c r="RL6" s="705">
        <v>2019</v>
      </c>
      <c r="RM6" s="703">
        <v>2020</v>
      </c>
      <c r="RN6" s="592">
        <v>2020</v>
      </c>
      <c r="RO6" s="592">
        <v>2019</v>
      </c>
      <c r="RP6" s="592">
        <v>2019</v>
      </c>
      <c r="RQ6" s="592">
        <v>2019</v>
      </c>
      <c r="RR6" s="702">
        <v>2019</v>
      </c>
      <c r="RS6" s="592">
        <v>2019</v>
      </c>
      <c r="RT6" s="592">
        <v>2019</v>
      </c>
      <c r="RU6" s="592">
        <v>2019</v>
      </c>
      <c r="RV6" s="592">
        <v>2019</v>
      </c>
      <c r="RW6" s="592">
        <v>2019</v>
      </c>
      <c r="RX6" s="702">
        <v>2019</v>
      </c>
      <c r="RY6" s="592">
        <v>2019</v>
      </c>
      <c r="RZ6" s="592">
        <v>2019</v>
      </c>
      <c r="SA6" s="592">
        <v>2019</v>
      </c>
      <c r="SB6" s="592">
        <v>2019</v>
      </c>
      <c r="SC6" s="592">
        <v>2019</v>
      </c>
      <c r="SD6" s="702">
        <v>2019</v>
      </c>
      <c r="SE6" s="592">
        <v>2019</v>
      </c>
      <c r="SF6" s="592">
        <v>2019</v>
      </c>
      <c r="SG6" s="592">
        <v>2019</v>
      </c>
      <c r="SH6" s="592">
        <v>2019</v>
      </c>
      <c r="SI6" s="592">
        <v>2019</v>
      </c>
      <c r="SJ6" s="702">
        <v>2019</v>
      </c>
      <c r="SK6" s="592">
        <v>2019</v>
      </c>
      <c r="SL6" s="592">
        <v>2019</v>
      </c>
      <c r="SM6" s="592">
        <v>2019</v>
      </c>
      <c r="SN6" s="592">
        <v>2019</v>
      </c>
      <c r="SO6" s="592">
        <v>2019</v>
      </c>
      <c r="SP6" s="705">
        <v>2019</v>
      </c>
      <c r="SQ6" s="703">
        <v>2020</v>
      </c>
      <c r="SR6" s="592">
        <v>2020</v>
      </c>
      <c r="SS6" s="592">
        <v>2019</v>
      </c>
      <c r="ST6" s="592">
        <v>2019</v>
      </c>
      <c r="SU6" s="592">
        <v>2019</v>
      </c>
      <c r="SV6" s="702">
        <v>2019</v>
      </c>
      <c r="SW6" s="592">
        <v>2019</v>
      </c>
      <c r="SX6" s="592">
        <v>2019</v>
      </c>
      <c r="SY6" s="592">
        <v>2019</v>
      </c>
      <c r="SZ6" s="592">
        <v>2019</v>
      </c>
      <c r="TA6" s="592">
        <v>2019</v>
      </c>
      <c r="TB6" s="702">
        <v>2019</v>
      </c>
      <c r="TC6" s="592">
        <v>2019</v>
      </c>
      <c r="TD6" s="592">
        <v>2019</v>
      </c>
      <c r="TE6" s="592">
        <v>2019</v>
      </c>
      <c r="TF6" s="592">
        <v>2019</v>
      </c>
      <c r="TG6" s="592">
        <v>2019</v>
      </c>
      <c r="TH6" s="702">
        <v>2019</v>
      </c>
      <c r="TI6" s="592">
        <v>2019</v>
      </c>
      <c r="TJ6" s="592">
        <v>2019</v>
      </c>
      <c r="TK6" s="592">
        <v>2019</v>
      </c>
      <c r="TL6" s="592">
        <v>2019</v>
      </c>
      <c r="TM6" s="592">
        <v>2019</v>
      </c>
      <c r="TN6" s="702">
        <v>2019</v>
      </c>
      <c r="TO6" s="592">
        <v>2019</v>
      </c>
      <c r="TP6" s="592">
        <v>2019</v>
      </c>
      <c r="TQ6" s="592">
        <v>2019</v>
      </c>
      <c r="TR6" s="592">
        <v>2019</v>
      </c>
      <c r="TS6" s="592">
        <v>2019</v>
      </c>
      <c r="TT6" s="705">
        <v>2019</v>
      </c>
      <c r="TU6" s="703">
        <v>2019</v>
      </c>
      <c r="TV6" s="592">
        <v>2019</v>
      </c>
      <c r="TW6" s="592">
        <v>2019</v>
      </c>
      <c r="TX6" s="592">
        <v>2019</v>
      </c>
      <c r="TY6" s="592">
        <v>2019</v>
      </c>
      <c r="TZ6" s="702">
        <v>2019</v>
      </c>
      <c r="UA6" s="592">
        <v>2019</v>
      </c>
      <c r="UB6" s="592">
        <v>2019</v>
      </c>
      <c r="UC6" s="592">
        <v>2019</v>
      </c>
      <c r="UD6" s="592">
        <v>2019</v>
      </c>
      <c r="UE6" s="592">
        <v>2019</v>
      </c>
      <c r="UF6" s="702">
        <v>2019</v>
      </c>
      <c r="UG6" s="592">
        <v>2019</v>
      </c>
      <c r="UH6" s="592">
        <v>2019</v>
      </c>
      <c r="UI6" s="592">
        <v>2019</v>
      </c>
      <c r="UJ6" s="592">
        <v>2019</v>
      </c>
      <c r="UK6" s="592">
        <v>2019</v>
      </c>
      <c r="UL6" s="702">
        <v>2019</v>
      </c>
      <c r="UM6" s="592">
        <v>2019</v>
      </c>
      <c r="UN6" s="592">
        <v>2019</v>
      </c>
      <c r="UO6" s="592">
        <v>2019</v>
      </c>
      <c r="UP6" s="592">
        <v>2019</v>
      </c>
      <c r="UQ6" s="592">
        <v>2019</v>
      </c>
      <c r="UR6" s="702">
        <v>2019</v>
      </c>
      <c r="US6" s="592">
        <v>2019</v>
      </c>
      <c r="UT6" s="592">
        <v>2019</v>
      </c>
      <c r="UU6" s="592">
        <v>2019</v>
      </c>
      <c r="UV6" s="592">
        <v>2019</v>
      </c>
      <c r="UW6" s="592">
        <v>2019</v>
      </c>
      <c r="UX6" s="702">
        <v>2019</v>
      </c>
      <c r="UY6" s="592">
        <v>2019</v>
      </c>
      <c r="UZ6" s="592">
        <v>2019</v>
      </c>
      <c r="VA6" s="592">
        <v>2019</v>
      </c>
      <c r="VB6" s="592">
        <v>2019</v>
      </c>
      <c r="VC6" s="592">
        <v>2019</v>
      </c>
      <c r="VD6" s="705">
        <v>2019</v>
      </c>
      <c r="VE6" s="612"/>
      <c r="VF6" s="574"/>
      <c r="VG6" s="574"/>
      <c r="VH6" s="574"/>
      <c r="VI6" s="574"/>
      <c r="VJ6" s="574"/>
      <c r="VK6" s="614"/>
      <c r="VL6" s="574"/>
      <c r="VM6" s="574"/>
      <c r="VN6" s="613"/>
      <c r="VO6" s="573"/>
      <c r="VP6" s="574"/>
      <c r="VQ6" s="613"/>
      <c r="VR6" s="573"/>
      <c r="VS6" s="574"/>
      <c r="VT6" s="613"/>
      <c r="VU6" s="573"/>
      <c r="VV6" s="574"/>
      <c r="VW6" s="613"/>
      <c r="VX6" s="573"/>
      <c r="VY6" s="574"/>
      <c r="VZ6" s="613"/>
      <c r="WA6" s="573"/>
      <c r="WB6" s="574"/>
      <c r="WC6" s="613"/>
      <c r="WD6" s="573"/>
      <c r="WE6" s="574"/>
      <c r="WF6" s="613"/>
      <c r="WG6" s="573"/>
      <c r="WH6" s="574"/>
      <c r="WI6" s="613"/>
      <c r="WJ6" s="573"/>
      <c r="WK6" s="574"/>
      <c r="WL6" s="613"/>
      <c r="WM6" s="573"/>
      <c r="WN6" s="574"/>
      <c r="WO6" s="613"/>
      <c r="WP6" s="573"/>
      <c r="WQ6" s="574"/>
      <c r="WR6" s="574"/>
      <c r="WS6" s="612"/>
      <c r="WT6" s="574"/>
      <c r="WU6" s="574"/>
      <c r="WV6" s="574"/>
      <c r="WW6" s="614"/>
      <c r="WX6" s="748"/>
      <c r="WY6" s="612"/>
      <c r="WZ6" s="574"/>
      <c r="XA6" s="574"/>
      <c r="XB6" s="614"/>
      <c r="XC6" s="604"/>
      <c r="XD6" s="604"/>
      <c r="XE6" s="604"/>
      <c r="XF6" s="604"/>
      <c r="XG6" s="604"/>
      <c r="XH6" s="604"/>
      <c r="XI6" s="604"/>
      <c r="XJ6" s="604"/>
      <c r="XK6" s="603"/>
      <c r="XL6" s="604"/>
      <c r="XM6" s="604"/>
      <c r="XN6" s="604"/>
      <c r="XO6" s="604"/>
      <c r="XP6" s="604"/>
      <c r="XQ6" s="604"/>
      <c r="XR6" s="739"/>
      <c r="XS6" s="603"/>
      <c r="XT6" s="604"/>
      <c r="XU6" s="604"/>
      <c r="XV6" s="604"/>
      <c r="XW6" s="604"/>
      <c r="XX6" s="604"/>
      <c r="XY6" s="604"/>
      <c r="XZ6" s="739"/>
      <c r="YA6" s="604"/>
      <c r="YB6" s="604"/>
      <c r="YC6" s="604"/>
      <c r="YD6" s="604"/>
      <c r="YE6" s="604"/>
      <c r="YF6" s="604"/>
      <c r="YG6" s="604"/>
      <c r="YH6" s="604"/>
      <c r="YI6" s="603"/>
      <c r="YJ6" s="604"/>
      <c r="YK6" s="604"/>
      <c r="YL6" s="604"/>
      <c r="YM6" s="604"/>
      <c r="YN6" s="604"/>
      <c r="YO6" s="604"/>
      <c r="YP6" s="739"/>
      <c r="YQ6" s="603"/>
      <c r="YR6" s="604"/>
      <c r="YS6" s="604"/>
      <c r="YT6" s="604"/>
      <c r="YU6" s="604"/>
      <c r="YV6" s="604"/>
      <c r="YW6" s="604"/>
      <c r="YX6" s="739"/>
      <c r="YY6" s="604"/>
      <c r="YZ6" s="604"/>
      <c r="ZA6" s="604"/>
      <c r="ZB6" s="604"/>
      <c r="ZC6" s="604"/>
      <c r="ZD6" s="604"/>
      <c r="ZE6" s="604"/>
      <c r="ZF6" s="604"/>
      <c r="ZG6" s="603"/>
      <c r="ZH6" s="604"/>
      <c r="ZI6" s="604"/>
      <c r="ZJ6" s="604"/>
      <c r="ZK6" s="604"/>
      <c r="ZL6" s="604"/>
      <c r="ZM6" s="604"/>
      <c r="ZN6" s="739"/>
      <c r="ZO6" s="604"/>
      <c r="ZP6" s="604"/>
      <c r="ZQ6" s="604"/>
      <c r="ZR6" s="604"/>
      <c r="ZS6" s="604"/>
      <c r="ZT6" s="604"/>
      <c r="ZU6" s="604"/>
      <c r="ZV6" s="604"/>
      <c r="ZW6" s="603"/>
      <c r="ZX6" s="604"/>
      <c r="ZY6" s="604"/>
      <c r="ZZ6" s="604"/>
      <c r="AAA6" s="604"/>
      <c r="AAB6" s="604"/>
      <c r="AAC6" s="604"/>
      <c r="AAD6" s="739"/>
      <c r="AAE6" s="604"/>
      <c r="AAF6" s="604"/>
      <c r="AAG6" s="604"/>
      <c r="AAH6" s="604"/>
      <c r="AAI6" s="604"/>
      <c r="AAJ6" s="604"/>
      <c r="AAK6" s="604"/>
      <c r="AAL6" s="604"/>
      <c r="AAM6" s="603"/>
      <c r="AAN6" s="604"/>
      <c r="AAO6" s="604"/>
      <c r="AAP6" s="604"/>
      <c r="AAQ6" s="604"/>
      <c r="AAR6" s="604"/>
      <c r="AAS6" s="604"/>
      <c r="AAT6" s="739"/>
      <c r="AAU6" s="604"/>
      <c r="AAV6" s="604"/>
      <c r="AAW6" s="604"/>
      <c r="AAX6" s="604"/>
      <c r="AAY6" s="604"/>
      <c r="AAZ6" s="604"/>
      <c r="ABA6" s="604"/>
      <c r="ABB6" s="604"/>
      <c r="ABC6" s="603"/>
      <c r="ABD6" s="604"/>
      <c r="ABE6" s="604"/>
      <c r="ABF6" s="604"/>
      <c r="ABG6" s="604"/>
      <c r="ABH6" s="604"/>
      <c r="ABI6" s="604"/>
      <c r="ABJ6" s="739"/>
      <c r="ABK6" s="604"/>
      <c r="ABL6" s="604"/>
      <c r="ABM6" s="604"/>
      <c r="ABN6" s="604"/>
      <c r="ABO6" s="604"/>
      <c r="ABP6" s="604"/>
      <c r="ABQ6" s="604"/>
      <c r="ABR6" s="604"/>
      <c r="ABS6" s="603"/>
      <c r="ABT6" s="604"/>
      <c r="ABU6" s="604"/>
      <c r="ABV6" s="604"/>
      <c r="ABW6" s="604"/>
      <c r="ABX6" s="604"/>
      <c r="ABY6" s="604"/>
      <c r="ABZ6" s="739"/>
      <c r="ACA6" s="604"/>
      <c r="ACB6" s="604"/>
      <c r="ACC6" s="604"/>
      <c r="ACD6" s="604"/>
      <c r="ACE6" s="604"/>
      <c r="ACF6" s="604"/>
      <c r="ACG6" s="604"/>
      <c r="ACH6" s="604"/>
      <c r="ACI6" s="603"/>
      <c r="ACJ6" s="604"/>
      <c r="ACK6" s="604"/>
      <c r="ACL6" s="604"/>
      <c r="ACM6" s="604"/>
      <c r="ACN6" s="604"/>
      <c r="ACO6" s="604"/>
      <c r="ACP6" s="739"/>
      <c r="ACQ6" s="604"/>
      <c r="ACR6" s="604"/>
      <c r="ACS6" s="604"/>
      <c r="ACT6" s="604"/>
      <c r="ACU6" s="604"/>
      <c r="ACV6" s="604"/>
      <c r="ACW6" s="604"/>
      <c r="ACX6" s="604"/>
      <c r="ACY6" s="603"/>
      <c r="ACZ6" s="604"/>
      <c r="ADA6" s="604"/>
      <c r="ADB6" s="604"/>
      <c r="ADC6" s="604"/>
      <c r="ADD6" s="604"/>
      <c r="ADE6" s="604"/>
      <c r="ADF6" s="739"/>
      <c r="ADG6" s="604"/>
      <c r="ADH6" s="604"/>
      <c r="ADI6" s="604"/>
      <c r="ADJ6" s="604"/>
      <c r="ADK6" s="604"/>
      <c r="ADL6" s="604"/>
      <c r="ADM6" s="604"/>
      <c r="ADN6" s="604"/>
      <c r="ADO6" s="603"/>
      <c r="ADP6" s="604"/>
      <c r="ADQ6" s="604"/>
      <c r="ADR6" s="604"/>
      <c r="ADS6" s="604"/>
      <c r="ADT6" s="604"/>
      <c r="ADU6" s="604"/>
      <c r="ADV6" s="739"/>
      <c r="ADW6" s="604"/>
      <c r="ADX6" s="604"/>
      <c r="ADY6" s="604"/>
      <c r="ADZ6" s="604"/>
      <c r="AEA6" s="604"/>
      <c r="AEB6" s="604"/>
      <c r="AEC6" s="604"/>
      <c r="AED6" s="604"/>
      <c r="AEE6" s="603"/>
      <c r="AEF6" s="604"/>
      <c r="AEG6" s="604"/>
      <c r="AEH6" s="604"/>
      <c r="AEI6" s="604"/>
      <c r="AEJ6" s="604"/>
      <c r="AEK6" s="604"/>
      <c r="AEL6" s="739"/>
      <c r="AEM6" s="604"/>
      <c r="AEN6" s="604"/>
      <c r="AEO6" s="604"/>
      <c r="AEP6" s="604"/>
      <c r="AEQ6" s="604"/>
      <c r="AER6" s="604"/>
      <c r="AES6" s="604"/>
      <c r="AET6" s="604"/>
      <c r="AEU6" s="603"/>
      <c r="AEV6" s="604"/>
      <c r="AEW6" s="604"/>
      <c r="AEX6" s="604"/>
      <c r="AEY6" s="604"/>
      <c r="AEZ6" s="604"/>
      <c r="AFA6" s="604"/>
      <c r="AFB6" s="739"/>
      <c r="AFC6" s="604"/>
      <c r="AFD6" s="604"/>
      <c r="AFE6" s="604"/>
      <c r="AFF6" s="604"/>
      <c r="AFG6" s="604"/>
      <c r="AFH6" s="604"/>
      <c r="AFI6" s="604"/>
      <c r="AFJ6" s="604"/>
      <c r="AFK6" s="603"/>
      <c r="AFL6" s="604"/>
      <c r="AFM6" s="604"/>
      <c r="AFN6" s="604"/>
      <c r="AFO6" s="604"/>
      <c r="AFP6" s="604"/>
      <c r="AFQ6" s="604"/>
      <c r="AFR6" s="739"/>
      <c r="AFS6" s="603"/>
      <c r="AFT6" s="604"/>
      <c r="AFU6" s="604"/>
      <c r="AFV6" s="604"/>
      <c r="AFW6" s="604"/>
      <c r="AFX6" s="604"/>
      <c r="AFY6" s="604"/>
      <c r="AFZ6" s="739"/>
      <c r="AGA6" s="603"/>
      <c r="AGB6" s="604"/>
      <c r="AGC6" s="604"/>
      <c r="AGD6" s="604"/>
      <c r="AGE6" s="604"/>
      <c r="AGF6" s="604"/>
      <c r="AGG6" s="604"/>
      <c r="AGH6" s="739"/>
      <c r="AGI6" s="603"/>
      <c r="AGJ6" s="604"/>
      <c r="AGK6" s="604"/>
      <c r="AGL6" s="604"/>
      <c r="AGM6" s="604"/>
      <c r="AGN6" s="604"/>
      <c r="AGO6" s="604"/>
      <c r="AGP6" s="739"/>
      <c r="AGQ6" s="603"/>
      <c r="AGR6" s="604"/>
      <c r="AGS6" s="604"/>
      <c r="AGT6" s="604"/>
      <c r="AGU6" s="604"/>
      <c r="AGV6" s="604"/>
      <c r="AGW6" s="604"/>
      <c r="AGX6" s="739"/>
      <c r="AGY6" s="603"/>
      <c r="AGZ6" s="604"/>
      <c r="AHA6" s="604"/>
      <c r="AHB6" s="604"/>
      <c r="AHC6" s="604"/>
      <c r="AHD6" s="604"/>
      <c r="AHE6" s="604"/>
      <c r="AHF6" s="739"/>
      <c r="AHG6" s="603"/>
      <c r="AHH6" s="604"/>
      <c r="AHI6" s="604"/>
      <c r="AHJ6" s="604"/>
      <c r="AHK6" s="604"/>
      <c r="AHL6" s="604"/>
      <c r="AHM6" s="604"/>
      <c r="AHN6" s="739"/>
      <c r="AHO6" s="603"/>
      <c r="AHP6" s="604"/>
      <c r="AHQ6" s="604"/>
      <c r="AHR6" s="604"/>
      <c r="AHS6" s="604"/>
      <c r="AHT6" s="604"/>
      <c r="AHU6" s="604"/>
      <c r="AHV6" s="739"/>
      <c r="AHW6" s="603"/>
      <c r="AHX6" s="604"/>
      <c r="AHY6" s="604"/>
      <c r="AHZ6" s="604"/>
      <c r="AIA6" s="604"/>
      <c r="AIB6" s="604"/>
      <c r="AIC6" s="604"/>
      <c r="AID6" s="739"/>
      <c r="AIE6" s="603"/>
      <c r="AIF6" s="604"/>
      <c r="AIG6" s="604"/>
      <c r="AIH6" s="604"/>
      <c r="AII6" s="604"/>
      <c r="AIJ6" s="604"/>
      <c r="AIK6" s="604"/>
      <c r="AIL6" s="739"/>
      <c r="AIM6" s="603"/>
      <c r="AIN6" s="604"/>
      <c r="AIO6" s="604"/>
      <c r="AIP6" s="604"/>
      <c r="AIQ6" s="604"/>
      <c r="AIR6" s="604"/>
      <c r="AIS6" s="604"/>
      <c r="AIT6" s="739"/>
      <c r="AIU6" s="612"/>
      <c r="AIV6" s="574"/>
      <c r="AIW6" s="574"/>
      <c r="AIX6" s="614"/>
      <c r="AIY6" s="612"/>
      <c r="AIZ6" s="574"/>
      <c r="AJA6" s="574"/>
      <c r="AJB6" s="574"/>
      <c r="AJC6" s="574"/>
      <c r="AJD6" s="614"/>
    </row>
    <row r="7" spans="1:940" s="117" customFormat="1" ht="30.75" outlineLevel="1">
      <c r="A7" s="80" t="s">
        <v>147</v>
      </c>
      <c r="B7" s="762" t="s">
        <v>2136</v>
      </c>
      <c r="C7" s="754" t="s">
        <v>2136</v>
      </c>
      <c r="D7" s="755" t="s">
        <v>2136</v>
      </c>
      <c r="E7" s="568"/>
      <c r="F7" s="566" t="s">
        <v>2136</v>
      </c>
      <c r="G7" s="566" t="s">
        <v>2136</v>
      </c>
      <c r="H7" s="566" t="s">
        <v>2136</v>
      </c>
      <c r="I7" s="568" t="s">
        <v>1330</v>
      </c>
      <c r="J7" s="566"/>
      <c r="K7" s="566"/>
      <c r="L7" s="567"/>
      <c r="M7" s="582" t="s">
        <v>2065</v>
      </c>
      <c r="N7" s="775"/>
      <c r="O7" s="583" t="s">
        <v>2136</v>
      </c>
      <c r="P7" s="583" t="s">
        <v>2137</v>
      </c>
      <c r="Q7" s="775" t="s">
        <v>2138</v>
      </c>
      <c r="R7" s="583" t="s">
        <v>2065</v>
      </c>
      <c r="S7" s="583" t="s">
        <v>2065</v>
      </c>
      <c r="T7" s="583" t="s">
        <v>2065</v>
      </c>
      <c r="U7" s="583" t="s">
        <v>2065</v>
      </c>
      <c r="V7" s="775" t="s">
        <v>2065</v>
      </c>
      <c r="W7" s="583"/>
      <c r="X7" s="583"/>
      <c r="Y7" s="583"/>
      <c r="Z7" s="583"/>
      <c r="AA7" s="775"/>
      <c r="AB7" s="583"/>
      <c r="AC7" s="583"/>
      <c r="AD7" s="583"/>
      <c r="AE7" s="583"/>
      <c r="AF7" s="775"/>
      <c r="AG7" s="583"/>
      <c r="AH7" s="583"/>
      <c r="AI7" s="583"/>
      <c r="AJ7" s="583"/>
      <c r="AK7" s="583"/>
      <c r="AL7" s="986"/>
      <c r="AM7" s="583"/>
      <c r="AN7" s="583"/>
      <c r="AO7" s="583"/>
      <c r="AP7" s="583"/>
      <c r="AQ7" s="583"/>
      <c r="AR7" s="583"/>
      <c r="AS7" s="986"/>
      <c r="AT7" s="583"/>
      <c r="AU7" s="583"/>
      <c r="AV7" s="583"/>
      <c r="AW7" s="583"/>
      <c r="AX7" s="582"/>
      <c r="AY7" s="583" t="s">
        <v>2166</v>
      </c>
      <c r="AZ7" s="583" t="s">
        <v>2136</v>
      </c>
      <c r="BA7" s="583" t="s">
        <v>2136</v>
      </c>
      <c r="BB7" s="583" t="s">
        <v>2136</v>
      </c>
      <c r="BC7" s="583"/>
      <c r="BD7" s="775"/>
      <c r="BE7" s="583" t="s">
        <v>2065</v>
      </c>
      <c r="BF7" s="583" t="s">
        <v>2065</v>
      </c>
      <c r="BG7" s="583" t="s">
        <v>2065</v>
      </c>
      <c r="BH7" s="583" t="s">
        <v>2065</v>
      </c>
      <c r="BI7" s="583" t="s">
        <v>2065</v>
      </c>
      <c r="BJ7" s="583" t="s">
        <v>2065</v>
      </c>
      <c r="BK7" s="583" t="s">
        <v>2065</v>
      </c>
      <c r="BL7" s="583" t="s">
        <v>2065</v>
      </c>
      <c r="BM7" s="583" t="s">
        <v>2065</v>
      </c>
      <c r="BN7" s="583" t="s">
        <v>2065</v>
      </c>
      <c r="BO7" s="583" t="s">
        <v>2065</v>
      </c>
      <c r="BP7" s="583" t="s">
        <v>2065</v>
      </c>
      <c r="BQ7" s="583" t="s">
        <v>2065</v>
      </c>
      <c r="BR7" s="583" t="s">
        <v>2065</v>
      </c>
      <c r="BS7" s="775" t="s">
        <v>2065</v>
      </c>
      <c r="BT7" s="583"/>
      <c r="BU7" s="583"/>
      <c r="BV7" s="583"/>
      <c r="BW7" s="583"/>
      <c r="BX7" s="583"/>
      <c r="BY7" s="583"/>
      <c r="BZ7" s="583"/>
      <c r="CA7" s="583"/>
      <c r="CB7" s="583"/>
      <c r="CC7" s="583"/>
      <c r="CD7" s="583"/>
      <c r="CE7" s="583"/>
      <c r="CF7" s="583"/>
      <c r="CG7" s="583"/>
      <c r="CH7" s="583"/>
      <c r="CI7" s="986"/>
      <c r="CJ7" s="583"/>
      <c r="CK7" s="583"/>
      <c r="CL7" s="583"/>
      <c r="CM7" s="583"/>
      <c r="CN7" s="583"/>
      <c r="CO7" s="583"/>
      <c r="CP7" s="583"/>
      <c r="CQ7" s="583"/>
      <c r="CR7" s="583"/>
      <c r="CS7" s="583"/>
      <c r="CT7" s="583"/>
      <c r="CU7" s="583"/>
      <c r="CV7" s="583"/>
      <c r="CW7" s="583"/>
      <c r="CX7" s="986"/>
      <c r="CY7" s="583"/>
      <c r="CZ7" s="583"/>
      <c r="DA7" s="583"/>
      <c r="DB7" s="583"/>
      <c r="DC7" s="986"/>
      <c r="DD7" s="583"/>
      <c r="DE7" s="583"/>
      <c r="DF7" s="583"/>
      <c r="DG7" s="583"/>
      <c r="DH7" s="588"/>
      <c r="DI7" s="583"/>
      <c r="DJ7" s="583"/>
      <c r="DK7" s="583" t="s">
        <v>2136</v>
      </c>
      <c r="DL7" s="583" t="s">
        <v>2136</v>
      </c>
      <c r="DM7" s="583" t="s">
        <v>2136</v>
      </c>
      <c r="DN7" s="986"/>
      <c r="DO7" s="583"/>
      <c r="DP7" s="583"/>
      <c r="DQ7" s="583"/>
      <c r="DR7" s="583"/>
      <c r="DS7" s="583"/>
      <c r="DT7" s="583"/>
      <c r="DU7" s="986"/>
      <c r="DV7" s="583"/>
      <c r="DW7" s="583"/>
      <c r="DX7" s="583"/>
      <c r="DY7" s="583"/>
      <c r="DZ7" s="583"/>
      <c r="EA7" s="584"/>
      <c r="EB7" s="583"/>
      <c r="EC7" s="583"/>
      <c r="ED7" s="583"/>
      <c r="EE7" s="583" t="s">
        <v>2136</v>
      </c>
      <c r="EF7" s="583" t="s">
        <v>2136</v>
      </c>
      <c r="EG7" s="583" t="s">
        <v>2136</v>
      </c>
      <c r="EH7" s="588"/>
      <c r="EI7" s="583"/>
      <c r="EJ7" s="583"/>
      <c r="EK7" s="583"/>
      <c r="EL7" s="583"/>
      <c r="EM7" s="583"/>
      <c r="EN7" s="583"/>
      <c r="EO7" s="583"/>
      <c r="EP7" s="583"/>
      <c r="EQ7" s="583"/>
      <c r="ER7" s="583"/>
      <c r="ES7" s="583"/>
      <c r="ET7" s="583"/>
      <c r="EU7" s="583"/>
      <c r="EV7" s="583"/>
      <c r="EW7" s="583"/>
      <c r="EX7" s="583"/>
      <c r="EY7" s="583"/>
      <c r="EZ7" s="583"/>
      <c r="FA7" s="583"/>
      <c r="FB7" s="583"/>
      <c r="FC7" s="583"/>
      <c r="FD7" s="583"/>
      <c r="FE7" s="583"/>
      <c r="FF7" s="583"/>
      <c r="FG7" s="583"/>
      <c r="FH7" s="583"/>
      <c r="FI7" s="583"/>
      <c r="FJ7" s="583"/>
      <c r="FK7" s="583"/>
      <c r="FL7" s="583"/>
      <c r="FM7" s="583"/>
      <c r="FN7" s="583"/>
      <c r="FO7" s="583"/>
      <c r="FP7" s="583"/>
      <c r="FQ7" s="583"/>
      <c r="FR7" s="583"/>
      <c r="FS7" s="583"/>
      <c r="FT7" s="583"/>
      <c r="FU7" s="583"/>
      <c r="FV7" s="583"/>
      <c r="FW7" s="583"/>
      <c r="FX7" s="583"/>
      <c r="FY7" s="583"/>
      <c r="FZ7" s="583"/>
      <c r="GA7" s="583"/>
      <c r="GB7" s="583"/>
      <c r="GC7" s="583"/>
      <c r="GD7" s="583"/>
      <c r="GE7" s="583"/>
      <c r="GF7" s="583"/>
      <c r="GG7" s="583"/>
      <c r="GH7" s="583"/>
      <c r="GI7" s="583"/>
      <c r="GJ7" s="583"/>
      <c r="GK7" s="583"/>
      <c r="GL7" s="583"/>
      <c r="GM7" s="583"/>
      <c r="GN7" s="986"/>
      <c r="GO7" s="583"/>
      <c r="GP7" s="583"/>
      <c r="GQ7" s="583"/>
      <c r="GR7" s="583"/>
      <c r="GS7" s="583"/>
      <c r="GT7" s="583"/>
      <c r="GU7" s="583"/>
      <c r="GV7" s="583"/>
      <c r="GW7" s="583"/>
      <c r="GX7" s="583"/>
      <c r="GY7" s="583"/>
      <c r="GZ7" s="583"/>
      <c r="HA7" s="583"/>
      <c r="HB7" s="583"/>
      <c r="HC7" s="583"/>
      <c r="HD7" s="583"/>
      <c r="HE7" s="583"/>
      <c r="HF7" s="583"/>
      <c r="HG7" s="583"/>
      <c r="HH7" s="583"/>
      <c r="HI7" s="583"/>
      <c r="HJ7" s="583"/>
      <c r="HK7" s="583"/>
      <c r="HL7" s="583"/>
      <c r="HM7" s="583"/>
      <c r="HN7" s="583"/>
      <c r="HO7" s="583"/>
      <c r="HP7" s="583"/>
      <c r="HQ7" s="583"/>
      <c r="HR7" s="583"/>
      <c r="HS7" s="583"/>
      <c r="HT7" s="583"/>
      <c r="HU7" s="583"/>
      <c r="HV7" s="583"/>
      <c r="HW7" s="583"/>
      <c r="HX7" s="583"/>
      <c r="HY7" s="583"/>
      <c r="HZ7" s="583"/>
      <c r="IA7" s="583"/>
      <c r="IB7" s="583"/>
      <c r="IC7" s="583"/>
      <c r="ID7" s="583"/>
      <c r="IE7" s="583"/>
      <c r="IF7" s="583"/>
      <c r="IG7" s="583"/>
      <c r="IH7" s="583"/>
      <c r="II7" s="583"/>
      <c r="IJ7" s="583"/>
      <c r="IK7" s="583"/>
      <c r="IL7" s="583"/>
      <c r="IM7" s="583"/>
      <c r="IN7" s="583"/>
      <c r="IO7" s="583"/>
      <c r="IP7" s="583"/>
      <c r="IQ7" s="583"/>
      <c r="IR7" s="583"/>
      <c r="IS7" s="583"/>
      <c r="IT7" s="588"/>
      <c r="IU7" s="583"/>
      <c r="IV7" s="583"/>
      <c r="IW7" s="583"/>
      <c r="IX7" s="583"/>
      <c r="IY7" s="583" t="s">
        <v>2981</v>
      </c>
      <c r="IZ7" s="583" t="s">
        <v>2981</v>
      </c>
      <c r="JA7" s="775" t="s">
        <v>2981</v>
      </c>
      <c r="JB7" s="583"/>
      <c r="JC7" s="583"/>
      <c r="JD7" s="583"/>
      <c r="JE7" s="583"/>
      <c r="JF7" s="584"/>
      <c r="JG7" s="588" t="s">
        <v>2065</v>
      </c>
      <c r="JH7" s="583"/>
      <c r="JI7" s="583"/>
      <c r="JJ7" s="583" t="s">
        <v>2065</v>
      </c>
      <c r="JK7" s="583" t="s">
        <v>2136</v>
      </c>
      <c r="JL7" s="583" t="s">
        <v>2136</v>
      </c>
      <c r="JM7" s="583" t="s">
        <v>2136</v>
      </c>
      <c r="JN7" s="986"/>
      <c r="JO7" s="583"/>
      <c r="JP7" s="583"/>
      <c r="JQ7" s="583"/>
      <c r="JR7" s="583"/>
      <c r="JS7" s="1209"/>
      <c r="JT7" s="1150" t="s">
        <v>2065</v>
      </c>
      <c r="JU7" s="1151" t="s">
        <v>2065</v>
      </c>
      <c r="JV7" s="1151" t="s">
        <v>2136</v>
      </c>
      <c r="JW7" s="1151" t="s">
        <v>2136</v>
      </c>
      <c r="JX7" s="1151" t="s">
        <v>2136</v>
      </c>
      <c r="JY7" s="1152"/>
      <c r="JZ7" s="1151"/>
      <c r="KA7" s="1151"/>
      <c r="KB7" s="1151"/>
      <c r="KC7" s="1151"/>
      <c r="KD7" s="1152"/>
      <c r="KE7" s="1151"/>
      <c r="KF7" s="1151"/>
      <c r="KG7" s="1151"/>
      <c r="KH7" s="1151"/>
      <c r="KI7" s="1151"/>
      <c r="KJ7" s="1151"/>
      <c r="KK7" s="1151"/>
      <c r="KL7" s="1151"/>
      <c r="KM7" s="1152"/>
      <c r="KN7" s="1151"/>
      <c r="KO7" s="1151"/>
      <c r="KP7" s="1151"/>
      <c r="KQ7" s="1151"/>
      <c r="KR7" s="1151"/>
      <c r="KS7" s="1151"/>
      <c r="KT7" s="1151"/>
      <c r="KU7" s="1151"/>
      <c r="KV7" s="1152"/>
      <c r="KW7" s="1151"/>
      <c r="KX7" s="1151"/>
      <c r="KY7" s="1151"/>
      <c r="KZ7" s="1151"/>
      <c r="LA7" s="1151"/>
      <c r="LB7" s="1151"/>
      <c r="LC7" s="1151"/>
      <c r="LD7" s="1151"/>
      <c r="LE7" s="986"/>
      <c r="LF7" s="583"/>
      <c r="LG7" s="583"/>
      <c r="LH7" s="583"/>
      <c r="LI7" s="583"/>
      <c r="LJ7" s="1209"/>
      <c r="LK7" s="588" t="s">
        <v>2065</v>
      </c>
      <c r="LL7" s="583" t="s">
        <v>2065</v>
      </c>
      <c r="LM7" s="583" t="s">
        <v>2136</v>
      </c>
      <c r="LN7" s="583" t="s">
        <v>2136</v>
      </c>
      <c r="LO7" s="583" t="s">
        <v>2136</v>
      </c>
      <c r="LP7" s="986"/>
      <c r="LQ7" s="583"/>
      <c r="LR7" s="583"/>
      <c r="LS7" s="583"/>
      <c r="LT7" s="583"/>
      <c r="LU7" s="1209"/>
      <c r="LV7" s="588"/>
      <c r="LW7" s="583"/>
      <c r="LX7" s="583"/>
      <c r="LY7" s="593" t="s">
        <v>774</v>
      </c>
      <c r="LZ7" s="594" t="s">
        <v>774</v>
      </c>
      <c r="MA7" s="594" t="s">
        <v>774</v>
      </c>
      <c r="MB7" s="595" t="s">
        <v>774</v>
      </c>
      <c r="MC7" s="594" t="s">
        <v>774</v>
      </c>
      <c r="MD7" s="594" t="s">
        <v>774</v>
      </c>
      <c r="ME7" s="594" t="s">
        <v>774</v>
      </c>
      <c r="MF7" s="594" t="s">
        <v>774</v>
      </c>
      <c r="MG7" s="593" t="s">
        <v>774</v>
      </c>
      <c r="MH7" s="594" t="s">
        <v>774</v>
      </c>
      <c r="MI7" s="594" t="s">
        <v>774</v>
      </c>
      <c r="MJ7" s="595" t="s">
        <v>774</v>
      </c>
      <c r="MK7" s="594" t="s">
        <v>774</v>
      </c>
      <c r="ML7" s="594" t="s">
        <v>774</v>
      </c>
      <c r="MM7" s="594" t="s">
        <v>774</v>
      </c>
      <c r="MN7" s="594" t="s">
        <v>774</v>
      </c>
      <c r="MO7" s="593" t="s">
        <v>774</v>
      </c>
      <c r="MP7" s="594" t="s">
        <v>774</v>
      </c>
      <c r="MQ7" s="594" t="s">
        <v>774</v>
      </c>
      <c r="MR7" s="595" t="s">
        <v>774</v>
      </c>
      <c r="MS7" s="593" t="s">
        <v>774</v>
      </c>
      <c r="MT7" s="594" t="s">
        <v>774</v>
      </c>
      <c r="MU7" s="594" t="s">
        <v>774</v>
      </c>
      <c r="MV7" s="595" t="s">
        <v>774</v>
      </c>
      <c r="MW7" s="593" t="s">
        <v>2182</v>
      </c>
      <c r="MX7" s="594" t="s">
        <v>2182</v>
      </c>
      <c r="MY7" s="594" t="s">
        <v>2182</v>
      </c>
      <c r="MZ7" s="594" t="s">
        <v>2182</v>
      </c>
      <c r="NA7" s="594" t="s">
        <v>2182</v>
      </c>
      <c r="NB7" s="598" t="s">
        <v>2182</v>
      </c>
      <c r="NC7" s="594" t="s">
        <v>2182</v>
      </c>
      <c r="ND7" s="594" t="s">
        <v>2182</v>
      </c>
      <c r="NE7" s="594" t="s">
        <v>2182</v>
      </c>
      <c r="NF7" s="594" t="s">
        <v>2182</v>
      </c>
      <c r="NG7" s="594" t="s">
        <v>2182</v>
      </c>
      <c r="NH7" s="598" t="s">
        <v>2182</v>
      </c>
      <c r="NI7" s="594" t="s">
        <v>2182</v>
      </c>
      <c r="NJ7" s="594" t="s">
        <v>2182</v>
      </c>
      <c r="NK7" s="594" t="s">
        <v>2182</v>
      </c>
      <c r="NL7" s="594" t="s">
        <v>2182</v>
      </c>
      <c r="NM7" s="594" t="s">
        <v>2182</v>
      </c>
      <c r="NN7" s="598" t="s">
        <v>2182</v>
      </c>
      <c r="NO7" s="594" t="s">
        <v>2182</v>
      </c>
      <c r="NP7" s="594" t="s">
        <v>2182</v>
      </c>
      <c r="NQ7" s="594" t="s">
        <v>2182</v>
      </c>
      <c r="NR7" s="594" t="s">
        <v>2182</v>
      </c>
      <c r="NS7" s="594" t="s">
        <v>2182</v>
      </c>
      <c r="NT7" s="598" t="s">
        <v>2182</v>
      </c>
      <c r="NU7" s="594" t="s">
        <v>2182</v>
      </c>
      <c r="NV7" s="594" t="s">
        <v>2182</v>
      </c>
      <c r="NW7" s="594" t="s">
        <v>2182</v>
      </c>
      <c r="NX7" s="594" t="s">
        <v>2182</v>
      </c>
      <c r="NY7" s="594" t="s">
        <v>2182</v>
      </c>
      <c r="NZ7" s="598" t="s">
        <v>2182</v>
      </c>
      <c r="OA7" s="594" t="s">
        <v>2189</v>
      </c>
      <c r="OB7" s="594" t="s">
        <v>2189</v>
      </c>
      <c r="OC7" s="594" t="s">
        <v>2182</v>
      </c>
      <c r="OD7" s="594" t="s">
        <v>2182</v>
      </c>
      <c r="OE7" s="594" t="s">
        <v>2182</v>
      </c>
      <c r="OF7" s="595" t="s">
        <v>2182</v>
      </c>
      <c r="OG7" s="593" t="s">
        <v>2182</v>
      </c>
      <c r="OH7" s="594" t="s">
        <v>2182</v>
      </c>
      <c r="OI7" s="594" t="s">
        <v>2182</v>
      </c>
      <c r="OJ7" s="594" t="s">
        <v>2182</v>
      </c>
      <c r="OK7" s="594" t="s">
        <v>2182</v>
      </c>
      <c r="OL7" s="598" t="s">
        <v>2182</v>
      </c>
      <c r="OM7" s="594" t="s">
        <v>2182</v>
      </c>
      <c r="ON7" s="594" t="s">
        <v>2182</v>
      </c>
      <c r="OO7" s="594" t="s">
        <v>2182</v>
      </c>
      <c r="OP7" s="594" t="s">
        <v>2182</v>
      </c>
      <c r="OQ7" s="594" t="s">
        <v>2182</v>
      </c>
      <c r="OR7" s="598" t="s">
        <v>2182</v>
      </c>
      <c r="OS7" s="594" t="s">
        <v>2182</v>
      </c>
      <c r="OT7" s="594" t="s">
        <v>2182</v>
      </c>
      <c r="OU7" s="594" t="s">
        <v>2182</v>
      </c>
      <c r="OV7" s="594" t="s">
        <v>2182</v>
      </c>
      <c r="OW7" s="594" t="s">
        <v>2182</v>
      </c>
      <c r="OX7" s="598" t="s">
        <v>2182</v>
      </c>
      <c r="OY7" s="594" t="s">
        <v>2182</v>
      </c>
      <c r="OZ7" s="594" t="s">
        <v>2182</v>
      </c>
      <c r="PA7" s="594" t="s">
        <v>2182</v>
      </c>
      <c r="PB7" s="594" t="s">
        <v>2182</v>
      </c>
      <c r="PC7" s="594" t="s">
        <v>2182</v>
      </c>
      <c r="PD7" s="595" t="s">
        <v>2182</v>
      </c>
      <c r="PE7" s="593" t="s">
        <v>2189</v>
      </c>
      <c r="PF7" s="594" t="s">
        <v>2189</v>
      </c>
      <c r="PG7" s="594" t="s">
        <v>2182</v>
      </c>
      <c r="PH7" s="594" t="s">
        <v>2182</v>
      </c>
      <c r="PI7" s="594" t="s">
        <v>2182</v>
      </c>
      <c r="PJ7" s="598" t="s">
        <v>2182</v>
      </c>
      <c r="PK7" s="594" t="s">
        <v>2182</v>
      </c>
      <c r="PL7" s="594" t="s">
        <v>2182</v>
      </c>
      <c r="PM7" s="594" t="s">
        <v>2182</v>
      </c>
      <c r="PN7" s="594" t="s">
        <v>2182</v>
      </c>
      <c r="PO7" s="594" t="s">
        <v>2182</v>
      </c>
      <c r="PP7" s="598" t="s">
        <v>2182</v>
      </c>
      <c r="PQ7" s="594" t="s">
        <v>2182</v>
      </c>
      <c r="PR7" s="594" t="s">
        <v>2182</v>
      </c>
      <c r="PS7" s="594" t="s">
        <v>2182</v>
      </c>
      <c r="PT7" s="594" t="s">
        <v>2182</v>
      </c>
      <c r="PU7" s="594" t="s">
        <v>2182</v>
      </c>
      <c r="PV7" s="598" t="s">
        <v>2182</v>
      </c>
      <c r="PW7" s="594" t="s">
        <v>2182</v>
      </c>
      <c r="PX7" s="594" t="s">
        <v>2182</v>
      </c>
      <c r="PY7" s="594" t="s">
        <v>2182</v>
      </c>
      <c r="PZ7" s="594" t="s">
        <v>2182</v>
      </c>
      <c r="QA7" s="594" t="s">
        <v>2182</v>
      </c>
      <c r="QB7" s="598" t="s">
        <v>2182</v>
      </c>
      <c r="QC7" s="594" t="s">
        <v>2182</v>
      </c>
      <c r="QD7" s="594" t="s">
        <v>2182</v>
      </c>
      <c r="QE7" s="594" t="s">
        <v>2182</v>
      </c>
      <c r="QF7" s="594" t="s">
        <v>2182</v>
      </c>
      <c r="QG7" s="594" t="s">
        <v>2182</v>
      </c>
      <c r="QH7" s="595" t="s">
        <v>2182</v>
      </c>
      <c r="QI7" s="593" t="s">
        <v>2182</v>
      </c>
      <c r="QJ7" s="594" t="s">
        <v>2182</v>
      </c>
      <c r="QK7" s="594" t="s">
        <v>2182</v>
      </c>
      <c r="QL7" s="594" t="s">
        <v>2182</v>
      </c>
      <c r="QM7" s="594" t="s">
        <v>2182</v>
      </c>
      <c r="QN7" s="598" t="s">
        <v>2182</v>
      </c>
      <c r="QO7" s="594" t="s">
        <v>2182</v>
      </c>
      <c r="QP7" s="594" t="s">
        <v>2182</v>
      </c>
      <c r="QQ7" s="594" t="s">
        <v>2182</v>
      </c>
      <c r="QR7" s="594" t="s">
        <v>2182</v>
      </c>
      <c r="QS7" s="594" t="s">
        <v>2182</v>
      </c>
      <c r="QT7" s="598" t="s">
        <v>2182</v>
      </c>
      <c r="QU7" s="594" t="s">
        <v>2182</v>
      </c>
      <c r="QV7" s="594" t="s">
        <v>2182</v>
      </c>
      <c r="QW7" s="594" t="s">
        <v>2182</v>
      </c>
      <c r="QX7" s="594" t="s">
        <v>2182</v>
      </c>
      <c r="QY7" s="594" t="s">
        <v>2182</v>
      </c>
      <c r="QZ7" s="598" t="s">
        <v>2182</v>
      </c>
      <c r="RA7" s="594" t="s">
        <v>2182</v>
      </c>
      <c r="RB7" s="594" t="s">
        <v>2182</v>
      </c>
      <c r="RC7" s="594" t="s">
        <v>2182</v>
      </c>
      <c r="RD7" s="594" t="s">
        <v>2182</v>
      </c>
      <c r="RE7" s="594" t="s">
        <v>2182</v>
      </c>
      <c r="RF7" s="598" t="s">
        <v>2182</v>
      </c>
      <c r="RG7" s="594" t="s">
        <v>2182</v>
      </c>
      <c r="RH7" s="594" t="s">
        <v>2182</v>
      </c>
      <c r="RI7" s="594" t="s">
        <v>2182</v>
      </c>
      <c r="RJ7" s="594" t="s">
        <v>2182</v>
      </c>
      <c r="RK7" s="594" t="s">
        <v>2182</v>
      </c>
      <c r="RL7" s="595" t="s">
        <v>2182</v>
      </c>
      <c r="RM7" s="593" t="s">
        <v>2189</v>
      </c>
      <c r="RN7" s="594" t="s">
        <v>2189</v>
      </c>
      <c r="RO7" s="594" t="s">
        <v>2182</v>
      </c>
      <c r="RP7" s="594" t="s">
        <v>2182</v>
      </c>
      <c r="RQ7" s="594" t="s">
        <v>2182</v>
      </c>
      <c r="RR7" s="598" t="s">
        <v>2182</v>
      </c>
      <c r="RS7" s="594" t="s">
        <v>2182</v>
      </c>
      <c r="RT7" s="594" t="s">
        <v>2182</v>
      </c>
      <c r="RU7" s="594" t="s">
        <v>2182</v>
      </c>
      <c r="RV7" s="594" t="s">
        <v>2182</v>
      </c>
      <c r="RW7" s="594" t="s">
        <v>2182</v>
      </c>
      <c r="RX7" s="598" t="s">
        <v>2182</v>
      </c>
      <c r="RY7" s="594" t="s">
        <v>2182</v>
      </c>
      <c r="RZ7" s="594" t="s">
        <v>2182</v>
      </c>
      <c r="SA7" s="594" t="s">
        <v>2182</v>
      </c>
      <c r="SB7" s="594" t="s">
        <v>2182</v>
      </c>
      <c r="SC7" s="594" t="s">
        <v>2182</v>
      </c>
      <c r="SD7" s="598" t="s">
        <v>2182</v>
      </c>
      <c r="SE7" s="594" t="s">
        <v>2182</v>
      </c>
      <c r="SF7" s="594" t="s">
        <v>2182</v>
      </c>
      <c r="SG7" s="594" t="s">
        <v>2182</v>
      </c>
      <c r="SH7" s="594" t="s">
        <v>2182</v>
      </c>
      <c r="SI7" s="594" t="s">
        <v>2182</v>
      </c>
      <c r="SJ7" s="598" t="s">
        <v>2182</v>
      </c>
      <c r="SK7" s="594" t="s">
        <v>2182</v>
      </c>
      <c r="SL7" s="594" t="s">
        <v>2182</v>
      </c>
      <c r="SM7" s="594" t="s">
        <v>2182</v>
      </c>
      <c r="SN7" s="594" t="s">
        <v>2182</v>
      </c>
      <c r="SO7" s="594" t="s">
        <v>2182</v>
      </c>
      <c r="SP7" s="595" t="s">
        <v>2182</v>
      </c>
      <c r="SQ7" s="593" t="s">
        <v>2189</v>
      </c>
      <c r="SR7" s="594" t="s">
        <v>2189</v>
      </c>
      <c r="SS7" s="594" t="s">
        <v>2182</v>
      </c>
      <c r="ST7" s="594" t="s">
        <v>2182</v>
      </c>
      <c r="SU7" s="594" t="s">
        <v>2182</v>
      </c>
      <c r="SV7" s="598" t="s">
        <v>2182</v>
      </c>
      <c r="SW7" s="594" t="s">
        <v>2182</v>
      </c>
      <c r="SX7" s="594" t="s">
        <v>2182</v>
      </c>
      <c r="SY7" s="594" t="s">
        <v>2182</v>
      </c>
      <c r="SZ7" s="594" t="s">
        <v>2182</v>
      </c>
      <c r="TA7" s="594" t="s">
        <v>2182</v>
      </c>
      <c r="TB7" s="598" t="s">
        <v>2182</v>
      </c>
      <c r="TC7" s="594" t="s">
        <v>2182</v>
      </c>
      <c r="TD7" s="594" t="s">
        <v>2182</v>
      </c>
      <c r="TE7" s="594" t="s">
        <v>2182</v>
      </c>
      <c r="TF7" s="594" t="s">
        <v>2182</v>
      </c>
      <c r="TG7" s="594" t="s">
        <v>2182</v>
      </c>
      <c r="TH7" s="598" t="s">
        <v>2182</v>
      </c>
      <c r="TI7" s="594" t="s">
        <v>2182</v>
      </c>
      <c r="TJ7" s="594" t="s">
        <v>2182</v>
      </c>
      <c r="TK7" s="594" t="s">
        <v>2182</v>
      </c>
      <c r="TL7" s="594" t="s">
        <v>2182</v>
      </c>
      <c r="TM7" s="594" t="s">
        <v>2182</v>
      </c>
      <c r="TN7" s="598" t="s">
        <v>2182</v>
      </c>
      <c r="TO7" s="594" t="s">
        <v>2182</v>
      </c>
      <c r="TP7" s="594" t="s">
        <v>2182</v>
      </c>
      <c r="TQ7" s="594" t="s">
        <v>2182</v>
      </c>
      <c r="TR7" s="594" t="s">
        <v>2182</v>
      </c>
      <c r="TS7" s="594" t="s">
        <v>2182</v>
      </c>
      <c r="TT7" s="595" t="s">
        <v>2182</v>
      </c>
      <c r="TU7" s="593" t="s">
        <v>2182</v>
      </c>
      <c r="TV7" s="594" t="s">
        <v>2182</v>
      </c>
      <c r="TW7" s="594" t="s">
        <v>2182</v>
      </c>
      <c r="TX7" s="594" t="s">
        <v>2182</v>
      </c>
      <c r="TY7" s="594" t="s">
        <v>2182</v>
      </c>
      <c r="TZ7" s="598" t="s">
        <v>2182</v>
      </c>
      <c r="UA7" s="594" t="s">
        <v>2182</v>
      </c>
      <c r="UB7" s="594" t="s">
        <v>2182</v>
      </c>
      <c r="UC7" s="594" t="s">
        <v>2182</v>
      </c>
      <c r="UD7" s="594" t="s">
        <v>2182</v>
      </c>
      <c r="UE7" s="594" t="s">
        <v>2182</v>
      </c>
      <c r="UF7" s="598" t="s">
        <v>2182</v>
      </c>
      <c r="UG7" s="594" t="s">
        <v>2182</v>
      </c>
      <c r="UH7" s="594" t="s">
        <v>2182</v>
      </c>
      <c r="UI7" s="594" t="s">
        <v>2182</v>
      </c>
      <c r="UJ7" s="594" t="s">
        <v>2182</v>
      </c>
      <c r="UK7" s="594" t="s">
        <v>2182</v>
      </c>
      <c r="UL7" s="598" t="s">
        <v>2182</v>
      </c>
      <c r="UM7" s="594" t="s">
        <v>2182</v>
      </c>
      <c r="UN7" s="594" t="s">
        <v>2182</v>
      </c>
      <c r="UO7" s="594" t="s">
        <v>2182</v>
      </c>
      <c r="UP7" s="594" t="s">
        <v>2182</v>
      </c>
      <c r="UQ7" s="594" t="s">
        <v>2182</v>
      </c>
      <c r="UR7" s="598" t="s">
        <v>2182</v>
      </c>
      <c r="US7" s="594" t="s">
        <v>2182</v>
      </c>
      <c r="UT7" s="594" t="s">
        <v>2182</v>
      </c>
      <c r="UU7" s="594" t="s">
        <v>2182</v>
      </c>
      <c r="UV7" s="594" t="s">
        <v>2182</v>
      </c>
      <c r="UW7" s="594" t="s">
        <v>2182</v>
      </c>
      <c r="UX7" s="598" t="s">
        <v>2182</v>
      </c>
      <c r="UY7" s="594" t="s">
        <v>2182</v>
      </c>
      <c r="UZ7" s="594" t="s">
        <v>2182</v>
      </c>
      <c r="VA7" s="594" t="s">
        <v>2182</v>
      </c>
      <c r="VB7" s="594" t="s">
        <v>2182</v>
      </c>
      <c r="VC7" s="594" t="s">
        <v>2182</v>
      </c>
      <c r="VD7" s="595" t="s">
        <v>2182</v>
      </c>
      <c r="VE7" s="575" t="s">
        <v>1330</v>
      </c>
      <c r="VF7" s="576" t="s">
        <v>1330</v>
      </c>
      <c r="VG7" s="576" t="s">
        <v>1330</v>
      </c>
      <c r="VH7" s="576" t="s">
        <v>1330</v>
      </c>
      <c r="VI7" s="576" t="s">
        <v>1330</v>
      </c>
      <c r="VJ7" s="576" t="s">
        <v>1330</v>
      </c>
      <c r="VK7" s="577" t="s">
        <v>1330</v>
      </c>
      <c r="VL7" s="576"/>
      <c r="VM7" s="576"/>
      <c r="VN7" s="615"/>
      <c r="VO7" s="616"/>
      <c r="VP7" s="576"/>
      <c r="VQ7" s="615"/>
      <c r="VR7" s="616"/>
      <c r="VS7" s="576"/>
      <c r="VT7" s="615"/>
      <c r="VU7" s="573"/>
      <c r="VV7" s="576"/>
      <c r="VW7" s="615"/>
      <c r="VX7" s="616"/>
      <c r="VY7" s="576"/>
      <c r="VZ7" s="615"/>
      <c r="WA7" s="616"/>
      <c r="WB7" s="576"/>
      <c r="WC7" s="615"/>
      <c r="WD7" s="616"/>
      <c r="WE7" s="576"/>
      <c r="WF7" s="615"/>
      <c r="WG7" s="616"/>
      <c r="WH7" s="576"/>
      <c r="WI7" s="615"/>
      <c r="WJ7" s="616"/>
      <c r="WK7" s="576"/>
      <c r="WL7" s="615"/>
      <c r="WM7" s="616"/>
      <c r="WN7" s="576"/>
      <c r="WO7" s="615"/>
      <c r="WP7" s="616"/>
      <c r="WQ7" s="576"/>
      <c r="WR7" s="576"/>
      <c r="WS7" s="612"/>
      <c r="WT7" s="574"/>
      <c r="WU7" s="574"/>
      <c r="WV7" s="574"/>
      <c r="WW7" s="614"/>
      <c r="WX7" s="748"/>
      <c r="WY7" s="612"/>
      <c r="WZ7" s="574"/>
      <c r="XA7" s="574"/>
      <c r="XB7" s="614"/>
      <c r="XC7" s="605" t="s">
        <v>2004</v>
      </c>
      <c r="XD7" s="605" t="s">
        <v>2004</v>
      </c>
      <c r="XE7" s="605" t="s">
        <v>2004</v>
      </c>
      <c r="XF7" s="605" t="s">
        <v>2004</v>
      </c>
      <c r="XG7" s="605" t="s">
        <v>2004</v>
      </c>
      <c r="XH7" s="605" t="s">
        <v>2004</v>
      </c>
      <c r="XI7" s="605" t="s">
        <v>2004</v>
      </c>
      <c r="XJ7" s="605" t="s">
        <v>2004</v>
      </c>
      <c r="XK7" s="610" t="s">
        <v>2004</v>
      </c>
      <c r="XL7" s="605" t="s">
        <v>2004</v>
      </c>
      <c r="XM7" s="605" t="s">
        <v>2004</v>
      </c>
      <c r="XN7" s="605" t="s">
        <v>2004</v>
      </c>
      <c r="XO7" s="605" t="s">
        <v>2004</v>
      </c>
      <c r="XP7" s="605" t="s">
        <v>2004</v>
      </c>
      <c r="XQ7" s="605" t="s">
        <v>2004</v>
      </c>
      <c r="XR7" s="749" t="s">
        <v>2004</v>
      </c>
      <c r="XS7" s="610" t="s">
        <v>2004</v>
      </c>
      <c r="XT7" s="605" t="s">
        <v>2004</v>
      </c>
      <c r="XU7" s="605" t="s">
        <v>2004</v>
      </c>
      <c r="XV7" s="605" t="s">
        <v>2004</v>
      </c>
      <c r="XW7" s="605" t="s">
        <v>2004</v>
      </c>
      <c r="XX7" s="605" t="s">
        <v>2004</v>
      </c>
      <c r="XY7" s="605" t="s">
        <v>2004</v>
      </c>
      <c r="XZ7" s="749" t="s">
        <v>2004</v>
      </c>
      <c r="YA7" s="605" t="s">
        <v>2004</v>
      </c>
      <c r="YB7" s="605" t="s">
        <v>2004</v>
      </c>
      <c r="YC7" s="605" t="s">
        <v>2004</v>
      </c>
      <c r="YD7" s="605" t="s">
        <v>2004</v>
      </c>
      <c r="YE7" s="605" t="s">
        <v>2004</v>
      </c>
      <c r="YF7" s="605" t="s">
        <v>2004</v>
      </c>
      <c r="YG7" s="605" t="s">
        <v>2004</v>
      </c>
      <c r="YH7" s="605" t="s">
        <v>2004</v>
      </c>
      <c r="YI7" s="610" t="s">
        <v>2004</v>
      </c>
      <c r="YJ7" s="605" t="s">
        <v>2004</v>
      </c>
      <c r="YK7" s="605" t="s">
        <v>2004</v>
      </c>
      <c r="YL7" s="605" t="s">
        <v>2004</v>
      </c>
      <c r="YM7" s="605" t="s">
        <v>2004</v>
      </c>
      <c r="YN7" s="605" t="s">
        <v>2004</v>
      </c>
      <c r="YO7" s="605" t="s">
        <v>2004</v>
      </c>
      <c r="YP7" s="749" t="s">
        <v>2004</v>
      </c>
      <c r="YQ7" s="610" t="s">
        <v>2004</v>
      </c>
      <c r="YR7" s="605" t="s">
        <v>2004</v>
      </c>
      <c r="YS7" s="605" t="s">
        <v>2004</v>
      </c>
      <c r="YT7" s="605" t="s">
        <v>2004</v>
      </c>
      <c r="YU7" s="605" t="s">
        <v>2004</v>
      </c>
      <c r="YV7" s="605" t="s">
        <v>2004</v>
      </c>
      <c r="YW7" s="605" t="s">
        <v>2004</v>
      </c>
      <c r="YX7" s="749" t="s">
        <v>2004</v>
      </c>
      <c r="YY7" s="605" t="s">
        <v>2004</v>
      </c>
      <c r="YZ7" s="605" t="s">
        <v>2004</v>
      </c>
      <c r="ZA7" s="605" t="s">
        <v>2004</v>
      </c>
      <c r="ZB7" s="605" t="s">
        <v>2004</v>
      </c>
      <c r="ZC7" s="605" t="s">
        <v>2004</v>
      </c>
      <c r="ZD7" s="605" t="s">
        <v>2004</v>
      </c>
      <c r="ZE7" s="605" t="s">
        <v>2004</v>
      </c>
      <c r="ZF7" s="605" t="s">
        <v>2004</v>
      </c>
      <c r="ZG7" s="610" t="s">
        <v>2004</v>
      </c>
      <c r="ZH7" s="605" t="s">
        <v>2004</v>
      </c>
      <c r="ZI7" s="605" t="s">
        <v>2004</v>
      </c>
      <c r="ZJ7" s="605" t="s">
        <v>2004</v>
      </c>
      <c r="ZK7" s="605" t="s">
        <v>2004</v>
      </c>
      <c r="ZL7" s="605" t="s">
        <v>2004</v>
      </c>
      <c r="ZM7" s="605" t="s">
        <v>2004</v>
      </c>
      <c r="ZN7" s="749" t="s">
        <v>2004</v>
      </c>
      <c r="ZO7" s="605" t="s">
        <v>2004</v>
      </c>
      <c r="ZP7" s="605" t="s">
        <v>2004</v>
      </c>
      <c r="ZQ7" s="605" t="s">
        <v>2004</v>
      </c>
      <c r="ZR7" s="605" t="s">
        <v>2004</v>
      </c>
      <c r="ZS7" s="605" t="s">
        <v>2004</v>
      </c>
      <c r="ZT7" s="605" t="s">
        <v>2004</v>
      </c>
      <c r="ZU7" s="605" t="s">
        <v>2004</v>
      </c>
      <c r="ZV7" s="605" t="s">
        <v>2004</v>
      </c>
      <c r="ZW7" s="610" t="s">
        <v>2004</v>
      </c>
      <c r="ZX7" s="605" t="s">
        <v>2004</v>
      </c>
      <c r="ZY7" s="605" t="s">
        <v>2004</v>
      </c>
      <c r="ZZ7" s="605" t="s">
        <v>2004</v>
      </c>
      <c r="AAA7" s="605" t="s">
        <v>2004</v>
      </c>
      <c r="AAB7" s="605" t="s">
        <v>2004</v>
      </c>
      <c r="AAC7" s="605" t="s">
        <v>2004</v>
      </c>
      <c r="AAD7" s="749" t="s">
        <v>2004</v>
      </c>
      <c r="AAE7" s="605" t="s">
        <v>2004</v>
      </c>
      <c r="AAF7" s="605" t="s">
        <v>2004</v>
      </c>
      <c r="AAG7" s="605" t="s">
        <v>2004</v>
      </c>
      <c r="AAH7" s="605" t="s">
        <v>2004</v>
      </c>
      <c r="AAI7" s="605" t="s">
        <v>2004</v>
      </c>
      <c r="AAJ7" s="605" t="s">
        <v>2004</v>
      </c>
      <c r="AAK7" s="605" t="s">
        <v>2004</v>
      </c>
      <c r="AAL7" s="605" t="s">
        <v>2004</v>
      </c>
      <c r="AAM7" s="610" t="s">
        <v>2004</v>
      </c>
      <c r="AAN7" s="605" t="s">
        <v>2004</v>
      </c>
      <c r="AAO7" s="605" t="s">
        <v>2004</v>
      </c>
      <c r="AAP7" s="605" t="s">
        <v>2004</v>
      </c>
      <c r="AAQ7" s="605" t="s">
        <v>2004</v>
      </c>
      <c r="AAR7" s="605" t="s">
        <v>2004</v>
      </c>
      <c r="AAS7" s="605" t="s">
        <v>2004</v>
      </c>
      <c r="AAT7" s="749" t="s">
        <v>2004</v>
      </c>
      <c r="AAU7" s="605" t="s">
        <v>2004</v>
      </c>
      <c r="AAV7" s="605" t="s">
        <v>2004</v>
      </c>
      <c r="AAW7" s="605" t="s">
        <v>2004</v>
      </c>
      <c r="AAX7" s="605" t="s">
        <v>2004</v>
      </c>
      <c r="AAY7" s="605" t="s">
        <v>2004</v>
      </c>
      <c r="AAZ7" s="605" t="s">
        <v>2004</v>
      </c>
      <c r="ABA7" s="605" t="s">
        <v>2004</v>
      </c>
      <c r="ABB7" s="605" t="s">
        <v>2004</v>
      </c>
      <c r="ABC7" s="610" t="s">
        <v>2004</v>
      </c>
      <c r="ABD7" s="605" t="s">
        <v>2004</v>
      </c>
      <c r="ABE7" s="605" t="s">
        <v>2004</v>
      </c>
      <c r="ABF7" s="605" t="s">
        <v>2004</v>
      </c>
      <c r="ABG7" s="605" t="s">
        <v>2004</v>
      </c>
      <c r="ABH7" s="605" t="s">
        <v>2004</v>
      </c>
      <c r="ABI7" s="605" t="s">
        <v>2004</v>
      </c>
      <c r="ABJ7" s="749" t="s">
        <v>2004</v>
      </c>
      <c r="ABK7" s="605" t="s">
        <v>2004</v>
      </c>
      <c r="ABL7" s="605" t="s">
        <v>2004</v>
      </c>
      <c r="ABM7" s="605" t="s">
        <v>2004</v>
      </c>
      <c r="ABN7" s="605" t="s">
        <v>2004</v>
      </c>
      <c r="ABO7" s="605" t="s">
        <v>2004</v>
      </c>
      <c r="ABP7" s="605" t="s">
        <v>2004</v>
      </c>
      <c r="ABQ7" s="605" t="s">
        <v>2004</v>
      </c>
      <c r="ABR7" s="605" t="s">
        <v>2004</v>
      </c>
      <c r="ABS7" s="610" t="s">
        <v>2004</v>
      </c>
      <c r="ABT7" s="605" t="s">
        <v>2004</v>
      </c>
      <c r="ABU7" s="605" t="s">
        <v>2004</v>
      </c>
      <c r="ABV7" s="605" t="s">
        <v>2004</v>
      </c>
      <c r="ABW7" s="605" t="s">
        <v>2004</v>
      </c>
      <c r="ABX7" s="605" t="s">
        <v>2004</v>
      </c>
      <c r="ABY7" s="605" t="s">
        <v>2004</v>
      </c>
      <c r="ABZ7" s="749" t="s">
        <v>2004</v>
      </c>
      <c r="ACA7" s="605" t="s">
        <v>2004</v>
      </c>
      <c r="ACB7" s="605" t="s">
        <v>2004</v>
      </c>
      <c r="ACC7" s="605" t="s">
        <v>2004</v>
      </c>
      <c r="ACD7" s="605" t="s">
        <v>2004</v>
      </c>
      <c r="ACE7" s="605" t="s">
        <v>2004</v>
      </c>
      <c r="ACF7" s="605" t="s">
        <v>2004</v>
      </c>
      <c r="ACG7" s="605" t="s">
        <v>2004</v>
      </c>
      <c r="ACH7" s="605" t="s">
        <v>2004</v>
      </c>
      <c r="ACI7" s="610" t="s">
        <v>2004</v>
      </c>
      <c r="ACJ7" s="605" t="s">
        <v>2004</v>
      </c>
      <c r="ACK7" s="605" t="s">
        <v>2004</v>
      </c>
      <c r="ACL7" s="605" t="s">
        <v>2004</v>
      </c>
      <c r="ACM7" s="605" t="s">
        <v>2004</v>
      </c>
      <c r="ACN7" s="605" t="s">
        <v>2004</v>
      </c>
      <c r="ACO7" s="605" t="s">
        <v>2004</v>
      </c>
      <c r="ACP7" s="749" t="s">
        <v>2004</v>
      </c>
      <c r="ACQ7" s="605" t="s">
        <v>2004</v>
      </c>
      <c r="ACR7" s="605" t="s">
        <v>2004</v>
      </c>
      <c r="ACS7" s="605" t="s">
        <v>2004</v>
      </c>
      <c r="ACT7" s="605" t="s">
        <v>2004</v>
      </c>
      <c r="ACU7" s="605" t="s">
        <v>2004</v>
      </c>
      <c r="ACV7" s="605" t="s">
        <v>2004</v>
      </c>
      <c r="ACW7" s="605" t="s">
        <v>2004</v>
      </c>
      <c r="ACX7" s="605" t="s">
        <v>2004</v>
      </c>
      <c r="ACY7" s="610" t="s">
        <v>2004</v>
      </c>
      <c r="ACZ7" s="605" t="s">
        <v>2004</v>
      </c>
      <c r="ADA7" s="605" t="s">
        <v>2004</v>
      </c>
      <c r="ADB7" s="605" t="s">
        <v>2004</v>
      </c>
      <c r="ADC7" s="605" t="s">
        <v>2004</v>
      </c>
      <c r="ADD7" s="605" t="s">
        <v>2004</v>
      </c>
      <c r="ADE7" s="605" t="s">
        <v>2004</v>
      </c>
      <c r="ADF7" s="749" t="s">
        <v>2004</v>
      </c>
      <c r="ADG7" s="605" t="s">
        <v>2004</v>
      </c>
      <c r="ADH7" s="605" t="s">
        <v>2004</v>
      </c>
      <c r="ADI7" s="605" t="s">
        <v>2004</v>
      </c>
      <c r="ADJ7" s="605" t="s">
        <v>2004</v>
      </c>
      <c r="ADK7" s="605" t="s">
        <v>2004</v>
      </c>
      <c r="ADL7" s="605" t="s">
        <v>2004</v>
      </c>
      <c r="ADM7" s="605" t="s">
        <v>2004</v>
      </c>
      <c r="ADN7" s="605" t="s">
        <v>2004</v>
      </c>
      <c r="ADO7" s="610" t="s">
        <v>2004</v>
      </c>
      <c r="ADP7" s="605" t="s">
        <v>2004</v>
      </c>
      <c r="ADQ7" s="605" t="s">
        <v>2004</v>
      </c>
      <c r="ADR7" s="605" t="s">
        <v>2004</v>
      </c>
      <c r="ADS7" s="605" t="s">
        <v>2004</v>
      </c>
      <c r="ADT7" s="605" t="s">
        <v>2004</v>
      </c>
      <c r="ADU7" s="605" t="s">
        <v>2004</v>
      </c>
      <c r="ADV7" s="749" t="s">
        <v>2004</v>
      </c>
      <c r="ADW7" s="605" t="s">
        <v>2004</v>
      </c>
      <c r="ADX7" s="605" t="s">
        <v>2004</v>
      </c>
      <c r="ADY7" s="605" t="s">
        <v>2004</v>
      </c>
      <c r="ADZ7" s="605" t="s">
        <v>2004</v>
      </c>
      <c r="AEA7" s="605" t="s">
        <v>2004</v>
      </c>
      <c r="AEB7" s="605" t="s">
        <v>2004</v>
      </c>
      <c r="AEC7" s="605" t="s">
        <v>2004</v>
      </c>
      <c r="AED7" s="605" t="s">
        <v>2004</v>
      </c>
      <c r="AEE7" s="610" t="s">
        <v>2004</v>
      </c>
      <c r="AEF7" s="605" t="s">
        <v>2004</v>
      </c>
      <c r="AEG7" s="605" t="s">
        <v>2004</v>
      </c>
      <c r="AEH7" s="605" t="s">
        <v>2004</v>
      </c>
      <c r="AEI7" s="605" t="s">
        <v>2004</v>
      </c>
      <c r="AEJ7" s="605" t="s">
        <v>2004</v>
      </c>
      <c r="AEK7" s="605" t="s">
        <v>2004</v>
      </c>
      <c r="AEL7" s="749" t="s">
        <v>2004</v>
      </c>
      <c r="AEM7" s="605" t="s">
        <v>2004</v>
      </c>
      <c r="AEN7" s="605" t="s">
        <v>2004</v>
      </c>
      <c r="AEO7" s="605" t="s">
        <v>2004</v>
      </c>
      <c r="AEP7" s="605" t="s">
        <v>2004</v>
      </c>
      <c r="AEQ7" s="605" t="s">
        <v>2004</v>
      </c>
      <c r="AER7" s="605" t="s">
        <v>2004</v>
      </c>
      <c r="AES7" s="605" t="s">
        <v>2004</v>
      </c>
      <c r="AET7" s="605" t="s">
        <v>2004</v>
      </c>
      <c r="AEU7" s="610" t="s">
        <v>2004</v>
      </c>
      <c r="AEV7" s="605" t="s">
        <v>2004</v>
      </c>
      <c r="AEW7" s="605" t="s">
        <v>2004</v>
      </c>
      <c r="AEX7" s="605" t="s">
        <v>2004</v>
      </c>
      <c r="AEY7" s="605" t="s">
        <v>2004</v>
      </c>
      <c r="AEZ7" s="605" t="s">
        <v>2004</v>
      </c>
      <c r="AFA7" s="605" t="s">
        <v>2004</v>
      </c>
      <c r="AFB7" s="749" t="s">
        <v>2004</v>
      </c>
      <c r="AFC7" s="605" t="s">
        <v>2004</v>
      </c>
      <c r="AFD7" s="605" t="s">
        <v>2004</v>
      </c>
      <c r="AFE7" s="605" t="s">
        <v>2004</v>
      </c>
      <c r="AFF7" s="605" t="s">
        <v>2004</v>
      </c>
      <c r="AFG7" s="605" t="s">
        <v>2004</v>
      </c>
      <c r="AFH7" s="605" t="s">
        <v>2004</v>
      </c>
      <c r="AFI7" s="605" t="s">
        <v>2004</v>
      </c>
      <c r="AFJ7" s="605" t="s">
        <v>2004</v>
      </c>
      <c r="AFK7" s="610" t="s">
        <v>2004</v>
      </c>
      <c r="AFL7" s="605" t="s">
        <v>2004</v>
      </c>
      <c r="AFM7" s="605" t="s">
        <v>2004</v>
      </c>
      <c r="AFN7" s="605" t="s">
        <v>2004</v>
      </c>
      <c r="AFO7" s="605" t="s">
        <v>2004</v>
      </c>
      <c r="AFP7" s="605" t="s">
        <v>2004</v>
      </c>
      <c r="AFQ7" s="605" t="s">
        <v>2004</v>
      </c>
      <c r="AFR7" s="749" t="s">
        <v>2004</v>
      </c>
      <c r="AFS7" s="610" t="s">
        <v>2004</v>
      </c>
      <c r="AFT7" s="605" t="s">
        <v>2004</v>
      </c>
      <c r="AFU7" s="605" t="s">
        <v>2004</v>
      </c>
      <c r="AFV7" s="605" t="s">
        <v>2004</v>
      </c>
      <c r="AFW7" s="605" t="s">
        <v>2004</v>
      </c>
      <c r="AFX7" s="605" t="s">
        <v>2004</v>
      </c>
      <c r="AFY7" s="605" t="s">
        <v>2004</v>
      </c>
      <c r="AFZ7" s="749" t="s">
        <v>2004</v>
      </c>
      <c r="AGA7" s="610" t="s">
        <v>2004</v>
      </c>
      <c r="AGB7" s="605" t="s">
        <v>2004</v>
      </c>
      <c r="AGC7" s="605" t="s">
        <v>2004</v>
      </c>
      <c r="AGD7" s="605" t="s">
        <v>2004</v>
      </c>
      <c r="AGE7" s="605" t="s">
        <v>2004</v>
      </c>
      <c r="AGF7" s="605" t="s">
        <v>2004</v>
      </c>
      <c r="AGG7" s="605" t="s">
        <v>2004</v>
      </c>
      <c r="AGH7" s="749" t="s">
        <v>2004</v>
      </c>
      <c r="AGI7" s="610" t="s">
        <v>2004</v>
      </c>
      <c r="AGJ7" s="605" t="s">
        <v>2004</v>
      </c>
      <c r="AGK7" s="605" t="s">
        <v>2004</v>
      </c>
      <c r="AGL7" s="605" t="s">
        <v>2004</v>
      </c>
      <c r="AGM7" s="605" t="s">
        <v>2004</v>
      </c>
      <c r="AGN7" s="605" t="s">
        <v>2004</v>
      </c>
      <c r="AGO7" s="605" t="s">
        <v>2004</v>
      </c>
      <c r="AGP7" s="749" t="s">
        <v>2004</v>
      </c>
      <c r="AGQ7" s="610" t="s">
        <v>2004</v>
      </c>
      <c r="AGR7" s="605" t="s">
        <v>2004</v>
      </c>
      <c r="AGS7" s="605" t="s">
        <v>2004</v>
      </c>
      <c r="AGT7" s="605" t="s">
        <v>2004</v>
      </c>
      <c r="AGU7" s="605" t="s">
        <v>2004</v>
      </c>
      <c r="AGV7" s="605" t="s">
        <v>2004</v>
      </c>
      <c r="AGW7" s="605" t="s">
        <v>2004</v>
      </c>
      <c r="AGX7" s="749" t="s">
        <v>2004</v>
      </c>
      <c r="AGY7" s="610" t="s">
        <v>2004</v>
      </c>
      <c r="AGZ7" s="605" t="s">
        <v>2004</v>
      </c>
      <c r="AHA7" s="605" t="s">
        <v>2004</v>
      </c>
      <c r="AHB7" s="605" t="s">
        <v>2004</v>
      </c>
      <c r="AHC7" s="605" t="s">
        <v>2004</v>
      </c>
      <c r="AHD7" s="605" t="s">
        <v>2004</v>
      </c>
      <c r="AHE7" s="605" t="s">
        <v>2004</v>
      </c>
      <c r="AHF7" s="749" t="s">
        <v>2004</v>
      </c>
      <c r="AHG7" s="610" t="s">
        <v>2004</v>
      </c>
      <c r="AHH7" s="605" t="s">
        <v>2004</v>
      </c>
      <c r="AHI7" s="605" t="s">
        <v>2004</v>
      </c>
      <c r="AHJ7" s="605" t="s">
        <v>2004</v>
      </c>
      <c r="AHK7" s="605" t="s">
        <v>2004</v>
      </c>
      <c r="AHL7" s="605" t="s">
        <v>2004</v>
      </c>
      <c r="AHM7" s="605" t="s">
        <v>2004</v>
      </c>
      <c r="AHN7" s="749" t="s">
        <v>2004</v>
      </c>
      <c r="AHO7" s="610" t="s">
        <v>2004</v>
      </c>
      <c r="AHP7" s="605" t="s">
        <v>2004</v>
      </c>
      <c r="AHQ7" s="605" t="s">
        <v>2004</v>
      </c>
      <c r="AHR7" s="605" t="s">
        <v>2004</v>
      </c>
      <c r="AHS7" s="605" t="s">
        <v>2004</v>
      </c>
      <c r="AHT7" s="605" t="s">
        <v>2004</v>
      </c>
      <c r="AHU7" s="605" t="s">
        <v>2004</v>
      </c>
      <c r="AHV7" s="749" t="s">
        <v>2004</v>
      </c>
      <c r="AHW7" s="610" t="s">
        <v>2004</v>
      </c>
      <c r="AHX7" s="605" t="s">
        <v>2004</v>
      </c>
      <c r="AHY7" s="605" t="s">
        <v>2004</v>
      </c>
      <c r="AHZ7" s="605" t="s">
        <v>2004</v>
      </c>
      <c r="AIA7" s="605" t="s">
        <v>2004</v>
      </c>
      <c r="AIB7" s="605" t="s">
        <v>2004</v>
      </c>
      <c r="AIC7" s="605" t="s">
        <v>2004</v>
      </c>
      <c r="AID7" s="749" t="s">
        <v>2004</v>
      </c>
      <c r="AIE7" s="610" t="s">
        <v>2004</v>
      </c>
      <c r="AIF7" s="605" t="s">
        <v>2004</v>
      </c>
      <c r="AIG7" s="605" t="s">
        <v>2004</v>
      </c>
      <c r="AIH7" s="605" t="s">
        <v>2004</v>
      </c>
      <c r="AII7" s="605" t="s">
        <v>2004</v>
      </c>
      <c r="AIJ7" s="605" t="s">
        <v>2004</v>
      </c>
      <c r="AIK7" s="605" t="s">
        <v>2004</v>
      </c>
      <c r="AIL7" s="749" t="s">
        <v>2004</v>
      </c>
      <c r="AIM7" s="610" t="s">
        <v>2004</v>
      </c>
      <c r="AIN7" s="605" t="s">
        <v>2004</v>
      </c>
      <c r="AIO7" s="605" t="s">
        <v>2004</v>
      </c>
      <c r="AIP7" s="605" t="s">
        <v>2004</v>
      </c>
      <c r="AIQ7" s="605" t="s">
        <v>2004</v>
      </c>
      <c r="AIR7" s="605" t="s">
        <v>2004</v>
      </c>
      <c r="AIS7" s="605" t="s">
        <v>2004</v>
      </c>
      <c r="AIT7" s="749" t="s">
        <v>2004</v>
      </c>
      <c r="AIU7" s="612"/>
      <c r="AIV7" s="574"/>
      <c r="AIW7" s="574"/>
      <c r="AIX7" s="614"/>
      <c r="AIY7" s="612"/>
      <c r="AIZ7" s="574"/>
      <c r="AJA7" s="574"/>
      <c r="AJB7" s="574"/>
      <c r="AJC7" s="574"/>
      <c r="AJD7" s="614"/>
    </row>
    <row r="8" spans="1:940" ht="18" customHeight="1" thickBot="1">
      <c r="A8" s="663" t="s">
        <v>958</v>
      </c>
      <c r="B8" s="764" t="s">
        <v>99</v>
      </c>
      <c r="C8" s="758" t="s">
        <v>110</v>
      </c>
      <c r="D8" s="759" t="s">
        <v>111</v>
      </c>
      <c r="E8" s="569" t="s">
        <v>192</v>
      </c>
      <c r="F8" s="570" t="s">
        <v>193</v>
      </c>
      <c r="G8" s="570" t="s">
        <v>194</v>
      </c>
      <c r="H8" s="570" t="s">
        <v>195</v>
      </c>
      <c r="I8" s="569" t="s">
        <v>1384</v>
      </c>
      <c r="J8" s="570" t="s">
        <v>1385</v>
      </c>
      <c r="K8" s="570" t="s">
        <v>1386</v>
      </c>
      <c r="L8" s="571" t="s">
        <v>1387</v>
      </c>
      <c r="M8" s="585" t="s">
        <v>59</v>
      </c>
      <c r="N8" s="776" t="s">
        <v>60</v>
      </c>
      <c r="O8" s="586" t="s">
        <v>61</v>
      </c>
      <c r="P8" s="586" t="s">
        <v>109</v>
      </c>
      <c r="Q8" s="776" t="s">
        <v>112</v>
      </c>
      <c r="R8" s="586" t="s">
        <v>113</v>
      </c>
      <c r="S8" s="586" t="s">
        <v>201</v>
      </c>
      <c r="T8" s="586" t="s">
        <v>202</v>
      </c>
      <c r="U8" s="586" t="s">
        <v>203</v>
      </c>
      <c r="V8" s="776" t="s">
        <v>204</v>
      </c>
      <c r="W8" s="586" t="s">
        <v>205</v>
      </c>
      <c r="X8" s="586" t="s">
        <v>279</v>
      </c>
      <c r="Y8" s="586" t="s">
        <v>280</v>
      </c>
      <c r="Z8" s="586" t="s">
        <v>281</v>
      </c>
      <c r="AA8" s="776" t="s">
        <v>282</v>
      </c>
      <c r="AB8" s="586" t="s">
        <v>283</v>
      </c>
      <c r="AC8" s="586" t="s">
        <v>2072</v>
      </c>
      <c r="AD8" s="586" t="s">
        <v>2073</v>
      </c>
      <c r="AE8" s="586" t="s">
        <v>2074</v>
      </c>
      <c r="AF8" s="776" t="s">
        <v>2075</v>
      </c>
      <c r="AG8" s="586" t="s">
        <v>2076</v>
      </c>
      <c r="AH8" s="586" t="s">
        <v>2077</v>
      </c>
      <c r="AI8" s="586" t="s">
        <v>2078</v>
      </c>
      <c r="AJ8" s="586" t="s">
        <v>2079</v>
      </c>
      <c r="AK8" s="586" t="s">
        <v>2080</v>
      </c>
      <c r="AL8" s="988" t="s">
        <v>2657</v>
      </c>
      <c r="AM8" s="586" t="s">
        <v>2658</v>
      </c>
      <c r="AN8" s="586" t="s">
        <v>2659</v>
      </c>
      <c r="AO8" s="586" t="s">
        <v>2660</v>
      </c>
      <c r="AP8" s="586" t="s">
        <v>2661</v>
      </c>
      <c r="AQ8" s="586" t="s">
        <v>2662</v>
      </c>
      <c r="AR8" s="586" t="s">
        <v>2663</v>
      </c>
      <c r="AS8" s="988" t="s">
        <v>2681</v>
      </c>
      <c r="AT8" s="586" t="s">
        <v>2682</v>
      </c>
      <c r="AU8" s="586" t="s">
        <v>2683</v>
      </c>
      <c r="AV8" s="586" t="s">
        <v>2684</v>
      </c>
      <c r="AW8" s="586" t="s">
        <v>2686</v>
      </c>
      <c r="AX8" s="585" t="s">
        <v>62</v>
      </c>
      <c r="AY8" s="586" t="s">
        <v>63</v>
      </c>
      <c r="AZ8" s="586" t="s">
        <v>108</v>
      </c>
      <c r="BA8" s="586" t="s">
        <v>120</v>
      </c>
      <c r="BB8" s="586" t="s">
        <v>121</v>
      </c>
      <c r="BC8" s="586" t="s">
        <v>248</v>
      </c>
      <c r="BD8" s="776" t="s">
        <v>249</v>
      </c>
      <c r="BE8" s="586" t="s">
        <v>250</v>
      </c>
      <c r="BF8" s="586" t="s">
        <v>251</v>
      </c>
      <c r="BG8" s="586" t="s">
        <v>252</v>
      </c>
      <c r="BH8" s="586" t="s">
        <v>253</v>
      </c>
      <c r="BI8" s="586" t="s">
        <v>254</v>
      </c>
      <c r="BJ8" s="586" t="s">
        <v>255</v>
      </c>
      <c r="BK8" s="586" t="s">
        <v>256</v>
      </c>
      <c r="BL8" s="586" t="s">
        <v>257</v>
      </c>
      <c r="BM8" s="586" t="s">
        <v>258</v>
      </c>
      <c r="BN8" s="586" t="s">
        <v>259</v>
      </c>
      <c r="BO8" s="586" t="s">
        <v>260</v>
      </c>
      <c r="BP8" s="586" t="s">
        <v>261</v>
      </c>
      <c r="BQ8" s="586" t="s">
        <v>262</v>
      </c>
      <c r="BR8" s="586" t="s">
        <v>263</v>
      </c>
      <c r="BS8" s="776" t="s">
        <v>265</v>
      </c>
      <c r="BT8" s="586" t="s">
        <v>284</v>
      </c>
      <c r="BU8" s="586" t="s">
        <v>285</v>
      </c>
      <c r="BV8" s="586" t="s">
        <v>286</v>
      </c>
      <c r="BW8" s="586" t="s">
        <v>287</v>
      </c>
      <c r="BX8" s="586" t="s">
        <v>288</v>
      </c>
      <c r="BY8" s="586" t="s">
        <v>2097</v>
      </c>
      <c r="BZ8" s="586" t="s">
        <v>2098</v>
      </c>
      <c r="CA8" s="586" t="s">
        <v>2099</v>
      </c>
      <c r="CB8" s="586" t="s">
        <v>2100</v>
      </c>
      <c r="CC8" s="586" t="s">
        <v>2101</v>
      </c>
      <c r="CD8" s="586" t="s">
        <v>2102</v>
      </c>
      <c r="CE8" s="586" t="s">
        <v>2103</v>
      </c>
      <c r="CF8" s="586" t="s">
        <v>2104</v>
      </c>
      <c r="CG8" s="586" t="s">
        <v>2105</v>
      </c>
      <c r="CH8" s="586" t="s">
        <v>2106</v>
      </c>
      <c r="CI8" s="988" t="s">
        <v>2107</v>
      </c>
      <c r="CJ8" s="586" t="s">
        <v>2108</v>
      </c>
      <c r="CK8" s="586" t="s">
        <v>2109</v>
      </c>
      <c r="CL8" s="586" t="s">
        <v>2110</v>
      </c>
      <c r="CM8" s="586" t="s">
        <v>2111</v>
      </c>
      <c r="CN8" s="586" t="s">
        <v>2112</v>
      </c>
      <c r="CO8" s="586" t="s">
        <v>2113</v>
      </c>
      <c r="CP8" s="586" t="s">
        <v>2114</v>
      </c>
      <c r="CQ8" s="586" t="s">
        <v>2115</v>
      </c>
      <c r="CR8" s="586" t="s">
        <v>2116</v>
      </c>
      <c r="CS8" s="586" t="s">
        <v>2117</v>
      </c>
      <c r="CT8" s="586" t="s">
        <v>2118</v>
      </c>
      <c r="CU8" s="586" t="s">
        <v>2119</v>
      </c>
      <c r="CV8" s="586" t="s">
        <v>2120</v>
      </c>
      <c r="CW8" s="586" t="s">
        <v>2121</v>
      </c>
      <c r="CX8" s="988" t="s">
        <v>2122</v>
      </c>
      <c r="CY8" s="586" t="s">
        <v>2123</v>
      </c>
      <c r="CZ8" s="586" t="s">
        <v>2124</v>
      </c>
      <c r="DA8" s="586" t="s">
        <v>2125</v>
      </c>
      <c r="DB8" s="586" t="s">
        <v>2126</v>
      </c>
      <c r="DC8" s="988" t="s">
        <v>3028</v>
      </c>
      <c r="DD8" s="586" t="s">
        <v>3029</v>
      </c>
      <c r="DE8" s="586" t="s">
        <v>3030</v>
      </c>
      <c r="DF8" s="586" t="s">
        <v>3031</v>
      </c>
      <c r="DG8" s="586" t="s">
        <v>3032</v>
      </c>
      <c r="DH8" s="585" t="s">
        <v>65</v>
      </c>
      <c r="DI8" s="586" t="s">
        <v>66</v>
      </c>
      <c r="DJ8" s="586" t="s">
        <v>67</v>
      </c>
      <c r="DK8" s="586" t="s">
        <v>107</v>
      </c>
      <c r="DL8" s="586" t="s">
        <v>122</v>
      </c>
      <c r="DM8" s="586" t="s">
        <v>123</v>
      </c>
      <c r="DN8" s="988" t="s">
        <v>2740</v>
      </c>
      <c r="DO8" s="586" t="s">
        <v>2741</v>
      </c>
      <c r="DP8" s="586" t="s">
        <v>2742</v>
      </c>
      <c r="DQ8" s="586" t="s">
        <v>2743</v>
      </c>
      <c r="DR8" s="586" t="s">
        <v>2744</v>
      </c>
      <c r="DS8" s="586" t="s">
        <v>2745</v>
      </c>
      <c r="DT8" s="586" t="s">
        <v>2746</v>
      </c>
      <c r="DU8" s="988" t="s">
        <v>2747</v>
      </c>
      <c r="DV8" s="586" t="s">
        <v>2748</v>
      </c>
      <c r="DW8" s="586" t="s">
        <v>2749</v>
      </c>
      <c r="DX8" s="586" t="s">
        <v>2750</v>
      </c>
      <c r="DY8" s="586" t="s">
        <v>2751</v>
      </c>
      <c r="DZ8" s="586" t="s">
        <v>2752</v>
      </c>
      <c r="EA8" s="587" t="s">
        <v>2753</v>
      </c>
      <c r="EB8" s="586" t="s">
        <v>68</v>
      </c>
      <c r="EC8" s="586" t="s">
        <v>69</v>
      </c>
      <c r="ED8" s="586" t="s">
        <v>70</v>
      </c>
      <c r="EE8" s="586" t="s">
        <v>106</v>
      </c>
      <c r="EF8" s="586" t="s">
        <v>127</v>
      </c>
      <c r="EG8" s="586" t="s">
        <v>128</v>
      </c>
      <c r="EH8" s="585" t="s">
        <v>2754</v>
      </c>
      <c r="EI8" s="586" t="s">
        <v>2755</v>
      </c>
      <c r="EJ8" s="586" t="s">
        <v>2756</v>
      </c>
      <c r="EK8" s="586" t="s">
        <v>2757</v>
      </c>
      <c r="EL8" s="586" t="s">
        <v>2758</v>
      </c>
      <c r="EM8" s="586" t="s">
        <v>2759</v>
      </c>
      <c r="EN8" s="586" t="s">
        <v>2760</v>
      </c>
      <c r="EO8" s="586" t="s">
        <v>2761</v>
      </c>
      <c r="EP8" s="586" t="s">
        <v>2762</v>
      </c>
      <c r="EQ8" s="586" t="s">
        <v>2763</v>
      </c>
      <c r="ER8" s="586" t="s">
        <v>2764</v>
      </c>
      <c r="ES8" s="586" t="s">
        <v>2765</v>
      </c>
      <c r="ET8" s="586" t="s">
        <v>2766</v>
      </c>
      <c r="EU8" s="586" t="s">
        <v>2767</v>
      </c>
      <c r="EV8" s="586" t="s">
        <v>2768</v>
      </c>
      <c r="EW8" s="586" t="s">
        <v>2769</v>
      </c>
      <c r="EX8" s="586" t="s">
        <v>2770</v>
      </c>
      <c r="EY8" s="586" t="s">
        <v>2771</v>
      </c>
      <c r="EZ8" s="586" t="s">
        <v>2772</v>
      </c>
      <c r="FA8" s="586" t="s">
        <v>2773</v>
      </c>
      <c r="FB8" s="586" t="s">
        <v>2774</v>
      </c>
      <c r="FC8" s="586" t="s">
        <v>2775</v>
      </c>
      <c r="FD8" s="586" t="s">
        <v>2776</v>
      </c>
      <c r="FE8" s="586" t="s">
        <v>2777</v>
      </c>
      <c r="FF8" s="586" t="s">
        <v>2778</v>
      </c>
      <c r="FG8" s="586" t="s">
        <v>2779</v>
      </c>
      <c r="FH8" s="586" t="s">
        <v>2780</v>
      </c>
      <c r="FI8" s="586" t="s">
        <v>2781</v>
      </c>
      <c r="FJ8" s="586" t="s">
        <v>2782</v>
      </c>
      <c r="FK8" s="586" t="s">
        <v>2783</v>
      </c>
      <c r="FL8" s="586" t="s">
        <v>2784</v>
      </c>
      <c r="FM8" s="586" t="s">
        <v>2785</v>
      </c>
      <c r="FN8" s="586" t="s">
        <v>2786</v>
      </c>
      <c r="FO8" s="586" t="s">
        <v>2787</v>
      </c>
      <c r="FP8" s="586" t="s">
        <v>2788</v>
      </c>
      <c r="FQ8" s="586" t="s">
        <v>2789</v>
      </c>
      <c r="FR8" s="586" t="s">
        <v>2790</v>
      </c>
      <c r="FS8" s="586" t="s">
        <v>2791</v>
      </c>
      <c r="FT8" s="586" t="s">
        <v>2792</v>
      </c>
      <c r="FU8" s="586" t="s">
        <v>2793</v>
      </c>
      <c r="FV8" s="586" t="s">
        <v>2794</v>
      </c>
      <c r="FW8" s="586" t="s">
        <v>2795</v>
      </c>
      <c r="FX8" s="586" t="s">
        <v>2796</v>
      </c>
      <c r="FY8" s="586" t="s">
        <v>2797</v>
      </c>
      <c r="FZ8" s="586" t="s">
        <v>2798</v>
      </c>
      <c r="GA8" s="586" t="s">
        <v>2799</v>
      </c>
      <c r="GB8" s="586" t="s">
        <v>2800</v>
      </c>
      <c r="GC8" s="586" t="s">
        <v>2801</v>
      </c>
      <c r="GD8" s="586" t="s">
        <v>2802</v>
      </c>
      <c r="GE8" s="586" t="s">
        <v>2803</v>
      </c>
      <c r="GF8" s="586" t="s">
        <v>2804</v>
      </c>
      <c r="GG8" s="586" t="s">
        <v>2805</v>
      </c>
      <c r="GH8" s="586" t="s">
        <v>2806</v>
      </c>
      <c r="GI8" s="586" t="s">
        <v>2807</v>
      </c>
      <c r="GJ8" s="586" t="s">
        <v>2808</v>
      </c>
      <c r="GK8" s="586" t="s">
        <v>2809</v>
      </c>
      <c r="GL8" s="586" t="s">
        <v>2810</v>
      </c>
      <c r="GM8" s="586" t="s">
        <v>2811</v>
      </c>
      <c r="GN8" s="988" t="s">
        <v>3063</v>
      </c>
      <c r="GO8" s="586" t="s">
        <v>2812</v>
      </c>
      <c r="GP8" s="586" t="s">
        <v>2813</v>
      </c>
      <c r="GQ8" s="586" t="s">
        <v>2814</v>
      </c>
      <c r="GR8" s="586" t="s">
        <v>2815</v>
      </c>
      <c r="GS8" s="586" t="s">
        <v>2816</v>
      </c>
      <c r="GT8" s="586" t="s">
        <v>2817</v>
      </c>
      <c r="GU8" s="586" t="s">
        <v>2818</v>
      </c>
      <c r="GV8" s="586" t="s">
        <v>2819</v>
      </c>
      <c r="GW8" s="586" t="s">
        <v>2820</v>
      </c>
      <c r="GX8" s="586" t="s">
        <v>2821</v>
      </c>
      <c r="GY8" s="586" t="s">
        <v>2822</v>
      </c>
      <c r="GZ8" s="586" t="s">
        <v>2823</v>
      </c>
      <c r="HA8" s="586" t="s">
        <v>2824</v>
      </c>
      <c r="HB8" s="586" t="s">
        <v>2825</v>
      </c>
      <c r="HC8" s="586" t="s">
        <v>2826</v>
      </c>
      <c r="HD8" s="586" t="s">
        <v>2827</v>
      </c>
      <c r="HE8" s="586" t="s">
        <v>2828</v>
      </c>
      <c r="HF8" s="586" t="s">
        <v>2829</v>
      </c>
      <c r="HG8" s="586" t="s">
        <v>2830</v>
      </c>
      <c r="HH8" s="586" t="s">
        <v>2831</v>
      </c>
      <c r="HI8" s="586" t="s">
        <v>2832</v>
      </c>
      <c r="HJ8" s="586" t="s">
        <v>2833</v>
      </c>
      <c r="HK8" s="586" t="s">
        <v>2834</v>
      </c>
      <c r="HL8" s="586" t="s">
        <v>2835</v>
      </c>
      <c r="HM8" s="586" t="s">
        <v>2836</v>
      </c>
      <c r="HN8" s="586" t="s">
        <v>2837</v>
      </c>
      <c r="HO8" s="586" t="s">
        <v>2838</v>
      </c>
      <c r="HP8" s="586" t="s">
        <v>2839</v>
      </c>
      <c r="HQ8" s="586" t="s">
        <v>2840</v>
      </c>
      <c r="HR8" s="586" t="s">
        <v>2841</v>
      </c>
      <c r="HS8" s="586" t="s">
        <v>2842</v>
      </c>
      <c r="HT8" s="586" t="s">
        <v>2843</v>
      </c>
      <c r="HU8" s="586" t="s">
        <v>2844</v>
      </c>
      <c r="HV8" s="586" t="s">
        <v>2845</v>
      </c>
      <c r="HW8" s="586" t="s">
        <v>2846</v>
      </c>
      <c r="HX8" s="586" t="s">
        <v>2847</v>
      </c>
      <c r="HY8" s="586" t="s">
        <v>2848</v>
      </c>
      <c r="HZ8" s="586" t="s">
        <v>2849</v>
      </c>
      <c r="IA8" s="586" t="s">
        <v>2850</v>
      </c>
      <c r="IB8" s="586" t="s">
        <v>2851</v>
      </c>
      <c r="IC8" s="586" t="s">
        <v>2852</v>
      </c>
      <c r="ID8" s="586" t="s">
        <v>2853</v>
      </c>
      <c r="IE8" s="586" t="s">
        <v>2854</v>
      </c>
      <c r="IF8" s="586" t="s">
        <v>2855</v>
      </c>
      <c r="IG8" s="586" t="s">
        <v>2856</v>
      </c>
      <c r="IH8" s="586" t="s">
        <v>2857</v>
      </c>
      <c r="II8" s="586" t="s">
        <v>2858</v>
      </c>
      <c r="IJ8" s="586" t="s">
        <v>2859</v>
      </c>
      <c r="IK8" s="586" t="s">
        <v>2860</v>
      </c>
      <c r="IL8" s="586" t="s">
        <v>2861</v>
      </c>
      <c r="IM8" s="586" t="s">
        <v>2862</v>
      </c>
      <c r="IN8" s="586" t="s">
        <v>2863</v>
      </c>
      <c r="IO8" s="586" t="s">
        <v>2864</v>
      </c>
      <c r="IP8" s="586" t="s">
        <v>2865</v>
      </c>
      <c r="IQ8" s="586" t="s">
        <v>2866</v>
      </c>
      <c r="IR8" s="586" t="s">
        <v>2867</v>
      </c>
      <c r="IS8" s="586" t="s">
        <v>2868</v>
      </c>
      <c r="IT8" s="585" t="s">
        <v>71</v>
      </c>
      <c r="IU8" s="586" t="s">
        <v>72</v>
      </c>
      <c r="IV8" s="586" t="s">
        <v>73</v>
      </c>
      <c r="IW8" s="586" t="s">
        <v>105</v>
      </c>
      <c r="IX8" s="586" t="s">
        <v>129</v>
      </c>
      <c r="IY8" s="586" t="s">
        <v>130</v>
      </c>
      <c r="IZ8" s="586" t="s">
        <v>289</v>
      </c>
      <c r="JA8" s="776" t="s">
        <v>290</v>
      </c>
      <c r="JB8" s="586" t="s">
        <v>291</v>
      </c>
      <c r="JC8" s="586" t="s">
        <v>292</v>
      </c>
      <c r="JD8" s="586" t="s">
        <v>293</v>
      </c>
      <c r="JE8" s="586" t="s">
        <v>1214</v>
      </c>
      <c r="JF8" s="587" t="s">
        <v>2145</v>
      </c>
      <c r="JG8" s="585" t="s">
        <v>2999</v>
      </c>
      <c r="JH8" s="586" t="s">
        <v>2998</v>
      </c>
      <c r="JI8" s="586" t="s">
        <v>2997</v>
      </c>
      <c r="JJ8" s="586" t="s">
        <v>2996</v>
      </c>
      <c r="JK8" s="586" t="s">
        <v>2995</v>
      </c>
      <c r="JL8" s="586" t="s">
        <v>2994</v>
      </c>
      <c r="JM8" s="586" t="s">
        <v>2993</v>
      </c>
      <c r="JN8" s="988" t="s">
        <v>2992</v>
      </c>
      <c r="JO8" s="586" t="s">
        <v>2991</v>
      </c>
      <c r="JP8" s="586" t="s">
        <v>2990</v>
      </c>
      <c r="JQ8" s="586" t="s">
        <v>2989</v>
      </c>
      <c r="JR8" s="586" t="s">
        <v>2988</v>
      </c>
      <c r="JS8" s="1211" t="s">
        <v>3093</v>
      </c>
      <c r="JT8" s="1172" t="s">
        <v>2710</v>
      </c>
      <c r="JU8" s="1169" t="s">
        <v>2706</v>
      </c>
      <c r="JV8" s="1169" t="s">
        <v>2707</v>
      </c>
      <c r="JW8" s="1169" t="s">
        <v>2708</v>
      </c>
      <c r="JX8" s="1169" t="s">
        <v>2709</v>
      </c>
      <c r="JY8" s="1170" t="s">
        <v>2711</v>
      </c>
      <c r="JZ8" s="1171" t="s">
        <v>2712</v>
      </c>
      <c r="KA8" s="1171" t="s">
        <v>2713</v>
      </c>
      <c r="KB8" s="1171" t="s">
        <v>2714</v>
      </c>
      <c r="KC8" s="1171" t="s">
        <v>2715</v>
      </c>
      <c r="KD8" s="1170" t="s">
        <v>3011</v>
      </c>
      <c r="KE8" s="1171" t="s">
        <v>3012</v>
      </c>
      <c r="KF8" s="1171" t="s">
        <v>3013</v>
      </c>
      <c r="KG8" s="1171" t="s">
        <v>3014</v>
      </c>
      <c r="KH8" s="1171" t="s">
        <v>3015</v>
      </c>
      <c r="KI8" s="1171" t="s">
        <v>3016</v>
      </c>
      <c r="KJ8" s="1171" t="s">
        <v>3017</v>
      </c>
      <c r="KK8" s="1171" t="s">
        <v>3018</v>
      </c>
      <c r="KL8" s="1171" t="s">
        <v>3019</v>
      </c>
      <c r="KM8" s="1170" t="s">
        <v>3020</v>
      </c>
      <c r="KN8" s="1171" t="s">
        <v>3021</v>
      </c>
      <c r="KO8" s="1171" t="s">
        <v>3022</v>
      </c>
      <c r="KP8" s="1171" t="s">
        <v>3023</v>
      </c>
      <c r="KQ8" s="1171" t="s">
        <v>3024</v>
      </c>
      <c r="KR8" s="1171" t="s">
        <v>3025</v>
      </c>
      <c r="KS8" s="1171" t="s">
        <v>3026</v>
      </c>
      <c r="KT8" s="1171" t="s">
        <v>3042</v>
      </c>
      <c r="KU8" s="1171" t="s">
        <v>3043</v>
      </c>
      <c r="KV8" s="1170" t="s">
        <v>3044</v>
      </c>
      <c r="KW8" s="1171" t="s">
        <v>3045</v>
      </c>
      <c r="KX8" s="1171" t="s">
        <v>3046</v>
      </c>
      <c r="KY8" s="1171" t="s">
        <v>3047</v>
      </c>
      <c r="KZ8" s="1171" t="s">
        <v>3048</v>
      </c>
      <c r="LA8" s="1171" t="s">
        <v>3049</v>
      </c>
      <c r="LB8" s="1171" t="s">
        <v>3050</v>
      </c>
      <c r="LC8" s="1171" t="s">
        <v>3051</v>
      </c>
      <c r="LD8" s="1171" t="s">
        <v>3052</v>
      </c>
      <c r="LE8" s="1170" t="s">
        <v>3056</v>
      </c>
      <c r="LF8" s="1171" t="s">
        <v>3057</v>
      </c>
      <c r="LG8" s="1171" t="s">
        <v>3058</v>
      </c>
      <c r="LH8" s="1171" t="s">
        <v>3059</v>
      </c>
      <c r="LI8" s="1171" t="s">
        <v>3060</v>
      </c>
      <c r="LJ8" s="1171" t="s">
        <v>3095</v>
      </c>
      <c r="LK8" s="585" t="s">
        <v>2716</v>
      </c>
      <c r="LL8" s="586" t="s">
        <v>2717</v>
      </c>
      <c r="LM8" s="586" t="s">
        <v>2718</v>
      </c>
      <c r="LN8" s="586" t="s">
        <v>2719</v>
      </c>
      <c r="LO8" s="586" t="s">
        <v>2720</v>
      </c>
      <c r="LP8" s="988" t="s">
        <v>2721</v>
      </c>
      <c r="LQ8" s="586" t="s">
        <v>2722</v>
      </c>
      <c r="LR8" s="586" t="s">
        <v>2723</v>
      </c>
      <c r="LS8" s="586" t="s">
        <v>2724</v>
      </c>
      <c r="LT8" s="586" t="s">
        <v>2725</v>
      </c>
      <c r="LU8" s="1211" t="s">
        <v>3096</v>
      </c>
      <c r="LV8" s="585" t="s">
        <v>2190</v>
      </c>
      <c r="LW8" s="586" t="s">
        <v>2191</v>
      </c>
      <c r="LX8" s="586" t="s">
        <v>2192</v>
      </c>
      <c r="LY8" s="599" t="s">
        <v>333</v>
      </c>
      <c r="LZ8" s="600" t="s">
        <v>334</v>
      </c>
      <c r="MA8" s="600" t="s">
        <v>335</v>
      </c>
      <c r="MB8" s="601" t="s">
        <v>336</v>
      </c>
      <c r="MC8" s="600" t="s">
        <v>337</v>
      </c>
      <c r="MD8" s="600" t="s">
        <v>338</v>
      </c>
      <c r="ME8" s="600" t="s">
        <v>347</v>
      </c>
      <c r="MF8" s="600" t="s">
        <v>348</v>
      </c>
      <c r="MG8" s="599" t="s">
        <v>349</v>
      </c>
      <c r="MH8" s="600" t="s">
        <v>350</v>
      </c>
      <c r="MI8" s="600" t="s">
        <v>351</v>
      </c>
      <c r="MJ8" s="601" t="s">
        <v>352</v>
      </c>
      <c r="MK8" s="600" t="s">
        <v>353</v>
      </c>
      <c r="ML8" s="600" t="s">
        <v>354</v>
      </c>
      <c r="MM8" s="600" t="s">
        <v>355</v>
      </c>
      <c r="MN8" s="600" t="s">
        <v>356</v>
      </c>
      <c r="MO8" s="599" t="s">
        <v>357</v>
      </c>
      <c r="MP8" s="600" t="s">
        <v>358</v>
      </c>
      <c r="MQ8" s="600" t="s">
        <v>359</v>
      </c>
      <c r="MR8" s="601" t="s">
        <v>360</v>
      </c>
      <c r="MS8" s="599" t="s">
        <v>361</v>
      </c>
      <c r="MT8" s="600" t="s">
        <v>362</v>
      </c>
      <c r="MU8" s="600" t="s">
        <v>363</v>
      </c>
      <c r="MV8" s="601" t="s">
        <v>364</v>
      </c>
      <c r="MW8" s="599" t="s">
        <v>365</v>
      </c>
      <c r="MX8" s="600" t="s">
        <v>366</v>
      </c>
      <c r="MY8" s="600" t="s">
        <v>367</v>
      </c>
      <c r="MZ8" s="600" t="s">
        <v>368</v>
      </c>
      <c r="NA8" s="600" t="s">
        <v>369</v>
      </c>
      <c r="NB8" s="602" t="s">
        <v>370</v>
      </c>
      <c r="NC8" s="600" t="s">
        <v>371</v>
      </c>
      <c r="ND8" s="600" t="s">
        <v>372</v>
      </c>
      <c r="NE8" s="600" t="s">
        <v>373</v>
      </c>
      <c r="NF8" s="600" t="s">
        <v>374</v>
      </c>
      <c r="NG8" s="600" t="s">
        <v>375</v>
      </c>
      <c r="NH8" s="602" t="s">
        <v>376</v>
      </c>
      <c r="NI8" s="600" t="s">
        <v>384</v>
      </c>
      <c r="NJ8" s="600" t="s">
        <v>385</v>
      </c>
      <c r="NK8" s="600" t="s">
        <v>386</v>
      </c>
      <c r="NL8" s="600" t="s">
        <v>387</v>
      </c>
      <c r="NM8" s="600" t="s">
        <v>388</v>
      </c>
      <c r="NN8" s="602" t="s">
        <v>389</v>
      </c>
      <c r="NO8" s="600" t="s">
        <v>390</v>
      </c>
      <c r="NP8" s="600" t="s">
        <v>391</v>
      </c>
      <c r="NQ8" s="600" t="s">
        <v>392</v>
      </c>
      <c r="NR8" s="600" t="s">
        <v>393</v>
      </c>
      <c r="NS8" s="600" t="s">
        <v>394</v>
      </c>
      <c r="NT8" s="602" t="s">
        <v>395</v>
      </c>
      <c r="NU8" s="600" t="s">
        <v>396</v>
      </c>
      <c r="NV8" s="600" t="s">
        <v>397</v>
      </c>
      <c r="NW8" s="600" t="s">
        <v>398</v>
      </c>
      <c r="NX8" s="600" t="s">
        <v>399</v>
      </c>
      <c r="NY8" s="600" t="s">
        <v>400</v>
      </c>
      <c r="NZ8" s="602" t="s">
        <v>401</v>
      </c>
      <c r="OA8" s="600" t="s">
        <v>402</v>
      </c>
      <c r="OB8" s="600" t="s">
        <v>403</v>
      </c>
      <c r="OC8" s="600" t="s">
        <v>404</v>
      </c>
      <c r="OD8" s="600" t="s">
        <v>405</v>
      </c>
      <c r="OE8" s="600" t="s">
        <v>406</v>
      </c>
      <c r="OF8" s="601" t="s">
        <v>407</v>
      </c>
      <c r="OG8" s="599" t="s">
        <v>408</v>
      </c>
      <c r="OH8" s="600" t="s">
        <v>409</v>
      </c>
      <c r="OI8" s="600" t="s">
        <v>410</v>
      </c>
      <c r="OJ8" s="600" t="s">
        <v>411</v>
      </c>
      <c r="OK8" s="600" t="s">
        <v>412</v>
      </c>
      <c r="OL8" s="602" t="s">
        <v>413</v>
      </c>
      <c r="OM8" s="600" t="s">
        <v>600</v>
      </c>
      <c r="ON8" s="600" t="s">
        <v>601</v>
      </c>
      <c r="OO8" s="600" t="s">
        <v>602</v>
      </c>
      <c r="OP8" s="600" t="s">
        <v>603</v>
      </c>
      <c r="OQ8" s="600" t="s">
        <v>604</v>
      </c>
      <c r="OR8" s="602" t="s">
        <v>605</v>
      </c>
      <c r="OS8" s="600" t="s">
        <v>606</v>
      </c>
      <c r="OT8" s="600" t="s">
        <v>607</v>
      </c>
      <c r="OU8" s="600" t="s">
        <v>608</v>
      </c>
      <c r="OV8" s="600" t="s">
        <v>609</v>
      </c>
      <c r="OW8" s="600" t="s">
        <v>610</v>
      </c>
      <c r="OX8" s="602" t="s">
        <v>611</v>
      </c>
      <c r="OY8" s="600" t="s">
        <v>612</v>
      </c>
      <c r="OZ8" s="600" t="s">
        <v>613</v>
      </c>
      <c r="PA8" s="600" t="s">
        <v>614</v>
      </c>
      <c r="PB8" s="600" t="s">
        <v>615</v>
      </c>
      <c r="PC8" s="600" t="s">
        <v>616</v>
      </c>
      <c r="PD8" s="601" t="s">
        <v>617</v>
      </c>
      <c r="PE8" s="599" t="s">
        <v>618</v>
      </c>
      <c r="PF8" s="600" t="s">
        <v>619</v>
      </c>
      <c r="PG8" s="600" t="s">
        <v>620</v>
      </c>
      <c r="PH8" s="600" t="s">
        <v>621</v>
      </c>
      <c r="PI8" s="600" t="s">
        <v>622</v>
      </c>
      <c r="PJ8" s="602" t="s">
        <v>623</v>
      </c>
      <c r="PK8" s="600" t="s">
        <v>624</v>
      </c>
      <c r="PL8" s="600" t="s">
        <v>625</v>
      </c>
      <c r="PM8" s="600" t="s">
        <v>626</v>
      </c>
      <c r="PN8" s="600" t="s">
        <v>627</v>
      </c>
      <c r="PO8" s="600" t="s">
        <v>628</v>
      </c>
      <c r="PP8" s="602" t="s">
        <v>629</v>
      </c>
      <c r="PQ8" s="600" t="s">
        <v>630</v>
      </c>
      <c r="PR8" s="600" t="s">
        <v>631</v>
      </c>
      <c r="PS8" s="600" t="s">
        <v>632</v>
      </c>
      <c r="PT8" s="600" t="s">
        <v>633</v>
      </c>
      <c r="PU8" s="600" t="s">
        <v>634</v>
      </c>
      <c r="PV8" s="602" t="s">
        <v>635</v>
      </c>
      <c r="PW8" s="600" t="s">
        <v>636</v>
      </c>
      <c r="PX8" s="600" t="s">
        <v>637</v>
      </c>
      <c r="PY8" s="600" t="s">
        <v>638</v>
      </c>
      <c r="PZ8" s="600" t="s">
        <v>639</v>
      </c>
      <c r="QA8" s="600" t="s">
        <v>640</v>
      </c>
      <c r="QB8" s="602" t="s">
        <v>641</v>
      </c>
      <c r="QC8" s="600" t="s">
        <v>642</v>
      </c>
      <c r="QD8" s="600" t="s">
        <v>643</v>
      </c>
      <c r="QE8" s="600" t="s">
        <v>644</v>
      </c>
      <c r="QF8" s="600" t="s">
        <v>645</v>
      </c>
      <c r="QG8" s="600" t="s">
        <v>646</v>
      </c>
      <c r="QH8" s="601" t="s">
        <v>647</v>
      </c>
      <c r="QI8" s="599" t="s">
        <v>648</v>
      </c>
      <c r="QJ8" s="600" t="s">
        <v>649</v>
      </c>
      <c r="QK8" s="600" t="s">
        <v>650</v>
      </c>
      <c r="QL8" s="600" t="s">
        <v>651</v>
      </c>
      <c r="QM8" s="600" t="s">
        <v>652</v>
      </c>
      <c r="QN8" s="602" t="s">
        <v>653</v>
      </c>
      <c r="QO8" s="600" t="s">
        <v>654</v>
      </c>
      <c r="QP8" s="600" t="s">
        <v>655</v>
      </c>
      <c r="QQ8" s="600" t="s">
        <v>656</v>
      </c>
      <c r="QR8" s="600" t="s">
        <v>657</v>
      </c>
      <c r="QS8" s="600" t="s">
        <v>658</v>
      </c>
      <c r="QT8" s="602" t="s">
        <v>659</v>
      </c>
      <c r="QU8" s="600" t="s">
        <v>660</v>
      </c>
      <c r="QV8" s="600" t="s">
        <v>661</v>
      </c>
      <c r="QW8" s="600" t="s">
        <v>662</v>
      </c>
      <c r="QX8" s="600" t="s">
        <v>663</v>
      </c>
      <c r="QY8" s="600" t="s">
        <v>664</v>
      </c>
      <c r="QZ8" s="602" t="s">
        <v>665</v>
      </c>
      <c r="RA8" s="600" t="s">
        <v>666</v>
      </c>
      <c r="RB8" s="600" t="s">
        <v>667</v>
      </c>
      <c r="RC8" s="600" t="s">
        <v>668</v>
      </c>
      <c r="RD8" s="600" t="s">
        <v>669</v>
      </c>
      <c r="RE8" s="600" t="s">
        <v>670</v>
      </c>
      <c r="RF8" s="602" t="s">
        <v>671</v>
      </c>
      <c r="RG8" s="600" t="s">
        <v>672</v>
      </c>
      <c r="RH8" s="600" t="s">
        <v>673</v>
      </c>
      <c r="RI8" s="600" t="s">
        <v>674</v>
      </c>
      <c r="RJ8" s="600" t="s">
        <v>675</v>
      </c>
      <c r="RK8" s="600" t="s">
        <v>676</v>
      </c>
      <c r="RL8" s="601" t="s">
        <v>677</v>
      </c>
      <c r="RM8" s="599" t="s">
        <v>678</v>
      </c>
      <c r="RN8" s="600" t="s">
        <v>679</v>
      </c>
      <c r="RO8" s="600" t="s">
        <v>680</v>
      </c>
      <c r="RP8" s="600" t="s">
        <v>681</v>
      </c>
      <c r="RQ8" s="600" t="s">
        <v>682</v>
      </c>
      <c r="RR8" s="602" t="s">
        <v>683</v>
      </c>
      <c r="RS8" s="600" t="s">
        <v>684</v>
      </c>
      <c r="RT8" s="600" t="s">
        <v>685</v>
      </c>
      <c r="RU8" s="600" t="s">
        <v>686</v>
      </c>
      <c r="RV8" s="600" t="s">
        <v>687</v>
      </c>
      <c r="RW8" s="600" t="s">
        <v>688</v>
      </c>
      <c r="RX8" s="602" t="s">
        <v>689</v>
      </c>
      <c r="RY8" s="600" t="s">
        <v>690</v>
      </c>
      <c r="RZ8" s="600" t="s">
        <v>691</v>
      </c>
      <c r="SA8" s="600" t="s">
        <v>692</v>
      </c>
      <c r="SB8" s="600" t="s">
        <v>693</v>
      </c>
      <c r="SC8" s="600" t="s">
        <v>694</v>
      </c>
      <c r="SD8" s="602" t="s">
        <v>695</v>
      </c>
      <c r="SE8" s="600" t="s">
        <v>696</v>
      </c>
      <c r="SF8" s="600" t="s">
        <v>697</v>
      </c>
      <c r="SG8" s="600" t="s">
        <v>698</v>
      </c>
      <c r="SH8" s="600" t="s">
        <v>699</v>
      </c>
      <c r="SI8" s="600" t="s">
        <v>700</v>
      </c>
      <c r="SJ8" s="602" t="s">
        <v>701</v>
      </c>
      <c r="SK8" s="600" t="s">
        <v>702</v>
      </c>
      <c r="SL8" s="600" t="s">
        <v>703</v>
      </c>
      <c r="SM8" s="600" t="s">
        <v>704</v>
      </c>
      <c r="SN8" s="600" t="s">
        <v>705</v>
      </c>
      <c r="SO8" s="600" t="s">
        <v>706</v>
      </c>
      <c r="SP8" s="601" t="s">
        <v>707</v>
      </c>
      <c r="SQ8" s="599" t="s">
        <v>708</v>
      </c>
      <c r="SR8" s="600" t="s">
        <v>709</v>
      </c>
      <c r="SS8" s="600" t="s">
        <v>710</v>
      </c>
      <c r="ST8" s="600" t="s">
        <v>711</v>
      </c>
      <c r="SU8" s="600" t="s">
        <v>712</v>
      </c>
      <c r="SV8" s="602" t="s">
        <v>713</v>
      </c>
      <c r="SW8" s="600" t="s">
        <v>714</v>
      </c>
      <c r="SX8" s="600" t="s">
        <v>715</v>
      </c>
      <c r="SY8" s="600" t="s">
        <v>716</v>
      </c>
      <c r="SZ8" s="600" t="s">
        <v>717</v>
      </c>
      <c r="TA8" s="600" t="s">
        <v>718</v>
      </c>
      <c r="TB8" s="602" t="s">
        <v>719</v>
      </c>
      <c r="TC8" s="600" t="s">
        <v>720</v>
      </c>
      <c r="TD8" s="600" t="s">
        <v>721</v>
      </c>
      <c r="TE8" s="600" t="s">
        <v>722</v>
      </c>
      <c r="TF8" s="600" t="s">
        <v>723</v>
      </c>
      <c r="TG8" s="600" t="s">
        <v>724</v>
      </c>
      <c r="TH8" s="602" t="s">
        <v>725</v>
      </c>
      <c r="TI8" s="600" t="s">
        <v>726</v>
      </c>
      <c r="TJ8" s="600" t="s">
        <v>727</v>
      </c>
      <c r="TK8" s="600" t="s">
        <v>728</v>
      </c>
      <c r="TL8" s="600" t="s">
        <v>729</v>
      </c>
      <c r="TM8" s="600" t="s">
        <v>730</v>
      </c>
      <c r="TN8" s="602" t="s">
        <v>731</v>
      </c>
      <c r="TO8" s="600" t="s">
        <v>732</v>
      </c>
      <c r="TP8" s="600" t="s">
        <v>733</v>
      </c>
      <c r="TQ8" s="600" t="s">
        <v>734</v>
      </c>
      <c r="TR8" s="600" t="s">
        <v>735</v>
      </c>
      <c r="TS8" s="600" t="s">
        <v>736</v>
      </c>
      <c r="TT8" s="601" t="s">
        <v>737</v>
      </c>
      <c r="TU8" s="599" t="s">
        <v>738</v>
      </c>
      <c r="TV8" s="600" t="s">
        <v>739</v>
      </c>
      <c r="TW8" s="600" t="s">
        <v>740</v>
      </c>
      <c r="TX8" s="600" t="s">
        <v>741</v>
      </c>
      <c r="TY8" s="600" t="s">
        <v>742</v>
      </c>
      <c r="TZ8" s="602" t="s">
        <v>743</v>
      </c>
      <c r="UA8" s="600" t="s">
        <v>744</v>
      </c>
      <c r="UB8" s="600" t="s">
        <v>745</v>
      </c>
      <c r="UC8" s="600" t="s">
        <v>746</v>
      </c>
      <c r="UD8" s="600" t="s">
        <v>747</v>
      </c>
      <c r="UE8" s="600" t="s">
        <v>748</v>
      </c>
      <c r="UF8" s="602" t="s">
        <v>749</v>
      </c>
      <c r="UG8" s="600" t="s">
        <v>750</v>
      </c>
      <c r="UH8" s="600" t="s">
        <v>751</v>
      </c>
      <c r="UI8" s="600" t="s">
        <v>752</v>
      </c>
      <c r="UJ8" s="600" t="s">
        <v>753</v>
      </c>
      <c r="UK8" s="600" t="s">
        <v>754</v>
      </c>
      <c r="UL8" s="602" t="s">
        <v>755</v>
      </c>
      <c r="UM8" s="600" t="s">
        <v>756</v>
      </c>
      <c r="UN8" s="600" t="s">
        <v>757</v>
      </c>
      <c r="UO8" s="600" t="s">
        <v>758</v>
      </c>
      <c r="UP8" s="600" t="s">
        <v>759</v>
      </c>
      <c r="UQ8" s="600" t="s">
        <v>760</v>
      </c>
      <c r="UR8" s="602" t="s">
        <v>761</v>
      </c>
      <c r="US8" s="600" t="s">
        <v>762</v>
      </c>
      <c r="UT8" s="600" t="s">
        <v>763</v>
      </c>
      <c r="UU8" s="600" t="s">
        <v>764</v>
      </c>
      <c r="UV8" s="600" t="s">
        <v>765</v>
      </c>
      <c r="UW8" s="600" t="s">
        <v>766</v>
      </c>
      <c r="UX8" s="602" t="s">
        <v>767</v>
      </c>
      <c r="UY8" s="600" t="s">
        <v>768</v>
      </c>
      <c r="UZ8" s="600" t="s">
        <v>769</v>
      </c>
      <c r="VA8" s="600" t="s">
        <v>770</v>
      </c>
      <c r="VB8" s="600" t="s">
        <v>771</v>
      </c>
      <c r="VC8" s="600" t="s">
        <v>772</v>
      </c>
      <c r="VD8" s="601" t="s">
        <v>773</v>
      </c>
      <c r="VE8" s="578" t="s">
        <v>1248</v>
      </c>
      <c r="VF8" s="579" t="s">
        <v>1621</v>
      </c>
      <c r="VG8" s="579" t="s">
        <v>1622</v>
      </c>
      <c r="VH8" s="579" t="s">
        <v>1623</v>
      </c>
      <c r="VI8" s="579" t="s">
        <v>1624</v>
      </c>
      <c r="VJ8" s="579" t="s">
        <v>1625</v>
      </c>
      <c r="VK8" s="580" t="s">
        <v>2193</v>
      </c>
      <c r="VL8" s="579" t="s">
        <v>2194</v>
      </c>
      <c r="VM8" s="579" t="s">
        <v>2195</v>
      </c>
      <c r="VN8" s="617" t="s">
        <v>2196</v>
      </c>
      <c r="VO8" s="579" t="s">
        <v>2197</v>
      </c>
      <c r="VP8" s="579" t="s">
        <v>2198</v>
      </c>
      <c r="VQ8" s="617" t="s">
        <v>2199</v>
      </c>
      <c r="VR8" s="579" t="s">
        <v>2200</v>
      </c>
      <c r="VS8" s="579" t="s">
        <v>2201</v>
      </c>
      <c r="VT8" s="617" t="s">
        <v>2202</v>
      </c>
      <c r="VU8" s="579" t="s">
        <v>2203</v>
      </c>
      <c r="VV8" s="579" t="s">
        <v>2204</v>
      </c>
      <c r="VW8" s="617" t="s">
        <v>2205</v>
      </c>
      <c r="VX8" s="579" t="s">
        <v>2206</v>
      </c>
      <c r="VY8" s="579" t="s">
        <v>2207</v>
      </c>
      <c r="VZ8" s="617" t="s">
        <v>2208</v>
      </c>
      <c r="WA8" s="579" t="s">
        <v>2209</v>
      </c>
      <c r="WB8" s="579" t="s">
        <v>2210</v>
      </c>
      <c r="WC8" s="617" t="s">
        <v>2211</v>
      </c>
      <c r="WD8" s="579" t="s">
        <v>2212</v>
      </c>
      <c r="WE8" s="579" t="s">
        <v>2213</v>
      </c>
      <c r="WF8" s="617" t="s">
        <v>2214</v>
      </c>
      <c r="WG8" s="579" t="s">
        <v>2215</v>
      </c>
      <c r="WH8" s="579" t="s">
        <v>2216</v>
      </c>
      <c r="WI8" s="617" t="s">
        <v>2217</v>
      </c>
      <c r="WJ8" s="579" t="s">
        <v>2218</v>
      </c>
      <c r="WK8" s="579" t="s">
        <v>2219</v>
      </c>
      <c r="WL8" s="617" t="s">
        <v>2220</v>
      </c>
      <c r="WM8" s="579" t="s">
        <v>2221</v>
      </c>
      <c r="WN8" s="579" t="s">
        <v>2222</v>
      </c>
      <c r="WO8" s="617" t="s">
        <v>2223</v>
      </c>
      <c r="WP8" s="579" t="s">
        <v>2224</v>
      </c>
      <c r="WQ8" s="579" t="s">
        <v>2225</v>
      </c>
      <c r="WR8" s="579" t="s">
        <v>2226</v>
      </c>
      <c r="WS8" s="578" t="s">
        <v>2227</v>
      </c>
      <c r="WT8" s="579" t="s">
        <v>2228</v>
      </c>
      <c r="WU8" s="579" t="s">
        <v>2229</v>
      </c>
      <c r="WV8" s="579" t="s">
        <v>2230</v>
      </c>
      <c r="WW8" s="580" t="s">
        <v>2231</v>
      </c>
      <c r="WX8" s="618" t="s">
        <v>2232</v>
      </c>
      <c r="WY8" s="578" t="s">
        <v>2233</v>
      </c>
      <c r="WZ8" s="579" t="s">
        <v>2234</v>
      </c>
      <c r="XA8" s="579" t="s">
        <v>2235</v>
      </c>
      <c r="XB8" s="580" t="s">
        <v>2236</v>
      </c>
      <c r="XC8" s="578" t="s">
        <v>1596</v>
      </c>
      <c r="XD8" s="579" t="s">
        <v>1607</v>
      </c>
      <c r="XE8" s="579" t="s">
        <v>1608</v>
      </c>
      <c r="XF8" s="579" t="s">
        <v>1609</v>
      </c>
      <c r="XG8" s="579" t="s">
        <v>1610</v>
      </c>
      <c r="XH8" s="579" t="s">
        <v>1611</v>
      </c>
      <c r="XI8" s="579" t="s">
        <v>1612</v>
      </c>
      <c r="XJ8" s="579" t="s">
        <v>1613</v>
      </c>
      <c r="XK8" s="578" t="s">
        <v>1639</v>
      </c>
      <c r="XL8" s="579" t="s">
        <v>1640</v>
      </c>
      <c r="XM8" s="579" t="s">
        <v>1641</v>
      </c>
      <c r="XN8" s="579" t="s">
        <v>1642</v>
      </c>
      <c r="XO8" s="579" t="s">
        <v>1643</v>
      </c>
      <c r="XP8" s="579" t="s">
        <v>1644</v>
      </c>
      <c r="XQ8" s="579" t="s">
        <v>1645</v>
      </c>
      <c r="XR8" s="580" t="s">
        <v>1646</v>
      </c>
      <c r="XS8" s="578" t="s">
        <v>1667</v>
      </c>
      <c r="XT8" s="579" t="s">
        <v>1668</v>
      </c>
      <c r="XU8" s="579" t="s">
        <v>1669</v>
      </c>
      <c r="XV8" s="579" t="s">
        <v>1670</v>
      </c>
      <c r="XW8" s="579" t="s">
        <v>1671</v>
      </c>
      <c r="XX8" s="579" t="s">
        <v>1672</v>
      </c>
      <c r="XY8" s="579" t="s">
        <v>1673</v>
      </c>
      <c r="XZ8" s="580" t="s">
        <v>1674</v>
      </c>
      <c r="YA8" s="579" t="s">
        <v>1685</v>
      </c>
      <c r="YB8" s="579" t="s">
        <v>1694</v>
      </c>
      <c r="YC8" s="579" t="s">
        <v>1695</v>
      </c>
      <c r="YD8" s="579" t="s">
        <v>1696</v>
      </c>
      <c r="YE8" s="579" t="s">
        <v>1697</v>
      </c>
      <c r="YF8" s="579" t="s">
        <v>1698</v>
      </c>
      <c r="YG8" s="579" t="s">
        <v>1699</v>
      </c>
      <c r="YH8" s="579" t="s">
        <v>1700</v>
      </c>
      <c r="YI8" s="578" t="s">
        <v>1597</v>
      </c>
      <c r="YJ8" s="579" t="s">
        <v>1614</v>
      </c>
      <c r="YK8" s="579" t="s">
        <v>1615</v>
      </c>
      <c r="YL8" s="579" t="s">
        <v>1616</v>
      </c>
      <c r="YM8" s="579" t="s">
        <v>1617</v>
      </c>
      <c r="YN8" s="579" t="s">
        <v>1618</v>
      </c>
      <c r="YO8" s="579" t="s">
        <v>1619</v>
      </c>
      <c r="YP8" s="580" t="s">
        <v>1620</v>
      </c>
      <c r="YQ8" s="578" t="s">
        <v>1647</v>
      </c>
      <c r="YR8" s="579" t="s">
        <v>1648</v>
      </c>
      <c r="YS8" s="579" t="s">
        <v>1649</v>
      </c>
      <c r="YT8" s="579" t="s">
        <v>1650</v>
      </c>
      <c r="YU8" s="579" t="s">
        <v>1651</v>
      </c>
      <c r="YV8" s="579" t="s">
        <v>1652</v>
      </c>
      <c r="YW8" s="579" t="s">
        <v>1653</v>
      </c>
      <c r="YX8" s="580" t="s">
        <v>1654</v>
      </c>
      <c r="YY8" s="579" t="s">
        <v>1675</v>
      </c>
      <c r="YZ8" s="579" t="s">
        <v>1676</v>
      </c>
      <c r="ZA8" s="579" t="s">
        <v>1677</v>
      </c>
      <c r="ZB8" s="579" t="s">
        <v>1678</v>
      </c>
      <c r="ZC8" s="579" t="s">
        <v>1679</v>
      </c>
      <c r="ZD8" s="579" t="s">
        <v>1680</v>
      </c>
      <c r="ZE8" s="579" t="s">
        <v>1681</v>
      </c>
      <c r="ZF8" s="579" t="s">
        <v>1682</v>
      </c>
      <c r="ZG8" s="578" t="s">
        <v>1686</v>
      </c>
      <c r="ZH8" s="579" t="s">
        <v>1701</v>
      </c>
      <c r="ZI8" s="579" t="s">
        <v>1702</v>
      </c>
      <c r="ZJ8" s="579" t="s">
        <v>1703</v>
      </c>
      <c r="ZK8" s="579" t="s">
        <v>1704</v>
      </c>
      <c r="ZL8" s="579" t="s">
        <v>1705</v>
      </c>
      <c r="ZM8" s="579" t="s">
        <v>1706</v>
      </c>
      <c r="ZN8" s="580" t="s">
        <v>1707</v>
      </c>
      <c r="ZO8" s="579" t="s">
        <v>2237</v>
      </c>
      <c r="ZP8" s="579" t="s">
        <v>2238</v>
      </c>
      <c r="ZQ8" s="579" t="s">
        <v>2239</v>
      </c>
      <c r="ZR8" s="579" t="s">
        <v>2240</v>
      </c>
      <c r="ZS8" s="579" t="s">
        <v>2241</v>
      </c>
      <c r="ZT8" s="579" t="s">
        <v>2242</v>
      </c>
      <c r="ZU8" s="579" t="s">
        <v>2243</v>
      </c>
      <c r="ZV8" s="579" t="s">
        <v>2244</v>
      </c>
      <c r="ZW8" s="578" t="s">
        <v>2245</v>
      </c>
      <c r="ZX8" s="579" t="s">
        <v>2246</v>
      </c>
      <c r="ZY8" s="579" t="s">
        <v>2247</v>
      </c>
      <c r="ZZ8" s="579" t="s">
        <v>2248</v>
      </c>
      <c r="AAA8" s="579" t="s">
        <v>2249</v>
      </c>
      <c r="AAB8" s="579" t="s">
        <v>2250</v>
      </c>
      <c r="AAC8" s="579" t="s">
        <v>2251</v>
      </c>
      <c r="AAD8" s="580" t="s">
        <v>2252</v>
      </c>
      <c r="AAE8" s="579" t="s">
        <v>2253</v>
      </c>
      <c r="AAF8" s="579" t="s">
        <v>2254</v>
      </c>
      <c r="AAG8" s="579" t="s">
        <v>2255</v>
      </c>
      <c r="AAH8" s="579" t="s">
        <v>2256</v>
      </c>
      <c r="AAI8" s="579" t="s">
        <v>2257</v>
      </c>
      <c r="AAJ8" s="579" t="s">
        <v>2258</v>
      </c>
      <c r="AAK8" s="579" t="s">
        <v>2259</v>
      </c>
      <c r="AAL8" s="579" t="s">
        <v>2260</v>
      </c>
      <c r="AAM8" s="578" t="s">
        <v>2261</v>
      </c>
      <c r="AAN8" s="579" t="s">
        <v>2262</v>
      </c>
      <c r="AAO8" s="579" t="s">
        <v>2263</v>
      </c>
      <c r="AAP8" s="579" t="s">
        <v>2264</v>
      </c>
      <c r="AAQ8" s="579" t="s">
        <v>2265</v>
      </c>
      <c r="AAR8" s="579" t="s">
        <v>2266</v>
      </c>
      <c r="AAS8" s="579" t="s">
        <v>2267</v>
      </c>
      <c r="AAT8" s="580" t="s">
        <v>2268</v>
      </c>
      <c r="AAU8" s="579" t="s">
        <v>2269</v>
      </c>
      <c r="AAV8" s="579" t="s">
        <v>2270</v>
      </c>
      <c r="AAW8" s="579" t="s">
        <v>2271</v>
      </c>
      <c r="AAX8" s="579" t="s">
        <v>2272</v>
      </c>
      <c r="AAY8" s="579" t="s">
        <v>2273</v>
      </c>
      <c r="AAZ8" s="579" t="s">
        <v>2274</v>
      </c>
      <c r="ABA8" s="579" t="s">
        <v>2275</v>
      </c>
      <c r="ABB8" s="579" t="s">
        <v>2276</v>
      </c>
      <c r="ABC8" s="578" t="s">
        <v>2277</v>
      </c>
      <c r="ABD8" s="579" t="s">
        <v>2278</v>
      </c>
      <c r="ABE8" s="579" t="s">
        <v>2279</v>
      </c>
      <c r="ABF8" s="579" t="s">
        <v>2280</v>
      </c>
      <c r="ABG8" s="579" t="s">
        <v>2281</v>
      </c>
      <c r="ABH8" s="579" t="s">
        <v>2282</v>
      </c>
      <c r="ABI8" s="579" t="s">
        <v>2283</v>
      </c>
      <c r="ABJ8" s="580" t="s">
        <v>2284</v>
      </c>
      <c r="ABK8" s="579" t="s">
        <v>2285</v>
      </c>
      <c r="ABL8" s="579" t="s">
        <v>2286</v>
      </c>
      <c r="ABM8" s="579" t="s">
        <v>2287</v>
      </c>
      <c r="ABN8" s="579" t="s">
        <v>2288</v>
      </c>
      <c r="ABO8" s="579" t="s">
        <v>2289</v>
      </c>
      <c r="ABP8" s="579" t="s">
        <v>2290</v>
      </c>
      <c r="ABQ8" s="579" t="s">
        <v>2291</v>
      </c>
      <c r="ABR8" s="579" t="s">
        <v>2292</v>
      </c>
      <c r="ABS8" s="578" t="s">
        <v>2293</v>
      </c>
      <c r="ABT8" s="579" t="s">
        <v>2294</v>
      </c>
      <c r="ABU8" s="579" t="s">
        <v>2295</v>
      </c>
      <c r="ABV8" s="579" t="s">
        <v>2296</v>
      </c>
      <c r="ABW8" s="579" t="s">
        <v>2297</v>
      </c>
      <c r="ABX8" s="579" t="s">
        <v>2298</v>
      </c>
      <c r="ABY8" s="579" t="s">
        <v>2299</v>
      </c>
      <c r="ABZ8" s="580" t="s">
        <v>2300</v>
      </c>
      <c r="ACA8" s="579" t="s">
        <v>2301</v>
      </c>
      <c r="ACB8" s="579" t="s">
        <v>2302</v>
      </c>
      <c r="ACC8" s="579" t="s">
        <v>2303</v>
      </c>
      <c r="ACD8" s="579" t="s">
        <v>2304</v>
      </c>
      <c r="ACE8" s="579" t="s">
        <v>2305</v>
      </c>
      <c r="ACF8" s="579" t="s">
        <v>2306</v>
      </c>
      <c r="ACG8" s="579" t="s">
        <v>2307</v>
      </c>
      <c r="ACH8" s="579" t="s">
        <v>2308</v>
      </c>
      <c r="ACI8" s="578" t="s">
        <v>2309</v>
      </c>
      <c r="ACJ8" s="579" t="s">
        <v>2310</v>
      </c>
      <c r="ACK8" s="579" t="s">
        <v>2311</v>
      </c>
      <c r="ACL8" s="579" t="s">
        <v>2312</v>
      </c>
      <c r="ACM8" s="579" t="s">
        <v>2313</v>
      </c>
      <c r="ACN8" s="579" t="s">
        <v>2314</v>
      </c>
      <c r="ACO8" s="579" t="s">
        <v>2315</v>
      </c>
      <c r="ACP8" s="580" t="s">
        <v>2316</v>
      </c>
      <c r="ACQ8" s="579" t="s">
        <v>2317</v>
      </c>
      <c r="ACR8" s="579" t="s">
        <v>2318</v>
      </c>
      <c r="ACS8" s="579" t="s">
        <v>2319</v>
      </c>
      <c r="ACT8" s="579" t="s">
        <v>2320</v>
      </c>
      <c r="ACU8" s="579" t="s">
        <v>2321</v>
      </c>
      <c r="ACV8" s="579" t="s">
        <v>2322</v>
      </c>
      <c r="ACW8" s="579" t="s">
        <v>2323</v>
      </c>
      <c r="ACX8" s="579" t="s">
        <v>2324</v>
      </c>
      <c r="ACY8" s="578" t="s">
        <v>2325</v>
      </c>
      <c r="ACZ8" s="579" t="s">
        <v>2326</v>
      </c>
      <c r="ADA8" s="579" t="s">
        <v>2327</v>
      </c>
      <c r="ADB8" s="579" t="s">
        <v>2328</v>
      </c>
      <c r="ADC8" s="579" t="s">
        <v>2329</v>
      </c>
      <c r="ADD8" s="579" t="s">
        <v>2330</v>
      </c>
      <c r="ADE8" s="579" t="s">
        <v>2331</v>
      </c>
      <c r="ADF8" s="580" t="s">
        <v>2332</v>
      </c>
      <c r="ADG8" s="579" t="s">
        <v>2333</v>
      </c>
      <c r="ADH8" s="579" t="s">
        <v>2334</v>
      </c>
      <c r="ADI8" s="579" t="s">
        <v>2335</v>
      </c>
      <c r="ADJ8" s="579" t="s">
        <v>2336</v>
      </c>
      <c r="ADK8" s="579" t="s">
        <v>2337</v>
      </c>
      <c r="ADL8" s="579" t="s">
        <v>2338</v>
      </c>
      <c r="ADM8" s="579" t="s">
        <v>2339</v>
      </c>
      <c r="ADN8" s="579" t="s">
        <v>2340</v>
      </c>
      <c r="ADO8" s="578" t="s">
        <v>2341</v>
      </c>
      <c r="ADP8" s="579" t="s">
        <v>2342</v>
      </c>
      <c r="ADQ8" s="579" t="s">
        <v>2343</v>
      </c>
      <c r="ADR8" s="579" t="s">
        <v>2344</v>
      </c>
      <c r="ADS8" s="579" t="s">
        <v>2345</v>
      </c>
      <c r="ADT8" s="579" t="s">
        <v>2346</v>
      </c>
      <c r="ADU8" s="579" t="s">
        <v>2347</v>
      </c>
      <c r="ADV8" s="580" t="s">
        <v>2348</v>
      </c>
      <c r="ADW8" s="579" t="s">
        <v>2349</v>
      </c>
      <c r="ADX8" s="579" t="s">
        <v>2350</v>
      </c>
      <c r="ADY8" s="579" t="s">
        <v>2351</v>
      </c>
      <c r="ADZ8" s="579" t="s">
        <v>2352</v>
      </c>
      <c r="AEA8" s="579" t="s">
        <v>2353</v>
      </c>
      <c r="AEB8" s="579" t="s">
        <v>2354</v>
      </c>
      <c r="AEC8" s="579" t="s">
        <v>2355</v>
      </c>
      <c r="AED8" s="579" t="s">
        <v>2356</v>
      </c>
      <c r="AEE8" s="578" t="s">
        <v>2357</v>
      </c>
      <c r="AEF8" s="579" t="s">
        <v>2358</v>
      </c>
      <c r="AEG8" s="579" t="s">
        <v>2359</v>
      </c>
      <c r="AEH8" s="579" t="s">
        <v>2360</v>
      </c>
      <c r="AEI8" s="579" t="s">
        <v>2361</v>
      </c>
      <c r="AEJ8" s="579" t="s">
        <v>2362</v>
      </c>
      <c r="AEK8" s="579" t="s">
        <v>2363</v>
      </c>
      <c r="AEL8" s="580" t="s">
        <v>2364</v>
      </c>
      <c r="AEM8" s="579" t="s">
        <v>2365</v>
      </c>
      <c r="AEN8" s="579" t="s">
        <v>2366</v>
      </c>
      <c r="AEO8" s="579" t="s">
        <v>2367</v>
      </c>
      <c r="AEP8" s="579" t="s">
        <v>2368</v>
      </c>
      <c r="AEQ8" s="579" t="s">
        <v>2369</v>
      </c>
      <c r="AER8" s="579" t="s">
        <v>2370</v>
      </c>
      <c r="AES8" s="579" t="s">
        <v>2371</v>
      </c>
      <c r="AET8" s="579" t="s">
        <v>2372</v>
      </c>
      <c r="AEU8" s="578" t="s">
        <v>2373</v>
      </c>
      <c r="AEV8" s="579" t="s">
        <v>2374</v>
      </c>
      <c r="AEW8" s="579" t="s">
        <v>2375</v>
      </c>
      <c r="AEX8" s="579" t="s">
        <v>2376</v>
      </c>
      <c r="AEY8" s="579" t="s">
        <v>2377</v>
      </c>
      <c r="AEZ8" s="579" t="s">
        <v>2378</v>
      </c>
      <c r="AFA8" s="579" t="s">
        <v>2379</v>
      </c>
      <c r="AFB8" s="580" t="s">
        <v>2380</v>
      </c>
      <c r="AFC8" s="579" t="s">
        <v>2381</v>
      </c>
      <c r="AFD8" s="579" t="s">
        <v>2382</v>
      </c>
      <c r="AFE8" s="579" t="s">
        <v>2383</v>
      </c>
      <c r="AFF8" s="579" t="s">
        <v>2384</v>
      </c>
      <c r="AFG8" s="579" t="s">
        <v>2385</v>
      </c>
      <c r="AFH8" s="579" t="s">
        <v>2386</v>
      </c>
      <c r="AFI8" s="579" t="s">
        <v>2387</v>
      </c>
      <c r="AFJ8" s="579" t="s">
        <v>2388</v>
      </c>
      <c r="AFK8" s="578" t="s">
        <v>2389</v>
      </c>
      <c r="AFL8" s="579" t="s">
        <v>2390</v>
      </c>
      <c r="AFM8" s="579" t="s">
        <v>2391</v>
      </c>
      <c r="AFN8" s="579" t="s">
        <v>2392</v>
      </c>
      <c r="AFO8" s="579" t="s">
        <v>2393</v>
      </c>
      <c r="AFP8" s="579" t="s">
        <v>2394</v>
      </c>
      <c r="AFQ8" s="579" t="s">
        <v>2395</v>
      </c>
      <c r="AFR8" s="580" t="s">
        <v>2396</v>
      </c>
      <c r="AFS8" s="578" t="s">
        <v>1595</v>
      </c>
      <c r="AFT8" s="579" t="s">
        <v>1600</v>
      </c>
      <c r="AFU8" s="579" t="s">
        <v>1601</v>
      </c>
      <c r="AFV8" s="579" t="s">
        <v>1602</v>
      </c>
      <c r="AFW8" s="579" t="s">
        <v>1603</v>
      </c>
      <c r="AFX8" s="579" t="s">
        <v>1604</v>
      </c>
      <c r="AFY8" s="579" t="s">
        <v>1605</v>
      </c>
      <c r="AFZ8" s="580" t="s">
        <v>1606</v>
      </c>
      <c r="AGA8" s="578" t="s">
        <v>1631</v>
      </c>
      <c r="AGB8" s="579" t="s">
        <v>1632</v>
      </c>
      <c r="AGC8" s="579" t="s">
        <v>1633</v>
      </c>
      <c r="AGD8" s="579" t="s">
        <v>1634</v>
      </c>
      <c r="AGE8" s="579" t="s">
        <v>1635</v>
      </c>
      <c r="AGF8" s="579" t="s">
        <v>1636</v>
      </c>
      <c r="AGG8" s="579" t="s">
        <v>1637</v>
      </c>
      <c r="AGH8" s="580" t="s">
        <v>1638</v>
      </c>
      <c r="AGI8" s="578" t="s">
        <v>1659</v>
      </c>
      <c r="AGJ8" s="579" t="s">
        <v>1660</v>
      </c>
      <c r="AGK8" s="579" t="s">
        <v>1661</v>
      </c>
      <c r="AGL8" s="579" t="s">
        <v>1662</v>
      </c>
      <c r="AGM8" s="579" t="s">
        <v>1663</v>
      </c>
      <c r="AGN8" s="579" t="s">
        <v>1664</v>
      </c>
      <c r="AGO8" s="579" t="s">
        <v>1665</v>
      </c>
      <c r="AGP8" s="580" t="s">
        <v>1666</v>
      </c>
      <c r="AGQ8" s="578" t="s">
        <v>1684</v>
      </c>
      <c r="AGR8" s="579" t="s">
        <v>1687</v>
      </c>
      <c r="AGS8" s="579" t="s">
        <v>1688</v>
      </c>
      <c r="AGT8" s="579" t="s">
        <v>1689</v>
      </c>
      <c r="AGU8" s="579" t="s">
        <v>1690</v>
      </c>
      <c r="AGV8" s="579" t="s">
        <v>1691</v>
      </c>
      <c r="AGW8" s="579" t="s">
        <v>1692</v>
      </c>
      <c r="AGX8" s="580" t="s">
        <v>1693</v>
      </c>
      <c r="AGY8" s="578" t="s">
        <v>1770</v>
      </c>
      <c r="AGZ8" s="579" t="s">
        <v>1771</v>
      </c>
      <c r="AHA8" s="579" t="s">
        <v>1772</v>
      </c>
      <c r="AHB8" s="579" t="s">
        <v>1773</v>
      </c>
      <c r="AHC8" s="579" t="s">
        <v>1774</v>
      </c>
      <c r="AHD8" s="579" t="s">
        <v>1775</v>
      </c>
      <c r="AHE8" s="579" t="s">
        <v>1776</v>
      </c>
      <c r="AHF8" s="580" t="s">
        <v>1777</v>
      </c>
      <c r="AHG8" s="578" t="s">
        <v>1783</v>
      </c>
      <c r="AHH8" s="579" t="s">
        <v>1784</v>
      </c>
      <c r="AHI8" s="579" t="s">
        <v>1785</v>
      </c>
      <c r="AHJ8" s="579" t="s">
        <v>1786</v>
      </c>
      <c r="AHK8" s="579" t="s">
        <v>1787</v>
      </c>
      <c r="AHL8" s="579" t="s">
        <v>1788</v>
      </c>
      <c r="AHM8" s="579" t="s">
        <v>1789</v>
      </c>
      <c r="AHN8" s="580" t="s">
        <v>1790</v>
      </c>
      <c r="AHO8" s="578" t="s">
        <v>1791</v>
      </c>
      <c r="AHP8" s="579" t="s">
        <v>1792</v>
      </c>
      <c r="AHQ8" s="579" t="s">
        <v>1793</v>
      </c>
      <c r="AHR8" s="579" t="s">
        <v>1794</v>
      </c>
      <c r="AHS8" s="579" t="s">
        <v>1795</v>
      </c>
      <c r="AHT8" s="579" t="s">
        <v>1796</v>
      </c>
      <c r="AHU8" s="579" t="s">
        <v>1797</v>
      </c>
      <c r="AHV8" s="580" t="s">
        <v>1798</v>
      </c>
      <c r="AHW8" s="578" t="s">
        <v>1799</v>
      </c>
      <c r="AHX8" s="579" t="s">
        <v>1800</v>
      </c>
      <c r="AHY8" s="579" t="s">
        <v>1801</v>
      </c>
      <c r="AHZ8" s="579" t="s">
        <v>1802</v>
      </c>
      <c r="AIA8" s="579" t="s">
        <v>1803</v>
      </c>
      <c r="AIB8" s="579" t="s">
        <v>1804</v>
      </c>
      <c r="AIC8" s="579" t="s">
        <v>1805</v>
      </c>
      <c r="AID8" s="580" t="s">
        <v>1806</v>
      </c>
      <c r="AIE8" s="578" t="s">
        <v>1807</v>
      </c>
      <c r="AIF8" s="579" t="s">
        <v>1808</v>
      </c>
      <c r="AIG8" s="579" t="s">
        <v>1809</v>
      </c>
      <c r="AIH8" s="579" t="s">
        <v>1810</v>
      </c>
      <c r="AII8" s="579" t="s">
        <v>1811</v>
      </c>
      <c r="AIJ8" s="579" t="s">
        <v>1812</v>
      </c>
      <c r="AIK8" s="579" t="s">
        <v>1813</v>
      </c>
      <c r="AIL8" s="580" t="s">
        <v>1814</v>
      </c>
      <c r="AIM8" s="578" t="s">
        <v>1815</v>
      </c>
      <c r="AIN8" s="579" t="s">
        <v>1816</v>
      </c>
      <c r="AIO8" s="579" t="s">
        <v>1817</v>
      </c>
      <c r="AIP8" s="579" t="s">
        <v>1818</v>
      </c>
      <c r="AIQ8" s="579" t="s">
        <v>1819</v>
      </c>
      <c r="AIR8" s="579" t="s">
        <v>1820</v>
      </c>
      <c r="AIS8" s="579" t="s">
        <v>1821</v>
      </c>
      <c r="AIT8" s="580" t="s">
        <v>1822</v>
      </c>
      <c r="AIU8" s="578" t="s">
        <v>2397</v>
      </c>
      <c r="AIV8" s="579" t="s">
        <v>2398</v>
      </c>
      <c r="AIW8" s="579" t="s">
        <v>2399</v>
      </c>
      <c r="AIX8" s="580" t="s">
        <v>2400</v>
      </c>
      <c r="AIY8" s="578" t="s">
        <v>2401</v>
      </c>
      <c r="AIZ8" s="579" t="s">
        <v>2402</v>
      </c>
      <c r="AJA8" s="579" t="s">
        <v>2403</v>
      </c>
      <c r="AJB8" s="579" t="s">
        <v>2404</v>
      </c>
      <c r="AJC8" s="579" t="s">
        <v>2405</v>
      </c>
      <c r="AJD8" s="580" t="s">
        <v>2406</v>
      </c>
    </row>
    <row r="9" spans="1:940" ht="18" customHeight="1">
      <c r="A9" s="664" t="s">
        <v>1</v>
      </c>
      <c r="B9" s="668">
        <v>0.5</v>
      </c>
      <c r="C9" s="124">
        <v>0.2</v>
      </c>
      <c r="D9" s="124">
        <v>0.2</v>
      </c>
      <c r="E9" s="135">
        <v>263.02752293577981</v>
      </c>
      <c r="F9" s="136">
        <v>-0.9</v>
      </c>
      <c r="G9" s="125">
        <v>-2.5</v>
      </c>
      <c r="H9" s="125">
        <v>-2.5</v>
      </c>
      <c r="I9" s="266">
        <v>350</v>
      </c>
      <c r="J9" s="125">
        <v>0</v>
      </c>
      <c r="K9" s="125">
        <v>0</v>
      </c>
      <c r="L9" s="125">
        <v>0</v>
      </c>
      <c r="M9" s="63">
        <v>1176.4430275624979</v>
      </c>
      <c r="N9" s="65">
        <v>12</v>
      </c>
      <c r="O9" s="126">
        <v>0.8</v>
      </c>
      <c r="P9" s="126">
        <v>0.7</v>
      </c>
      <c r="Q9" s="126">
        <v>0.7</v>
      </c>
      <c r="R9" s="125">
        <v>0.7</v>
      </c>
      <c r="S9" s="125">
        <v>0</v>
      </c>
      <c r="T9" s="125">
        <v>99.2</v>
      </c>
      <c r="U9" s="125">
        <v>0.1</v>
      </c>
      <c r="V9" s="127">
        <v>0</v>
      </c>
      <c r="W9" s="137">
        <v>2</v>
      </c>
      <c r="X9" s="138">
        <v>1.5</v>
      </c>
      <c r="Y9" s="137">
        <v>1</v>
      </c>
      <c r="Z9" s="138">
        <v>0.8</v>
      </c>
      <c r="AA9" s="138">
        <v>0.5</v>
      </c>
      <c r="AB9" s="559">
        <v>433.01922201480062</v>
      </c>
      <c r="AC9" s="559">
        <v>470.67306740739195</v>
      </c>
      <c r="AD9" s="559">
        <v>433.37222681535616</v>
      </c>
      <c r="AE9" s="559">
        <v>649.0581599547935</v>
      </c>
      <c r="AF9" s="622">
        <v>0.82209484106305364</v>
      </c>
      <c r="AG9" s="559">
        <v>261.91600618637949</v>
      </c>
      <c r="AH9" s="559">
        <v>284.69131107215162</v>
      </c>
      <c r="AI9" s="559">
        <v>262.12952466968363</v>
      </c>
      <c r="AJ9" s="559">
        <v>392.58931796849708</v>
      </c>
      <c r="AK9" s="622">
        <v>0.96717040125065135</v>
      </c>
      <c r="AL9" s="997">
        <v>0.1</v>
      </c>
      <c r="AM9" s="997">
        <v>0.2</v>
      </c>
      <c r="AN9" s="997">
        <v>0.4</v>
      </c>
      <c r="AO9" s="997">
        <v>0.6</v>
      </c>
      <c r="AP9" s="997">
        <v>0.8</v>
      </c>
      <c r="AQ9" s="997">
        <v>1</v>
      </c>
      <c r="AR9" s="997">
        <v>1.3</v>
      </c>
      <c r="AS9" s="1005">
        <v>0</v>
      </c>
      <c r="AT9" s="1005">
        <v>10</v>
      </c>
      <c r="AU9" s="1005">
        <v>20</v>
      </c>
      <c r="AV9" s="1005">
        <v>70</v>
      </c>
      <c r="AW9" s="1005">
        <v>100</v>
      </c>
      <c r="AX9" s="63">
        <v>8970.0418125242413</v>
      </c>
      <c r="AY9" s="139">
        <v>1.18</v>
      </c>
      <c r="AZ9" s="66">
        <v>0.6</v>
      </c>
      <c r="BA9" s="66">
        <v>0.6</v>
      </c>
      <c r="BB9" s="66">
        <v>0.6</v>
      </c>
      <c r="BC9" s="70">
        <v>0.16961937784730771</v>
      </c>
      <c r="BD9" s="70">
        <v>0.17629160201814098</v>
      </c>
      <c r="BE9" s="68">
        <v>3.9955377834034946E-5</v>
      </c>
      <c r="BF9" s="68">
        <v>4.7247234288746325E-2</v>
      </c>
      <c r="BG9" s="68">
        <v>0.53404358012971109</v>
      </c>
      <c r="BH9" s="68">
        <v>42.737051261151549</v>
      </c>
      <c r="BI9" s="68">
        <v>0.57174147911612305</v>
      </c>
      <c r="BJ9" s="68">
        <v>0.10921802530933454</v>
      </c>
      <c r="BK9" s="68">
        <v>55.464697026360966</v>
      </c>
      <c r="BL9" s="68">
        <v>4.4350469395778795E-2</v>
      </c>
      <c r="BM9" s="68">
        <v>4.8545784068352461E-3</v>
      </c>
      <c r="BN9" s="68">
        <v>4.7946453400841938E-4</v>
      </c>
      <c r="BO9" s="68"/>
      <c r="BP9" s="68"/>
      <c r="BQ9" s="68">
        <v>7.012168809873133E-2</v>
      </c>
      <c r="BR9" s="68"/>
      <c r="BS9" s="68">
        <v>0.41615523783039104</v>
      </c>
      <c r="BT9" s="262">
        <v>261.13475999999997</v>
      </c>
      <c r="BU9" s="262">
        <v>96.5</v>
      </c>
      <c r="BV9" s="262">
        <v>63.215999999999994</v>
      </c>
      <c r="BW9" s="262">
        <v>233.35949490734063</v>
      </c>
      <c r="BX9" s="262">
        <v>157.40783999999999</v>
      </c>
      <c r="BY9" s="68"/>
      <c r="BZ9" s="262">
        <v>256.20808011776955</v>
      </c>
      <c r="CA9" s="262">
        <v>165.17663999999999</v>
      </c>
      <c r="CB9" s="68"/>
      <c r="CC9" s="785">
        <v>0</v>
      </c>
      <c r="CD9" s="262">
        <v>6.585</v>
      </c>
      <c r="CE9" s="262">
        <v>1.3169999999999999</v>
      </c>
      <c r="CF9" s="262">
        <v>38</v>
      </c>
      <c r="CG9" s="262">
        <v>225.83915999999996</v>
      </c>
      <c r="CH9" s="68">
        <v>0.2</v>
      </c>
      <c r="CI9" s="262">
        <v>175.08124000000001</v>
      </c>
      <c r="CJ9" s="262">
        <v>60.4</v>
      </c>
      <c r="CK9" s="262">
        <v>42.384</v>
      </c>
      <c r="CL9" s="262">
        <v>156.45894761061641</v>
      </c>
      <c r="CM9" s="262">
        <v>105.53616</v>
      </c>
      <c r="CN9" s="68"/>
      <c r="CO9" s="262">
        <v>159.24945066654416</v>
      </c>
      <c r="CP9" s="262">
        <v>102.66767999999999</v>
      </c>
      <c r="CQ9" s="68"/>
      <c r="CR9" s="262">
        <v>0</v>
      </c>
      <c r="CS9" s="262">
        <v>4.415</v>
      </c>
      <c r="CT9" s="262">
        <v>0.88300000000000001</v>
      </c>
      <c r="CU9" s="262">
        <v>27</v>
      </c>
      <c r="CV9" s="262">
        <v>151.41683999999998</v>
      </c>
      <c r="CW9" s="68">
        <v>0.2</v>
      </c>
      <c r="CX9" s="138">
        <v>0.3</v>
      </c>
      <c r="CY9" s="138">
        <v>0.7</v>
      </c>
      <c r="CZ9" s="138">
        <v>1.2</v>
      </c>
      <c r="DA9" s="138">
        <v>1.2</v>
      </c>
      <c r="DB9" s="137">
        <v>3</v>
      </c>
      <c r="DC9" s="1005">
        <v>0</v>
      </c>
      <c r="DD9" s="1005">
        <v>10</v>
      </c>
      <c r="DE9" s="1005">
        <v>20</v>
      </c>
      <c r="DF9" s="1005">
        <v>70</v>
      </c>
      <c r="DG9" s="1005">
        <v>100</v>
      </c>
      <c r="DH9" s="65">
        <v>22.364717643919846</v>
      </c>
      <c r="DI9" s="65">
        <v>18</v>
      </c>
      <c r="DJ9" s="63">
        <v>12</v>
      </c>
      <c r="DK9" s="66">
        <v>1.4</v>
      </c>
      <c r="DL9" s="66">
        <v>0.8</v>
      </c>
      <c r="DM9" s="66">
        <v>0.8</v>
      </c>
      <c r="DN9" s="1032" t="s">
        <v>996</v>
      </c>
      <c r="DO9" s="1032" t="s">
        <v>997</v>
      </c>
      <c r="DP9" s="1032" t="s">
        <v>997</v>
      </c>
      <c r="DQ9" s="1032" t="s">
        <v>997</v>
      </c>
      <c r="DR9" s="1032" t="s">
        <v>997</v>
      </c>
      <c r="DS9" s="1032" t="s">
        <v>997</v>
      </c>
      <c r="DT9" s="1032" t="s">
        <v>997</v>
      </c>
      <c r="DU9" s="1097">
        <v>3595.9771470241367</v>
      </c>
      <c r="DV9" s="1097">
        <v>0</v>
      </c>
      <c r="DW9" s="1097">
        <v>0</v>
      </c>
      <c r="DX9" s="1097">
        <v>0</v>
      </c>
      <c r="DY9" s="1097">
        <v>0</v>
      </c>
      <c r="DZ9" s="1097">
        <v>0</v>
      </c>
      <c r="EA9" s="1097">
        <v>0</v>
      </c>
      <c r="EB9" s="221">
        <v>3.5959771470241368</v>
      </c>
      <c r="EC9" s="221">
        <v>18</v>
      </c>
      <c r="ED9" s="221">
        <v>5</v>
      </c>
      <c r="EE9" s="216">
        <v>1.4</v>
      </c>
      <c r="EF9" s="216">
        <v>0.8</v>
      </c>
      <c r="EG9" s="216">
        <v>0.8</v>
      </c>
      <c r="EH9" s="208" t="s">
        <v>1036</v>
      </c>
      <c r="EI9" s="208" t="s">
        <v>1057</v>
      </c>
      <c r="EJ9" s="208" t="s">
        <v>1073</v>
      </c>
      <c r="EK9" s="208" t="s">
        <v>1087</v>
      </c>
      <c r="EL9" s="208" t="s">
        <v>1099</v>
      </c>
      <c r="EM9" s="208" t="s">
        <v>1110</v>
      </c>
      <c r="EN9" s="204" t="s">
        <v>997</v>
      </c>
      <c r="EO9" s="204" t="s">
        <v>997</v>
      </c>
      <c r="EP9" s="204" t="s">
        <v>997</v>
      </c>
      <c r="EQ9" s="204" t="s">
        <v>997</v>
      </c>
      <c r="ER9" s="204" t="s">
        <v>997</v>
      </c>
      <c r="ES9" s="204" t="s">
        <v>997</v>
      </c>
      <c r="ET9" s="204" t="s">
        <v>997</v>
      </c>
      <c r="EU9" s="204" t="s">
        <v>997</v>
      </c>
      <c r="EV9" s="204" t="s">
        <v>997</v>
      </c>
      <c r="EW9" s="204" t="s">
        <v>997</v>
      </c>
      <c r="EX9" s="204" t="s">
        <v>997</v>
      </c>
      <c r="EY9" s="204" t="s">
        <v>997</v>
      </c>
      <c r="EZ9" s="204" t="s">
        <v>997</v>
      </c>
      <c r="FA9" s="204" t="s">
        <v>997</v>
      </c>
      <c r="FB9" s="204" t="s">
        <v>997</v>
      </c>
      <c r="FC9" s="204" t="s">
        <v>997</v>
      </c>
      <c r="FD9" s="204" t="s">
        <v>997</v>
      </c>
      <c r="FE9" s="204" t="s">
        <v>997</v>
      </c>
      <c r="FF9" s="204" t="s">
        <v>997</v>
      </c>
      <c r="FG9" s="204" t="s">
        <v>997</v>
      </c>
      <c r="FH9" s="204" t="s">
        <v>997</v>
      </c>
      <c r="FI9" s="204" t="s">
        <v>997</v>
      </c>
      <c r="FJ9" s="204" t="s">
        <v>997</v>
      </c>
      <c r="FK9" s="204" t="s">
        <v>997</v>
      </c>
      <c r="FL9" s="204" t="s">
        <v>997</v>
      </c>
      <c r="FM9" s="204" t="s">
        <v>997</v>
      </c>
      <c r="FN9" s="204" t="s">
        <v>997</v>
      </c>
      <c r="FO9" s="204" t="s">
        <v>997</v>
      </c>
      <c r="FP9" s="204" t="s">
        <v>997</v>
      </c>
      <c r="FQ9" s="204" t="s">
        <v>997</v>
      </c>
      <c r="FR9" s="204" t="s">
        <v>997</v>
      </c>
      <c r="FS9" s="204" t="s">
        <v>997</v>
      </c>
      <c r="FT9" s="204" t="s">
        <v>997</v>
      </c>
      <c r="FU9" s="204" t="s">
        <v>997</v>
      </c>
      <c r="FV9" s="204" t="s">
        <v>997</v>
      </c>
      <c r="FW9" s="204" t="s">
        <v>997</v>
      </c>
      <c r="FX9" s="204" t="s">
        <v>997</v>
      </c>
      <c r="FY9" s="204" t="s">
        <v>997</v>
      </c>
      <c r="FZ9" s="204" t="s">
        <v>997</v>
      </c>
      <c r="GA9" s="204" t="s">
        <v>997</v>
      </c>
      <c r="GB9" s="204" t="s">
        <v>997</v>
      </c>
      <c r="GC9" s="204" t="s">
        <v>997</v>
      </c>
      <c r="GD9" s="204" t="s">
        <v>997</v>
      </c>
      <c r="GE9" s="204" t="s">
        <v>997</v>
      </c>
      <c r="GF9" s="204" t="s">
        <v>997</v>
      </c>
      <c r="GG9" s="204" t="s">
        <v>997</v>
      </c>
      <c r="GH9" s="204" t="s">
        <v>997</v>
      </c>
      <c r="GI9" s="204" t="s">
        <v>997</v>
      </c>
      <c r="GJ9" s="204" t="s">
        <v>997</v>
      </c>
      <c r="GK9" s="204" t="s">
        <v>997</v>
      </c>
      <c r="GL9" s="204" t="s">
        <v>997</v>
      </c>
      <c r="GM9" s="204" t="s">
        <v>997</v>
      </c>
      <c r="GN9" s="1051">
        <v>26.198123022348792</v>
      </c>
      <c r="GO9" s="1051">
        <v>681.15119858106868</v>
      </c>
      <c r="GP9" s="1051">
        <v>222.11452127643543</v>
      </c>
      <c r="GQ9" s="1051">
        <v>305.26508565171645</v>
      </c>
      <c r="GR9" s="1051">
        <v>2014.9773750667403</v>
      </c>
      <c r="GS9" s="1051">
        <v>346.27084342582765</v>
      </c>
      <c r="GT9" s="1051">
        <v>0</v>
      </c>
      <c r="GU9" s="1051">
        <v>0</v>
      </c>
      <c r="GV9" s="1051">
        <v>0</v>
      </c>
      <c r="GW9" s="1051">
        <v>0</v>
      </c>
      <c r="GX9" s="1051">
        <v>0</v>
      </c>
      <c r="GY9" s="1051">
        <v>0</v>
      </c>
      <c r="GZ9" s="1051">
        <v>0</v>
      </c>
      <c r="HA9" s="1051">
        <v>0</v>
      </c>
      <c r="HB9" s="1051">
        <v>0</v>
      </c>
      <c r="HC9" s="1051">
        <v>0</v>
      </c>
      <c r="HD9" s="1051">
        <v>0</v>
      </c>
      <c r="HE9" s="1051">
        <v>0</v>
      </c>
      <c r="HF9" s="1051">
        <v>0</v>
      </c>
      <c r="HG9" s="1051">
        <v>0</v>
      </c>
      <c r="HH9" s="1051">
        <v>0</v>
      </c>
      <c r="HI9" s="1051">
        <v>0</v>
      </c>
      <c r="HJ9" s="1051">
        <v>0</v>
      </c>
      <c r="HK9" s="1051">
        <v>0</v>
      </c>
      <c r="HL9" s="1051">
        <v>0</v>
      </c>
      <c r="HM9" s="1051">
        <v>0</v>
      </c>
      <c r="HN9" s="1051">
        <v>0</v>
      </c>
      <c r="HO9" s="1051">
        <v>0</v>
      </c>
      <c r="HP9" s="1051">
        <v>0</v>
      </c>
      <c r="HQ9" s="1051">
        <v>0</v>
      </c>
      <c r="HR9" s="1051">
        <v>0</v>
      </c>
      <c r="HS9" s="1051">
        <v>0</v>
      </c>
      <c r="HT9" s="1051">
        <v>0</v>
      </c>
      <c r="HU9" s="1051">
        <v>0</v>
      </c>
      <c r="HV9" s="1051">
        <v>0</v>
      </c>
      <c r="HW9" s="1051">
        <v>0</v>
      </c>
      <c r="HX9" s="1051">
        <v>0</v>
      </c>
      <c r="HY9" s="1051">
        <v>0</v>
      </c>
      <c r="HZ9" s="1051">
        <v>0</v>
      </c>
      <c r="IA9" s="1051">
        <v>0</v>
      </c>
      <c r="IB9" s="1051">
        <v>0</v>
      </c>
      <c r="IC9" s="1051">
        <v>0</v>
      </c>
      <c r="ID9" s="1051">
        <v>0</v>
      </c>
      <c r="IE9" s="1051">
        <v>0</v>
      </c>
      <c r="IF9" s="1051">
        <v>0</v>
      </c>
      <c r="IG9" s="1051">
        <v>0</v>
      </c>
      <c r="IH9" s="1051">
        <v>0</v>
      </c>
      <c r="II9" s="1051">
        <v>0</v>
      </c>
      <c r="IJ9" s="1051">
        <v>0</v>
      </c>
      <c r="IK9" s="1051">
        <v>0</v>
      </c>
      <c r="IL9" s="1051">
        <v>0</v>
      </c>
      <c r="IM9" s="1051">
        <v>0</v>
      </c>
      <c r="IN9" s="1051">
        <v>0</v>
      </c>
      <c r="IO9" s="1051">
        <v>0</v>
      </c>
      <c r="IP9" s="1051">
        <v>0</v>
      </c>
      <c r="IQ9" s="1051">
        <v>0</v>
      </c>
      <c r="IR9" s="1051">
        <v>0</v>
      </c>
      <c r="IS9" s="1051">
        <v>0</v>
      </c>
      <c r="IT9" s="1127">
        <v>1478.2824026516614</v>
      </c>
      <c r="IU9" s="221">
        <v>179.9</v>
      </c>
      <c r="IV9" s="1125">
        <v>2647.0800000000199</v>
      </c>
      <c r="IW9" s="1126">
        <v>12.64</v>
      </c>
      <c r="IX9" s="221">
        <v>85.472857772565845</v>
      </c>
      <c r="IY9" s="221">
        <v>1.4</v>
      </c>
      <c r="IZ9" s="221">
        <v>0.8</v>
      </c>
      <c r="JA9" s="221">
        <v>0.8</v>
      </c>
      <c r="JB9" s="122">
        <v>2</v>
      </c>
      <c r="JC9" s="140">
        <v>1.5</v>
      </c>
      <c r="JD9" s="140">
        <v>0.7</v>
      </c>
      <c r="JE9" s="140">
        <v>0.7</v>
      </c>
      <c r="JF9" s="140">
        <v>0.5</v>
      </c>
      <c r="JG9" s="63">
        <v>95.708086423490244</v>
      </c>
      <c r="JH9" s="1125">
        <v>2647.0800000000199</v>
      </c>
      <c r="JI9" s="1126">
        <v>12.64</v>
      </c>
      <c r="JJ9" s="221">
        <v>85.472857772565845</v>
      </c>
      <c r="JK9" s="66">
        <v>1.4</v>
      </c>
      <c r="JL9" s="66">
        <v>1.1000000000000001</v>
      </c>
      <c r="JM9" s="66">
        <v>1.1000000000000001</v>
      </c>
      <c r="JN9" s="438">
        <v>2</v>
      </c>
      <c r="JO9" s="438">
        <v>2</v>
      </c>
      <c r="JP9" s="438">
        <v>1</v>
      </c>
      <c r="JQ9" s="438">
        <v>1</v>
      </c>
      <c r="JR9" s="1153">
        <v>0.5</v>
      </c>
      <c r="JS9" s="1212">
        <v>2000</v>
      </c>
      <c r="JT9" s="1127">
        <v>208.29081384288048</v>
      </c>
      <c r="JU9" s="1127">
        <v>500</v>
      </c>
      <c r="JV9" s="221">
        <v>1.3</v>
      </c>
      <c r="JW9" s="221">
        <v>0.8</v>
      </c>
      <c r="JX9" s="221">
        <v>0.8</v>
      </c>
      <c r="JY9" s="1153">
        <v>2</v>
      </c>
      <c r="JZ9" s="1153">
        <v>1.5</v>
      </c>
      <c r="KA9" s="1153">
        <v>0.5</v>
      </c>
      <c r="KB9" s="1153">
        <v>1</v>
      </c>
      <c r="KC9" s="1153">
        <v>0.5</v>
      </c>
      <c r="KD9" s="1184">
        <v>4.8724873191809133</v>
      </c>
      <c r="KE9" s="1184">
        <v>7.0448994927672373E-4</v>
      </c>
      <c r="KF9" s="1184">
        <v>93.452470411422127</v>
      </c>
      <c r="KG9" s="1184">
        <v>0</v>
      </c>
      <c r="KH9" s="1184">
        <v>0.50277099380048851</v>
      </c>
      <c r="KI9" s="1184">
        <v>0.94824347172647006</v>
      </c>
      <c r="KJ9" s="1184">
        <v>0</v>
      </c>
      <c r="KK9" s="1184">
        <v>0</v>
      </c>
      <c r="KL9" s="1184">
        <v>0.22332331392072141</v>
      </c>
      <c r="KM9" s="1187">
        <v>580</v>
      </c>
      <c r="KN9" s="1187">
        <v>580</v>
      </c>
      <c r="KO9" s="1187">
        <v>580</v>
      </c>
      <c r="KP9" s="1187">
        <v>580</v>
      </c>
      <c r="KQ9" s="1187"/>
      <c r="KR9" s="1187">
        <v>580</v>
      </c>
      <c r="KS9" s="1187">
        <v>580</v>
      </c>
      <c r="KT9" s="1187">
        <v>580</v>
      </c>
      <c r="KU9" s="1187">
        <v>580</v>
      </c>
      <c r="KV9" s="1188">
        <v>370</v>
      </c>
      <c r="KW9" s="1188">
        <v>370</v>
      </c>
      <c r="KX9" s="1188">
        <v>370</v>
      </c>
      <c r="KY9" s="1188">
        <v>370</v>
      </c>
      <c r="KZ9" s="1188"/>
      <c r="LA9" s="1188">
        <v>370</v>
      </c>
      <c r="LB9" s="1188">
        <v>370</v>
      </c>
      <c r="LC9" s="1188">
        <v>370</v>
      </c>
      <c r="LD9" s="1188">
        <v>370</v>
      </c>
      <c r="LE9" s="1213">
        <v>0</v>
      </c>
      <c r="LF9" s="1213">
        <v>10</v>
      </c>
      <c r="LG9" s="1213">
        <v>20</v>
      </c>
      <c r="LH9" s="1213">
        <v>70</v>
      </c>
      <c r="LI9" s="1213">
        <v>100</v>
      </c>
      <c r="LJ9" s="1212">
        <v>1000</v>
      </c>
      <c r="LK9" s="63">
        <v>179.78959020511687</v>
      </c>
      <c r="LL9" s="123">
        <v>29</v>
      </c>
      <c r="LM9" s="66">
        <v>1</v>
      </c>
      <c r="LN9" s="66">
        <v>0.9</v>
      </c>
      <c r="LO9" s="66">
        <v>0.9</v>
      </c>
      <c r="LP9" s="1153">
        <v>2</v>
      </c>
      <c r="LQ9" s="1153">
        <v>1</v>
      </c>
      <c r="LR9" s="1153">
        <v>0.5</v>
      </c>
      <c r="LS9" s="1153">
        <v>0.7</v>
      </c>
      <c r="LT9" s="1153">
        <v>0.2</v>
      </c>
      <c r="LU9" s="1212">
        <v>1500</v>
      </c>
      <c r="LV9" s="122">
        <v>0</v>
      </c>
      <c r="LW9" s="122">
        <v>0</v>
      </c>
      <c r="LX9" s="122">
        <v>0</v>
      </c>
      <c r="LY9" s="164">
        <v>0</v>
      </c>
      <c r="LZ9" s="164">
        <v>0</v>
      </c>
      <c r="MA9" s="164">
        <v>0</v>
      </c>
      <c r="MB9" s="164">
        <v>0</v>
      </c>
      <c r="MC9" s="164">
        <v>0</v>
      </c>
      <c r="MD9" s="164">
        <v>0</v>
      </c>
      <c r="ME9" s="164">
        <v>0</v>
      </c>
      <c r="MF9" s="164">
        <v>0</v>
      </c>
      <c r="MG9" s="164">
        <v>0</v>
      </c>
      <c r="MH9" s="164">
        <v>0</v>
      </c>
      <c r="MI9" s="164">
        <v>0</v>
      </c>
      <c r="MJ9" s="164">
        <v>0</v>
      </c>
      <c r="MK9" s="164">
        <v>0</v>
      </c>
      <c r="ML9" s="164">
        <v>0</v>
      </c>
      <c r="MM9" s="164">
        <v>0</v>
      </c>
      <c r="MN9" s="164">
        <v>0</v>
      </c>
      <c r="MO9" s="164">
        <v>0</v>
      </c>
      <c r="MP9" s="164">
        <v>0</v>
      </c>
      <c r="MQ9" s="164">
        <v>0</v>
      </c>
      <c r="MR9" s="164">
        <v>0</v>
      </c>
      <c r="MS9" s="164">
        <v>0</v>
      </c>
      <c r="MT9" s="164">
        <v>0</v>
      </c>
      <c r="MU9" s="164">
        <v>0</v>
      </c>
      <c r="MV9" s="164">
        <v>0</v>
      </c>
      <c r="MW9" s="163">
        <v>1.1994368837602201</v>
      </c>
      <c r="MX9" s="163">
        <v>0</v>
      </c>
      <c r="MY9" s="163">
        <v>1.590573193783E-2</v>
      </c>
      <c r="MZ9" s="163">
        <v>1.39019622519992</v>
      </c>
      <c r="NA9" s="163">
        <v>1.20307811413579</v>
      </c>
      <c r="NB9" s="163">
        <v>0</v>
      </c>
      <c r="NC9" s="163">
        <v>1.19122695973008</v>
      </c>
      <c r="ND9" s="163">
        <v>0</v>
      </c>
      <c r="NE9" s="163">
        <v>1.5896502918080001E-2</v>
      </c>
      <c r="NF9" s="163">
        <v>1.24654470141774</v>
      </c>
      <c r="NG9" s="163">
        <v>-0.87497128262168</v>
      </c>
      <c r="NH9" s="163">
        <v>0</v>
      </c>
      <c r="NI9" s="163">
        <v>1.21794953098327</v>
      </c>
      <c r="NJ9" s="163">
        <v>0</v>
      </c>
      <c r="NK9" s="163">
        <v>1.592654255509E-2</v>
      </c>
      <c r="NL9" s="163">
        <v>0.78368899559021998</v>
      </c>
      <c r="NM9" s="163">
        <v>0</v>
      </c>
      <c r="NN9" s="163">
        <v>0</v>
      </c>
      <c r="NO9" s="163">
        <v>1.22380304859531</v>
      </c>
      <c r="NP9" s="163">
        <v>0</v>
      </c>
      <c r="NQ9" s="163">
        <v>1.5933122668309999E-2</v>
      </c>
      <c r="NR9" s="163">
        <v>1.21163033959177</v>
      </c>
      <c r="NS9" s="163">
        <v>2.6448337320211599</v>
      </c>
      <c r="NT9" s="163">
        <v>0</v>
      </c>
      <c r="NU9" s="163">
        <v>1.17042130513878</v>
      </c>
      <c r="NV9" s="163">
        <v>0</v>
      </c>
      <c r="NW9" s="163">
        <v>1.5873114663039999E-2</v>
      </c>
      <c r="NX9" s="163">
        <v>1.2114846270720501</v>
      </c>
      <c r="NY9" s="163">
        <v>2.9057874945701099</v>
      </c>
      <c r="NZ9" s="163">
        <v>0</v>
      </c>
      <c r="OA9" s="163">
        <v>-83.84</v>
      </c>
      <c r="OB9" s="163">
        <v>-20.91</v>
      </c>
      <c r="OC9" s="163">
        <v>-0.68068444541436002</v>
      </c>
      <c r="OD9" s="163">
        <v>0</v>
      </c>
      <c r="OE9" s="163">
        <v>-0.79040969154990004</v>
      </c>
      <c r="OF9" s="163">
        <v>0</v>
      </c>
      <c r="OG9" s="163">
        <v>4.525483456835E-2</v>
      </c>
      <c r="OH9" s="163">
        <v>0</v>
      </c>
      <c r="OI9" s="163">
        <v>0</v>
      </c>
      <c r="OJ9" s="163">
        <v>0</v>
      </c>
      <c r="OK9" s="163">
        <v>-0.98885093288057002</v>
      </c>
      <c r="OL9" s="163">
        <v>0</v>
      </c>
      <c r="OM9" s="163">
        <v>0</v>
      </c>
      <c r="ON9" s="163">
        <v>0</v>
      </c>
      <c r="OO9" s="163">
        <v>0</v>
      </c>
      <c r="OP9" s="163">
        <v>0</v>
      </c>
      <c r="OQ9" s="163">
        <v>0</v>
      </c>
      <c r="OR9" s="163">
        <v>0</v>
      </c>
      <c r="OS9" s="163">
        <v>0</v>
      </c>
      <c r="OT9" s="163">
        <v>0</v>
      </c>
      <c r="OU9" s="163">
        <v>0</v>
      </c>
      <c r="OV9" s="163">
        <v>0</v>
      </c>
      <c r="OW9" s="163">
        <v>0</v>
      </c>
      <c r="OX9" s="163">
        <v>0</v>
      </c>
      <c r="OY9" s="163">
        <v>0</v>
      </c>
      <c r="OZ9" s="163">
        <v>0</v>
      </c>
      <c r="PA9" s="163">
        <v>0</v>
      </c>
      <c r="PB9" s="163">
        <v>0</v>
      </c>
      <c r="PC9" s="163">
        <v>0</v>
      </c>
      <c r="PD9" s="163">
        <v>0</v>
      </c>
      <c r="PE9" s="163">
        <v>-83.84</v>
      </c>
      <c r="PF9" s="163">
        <v>-20.91</v>
      </c>
      <c r="PG9" s="163">
        <v>-0.84867335076165995</v>
      </c>
      <c r="PH9" s="163">
        <v>0</v>
      </c>
      <c r="PI9" s="163">
        <v>0.81675197013917999</v>
      </c>
      <c r="PJ9" s="163">
        <v>0</v>
      </c>
      <c r="PK9" s="163">
        <v>-6.4304876859060001E-2</v>
      </c>
      <c r="PL9" s="163">
        <v>0</v>
      </c>
      <c r="PM9" s="163">
        <v>0</v>
      </c>
      <c r="PN9" s="163">
        <v>0</v>
      </c>
      <c r="PO9" s="163">
        <v>0.99763835416460001</v>
      </c>
      <c r="PP9" s="163">
        <v>0</v>
      </c>
      <c r="PQ9" s="163">
        <v>0</v>
      </c>
      <c r="PR9" s="163">
        <v>0</v>
      </c>
      <c r="PS9" s="163">
        <v>0</v>
      </c>
      <c r="PT9" s="163">
        <v>0</v>
      </c>
      <c r="PU9" s="163">
        <v>0</v>
      </c>
      <c r="PV9" s="163">
        <v>0</v>
      </c>
      <c r="PW9" s="163">
        <v>0</v>
      </c>
      <c r="PX9" s="163">
        <v>0</v>
      </c>
      <c r="PY9" s="163">
        <v>0</v>
      </c>
      <c r="PZ9" s="163">
        <v>0</v>
      </c>
      <c r="QA9" s="163">
        <v>0</v>
      </c>
      <c r="QB9" s="163">
        <v>0</v>
      </c>
      <c r="QC9" s="163">
        <v>0</v>
      </c>
      <c r="QD9" s="163">
        <v>0</v>
      </c>
      <c r="QE9" s="163">
        <v>0</v>
      </c>
      <c r="QF9" s="163">
        <v>0</v>
      </c>
      <c r="QG9" s="163">
        <v>0</v>
      </c>
      <c r="QH9" s="163">
        <v>0</v>
      </c>
      <c r="QI9" s="162">
        <v>0</v>
      </c>
      <c r="QJ9" s="162">
        <v>0</v>
      </c>
      <c r="QK9" s="162">
        <v>0</v>
      </c>
      <c r="QL9" s="162">
        <v>0</v>
      </c>
      <c r="QM9" s="162">
        <v>0</v>
      </c>
      <c r="QN9" s="162">
        <v>0</v>
      </c>
      <c r="QO9" s="162">
        <v>0</v>
      </c>
      <c r="QP9" s="162">
        <v>0</v>
      </c>
      <c r="QQ9" s="162">
        <v>0</v>
      </c>
      <c r="QR9" s="162">
        <v>0</v>
      </c>
      <c r="QS9" s="162">
        <v>0</v>
      </c>
      <c r="QT9" s="162">
        <v>0</v>
      </c>
      <c r="QU9" s="162">
        <v>-2.9013871802915401</v>
      </c>
      <c r="QV9" s="162">
        <v>0</v>
      </c>
      <c r="QW9" s="162">
        <v>-1.1778444223831599</v>
      </c>
      <c r="QX9" s="162">
        <v>0</v>
      </c>
      <c r="QY9" s="162">
        <v>0</v>
      </c>
      <c r="QZ9" s="162">
        <v>0</v>
      </c>
      <c r="RA9" s="162">
        <v>0</v>
      </c>
      <c r="RB9" s="162">
        <v>0</v>
      </c>
      <c r="RC9" s="162">
        <v>0</v>
      </c>
      <c r="RD9" s="162">
        <v>0</v>
      </c>
      <c r="RE9" s="162">
        <v>0</v>
      </c>
      <c r="RF9" s="162">
        <v>0</v>
      </c>
      <c r="RG9" s="162">
        <v>-0.13423548089743001</v>
      </c>
      <c r="RH9" s="162">
        <v>0</v>
      </c>
      <c r="RI9" s="162">
        <v>0</v>
      </c>
      <c r="RJ9" s="162">
        <v>0</v>
      </c>
      <c r="RK9" s="162">
        <v>0</v>
      </c>
      <c r="RL9" s="162">
        <v>0</v>
      </c>
      <c r="RM9" s="163">
        <v>-83.84</v>
      </c>
      <c r="RN9" s="163">
        <v>-20.91</v>
      </c>
      <c r="RO9" s="163">
        <v>-0.56982246497171996</v>
      </c>
      <c r="RP9" s="163">
        <v>0</v>
      </c>
      <c r="RQ9" s="163">
        <v>-2.9308420505738901</v>
      </c>
      <c r="RR9" s="163">
        <v>0</v>
      </c>
      <c r="RS9" s="163">
        <v>0.63885895146673999</v>
      </c>
      <c r="RT9" s="163">
        <v>0</v>
      </c>
      <c r="RU9" s="163">
        <v>0</v>
      </c>
      <c r="RV9" s="163">
        <v>0</v>
      </c>
      <c r="RW9" s="163">
        <v>-0.52223929300562</v>
      </c>
      <c r="RX9" s="163">
        <v>0</v>
      </c>
      <c r="RY9" s="163">
        <v>0.40128762273434998</v>
      </c>
      <c r="RZ9" s="163">
        <v>0</v>
      </c>
      <c r="SA9" s="163">
        <v>0</v>
      </c>
      <c r="SB9" s="163">
        <v>0</v>
      </c>
      <c r="SC9" s="163">
        <v>-1.5222392930056201</v>
      </c>
      <c r="SD9" s="163">
        <v>0</v>
      </c>
      <c r="SE9" s="163">
        <v>0</v>
      </c>
      <c r="SF9" s="163">
        <v>0</v>
      </c>
      <c r="SG9" s="163">
        <v>0</v>
      </c>
      <c r="SH9" s="163">
        <v>0</v>
      </c>
      <c r="SI9" s="163">
        <v>0</v>
      </c>
      <c r="SJ9" s="163">
        <v>0</v>
      </c>
      <c r="SK9" s="163">
        <v>0</v>
      </c>
      <c r="SL9" s="163">
        <v>0</v>
      </c>
      <c r="SM9" s="163">
        <v>0</v>
      </c>
      <c r="SN9" s="163">
        <v>0</v>
      </c>
      <c r="SO9" s="163">
        <v>0</v>
      </c>
      <c r="SP9" s="163">
        <v>0</v>
      </c>
      <c r="SQ9" s="163">
        <v>-83.84</v>
      </c>
      <c r="SR9" s="163">
        <v>-20.91</v>
      </c>
      <c r="SS9" s="163">
        <v>-0.72938873819543004</v>
      </c>
      <c r="ST9" s="163">
        <v>0</v>
      </c>
      <c r="SU9" s="163">
        <v>-3.4909544199188498</v>
      </c>
      <c r="SV9" s="163">
        <v>0</v>
      </c>
      <c r="SW9" s="163">
        <v>0</v>
      </c>
      <c r="SX9" s="163">
        <v>0</v>
      </c>
      <c r="SY9" s="163">
        <v>0</v>
      </c>
      <c r="SZ9" s="163">
        <v>0</v>
      </c>
      <c r="TA9" s="163">
        <v>0</v>
      </c>
      <c r="TB9" s="163">
        <v>0</v>
      </c>
      <c r="TC9" s="163">
        <v>-0.18310589566675001</v>
      </c>
      <c r="TD9" s="163">
        <v>0</v>
      </c>
      <c r="TE9" s="163">
        <v>0</v>
      </c>
      <c r="TF9" s="163">
        <v>0</v>
      </c>
      <c r="TG9" s="163">
        <v>6.2017072702859999E-2</v>
      </c>
      <c r="TH9" s="163">
        <v>0</v>
      </c>
      <c r="TI9" s="163">
        <v>0</v>
      </c>
      <c r="TJ9" s="163">
        <v>0</v>
      </c>
      <c r="TK9" s="163">
        <v>0</v>
      </c>
      <c r="TL9" s="163">
        <v>0</v>
      </c>
      <c r="TM9" s="163">
        <v>0</v>
      </c>
      <c r="TN9" s="163">
        <v>0</v>
      </c>
      <c r="TO9" s="163">
        <v>0</v>
      </c>
      <c r="TP9" s="163">
        <v>0</v>
      </c>
      <c r="TQ9" s="163">
        <v>0</v>
      </c>
      <c r="TR9" s="163">
        <v>0</v>
      </c>
      <c r="TS9" s="163">
        <v>0</v>
      </c>
      <c r="TT9" s="163">
        <v>0</v>
      </c>
      <c r="TU9" s="163">
        <v>0.30472583080339</v>
      </c>
      <c r="TV9" s="163">
        <v>0</v>
      </c>
      <c r="TW9" s="163">
        <v>5.8437398040399997E-2</v>
      </c>
      <c r="TX9" s="163">
        <v>0</v>
      </c>
      <c r="TY9" s="163">
        <v>-0.18129232654728999</v>
      </c>
      <c r="TZ9" s="163">
        <v>0</v>
      </c>
      <c r="UA9" s="163">
        <v>5.7927564669999997E-5</v>
      </c>
      <c r="UB9" s="163">
        <v>0</v>
      </c>
      <c r="UC9" s="163">
        <v>0</v>
      </c>
      <c r="UD9" s="163">
        <v>0</v>
      </c>
      <c r="UE9" s="163">
        <v>2.1908577310910001E-2</v>
      </c>
      <c r="UF9" s="163">
        <v>0</v>
      </c>
      <c r="UG9" s="163">
        <v>0</v>
      </c>
      <c r="UH9" s="163">
        <v>0</v>
      </c>
      <c r="UI9" s="163">
        <v>0</v>
      </c>
      <c r="UJ9" s="163">
        <v>0</v>
      </c>
      <c r="UK9" s="163">
        <v>1.6199999999999999E-3</v>
      </c>
      <c r="UL9" s="163">
        <v>-6.4024000000000001</v>
      </c>
      <c r="UM9" s="163">
        <v>0</v>
      </c>
      <c r="UN9" s="163">
        <v>0</v>
      </c>
      <c r="UO9" s="163">
        <v>0</v>
      </c>
      <c r="UP9" s="163">
        <v>0</v>
      </c>
      <c r="UQ9" s="163">
        <v>0</v>
      </c>
      <c r="UR9" s="163">
        <v>0</v>
      </c>
      <c r="US9" s="163">
        <v>0</v>
      </c>
      <c r="UT9" s="163">
        <v>0</v>
      </c>
      <c r="UU9" s="163">
        <v>0</v>
      </c>
      <c r="UV9" s="163">
        <v>0</v>
      </c>
      <c r="UW9" s="163">
        <v>0</v>
      </c>
      <c r="UX9" s="163">
        <v>0</v>
      </c>
      <c r="UY9" s="163">
        <v>0</v>
      </c>
      <c r="UZ9" s="163">
        <v>0</v>
      </c>
      <c r="VA9" s="163">
        <v>0</v>
      </c>
      <c r="VB9" s="163">
        <v>0</v>
      </c>
      <c r="VC9" s="163">
        <v>0</v>
      </c>
      <c r="VD9" s="163">
        <v>0</v>
      </c>
      <c r="VE9" s="267">
        <v>202</v>
      </c>
      <c r="VF9" s="267">
        <v>279</v>
      </c>
      <c r="VG9" s="267">
        <v>354</v>
      </c>
      <c r="VH9" s="267">
        <v>0</v>
      </c>
      <c r="VI9" s="267">
        <v>403</v>
      </c>
      <c r="VJ9" s="267">
        <v>0</v>
      </c>
      <c r="VK9" s="267">
        <v>0</v>
      </c>
      <c r="VL9" s="257">
        <v>0</v>
      </c>
      <c r="VM9" s="257">
        <v>0</v>
      </c>
      <c r="VN9" s="257">
        <v>0</v>
      </c>
      <c r="VO9" s="257">
        <v>0</v>
      </c>
      <c r="VP9" s="257">
        <v>0</v>
      </c>
      <c r="VQ9" s="257">
        <v>0</v>
      </c>
      <c r="VR9" s="257">
        <v>0</v>
      </c>
      <c r="VS9" s="257">
        <v>0</v>
      </c>
      <c r="VT9" s="257">
        <v>0</v>
      </c>
      <c r="VU9" s="257">
        <v>0</v>
      </c>
      <c r="VV9" s="257">
        <v>0</v>
      </c>
      <c r="VW9" s="257">
        <v>0</v>
      </c>
      <c r="VX9" s="257">
        <v>0</v>
      </c>
      <c r="VY9" s="257">
        <v>0</v>
      </c>
      <c r="VZ9" s="257">
        <v>0</v>
      </c>
      <c r="WA9" s="257">
        <v>0</v>
      </c>
      <c r="WB9" s="257">
        <v>0</v>
      </c>
      <c r="WC9" s="257">
        <v>0</v>
      </c>
      <c r="WD9" s="257">
        <v>0</v>
      </c>
      <c r="WE9" s="257">
        <v>0</v>
      </c>
      <c r="WF9" s="257">
        <v>0</v>
      </c>
      <c r="WG9" s="257">
        <v>0</v>
      </c>
      <c r="WH9" s="257">
        <v>0</v>
      </c>
      <c r="WI9" s="257">
        <v>0</v>
      </c>
      <c r="WJ9" s="257">
        <v>0</v>
      </c>
      <c r="WK9" s="257">
        <v>0</v>
      </c>
      <c r="WL9" s="257">
        <v>0</v>
      </c>
      <c r="WM9" s="257">
        <v>0</v>
      </c>
      <c r="WN9" s="257">
        <v>0</v>
      </c>
      <c r="WO9" s="257">
        <v>0</v>
      </c>
      <c r="WP9" s="257">
        <v>0</v>
      </c>
      <c r="WQ9" s="257">
        <v>0</v>
      </c>
      <c r="WR9" s="257">
        <v>0</v>
      </c>
      <c r="WS9" s="267">
        <v>99.6</v>
      </c>
      <c r="WT9" s="267">
        <v>79.014613778705638</v>
      </c>
      <c r="WU9" s="267">
        <v>87.331941544885169</v>
      </c>
      <c r="WV9" s="267">
        <v>91.490605427974941</v>
      </c>
      <c r="WW9" s="267">
        <v>140.56283924843424</v>
      </c>
      <c r="WX9" s="248">
        <v>14318.32</v>
      </c>
      <c r="WY9" s="123">
        <v>78</v>
      </c>
      <c r="WZ9" s="123">
        <v>15</v>
      </c>
      <c r="XA9" s="123">
        <v>7.0000000000000009</v>
      </c>
      <c r="XB9" s="123">
        <v>0</v>
      </c>
      <c r="XC9" s="1129">
        <v>1130.9828087013891</v>
      </c>
      <c r="XD9" s="1129">
        <v>0</v>
      </c>
      <c r="XE9" s="1129">
        <v>0</v>
      </c>
      <c r="XF9" s="1129">
        <v>0</v>
      </c>
      <c r="XG9" s="1129">
        <v>0</v>
      </c>
      <c r="XH9" s="1129">
        <v>0</v>
      </c>
      <c r="XI9" s="1129">
        <v>1376.8486366799518</v>
      </c>
      <c r="XJ9" s="1129">
        <v>590.07798714855073</v>
      </c>
      <c r="XK9" s="1129">
        <v>1213.267935650252</v>
      </c>
      <c r="XL9" s="1129">
        <v>0</v>
      </c>
      <c r="XM9" s="1129">
        <v>0</v>
      </c>
      <c r="XN9" s="1129">
        <v>0</v>
      </c>
      <c r="XO9" s="1129">
        <v>0</v>
      </c>
      <c r="XP9" s="1129">
        <v>0</v>
      </c>
      <c r="XQ9" s="1129">
        <v>1477.0218347046543</v>
      </c>
      <c r="XR9" s="1129">
        <v>633.00935773056608</v>
      </c>
      <c r="XS9" s="1129">
        <v>1271.0425992526448</v>
      </c>
      <c r="XT9" s="1129">
        <v>0</v>
      </c>
      <c r="XU9" s="1129">
        <v>0</v>
      </c>
      <c r="XV9" s="1129">
        <v>0</v>
      </c>
      <c r="XW9" s="1129">
        <v>0</v>
      </c>
      <c r="XX9" s="1129">
        <v>0</v>
      </c>
      <c r="XY9" s="1129">
        <v>1547.3562077858285</v>
      </c>
      <c r="XZ9" s="1129">
        <v>663.15266047964076</v>
      </c>
      <c r="YA9" s="1129">
        <v>1952.7836297608815</v>
      </c>
      <c r="YB9" s="1129">
        <v>0</v>
      </c>
      <c r="YC9" s="1129">
        <v>0</v>
      </c>
      <c r="YD9" s="1129">
        <v>0</v>
      </c>
      <c r="YE9" s="1129">
        <v>0</v>
      </c>
      <c r="YF9" s="1129">
        <v>0</v>
      </c>
      <c r="YG9" s="1129">
        <v>2377.3018101436819</v>
      </c>
      <c r="YH9" s="1129">
        <v>1018.8436329187207</v>
      </c>
      <c r="YI9" s="1129">
        <v>981.69307795280577</v>
      </c>
      <c r="YJ9" s="1129">
        <v>939.01077021572723</v>
      </c>
      <c r="YK9" s="1129">
        <v>640.23461605617763</v>
      </c>
      <c r="YL9" s="1129">
        <v>0</v>
      </c>
      <c r="YM9" s="1129">
        <v>0</v>
      </c>
      <c r="YN9" s="1129">
        <v>0</v>
      </c>
      <c r="YO9" s="1129">
        <v>1195.1046166381984</v>
      </c>
      <c r="YP9" s="1129">
        <v>512.18769284494203</v>
      </c>
      <c r="YQ9" s="1129">
        <v>1053.1165681444186</v>
      </c>
      <c r="YR9" s="1129">
        <v>1007.3288912685742</v>
      </c>
      <c r="YS9" s="1129">
        <v>686.8151531376642</v>
      </c>
      <c r="YT9" s="1129">
        <v>0</v>
      </c>
      <c r="YU9" s="1129">
        <v>0</v>
      </c>
      <c r="YV9" s="1129">
        <v>0</v>
      </c>
      <c r="YW9" s="1129">
        <v>1282.0549525236399</v>
      </c>
      <c r="YX9" s="1129">
        <v>549.4521225101314</v>
      </c>
      <c r="YY9" s="1129">
        <v>1103.2649761512955</v>
      </c>
      <c r="YZ9" s="1129">
        <v>1055.2969337099348</v>
      </c>
      <c r="ZA9" s="1129">
        <v>719.52063662041007</v>
      </c>
      <c r="ZB9" s="1129">
        <v>0</v>
      </c>
      <c r="ZC9" s="1129">
        <v>0</v>
      </c>
      <c r="ZD9" s="1129">
        <v>0</v>
      </c>
      <c r="ZE9" s="1129">
        <v>1343.105188358099</v>
      </c>
      <c r="ZF9" s="1129">
        <v>575.6165092963281</v>
      </c>
      <c r="ZG9" s="1129">
        <v>1695.0161906324449</v>
      </c>
      <c r="ZH9" s="1129">
        <v>1621.3198345179906</v>
      </c>
      <c r="ZI9" s="1129">
        <v>1105.4453417168118</v>
      </c>
      <c r="ZJ9" s="1129">
        <v>0</v>
      </c>
      <c r="ZK9" s="1129">
        <v>0</v>
      </c>
      <c r="ZL9" s="1129">
        <v>0</v>
      </c>
      <c r="ZM9" s="1129">
        <v>2063.4979712047157</v>
      </c>
      <c r="ZN9" s="1129">
        <v>884.35627337344943</v>
      </c>
      <c r="ZO9" s="1129">
        <v>2612.5702881002089</v>
      </c>
      <c r="ZP9" s="1129">
        <v>2498.980275574113</v>
      </c>
      <c r="ZQ9" s="1129">
        <v>1703.8501878914406</v>
      </c>
      <c r="ZR9" s="1129">
        <v>0</v>
      </c>
      <c r="ZS9" s="1129">
        <v>0</v>
      </c>
      <c r="ZT9" s="1129">
        <v>0</v>
      </c>
      <c r="ZU9" s="1129">
        <v>3180.5203507306892</v>
      </c>
      <c r="ZV9" s="1129">
        <v>1363.0801503131524</v>
      </c>
      <c r="ZW9" s="1129">
        <v>2887.5776868475991</v>
      </c>
      <c r="ZX9" s="1129">
        <v>2762.0308308977037</v>
      </c>
      <c r="ZY9" s="1129">
        <v>1883.2028392484342</v>
      </c>
      <c r="ZZ9" s="1129">
        <v>0</v>
      </c>
      <c r="AAA9" s="1129">
        <v>0</v>
      </c>
      <c r="AAB9" s="1129">
        <v>0</v>
      </c>
      <c r="AAC9" s="1129">
        <v>3515.3119665970776</v>
      </c>
      <c r="AAD9" s="1129">
        <v>1506.5622713987473</v>
      </c>
      <c r="AAE9" s="1129">
        <v>3025.0813862212945</v>
      </c>
      <c r="AAF9" s="1129">
        <v>2893.5561085594991</v>
      </c>
      <c r="AAG9" s="1129">
        <v>1972.879164926931</v>
      </c>
      <c r="AAH9" s="1129">
        <v>0</v>
      </c>
      <c r="AAI9" s="1129">
        <v>0</v>
      </c>
      <c r="AAJ9" s="1129">
        <v>0</v>
      </c>
      <c r="AAK9" s="1129">
        <v>3682.7077745302718</v>
      </c>
      <c r="AAL9" s="1129">
        <v>1578.3033319415449</v>
      </c>
      <c r="AAM9" s="1129">
        <v>4647.6250388308972</v>
      </c>
      <c r="AAN9" s="1129">
        <v>4445.5543849686846</v>
      </c>
      <c r="AAO9" s="1129">
        <v>3031.059807933194</v>
      </c>
      <c r="AAP9" s="1129">
        <v>0</v>
      </c>
      <c r="AAQ9" s="1129">
        <v>0</v>
      </c>
      <c r="AAR9" s="1129">
        <v>0</v>
      </c>
      <c r="AAS9" s="1129">
        <v>5657.9783081419628</v>
      </c>
      <c r="AAT9" s="1129">
        <v>2424.8478463465549</v>
      </c>
      <c r="AAU9" s="1129">
        <v>3594.2633660530146</v>
      </c>
      <c r="AAV9" s="1129">
        <v>3437.99104578984</v>
      </c>
      <c r="AAW9" s="1129">
        <v>2344.0848039476177</v>
      </c>
      <c r="AAX9" s="1129">
        <v>0</v>
      </c>
      <c r="AAY9" s="1129">
        <v>0</v>
      </c>
      <c r="AAZ9" s="1129">
        <v>0</v>
      </c>
      <c r="ABA9" s="1129">
        <v>4375.6249673688872</v>
      </c>
      <c r="ABB9" s="1129">
        <v>1875.2678431580944</v>
      </c>
      <c r="ABC9" s="1129">
        <v>3804.8082461991899</v>
      </c>
      <c r="ABD9" s="1129">
        <v>3639.3818007122686</v>
      </c>
      <c r="ABE9" s="1129">
        <v>2481.3966823038195</v>
      </c>
      <c r="ABF9" s="1129">
        <v>0</v>
      </c>
      <c r="ABG9" s="1129">
        <v>0</v>
      </c>
      <c r="ABH9" s="1129">
        <v>0</v>
      </c>
      <c r="ABI9" s="1129">
        <v>4631.9404736337965</v>
      </c>
      <c r="ABJ9" s="1129">
        <v>1985.1173458430555</v>
      </c>
      <c r="ABK9" s="1129">
        <v>3985.9895912562943</v>
      </c>
      <c r="ABL9" s="1129">
        <v>3812.6856959842812</v>
      </c>
      <c r="ABM9" s="1129">
        <v>2599.5584290801917</v>
      </c>
      <c r="ABN9" s="1129">
        <v>0</v>
      </c>
      <c r="ABO9" s="1129">
        <v>0</v>
      </c>
      <c r="ABP9" s="1129">
        <v>0</v>
      </c>
      <c r="ABQ9" s="1129">
        <v>4852.5090676163582</v>
      </c>
      <c r="ABR9" s="1129">
        <v>2079.6467432641534</v>
      </c>
      <c r="ABS9" s="1129">
        <v>6123.9294629301239</v>
      </c>
      <c r="ABT9" s="1129">
        <v>5857.6716601940316</v>
      </c>
      <c r="ABU9" s="1129">
        <v>3993.8670410413852</v>
      </c>
      <c r="ABV9" s="1129">
        <v>0</v>
      </c>
      <c r="ABW9" s="1129">
        <v>0</v>
      </c>
      <c r="ABX9" s="1129">
        <v>0</v>
      </c>
      <c r="ABY9" s="1129">
        <v>7455.2184766105865</v>
      </c>
      <c r="ABZ9" s="1129">
        <v>3195.0936328331081</v>
      </c>
      <c r="ACA9" s="1129">
        <v>4655.1252406149179</v>
      </c>
      <c r="ACB9" s="1129">
        <v>4452.7284910229646</v>
      </c>
      <c r="ACC9" s="1129">
        <v>3035.951243879294</v>
      </c>
      <c r="ACD9" s="1129">
        <v>0</v>
      </c>
      <c r="ACE9" s="1129">
        <v>0</v>
      </c>
      <c r="ACF9" s="1129">
        <v>0</v>
      </c>
      <c r="ACG9" s="1129">
        <v>5667.1089885746833</v>
      </c>
      <c r="ACH9" s="1129">
        <v>2428.7609951034351</v>
      </c>
      <c r="ACI9" s="1129">
        <v>4976.8250720373326</v>
      </c>
      <c r="ACJ9" s="1129">
        <v>4760.4413732531011</v>
      </c>
      <c r="ACK9" s="1129">
        <v>3245.7554817634777</v>
      </c>
      <c r="ACL9" s="1129">
        <v>0</v>
      </c>
      <c r="ACM9" s="1129">
        <v>0</v>
      </c>
      <c r="ACN9" s="1129">
        <v>0</v>
      </c>
      <c r="ACO9" s="1129">
        <v>6058.7435659584926</v>
      </c>
      <c r="ACP9" s="1129">
        <v>2596.604385410782</v>
      </c>
      <c r="ACQ9" s="1129">
        <v>5213.8167421343487</v>
      </c>
      <c r="ACR9" s="1129">
        <v>4987.1290576937245</v>
      </c>
      <c r="ACS9" s="1129">
        <v>3400.3152666093579</v>
      </c>
      <c r="ACT9" s="1129">
        <v>0</v>
      </c>
      <c r="ACU9" s="1129">
        <v>0</v>
      </c>
      <c r="ACV9" s="1129">
        <v>0</v>
      </c>
      <c r="ACW9" s="1129">
        <v>6347.2551643374682</v>
      </c>
      <c r="ACX9" s="1129">
        <v>2720.252213287486</v>
      </c>
      <c r="ACY9" s="1129">
        <v>8010.3184492791361</v>
      </c>
      <c r="ACZ9" s="1129">
        <v>7662.0437340930857</v>
      </c>
      <c r="ADA9" s="1129">
        <v>5224.1207277907406</v>
      </c>
      <c r="ADB9" s="1129">
        <v>0</v>
      </c>
      <c r="ADC9" s="1129">
        <v>0</v>
      </c>
      <c r="ADD9" s="1129">
        <v>0</v>
      </c>
      <c r="ADE9" s="1129">
        <v>9751.6920252093823</v>
      </c>
      <c r="ADF9" s="1129">
        <v>4179.2965822325923</v>
      </c>
      <c r="ADG9" s="1129">
        <v>5684.3195965331815</v>
      </c>
      <c r="ADH9" s="1129">
        <v>5437.1752662491299</v>
      </c>
      <c r="ADI9" s="1129">
        <v>3707.1649542607702</v>
      </c>
      <c r="ADJ9" s="1129">
        <v>0</v>
      </c>
      <c r="ADK9" s="1129">
        <v>0</v>
      </c>
      <c r="ADL9" s="1129">
        <v>0</v>
      </c>
      <c r="ADM9" s="1129">
        <v>6920.0412479534389</v>
      </c>
      <c r="ADN9" s="1129">
        <v>2965.7319634086161</v>
      </c>
      <c r="ADO9" s="1129">
        <v>6114.8703956772688</v>
      </c>
      <c r="ADP9" s="1129">
        <v>5849.0064654304306</v>
      </c>
      <c r="ADQ9" s="1129">
        <v>3987.9589537025663</v>
      </c>
      <c r="ADR9" s="1129">
        <v>0</v>
      </c>
      <c r="ADS9" s="1129">
        <v>0</v>
      </c>
      <c r="ADT9" s="1129">
        <v>0</v>
      </c>
      <c r="ADU9" s="1129">
        <v>7444.190046911458</v>
      </c>
      <c r="ADV9" s="1129">
        <v>3190.367162962053</v>
      </c>
      <c r="ADW9" s="1129">
        <v>6406.0547002333296</v>
      </c>
      <c r="ADX9" s="1129">
        <v>6127.5305828318806</v>
      </c>
      <c r="ADY9" s="1129">
        <v>4177.8617610217361</v>
      </c>
      <c r="ADZ9" s="1129">
        <v>0</v>
      </c>
      <c r="AEA9" s="1129">
        <v>0</v>
      </c>
      <c r="AEB9" s="1129">
        <v>0</v>
      </c>
      <c r="AEC9" s="1129">
        <v>7798.6752872405759</v>
      </c>
      <c r="AED9" s="1129">
        <v>3342.2894088173894</v>
      </c>
      <c r="AEE9" s="1129">
        <v>9842.0294939948417</v>
      </c>
      <c r="AEF9" s="1129">
        <v>9414.1151681689789</v>
      </c>
      <c r="AEG9" s="1129">
        <v>6418.7148873879405</v>
      </c>
      <c r="AEH9" s="1129">
        <v>0</v>
      </c>
      <c r="AEI9" s="1129">
        <v>0</v>
      </c>
      <c r="AEJ9" s="1129">
        <v>0</v>
      </c>
      <c r="AEK9" s="1129">
        <v>11981.601123124157</v>
      </c>
      <c r="AEL9" s="1129">
        <v>5134.9719099103522</v>
      </c>
      <c r="AEM9" s="1129">
        <v>6555.1763592332518</v>
      </c>
      <c r="AEN9" s="1129">
        <v>6270.1686914405018</v>
      </c>
      <c r="AEO9" s="1129">
        <v>4275.1150168912509</v>
      </c>
      <c r="AEP9" s="1129">
        <v>0</v>
      </c>
      <c r="AEQ9" s="1129">
        <v>0</v>
      </c>
      <c r="AER9" s="1129">
        <v>0</v>
      </c>
      <c r="AES9" s="1129">
        <v>7980.2146981970027</v>
      </c>
      <c r="AET9" s="1129">
        <v>3420.0920135130009</v>
      </c>
      <c r="AEU9" s="1129">
        <v>6964.1579506324451</v>
      </c>
      <c r="AEV9" s="1129">
        <v>6661.3684745179908</v>
      </c>
      <c r="AEW9" s="1129">
        <v>4541.842141716812</v>
      </c>
      <c r="AEX9" s="1129">
        <v>0</v>
      </c>
      <c r="AEY9" s="1129">
        <v>0</v>
      </c>
      <c r="AEZ9" s="1129">
        <v>0</v>
      </c>
      <c r="AFA9" s="1129">
        <v>8478.105331204717</v>
      </c>
      <c r="AFB9" s="1129">
        <v>3633.4737133734493</v>
      </c>
      <c r="AFC9" s="1129">
        <v>7295.7845197101806</v>
      </c>
      <c r="AFD9" s="1129">
        <v>6978.5764971140852</v>
      </c>
      <c r="AFE9" s="1129">
        <v>4758.1203389414213</v>
      </c>
      <c r="AFF9" s="1129">
        <v>0</v>
      </c>
      <c r="AFG9" s="1129">
        <v>0</v>
      </c>
      <c r="AFH9" s="1129">
        <v>0</v>
      </c>
      <c r="AFI9" s="1129">
        <v>8881.8246326906556</v>
      </c>
      <c r="AFJ9" s="1129">
        <v>3806.4962711531371</v>
      </c>
      <c r="AFK9" s="1129">
        <v>11208.97803482746</v>
      </c>
      <c r="AFL9" s="1129">
        <v>10721.631163748005</v>
      </c>
      <c r="AFM9" s="1129">
        <v>7310.2030661918207</v>
      </c>
      <c r="AFN9" s="1129">
        <v>0</v>
      </c>
      <c r="AFO9" s="1129">
        <v>0</v>
      </c>
      <c r="AFP9" s="1129">
        <v>0</v>
      </c>
      <c r="AFQ9" s="1129">
        <v>13645.712390224733</v>
      </c>
      <c r="AFR9" s="1129">
        <v>5848.1624529534565</v>
      </c>
      <c r="AFS9" s="248">
        <v>2612.5702881002089</v>
      </c>
      <c r="AFT9" s="248">
        <v>2498.980275574113</v>
      </c>
      <c r="AFU9" s="248">
        <v>1703.8501878914406</v>
      </c>
      <c r="AFV9" s="248">
        <v>0</v>
      </c>
      <c r="AFW9" s="248">
        <v>0</v>
      </c>
      <c r="AFX9" s="248">
        <v>0</v>
      </c>
      <c r="AFY9" s="248">
        <v>3180.5203507306892</v>
      </c>
      <c r="AFZ9" s="248">
        <v>1363.0801503131524</v>
      </c>
      <c r="AGA9" s="248">
        <v>2887.5776868475991</v>
      </c>
      <c r="AGB9" s="248">
        <v>2762.0308308977037</v>
      </c>
      <c r="AGC9" s="248">
        <v>1883.2028392484342</v>
      </c>
      <c r="AGD9" s="248">
        <v>0</v>
      </c>
      <c r="AGE9" s="248">
        <v>0</v>
      </c>
      <c r="AGF9" s="248">
        <v>0</v>
      </c>
      <c r="AGG9" s="248">
        <v>3515.3119665970776</v>
      </c>
      <c r="AGH9" s="248">
        <v>1506.5622713987473</v>
      </c>
      <c r="AGI9" s="248">
        <v>3025.0813862212945</v>
      </c>
      <c r="AGJ9" s="248">
        <v>2893.5561085594991</v>
      </c>
      <c r="AGK9" s="248">
        <v>1972.879164926931</v>
      </c>
      <c r="AGL9" s="248">
        <v>0</v>
      </c>
      <c r="AGM9" s="248">
        <v>0</v>
      </c>
      <c r="AGN9" s="248">
        <v>0</v>
      </c>
      <c r="AGO9" s="248">
        <v>3682.7077745302718</v>
      </c>
      <c r="AGP9" s="248">
        <v>1578.3033319415449</v>
      </c>
      <c r="AGQ9" s="248">
        <v>4647.6250388308972</v>
      </c>
      <c r="AGR9" s="248">
        <v>4445.5543849686846</v>
      </c>
      <c r="AGS9" s="248">
        <v>3031.059807933194</v>
      </c>
      <c r="AGT9" s="248">
        <v>0</v>
      </c>
      <c r="AGU9" s="248">
        <v>0</v>
      </c>
      <c r="AGV9" s="248">
        <v>0</v>
      </c>
      <c r="AGW9" s="248">
        <v>5657.9783081419628</v>
      </c>
      <c r="AGX9" s="248">
        <v>2424.8478463465549</v>
      </c>
      <c r="AGY9" s="250">
        <v>0</v>
      </c>
      <c r="AGZ9" s="250">
        <v>0</v>
      </c>
      <c r="AHA9" s="250">
        <v>0</v>
      </c>
      <c r="AHB9" s="250">
        <v>0</v>
      </c>
      <c r="AHC9" s="250">
        <v>0</v>
      </c>
      <c r="AHD9" s="250">
        <v>0</v>
      </c>
      <c r="AHE9" s="250">
        <v>0</v>
      </c>
      <c r="AHF9" s="250">
        <v>0</v>
      </c>
      <c r="AHG9" s="250">
        <v>0.11256463122547146</v>
      </c>
      <c r="AHH9" s="250">
        <v>3.926673182283888E-2</v>
      </c>
      <c r="AHI9" s="250">
        <v>5.2355642430451845E-3</v>
      </c>
      <c r="AHJ9" s="250">
        <v>0</v>
      </c>
      <c r="AHK9" s="250">
        <v>0</v>
      </c>
      <c r="AHL9" s="250">
        <v>0</v>
      </c>
      <c r="AHM9" s="250">
        <v>1.3088910607612962E-2</v>
      </c>
      <c r="AHN9" s="250">
        <v>9.1622374253290714E-2</v>
      </c>
      <c r="AHO9" s="250">
        <v>0.34467972565954003</v>
      </c>
      <c r="AHP9" s="250">
        <v>0.12023711360216512</v>
      </c>
      <c r="AHQ9" s="250">
        <v>1.603161514695535E-2</v>
      </c>
      <c r="AHR9" s="250">
        <v>0</v>
      </c>
      <c r="AHS9" s="250">
        <v>0</v>
      </c>
      <c r="AHT9" s="250">
        <v>0</v>
      </c>
      <c r="AHU9" s="250">
        <v>4.0079037867388374E-2</v>
      </c>
      <c r="AHV9" s="250">
        <v>0.28055326507171857</v>
      </c>
      <c r="AHW9" s="250">
        <v>0</v>
      </c>
      <c r="AHX9" s="250">
        <v>0</v>
      </c>
      <c r="AHY9" s="250">
        <v>0</v>
      </c>
      <c r="AHZ9" s="250">
        <v>0</v>
      </c>
      <c r="AIA9" s="250">
        <v>0</v>
      </c>
      <c r="AIB9" s="250">
        <v>0</v>
      </c>
      <c r="AIC9" s="250">
        <v>0</v>
      </c>
      <c r="AID9" s="250">
        <v>0</v>
      </c>
      <c r="AIE9" s="250"/>
      <c r="AIF9" s="250"/>
      <c r="AIG9" s="250"/>
      <c r="AIH9" s="250"/>
      <c r="AII9" s="250"/>
      <c r="AIJ9" s="250"/>
      <c r="AIK9" s="250"/>
      <c r="AIL9" s="250"/>
      <c r="AIM9" s="250">
        <v>0.16254501185773573</v>
      </c>
      <c r="AIN9" s="250">
        <v>5.6701748322465953E-2</v>
      </c>
      <c r="AIO9" s="250">
        <v>7.5602331096621279E-3</v>
      </c>
      <c r="AIP9" s="250">
        <v>0</v>
      </c>
      <c r="AIQ9" s="250">
        <v>0</v>
      </c>
      <c r="AIR9" s="250">
        <v>0</v>
      </c>
      <c r="AIS9" s="250">
        <v>1.8900582774155322E-2</v>
      </c>
      <c r="AIT9" s="250">
        <v>0.13230407941908723</v>
      </c>
      <c r="AIU9" s="133" t="s">
        <v>1216</v>
      </c>
      <c r="AIV9" s="133" t="s">
        <v>1219</v>
      </c>
      <c r="AIW9" s="133" t="s">
        <v>1218</v>
      </c>
      <c r="AIX9" s="133" t="s">
        <v>1217</v>
      </c>
      <c r="AIY9" s="133" t="s">
        <v>1228</v>
      </c>
      <c r="AIZ9" s="133" t="s">
        <v>1229</v>
      </c>
      <c r="AJA9" s="133" t="s">
        <v>1230</v>
      </c>
      <c r="AJB9" s="133" t="s">
        <v>1231</v>
      </c>
      <c r="AJC9" s="133" t="s">
        <v>1232</v>
      </c>
      <c r="AJD9" s="133" t="s">
        <v>1233</v>
      </c>
    </row>
    <row r="10" spans="1:940" ht="15.75">
      <c r="A10" s="664" t="s">
        <v>2</v>
      </c>
      <c r="B10" s="669">
        <v>0.9</v>
      </c>
      <c r="C10" s="6">
        <v>0.7</v>
      </c>
      <c r="D10" s="6">
        <v>0.7</v>
      </c>
      <c r="E10" s="74">
        <v>204.06282722513089</v>
      </c>
      <c r="F10" s="75">
        <v>6.7</v>
      </c>
      <c r="G10" s="7">
        <v>-0.5</v>
      </c>
      <c r="H10" s="7">
        <v>-0.5</v>
      </c>
      <c r="I10" s="266">
        <v>350</v>
      </c>
      <c r="J10" s="125">
        <v>0</v>
      </c>
      <c r="K10" s="125">
        <v>0</v>
      </c>
      <c r="L10" s="125">
        <v>0</v>
      </c>
      <c r="M10" s="1">
        <v>1177.3412548632132</v>
      </c>
      <c r="N10" s="2">
        <v>12</v>
      </c>
      <c r="O10" s="8">
        <v>0.1</v>
      </c>
      <c r="P10" s="8">
        <v>0.2</v>
      </c>
      <c r="Q10" s="8">
        <v>0.2</v>
      </c>
      <c r="R10" s="7">
        <v>0.7</v>
      </c>
      <c r="S10" s="7">
        <v>0</v>
      </c>
      <c r="T10" s="7">
        <v>99.2</v>
      </c>
      <c r="U10" s="7">
        <v>0.1</v>
      </c>
      <c r="V10" s="71">
        <v>0</v>
      </c>
      <c r="W10" s="119">
        <v>2</v>
      </c>
      <c r="X10" s="120">
        <v>1.5</v>
      </c>
      <c r="Y10" s="119">
        <v>1</v>
      </c>
      <c r="Z10" s="120">
        <v>0.8</v>
      </c>
      <c r="AA10" s="120">
        <v>0.5</v>
      </c>
      <c r="AB10" s="559">
        <v>433.01922201480062</v>
      </c>
      <c r="AC10" s="559">
        <v>470.67306740739195</v>
      </c>
      <c r="AD10" s="559">
        <v>433.37222681535616</v>
      </c>
      <c r="AE10" s="559">
        <v>649.0581599547935</v>
      </c>
      <c r="AF10" s="622">
        <v>0.82209484106305364</v>
      </c>
      <c r="AG10" s="559">
        <v>261.91600618637949</v>
      </c>
      <c r="AH10" s="559">
        <v>284.69131107215162</v>
      </c>
      <c r="AI10" s="559">
        <v>262.12952466968363</v>
      </c>
      <c r="AJ10" s="559">
        <v>392.58931796849708</v>
      </c>
      <c r="AK10" s="622">
        <v>0.96717040125065135</v>
      </c>
      <c r="AL10" s="995">
        <v>0.3</v>
      </c>
      <c r="AM10" s="995">
        <v>0.4</v>
      </c>
      <c r="AN10" s="995">
        <v>0.6</v>
      </c>
      <c r="AO10" s="995">
        <v>1</v>
      </c>
      <c r="AP10" s="995">
        <v>1.2</v>
      </c>
      <c r="AQ10" s="995">
        <v>1.5</v>
      </c>
      <c r="AR10" s="995">
        <v>1.7</v>
      </c>
      <c r="AS10" s="1005">
        <v>0</v>
      </c>
      <c r="AT10" s="1005">
        <v>10</v>
      </c>
      <c r="AU10" s="1005">
        <v>20</v>
      </c>
      <c r="AV10" s="1005">
        <v>70</v>
      </c>
      <c r="AW10" s="1005">
        <v>100</v>
      </c>
      <c r="AX10" s="1">
        <v>9484.5160815676136</v>
      </c>
      <c r="AY10" s="3">
        <v>1.51</v>
      </c>
      <c r="AZ10" s="8">
        <v>0.8</v>
      </c>
      <c r="BA10" s="8">
        <v>0.6</v>
      </c>
      <c r="BB10" s="8">
        <v>0.6</v>
      </c>
      <c r="BC10" s="73">
        <v>0.17222730834075076</v>
      </c>
      <c r="BD10" s="73">
        <v>0.17334343976606054</v>
      </c>
      <c r="BE10" s="9">
        <v>3.0242423264891367E-4</v>
      </c>
      <c r="BF10" s="9">
        <v>8.876151228245617E-2</v>
      </c>
      <c r="BG10" s="9">
        <v>1.0533436023161664</v>
      </c>
      <c r="BH10" s="9">
        <v>45.524995026801506</v>
      </c>
      <c r="BI10" s="9">
        <v>1.721415533583875</v>
      </c>
      <c r="BJ10" s="9"/>
      <c r="BK10" s="9">
        <v>50.503637155437985</v>
      </c>
      <c r="BL10" s="9">
        <v>0.14326507954429371</v>
      </c>
      <c r="BM10" s="9"/>
      <c r="BN10" s="9"/>
      <c r="BO10" s="9">
        <v>1.831346742151755E-3</v>
      </c>
      <c r="BP10" s="9"/>
      <c r="BQ10" s="9"/>
      <c r="BR10" s="9">
        <v>0.7047492701495186</v>
      </c>
      <c r="BS10" s="9">
        <v>0.25769904890939105</v>
      </c>
      <c r="BT10" s="262">
        <v>261.13475999999997</v>
      </c>
      <c r="BU10" s="262">
        <v>96.5</v>
      </c>
      <c r="BV10" s="262">
        <v>63.215999999999994</v>
      </c>
      <c r="BW10" s="262">
        <v>233.35949490734063</v>
      </c>
      <c r="BX10" s="262">
        <v>157.40783999999999</v>
      </c>
      <c r="BY10" s="68"/>
      <c r="BZ10" s="262">
        <v>256.20808011776955</v>
      </c>
      <c r="CA10" s="262">
        <v>165.17663999999999</v>
      </c>
      <c r="CB10" s="68"/>
      <c r="CC10" s="785">
        <v>0</v>
      </c>
      <c r="CD10" s="262">
        <v>6.585</v>
      </c>
      <c r="CE10" s="262">
        <v>1.3169999999999999</v>
      </c>
      <c r="CF10" s="262">
        <v>38</v>
      </c>
      <c r="CG10" s="262">
        <v>225.83915999999996</v>
      </c>
      <c r="CH10" s="68">
        <v>0.2</v>
      </c>
      <c r="CI10" s="262">
        <v>175.08124000000001</v>
      </c>
      <c r="CJ10" s="262">
        <v>60.4</v>
      </c>
      <c r="CK10" s="262">
        <v>42.384</v>
      </c>
      <c r="CL10" s="262">
        <v>156.45894761061641</v>
      </c>
      <c r="CM10" s="262">
        <v>105.53616</v>
      </c>
      <c r="CN10" s="68"/>
      <c r="CO10" s="262">
        <v>159.24945066654416</v>
      </c>
      <c r="CP10" s="262">
        <v>102.66767999999999</v>
      </c>
      <c r="CQ10" s="68"/>
      <c r="CR10" s="262">
        <v>0</v>
      </c>
      <c r="CS10" s="262">
        <v>4.415</v>
      </c>
      <c r="CT10" s="262">
        <v>0.88300000000000001</v>
      </c>
      <c r="CU10" s="262">
        <v>27</v>
      </c>
      <c r="CV10" s="262">
        <v>151.41683999999998</v>
      </c>
      <c r="CW10" s="68">
        <v>0.2</v>
      </c>
      <c r="CX10" s="120">
        <v>0.3</v>
      </c>
      <c r="CY10" s="120">
        <v>0.7</v>
      </c>
      <c r="CZ10" s="120">
        <v>1.2</v>
      </c>
      <c r="DA10" s="120">
        <v>1.2</v>
      </c>
      <c r="DB10" s="119">
        <v>3</v>
      </c>
      <c r="DC10" s="1005">
        <v>0</v>
      </c>
      <c r="DD10" s="1005">
        <v>10</v>
      </c>
      <c r="DE10" s="1005">
        <v>20</v>
      </c>
      <c r="DF10" s="1005">
        <v>70</v>
      </c>
      <c r="DG10" s="1005">
        <v>100</v>
      </c>
      <c r="DH10" s="2">
        <v>3.3537758859614817</v>
      </c>
      <c r="DI10" s="2">
        <v>18</v>
      </c>
      <c r="DJ10" s="63">
        <v>12</v>
      </c>
      <c r="DK10" s="8">
        <v>1.7</v>
      </c>
      <c r="DL10" s="8">
        <v>1.7</v>
      </c>
      <c r="DM10" s="8">
        <v>1.7</v>
      </c>
      <c r="DN10" s="1030" t="s">
        <v>998</v>
      </c>
      <c r="DO10" s="1030" t="s">
        <v>997</v>
      </c>
      <c r="DP10" s="1030" t="s">
        <v>997</v>
      </c>
      <c r="DQ10" s="1030" t="s">
        <v>997</v>
      </c>
      <c r="DR10" s="1030" t="s">
        <v>997</v>
      </c>
      <c r="DS10" s="1030" t="s">
        <v>997</v>
      </c>
      <c r="DT10" s="1030" t="s">
        <v>997</v>
      </c>
      <c r="DU10" s="1097">
        <v>698.21836923315277</v>
      </c>
      <c r="DV10" s="1097">
        <v>0</v>
      </c>
      <c r="DW10" s="1097">
        <v>0</v>
      </c>
      <c r="DX10" s="1097">
        <v>0</v>
      </c>
      <c r="DY10" s="1097">
        <v>0</v>
      </c>
      <c r="DZ10" s="1097">
        <v>0</v>
      </c>
      <c r="EA10" s="1097">
        <v>0</v>
      </c>
      <c r="EB10" s="207">
        <v>0.69821836923315272</v>
      </c>
      <c r="EC10" s="207">
        <v>18</v>
      </c>
      <c r="ED10" s="221">
        <v>5</v>
      </c>
      <c r="EE10" s="214">
        <v>1.7</v>
      </c>
      <c r="EF10" s="214">
        <v>1.7</v>
      </c>
      <c r="EG10" s="214">
        <v>1.7</v>
      </c>
      <c r="EH10" s="208" t="s">
        <v>1037</v>
      </c>
      <c r="EI10" s="208" t="s">
        <v>1058</v>
      </c>
      <c r="EJ10" s="208" t="s">
        <v>998</v>
      </c>
      <c r="EK10" s="208" t="s">
        <v>1088</v>
      </c>
      <c r="EL10" s="208" t="s">
        <v>1100</v>
      </c>
      <c r="EM10" s="204" t="s">
        <v>997</v>
      </c>
      <c r="EN10" s="204" t="s">
        <v>997</v>
      </c>
      <c r="EO10" s="204" t="s">
        <v>997</v>
      </c>
      <c r="EP10" s="204" t="s">
        <v>997</v>
      </c>
      <c r="EQ10" s="204" t="s">
        <v>997</v>
      </c>
      <c r="ER10" s="204" t="s">
        <v>997</v>
      </c>
      <c r="ES10" s="204" t="s">
        <v>997</v>
      </c>
      <c r="ET10" s="204" t="s">
        <v>997</v>
      </c>
      <c r="EU10" s="204" t="s">
        <v>997</v>
      </c>
      <c r="EV10" s="204" t="s">
        <v>997</v>
      </c>
      <c r="EW10" s="204" t="s">
        <v>997</v>
      </c>
      <c r="EX10" s="204" t="s">
        <v>997</v>
      </c>
      <c r="EY10" s="204" t="s">
        <v>997</v>
      </c>
      <c r="EZ10" s="204" t="s">
        <v>997</v>
      </c>
      <c r="FA10" s="204" t="s">
        <v>997</v>
      </c>
      <c r="FB10" s="204" t="s">
        <v>997</v>
      </c>
      <c r="FC10" s="204" t="s">
        <v>997</v>
      </c>
      <c r="FD10" s="204" t="s">
        <v>997</v>
      </c>
      <c r="FE10" s="204" t="s">
        <v>997</v>
      </c>
      <c r="FF10" s="204" t="s">
        <v>997</v>
      </c>
      <c r="FG10" s="204" t="s">
        <v>997</v>
      </c>
      <c r="FH10" s="204" t="s">
        <v>997</v>
      </c>
      <c r="FI10" s="204" t="s">
        <v>997</v>
      </c>
      <c r="FJ10" s="204" t="s">
        <v>997</v>
      </c>
      <c r="FK10" s="204" t="s">
        <v>997</v>
      </c>
      <c r="FL10" s="204" t="s">
        <v>997</v>
      </c>
      <c r="FM10" s="204" t="s">
        <v>997</v>
      </c>
      <c r="FN10" s="204" t="s">
        <v>997</v>
      </c>
      <c r="FO10" s="204" t="s">
        <v>997</v>
      </c>
      <c r="FP10" s="204" t="s">
        <v>997</v>
      </c>
      <c r="FQ10" s="204" t="s">
        <v>997</v>
      </c>
      <c r="FR10" s="204" t="s">
        <v>997</v>
      </c>
      <c r="FS10" s="204" t="s">
        <v>997</v>
      </c>
      <c r="FT10" s="204" t="s">
        <v>997</v>
      </c>
      <c r="FU10" s="204" t="s">
        <v>997</v>
      </c>
      <c r="FV10" s="204" t="s">
        <v>997</v>
      </c>
      <c r="FW10" s="204" t="s">
        <v>997</v>
      </c>
      <c r="FX10" s="204" t="s">
        <v>997</v>
      </c>
      <c r="FY10" s="204" t="s">
        <v>997</v>
      </c>
      <c r="FZ10" s="204" t="s">
        <v>997</v>
      </c>
      <c r="GA10" s="204" t="s">
        <v>997</v>
      </c>
      <c r="GB10" s="204" t="s">
        <v>997</v>
      </c>
      <c r="GC10" s="204" t="s">
        <v>997</v>
      </c>
      <c r="GD10" s="204" t="s">
        <v>997</v>
      </c>
      <c r="GE10" s="204" t="s">
        <v>997</v>
      </c>
      <c r="GF10" s="204" t="s">
        <v>997</v>
      </c>
      <c r="GG10" s="204" t="s">
        <v>997</v>
      </c>
      <c r="GH10" s="204" t="s">
        <v>997</v>
      </c>
      <c r="GI10" s="204" t="s">
        <v>997</v>
      </c>
      <c r="GJ10" s="204" t="s">
        <v>997</v>
      </c>
      <c r="GK10" s="204" t="s">
        <v>997</v>
      </c>
      <c r="GL10" s="204" t="s">
        <v>997</v>
      </c>
      <c r="GM10" s="204" t="s">
        <v>997</v>
      </c>
      <c r="GN10" s="1051">
        <v>147.0363339712986</v>
      </c>
      <c r="GO10" s="1051">
        <v>138.86764875067092</v>
      </c>
      <c r="GP10" s="1051">
        <v>283.65759428629696</v>
      </c>
      <c r="GQ10" s="1051">
        <v>67.391653070178521</v>
      </c>
      <c r="GR10" s="1051">
        <v>61.265139154707754</v>
      </c>
      <c r="GS10" s="1051">
        <v>0</v>
      </c>
      <c r="GT10" s="1051">
        <v>0</v>
      </c>
      <c r="GU10" s="1051">
        <v>0</v>
      </c>
      <c r="GV10" s="1051">
        <v>0</v>
      </c>
      <c r="GW10" s="1051">
        <v>0</v>
      </c>
      <c r="GX10" s="1051">
        <v>0</v>
      </c>
      <c r="GY10" s="1051">
        <v>0</v>
      </c>
      <c r="GZ10" s="1051">
        <v>0</v>
      </c>
      <c r="HA10" s="1051">
        <v>0</v>
      </c>
      <c r="HB10" s="1051">
        <v>0</v>
      </c>
      <c r="HC10" s="1051">
        <v>0</v>
      </c>
      <c r="HD10" s="1051">
        <v>0</v>
      </c>
      <c r="HE10" s="1051">
        <v>0</v>
      </c>
      <c r="HF10" s="1051">
        <v>0</v>
      </c>
      <c r="HG10" s="1051">
        <v>0</v>
      </c>
      <c r="HH10" s="1051">
        <v>0</v>
      </c>
      <c r="HI10" s="1051">
        <v>0</v>
      </c>
      <c r="HJ10" s="1051">
        <v>0</v>
      </c>
      <c r="HK10" s="1051">
        <v>0</v>
      </c>
      <c r="HL10" s="1051">
        <v>0</v>
      </c>
      <c r="HM10" s="1051">
        <v>0</v>
      </c>
      <c r="HN10" s="1051">
        <v>0</v>
      </c>
      <c r="HO10" s="1051">
        <v>0</v>
      </c>
      <c r="HP10" s="1051">
        <v>0</v>
      </c>
      <c r="HQ10" s="1051">
        <v>0</v>
      </c>
      <c r="HR10" s="1051">
        <v>0</v>
      </c>
      <c r="HS10" s="1051">
        <v>0</v>
      </c>
      <c r="HT10" s="1051">
        <v>0</v>
      </c>
      <c r="HU10" s="1051">
        <v>0</v>
      </c>
      <c r="HV10" s="1051">
        <v>0</v>
      </c>
      <c r="HW10" s="1051">
        <v>0</v>
      </c>
      <c r="HX10" s="1051">
        <v>0</v>
      </c>
      <c r="HY10" s="1051">
        <v>0</v>
      </c>
      <c r="HZ10" s="1051">
        <v>0</v>
      </c>
      <c r="IA10" s="1051">
        <v>0</v>
      </c>
      <c r="IB10" s="1051">
        <v>0</v>
      </c>
      <c r="IC10" s="1051">
        <v>0</v>
      </c>
      <c r="ID10" s="1051">
        <v>0</v>
      </c>
      <c r="IE10" s="1051">
        <v>0</v>
      </c>
      <c r="IF10" s="1051">
        <v>0</v>
      </c>
      <c r="IG10" s="1051">
        <v>0</v>
      </c>
      <c r="IH10" s="1051">
        <v>0</v>
      </c>
      <c r="II10" s="1051">
        <v>0</v>
      </c>
      <c r="IJ10" s="1051">
        <v>0</v>
      </c>
      <c r="IK10" s="1051">
        <v>0</v>
      </c>
      <c r="IL10" s="1051">
        <v>0</v>
      </c>
      <c r="IM10" s="1051">
        <v>0</v>
      </c>
      <c r="IN10" s="1051">
        <v>0</v>
      </c>
      <c r="IO10" s="1051">
        <v>0</v>
      </c>
      <c r="IP10" s="1051">
        <v>0</v>
      </c>
      <c r="IQ10" s="1051">
        <v>0</v>
      </c>
      <c r="IR10" s="1051">
        <v>0</v>
      </c>
      <c r="IS10" s="1051">
        <v>0</v>
      </c>
      <c r="IT10" s="215">
        <v>925.98668809837352</v>
      </c>
      <c r="IU10" s="207">
        <v>179.9</v>
      </c>
      <c r="IV10" s="216">
        <v>2647.0800000000199</v>
      </c>
      <c r="IW10" s="272">
        <v>12.64</v>
      </c>
      <c r="IX10" s="207">
        <v>50</v>
      </c>
      <c r="IY10" s="204">
        <v>1.7</v>
      </c>
      <c r="IZ10" s="204">
        <v>1.7</v>
      </c>
      <c r="JA10" s="204">
        <v>1.7</v>
      </c>
      <c r="JB10" s="52">
        <v>2</v>
      </c>
      <c r="JC10" s="24">
        <v>1.5</v>
      </c>
      <c r="JD10" s="24">
        <v>0.7</v>
      </c>
      <c r="JE10" s="24">
        <v>0.7</v>
      </c>
      <c r="JF10" s="24">
        <v>0.5</v>
      </c>
      <c r="JG10" s="1">
        <v>30.686288979954334</v>
      </c>
      <c r="JH10" s="216">
        <v>2647.0800000000199</v>
      </c>
      <c r="JI10" s="272">
        <v>12.64</v>
      </c>
      <c r="JJ10" s="207">
        <v>50</v>
      </c>
      <c r="JK10" s="8">
        <v>3.2</v>
      </c>
      <c r="JL10" s="8">
        <v>1.7</v>
      </c>
      <c r="JM10" s="8">
        <v>1.7</v>
      </c>
      <c r="JN10" s="216">
        <v>2</v>
      </c>
      <c r="JO10" s="216">
        <v>2</v>
      </c>
      <c r="JP10" s="216">
        <v>1</v>
      </c>
      <c r="JQ10" s="216">
        <v>1</v>
      </c>
      <c r="JR10" s="214">
        <v>0.5</v>
      </c>
      <c r="JS10" s="1212">
        <v>2000</v>
      </c>
      <c r="JT10" s="215">
        <v>192.27726710081694</v>
      </c>
      <c r="JU10" s="215">
        <v>500</v>
      </c>
      <c r="JV10" s="207">
        <v>1.8</v>
      </c>
      <c r="JW10" s="207">
        <v>0.9</v>
      </c>
      <c r="JX10" s="207">
        <v>0.9</v>
      </c>
      <c r="JY10" s="214">
        <v>2</v>
      </c>
      <c r="JZ10" s="214">
        <v>1.5</v>
      </c>
      <c r="KA10" s="214">
        <v>0.5</v>
      </c>
      <c r="KB10" s="214">
        <v>1</v>
      </c>
      <c r="KC10" s="214">
        <v>0.5</v>
      </c>
      <c r="KD10" s="1186"/>
      <c r="KE10" s="1186"/>
      <c r="KF10" s="1186"/>
      <c r="KG10" s="1186"/>
      <c r="KH10" s="1186"/>
      <c r="KI10" s="1186"/>
      <c r="KJ10" s="1186"/>
      <c r="KK10" s="1186"/>
      <c r="KL10" s="1186"/>
      <c r="KM10" s="1187">
        <v>580</v>
      </c>
      <c r="KN10" s="1187">
        <v>580</v>
      </c>
      <c r="KO10" s="1187">
        <v>580</v>
      </c>
      <c r="KP10" s="1187">
        <v>580</v>
      </c>
      <c r="KQ10" s="1187"/>
      <c r="KR10" s="1187">
        <v>580</v>
      </c>
      <c r="KS10" s="1187">
        <v>580</v>
      </c>
      <c r="KT10" s="1187">
        <v>580</v>
      </c>
      <c r="KU10" s="1187">
        <v>580</v>
      </c>
      <c r="KV10" s="262">
        <v>370</v>
      </c>
      <c r="KW10" s="262">
        <v>370</v>
      </c>
      <c r="KX10" s="262">
        <v>370</v>
      </c>
      <c r="KY10" s="262">
        <v>370</v>
      </c>
      <c r="KZ10" s="262"/>
      <c r="LA10" s="262">
        <v>370</v>
      </c>
      <c r="LB10" s="262">
        <v>370</v>
      </c>
      <c r="LC10" s="262">
        <v>370</v>
      </c>
      <c r="LD10" s="262">
        <v>370</v>
      </c>
      <c r="LE10" s="1213">
        <v>0</v>
      </c>
      <c r="LF10" s="1213">
        <v>10</v>
      </c>
      <c r="LG10" s="1213">
        <v>20</v>
      </c>
      <c r="LH10" s="1213">
        <v>70</v>
      </c>
      <c r="LI10" s="1213">
        <v>100</v>
      </c>
      <c r="LJ10" s="1212">
        <v>1000</v>
      </c>
      <c r="LK10" s="1">
        <v>638.76654077224873</v>
      </c>
      <c r="LL10" s="4">
        <v>29</v>
      </c>
      <c r="LM10" s="8">
        <v>1.6</v>
      </c>
      <c r="LN10" s="8">
        <v>1.4</v>
      </c>
      <c r="LO10" s="8">
        <v>1.4</v>
      </c>
      <c r="LP10" s="214">
        <v>2</v>
      </c>
      <c r="LQ10" s="214">
        <v>1</v>
      </c>
      <c r="LR10" s="214">
        <v>0.5</v>
      </c>
      <c r="LS10" s="214">
        <v>0.7</v>
      </c>
      <c r="LT10" s="214">
        <v>0.2</v>
      </c>
      <c r="LU10" s="1212">
        <v>1500</v>
      </c>
      <c r="LV10" s="122">
        <v>0</v>
      </c>
      <c r="LW10" s="122">
        <v>0</v>
      </c>
      <c r="LX10" s="122">
        <v>0</v>
      </c>
      <c r="LY10" s="165">
        <v>0</v>
      </c>
      <c r="LZ10" s="165">
        <v>0</v>
      </c>
      <c r="MA10" s="165">
        <v>0</v>
      </c>
      <c r="MB10" s="165">
        <v>0</v>
      </c>
      <c r="MC10" s="165">
        <v>0</v>
      </c>
      <c r="MD10" s="165">
        <v>0</v>
      </c>
      <c r="ME10" s="165">
        <v>0</v>
      </c>
      <c r="MF10" s="165">
        <v>0</v>
      </c>
      <c r="MG10" s="165">
        <v>0</v>
      </c>
      <c r="MH10" s="165">
        <v>0</v>
      </c>
      <c r="MI10" s="165">
        <v>0</v>
      </c>
      <c r="MJ10" s="165">
        <v>0</v>
      </c>
      <c r="MK10" s="165">
        <v>0</v>
      </c>
      <c r="ML10" s="165">
        <v>0</v>
      </c>
      <c r="MM10" s="165">
        <v>0</v>
      </c>
      <c r="MN10" s="165">
        <v>0</v>
      </c>
      <c r="MO10" s="165">
        <v>0</v>
      </c>
      <c r="MP10" s="165">
        <v>0</v>
      </c>
      <c r="MQ10" s="165">
        <v>0</v>
      </c>
      <c r="MR10" s="165">
        <v>0</v>
      </c>
      <c r="MS10" s="165">
        <v>0</v>
      </c>
      <c r="MT10" s="165">
        <v>0</v>
      </c>
      <c r="MU10" s="165">
        <v>0</v>
      </c>
      <c r="MV10" s="165">
        <v>0</v>
      </c>
      <c r="MW10" s="166">
        <v>1.84332100839552</v>
      </c>
      <c r="MX10" s="166">
        <v>0</v>
      </c>
      <c r="MY10" s="166">
        <v>2.1170067025229999E-2</v>
      </c>
      <c r="MZ10" s="166">
        <v>8.4234582479340001E-2</v>
      </c>
      <c r="NA10" s="166">
        <v>2.0931929390839601</v>
      </c>
      <c r="NB10" s="166">
        <v>0</v>
      </c>
      <c r="NC10" s="166">
        <v>1.69934338057171</v>
      </c>
      <c r="ND10" s="166">
        <v>0</v>
      </c>
      <c r="NE10" s="166">
        <v>2.5750155059380001E-2</v>
      </c>
      <c r="NF10" s="166">
        <v>0.10245851170997</v>
      </c>
      <c r="NG10" s="166">
        <v>0.66612596014501002</v>
      </c>
      <c r="NH10" s="166">
        <v>0</v>
      </c>
      <c r="NI10" s="166">
        <v>2.0723719201692798</v>
      </c>
      <c r="NJ10" s="166">
        <v>0</v>
      </c>
      <c r="NK10" s="166">
        <v>3.3787728138129997E-2</v>
      </c>
      <c r="NL10" s="166">
        <v>0.13443959196016</v>
      </c>
      <c r="NM10" s="166">
        <v>-0.15433920778737001</v>
      </c>
      <c r="NN10" s="166">
        <v>0</v>
      </c>
      <c r="NO10" s="166">
        <v>1.2538517168726799</v>
      </c>
      <c r="NP10" s="166">
        <v>0</v>
      </c>
      <c r="NQ10" s="166">
        <v>2.4089263630859999E-2</v>
      </c>
      <c r="NR10" s="166">
        <v>9.5849912131200005E-2</v>
      </c>
      <c r="NS10" s="166">
        <v>1.5255885220299299</v>
      </c>
      <c r="NT10" s="166">
        <v>0</v>
      </c>
      <c r="NU10" s="166">
        <v>0</v>
      </c>
      <c r="NV10" s="166">
        <v>0</v>
      </c>
      <c r="NW10" s="166">
        <v>0</v>
      </c>
      <c r="NX10" s="166">
        <v>0</v>
      </c>
      <c r="NY10" s="166">
        <v>0</v>
      </c>
      <c r="NZ10" s="166">
        <v>0</v>
      </c>
      <c r="OA10" s="166">
        <v>-86.4</v>
      </c>
      <c r="OB10" s="166">
        <v>-17.8</v>
      </c>
      <c r="OC10" s="166">
        <v>-8.5508252705750007E-2</v>
      </c>
      <c r="OD10" s="166">
        <v>0</v>
      </c>
      <c r="OE10" s="166">
        <v>-2.2555177857972302</v>
      </c>
      <c r="OF10" s="166">
        <v>0</v>
      </c>
      <c r="OG10" s="166">
        <v>0</v>
      </c>
      <c r="OH10" s="166">
        <v>0</v>
      </c>
      <c r="OI10" s="166">
        <v>0</v>
      </c>
      <c r="OJ10" s="166">
        <v>0</v>
      </c>
      <c r="OK10" s="166">
        <v>-1.51797929647699</v>
      </c>
      <c r="OL10" s="166">
        <v>0</v>
      </c>
      <c r="OM10" s="166">
        <v>0</v>
      </c>
      <c r="ON10" s="166">
        <v>0</v>
      </c>
      <c r="OO10" s="166">
        <v>0</v>
      </c>
      <c r="OP10" s="166">
        <v>0</v>
      </c>
      <c r="OQ10" s="166">
        <v>-2.6280188679246099</v>
      </c>
      <c r="OR10" s="166">
        <v>0</v>
      </c>
      <c r="OS10" s="166">
        <v>0</v>
      </c>
      <c r="OT10" s="166">
        <v>0</v>
      </c>
      <c r="OU10" s="166">
        <v>0</v>
      </c>
      <c r="OV10" s="166">
        <v>0</v>
      </c>
      <c r="OW10" s="166">
        <v>0</v>
      </c>
      <c r="OX10" s="166">
        <v>0</v>
      </c>
      <c r="OY10" s="166">
        <v>0</v>
      </c>
      <c r="OZ10" s="166">
        <v>0</v>
      </c>
      <c r="PA10" s="166">
        <v>0</v>
      </c>
      <c r="PB10" s="166">
        <v>0</v>
      </c>
      <c r="PC10" s="166">
        <v>0</v>
      </c>
      <c r="PD10" s="166">
        <v>0</v>
      </c>
      <c r="PE10" s="166">
        <v>-86.4</v>
      </c>
      <c r="PF10" s="166">
        <v>-17.8</v>
      </c>
      <c r="PG10" s="166">
        <v>-0.55726317014306004</v>
      </c>
      <c r="PH10" s="166">
        <v>0</v>
      </c>
      <c r="PI10" s="166">
        <v>-0.79480489522872</v>
      </c>
      <c r="PJ10" s="166">
        <v>0</v>
      </c>
      <c r="PK10" s="166">
        <v>0</v>
      </c>
      <c r="PL10" s="166">
        <v>0</v>
      </c>
      <c r="PM10" s="166">
        <v>0</v>
      </c>
      <c r="PN10" s="166">
        <v>0</v>
      </c>
      <c r="PO10" s="166">
        <v>2.0622121931109798</v>
      </c>
      <c r="PP10" s="166">
        <v>0</v>
      </c>
      <c r="PQ10" s="166">
        <v>0</v>
      </c>
      <c r="PR10" s="166">
        <v>0</v>
      </c>
      <c r="PS10" s="166">
        <v>0</v>
      </c>
      <c r="PT10" s="166">
        <v>0</v>
      </c>
      <c r="PU10" s="166">
        <v>-0.30681551923550998</v>
      </c>
      <c r="PV10" s="166">
        <v>0</v>
      </c>
      <c r="PW10" s="166">
        <v>0</v>
      </c>
      <c r="PX10" s="166">
        <v>0</v>
      </c>
      <c r="PY10" s="166">
        <v>0</v>
      </c>
      <c r="PZ10" s="166">
        <v>0</v>
      </c>
      <c r="QA10" s="166">
        <v>1.79917432829182</v>
      </c>
      <c r="QB10" s="166">
        <v>0</v>
      </c>
      <c r="QC10" s="166">
        <v>0</v>
      </c>
      <c r="QD10" s="166">
        <v>0</v>
      </c>
      <c r="QE10" s="166">
        <v>0</v>
      </c>
      <c r="QF10" s="166">
        <v>0</v>
      </c>
      <c r="QG10" s="166">
        <v>0</v>
      </c>
      <c r="QH10" s="166">
        <v>0</v>
      </c>
      <c r="QI10" s="162">
        <v>0</v>
      </c>
      <c r="QJ10" s="167">
        <v>0</v>
      </c>
      <c r="QK10" s="167">
        <v>0</v>
      </c>
      <c r="QL10" s="167">
        <v>0</v>
      </c>
      <c r="QM10" s="167">
        <v>0</v>
      </c>
      <c r="QN10" s="162">
        <v>0</v>
      </c>
      <c r="QO10" s="162">
        <v>0</v>
      </c>
      <c r="QP10" s="162">
        <v>0</v>
      </c>
      <c r="QQ10" s="162">
        <v>0</v>
      </c>
      <c r="QR10" s="162">
        <v>0</v>
      </c>
      <c r="QS10" s="162">
        <v>0</v>
      </c>
      <c r="QT10" s="162">
        <v>0</v>
      </c>
      <c r="QU10" s="162">
        <v>0</v>
      </c>
      <c r="QV10" s="162">
        <v>0</v>
      </c>
      <c r="QW10" s="162">
        <v>0</v>
      </c>
      <c r="QX10" s="162">
        <v>0</v>
      </c>
      <c r="QY10" s="162">
        <v>0</v>
      </c>
      <c r="QZ10" s="162">
        <v>0</v>
      </c>
      <c r="RA10" s="167">
        <v>0</v>
      </c>
      <c r="RB10" s="167">
        <v>0</v>
      </c>
      <c r="RC10" s="167">
        <v>0</v>
      </c>
      <c r="RD10" s="167">
        <v>0</v>
      </c>
      <c r="RE10" s="167">
        <v>0</v>
      </c>
      <c r="RF10" s="167">
        <v>0</v>
      </c>
      <c r="RG10" s="167">
        <v>0</v>
      </c>
      <c r="RH10" s="167">
        <v>0</v>
      </c>
      <c r="RI10" s="167">
        <v>0</v>
      </c>
      <c r="RJ10" s="167">
        <v>0</v>
      </c>
      <c r="RK10" s="167">
        <v>0</v>
      </c>
      <c r="RL10" s="167">
        <v>0</v>
      </c>
      <c r="RM10" s="166">
        <v>-86.4</v>
      </c>
      <c r="RN10" s="166">
        <v>-17.8</v>
      </c>
      <c r="RO10" s="166">
        <v>-0.14826889894609999</v>
      </c>
      <c r="RP10" s="166">
        <v>0</v>
      </c>
      <c r="RQ10" s="166">
        <v>-2.2136670394671798</v>
      </c>
      <c r="RR10" s="166">
        <v>0</v>
      </c>
      <c r="RS10" s="166">
        <v>0</v>
      </c>
      <c r="RT10" s="166">
        <v>0</v>
      </c>
      <c r="RU10" s="166">
        <v>0</v>
      </c>
      <c r="RV10" s="166">
        <v>0</v>
      </c>
      <c r="RW10" s="166">
        <v>0</v>
      </c>
      <c r="RX10" s="166">
        <v>0</v>
      </c>
      <c r="RY10" s="166">
        <v>0</v>
      </c>
      <c r="RZ10" s="166">
        <v>0</v>
      </c>
      <c r="SA10" s="166">
        <v>0</v>
      </c>
      <c r="SB10" s="166">
        <v>0</v>
      </c>
      <c r="SC10" s="166">
        <v>-1.6281710471519899</v>
      </c>
      <c r="SD10" s="166">
        <v>0</v>
      </c>
      <c r="SE10" s="166">
        <v>0</v>
      </c>
      <c r="SF10" s="166">
        <v>0</v>
      </c>
      <c r="SG10" s="166">
        <v>0</v>
      </c>
      <c r="SH10" s="166">
        <v>0</v>
      </c>
      <c r="SI10" s="166">
        <v>-2.3494858156843299</v>
      </c>
      <c r="SJ10" s="166">
        <v>0</v>
      </c>
      <c r="SK10" s="166">
        <v>0</v>
      </c>
      <c r="SL10" s="166">
        <v>0</v>
      </c>
      <c r="SM10" s="166">
        <v>0</v>
      </c>
      <c r="SN10" s="166">
        <v>0</v>
      </c>
      <c r="SO10" s="166">
        <v>0</v>
      </c>
      <c r="SP10" s="166">
        <v>0</v>
      </c>
      <c r="SQ10" s="166">
        <v>-86.4</v>
      </c>
      <c r="SR10" s="166">
        <v>-17.8</v>
      </c>
      <c r="SS10" s="166">
        <v>0</v>
      </c>
      <c r="ST10" s="166">
        <v>0</v>
      </c>
      <c r="SU10" s="166">
        <v>0</v>
      </c>
      <c r="SV10" s="166">
        <v>0</v>
      </c>
      <c r="SW10" s="166">
        <v>0</v>
      </c>
      <c r="SX10" s="166">
        <v>0</v>
      </c>
      <c r="SY10" s="166">
        <v>0</v>
      </c>
      <c r="SZ10" s="166">
        <v>0</v>
      </c>
      <c r="TA10" s="166">
        <v>0</v>
      </c>
      <c r="TB10" s="166">
        <v>0</v>
      </c>
      <c r="TC10" s="166">
        <v>0</v>
      </c>
      <c r="TD10" s="166">
        <v>0</v>
      </c>
      <c r="TE10" s="166">
        <v>0</v>
      </c>
      <c r="TF10" s="166">
        <v>0</v>
      </c>
      <c r="TG10" s="166">
        <v>0</v>
      </c>
      <c r="TH10" s="166">
        <v>0</v>
      </c>
      <c r="TI10" s="166">
        <v>0</v>
      </c>
      <c r="TJ10" s="166">
        <v>0</v>
      </c>
      <c r="TK10" s="166">
        <v>0</v>
      </c>
      <c r="TL10" s="166">
        <v>0</v>
      </c>
      <c r="TM10" s="166">
        <v>0</v>
      </c>
      <c r="TN10" s="166">
        <v>0</v>
      </c>
      <c r="TO10" s="166">
        <v>0</v>
      </c>
      <c r="TP10" s="166">
        <v>0</v>
      </c>
      <c r="TQ10" s="166">
        <v>0</v>
      </c>
      <c r="TR10" s="166">
        <v>0</v>
      </c>
      <c r="TS10" s="166">
        <v>0</v>
      </c>
      <c r="TT10" s="166">
        <v>0</v>
      </c>
      <c r="TU10" s="166">
        <v>0.69011771495769003</v>
      </c>
      <c r="TV10" s="166">
        <v>0</v>
      </c>
      <c r="TW10" s="166">
        <v>0</v>
      </c>
      <c r="TX10" s="166">
        <v>0</v>
      </c>
      <c r="TY10" s="166">
        <v>0</v>
      </c>
      <c r="TZ10" s="166">
        <v>0</v>
      </c>
      <c r="UA10" s="166">
        <v>-1.5996357149999999E-4</v>
      </c>
      <c r="UB10" s="166">
        <v>0</v>
      </c>
      <c r="UC10" s="166">
        <v>0</v>
      </c>
      <c r="UD10" s="166">
        <v>0</v>
      </c>
      <c r="UE10" s="166">
        <v>-3.9389525902189998E-2</v>
      </c>
      <c r="UF10" s="166">
        <v>-10</v>
      </c>
      <c r="UG10" s="166">
        <v>0</v>
      </c>
      <c r="UH10" s="166">
        <v>0</v>
      </c>
      <c r="UI10" s="166">
        <v>0</v>
      </c>
      <c r="UJ10" s="166">
        <v>0</v>
      </c>
      <c r="UK10" s="166">
        <v>0.1822072712359</v>
      </c>
      <c r="UL10" s="166">
        <v>-1.8909866017052399</v>
      </c>
      <c r="UM10" s="166">
        <v>0</v>
      </c>
      <c r="UN10" s="166">
        <v>0</v>
      </c>
      <c r="UO10" s="166">
        <v>0</v>
      </c>
      <c r="UP10" s="166">
        <v>0</v>
      </c>
      <c r="UQ10" s="166">
        <v>0</v>
      </c>
      <c r="UR10" s="166">
        <v>0</v>
      </c>
      <c r="US10" s="163">
        <v>0</v>
      </c>
      <c r="UT10" s="163">
        <v>0</v>
      </c>
      <c r="UU10" s="163">
        <v>0</v>
      </c>
      <c r="UV10" s="163">
        <v>0</v>
      </c>
      <c r="UW10" s="163">
        <v>0</v>
      </c>
      <c r="UX10" s="163">
        <v>0</v>
      </c>
      <c r="UY10" s="166">
        <v>0</v>
      </c>
      <c r="UZ10" s="166">
        <v>0</v>
      </c>
      <c r="VA10" s="166">
        <v>0</v>
      </c>
      <c r="VB10" s="166">
        <v>0</v>
      </c>
      <c r="VC10" s="166">
        <v>0</v>
      </c>
      <c r="VD10" s="166">
        <v>0</v>
      </c>
      <c r="VE10" s="267">
        <v>202</v>
      </c>
      <c r="VF10" s="267">
        <v>279</v>
      </c>
      <c r="VG10" s="267">
        <v>354</v>
      </c>
      <c r="VH10" s="267">
        <v>0</v>
      </c>
      <c r="VI10" s="267">
        <v>403</v>
      </c>
      <c r="VJ10" s="267">
        <v>0</v>
      </c>
      <c r="VK10" s="267">
        <v>0</v>
      </c>
      <c r="VL10" s="257">
        <v>0</v>
      </c>
      <c r="VM10" s="257">
        <v>0</v>
      </c>
      <c r="VN10" s="257">
        <v>0</v>
      </c>
      <c r="VO10" s="257">
        <v>0</v>
      </c>
      <c r="VP10" s="257">
        <v>0</v>
      </c>
      <c r="VQ10" s="257">
        <v>0</v>
      </c>
      <c r="VR10" s="257">
        <v>0</v>
      </c>
      <c r="VS10" s="257">
        <v>0</v>
      </c>
      <c r="VT10" s="257">
        <v>0</v>
      </c>
      <c r="VU10" s="257">
        <v>0</v>
      </c>
      <c r="VV10" s="257">
        <v>0</v>
      </c>
      <c r="VW10" s="257">
        <v>0</v>
      </c>
      <c r="VX10" s="257">
        <v>0</v>
      </c>
      <c r="VY10" s="257">
        <v>0</v>
      </c>
      <c r="VZ10" s="257">
        <v>0</v>
      </c>
      <c r="WA10" s="257">
        <v>0</v>
      </c>
      <c r="WB10" s="257">
        <v>0</v>
      </c>
      <c r="WC10" s="257">
        <v>0</v>
      </c>
      <c r="WD10" s="257">
        <v>0</v>
      </c>
      <c r="WE10" s="257">
        <v>0</v>
      </c>
      <c r="WF10" s="257">
        <v>0</v>
      </c>
      <c r="WG10" s="257">
        <v>0</v>
      </c>
      <c r="WH10" s="257">
        <v>0</v>
      </c>
      <c r="WI10" s="257">
        <v>0</v>
      </c>
      <c r="WJ10" s="257">
        <v>0</v>
      </c>
      <c r="WK10" s="257">
        <v>0</v>
      </c>
      <c r="WL10" s="257">
        <v>0</v>
      </c>
      <c r="WM10" s="257">
        <v>0</v>
      </c>
      <c r="WN10" s="257">
        <v>0</v>
      </c>
      <c r="WO10" s="257">
        <v>0</v>
      </c>
      <c r="WP10" s="257">
        <v>0</v>
      </c>
      <c r="WQ10" s="257">
        <v>0</v>
      </c>
      <c r="WR10" s="257">
        <v>0</v>
      </c>
      <c r="WS10" s="572">
        <v>81.260000000000005</v>
      </c>
      <c r="WT10" s="572">
        <v>64.465135699373704</v>
      </c>
      <c r="WU10" s="572">
        <v>71.250939457202506</v>
      </c>
      <c r="WV10" s="572">
        <v>74.643841336116907</v>
      </c>
      <c r="WW10" s="572">
        <v>114.6800835073069</v>
      </c>
      <c r="WX10" s="247">
        <v>18148.91</v>
      </c>
      <c r="WY10" s="4">
        <v>78</v>
      </c>
      <c r="WZ10" s="4">
        <v>15</v>
      </c>
      <c r="XA10" s="4">
        <v>7.0000000000000009</v>
      </c>
      <c r="XB10" s="4">
        <v>0</v>
      </c>
      <c r="XC10" s="1037">
        <v>2763.23000780245</v>
      </c>
      <c r="XD10" s="1037">
        <v>0</v>
      </c>
      <c r="XE10" s="1037">
        <v>0</v>
      </c>
      <c r="XF10" s="1037">
        <v>0</v>
      </c>
      <c r="XG10" s="1037">
        <v>0</v>
      </c>
      <c r="XH10" s="1037">
        <v>0</v>
      </c>
      <c r="XI10" s="1037">
        <v>1163.4652664431369</v>
      </c>
      <c r="XJ10" s="1037">
        <v>0</v>
      </c>
      <c r="XK10" s="1037">
        <v>2964.2699619304926</v>
      </c>
      <c r="XL10" s="1037">
        <v>0</v>
      </c>
      <c r="XM10" s="1037">
        <v>0</v>
      </c>
      <c r="XN10" s="1037">
        <v>0</v>
      </c>
      <c r="XO10" s="1037">
        <v>0</v>
      </c>
      <c r="XP10" s="1037">
        <v>0</v>
      </c>
      <c r="XQ10" s="1037">
        <v>1248.11366818126</v>
      </c>
      <c r="XR10" s="1037">
        <v>0</v>
      </c>
      <c r="XS10" s="1037">
        <v>3105.4256744033728</v>
      </c>
      <c r="XT10" s="1037">
        <v>0</v>
      </c>
      <c r="XU10" s="1037">
        <v>0</v>
      </c>
      <c r="XV10" s="1037">
        <v>0</v>
      </c>
      <c r="XW10" s="1037">
        <v>0</v>
      </c>
      <c r="XX10" s="1037">
        <v>0</v>
      </c>
      <c r="XY10" s="1037">
        <v>1307.5476523803673</v>
      </c>
      <c r="XZ10" s="1037">
        <v>0</v>
      </c>
      <c r="YA10" s="1037">
        <v>4771.0630815833647</v>
      </c>
      <c r="YB10" s="1037">
        <v>0</v>
      </c>
      <c r="YC10" s="1037">
        <v>0</v>
      </c>
      <c r="YD10" s="1037">
        <v>0</v>
      </c>
      <c r="YE10" s="1037">
        <v>0</v>
      </c>
      <c r="YF10" s="1037">
        <v>0</v>
      </c>
      <c r="YG10" s="1037">
        <v>2008.8686659298376</v>
      </c>
      <c r="YH10" s="1037">
        <v>0</v>
      </c>
      <c r="YI10" s="1037">
        <v>1027.9215629025114</v>
      </c>
      <c r="YJ10" s="1037">
        <v>2218.1465304738404</v>
      </c>
      <c r="YK10" s="1037">
        <v>1677.1351815777819</v>
      </c>
      <c r="YL10" s="1037">
        <v>54.101134889605866</v>
      </c>
      <c r="YM10" s="1037">
        <v>0</v>
      </c>
      <c r="YN10" s="1037">
        <v>0</v>
      </c>
      <c r="YO10" s="1037">
        <v>432.80907911684693</v>
      </c>
      <c r="YP10" s="1037">
        <v>0</v>
      </c>
      <c r="YQ10" s="1037">
        <v>1102.7084258381431</v>
      </c>
      <c r="YR10" s="1037">
        <v>2379.5287083875719</v>
      </c>
      <c r="YS10" s="1037">
        <v>1799.1558526832862</v>
      </c>
      <c r="YT10" s="1037">
        <v>58.037285570428587</v>
      </c>
      <c r="YU10" s="1037">
        <v>0</v>
      </c>
      <c r="YV10" s="1037">
        <v>0</v>
      </c>
      <c r="YW10" s="1037">
        <v>464.29828456342869</v>
      </c>
      <c r="YX10" s="1037">
        <v>0</v>
      </c>
      <c r="YY10" s="1037">
        <v>1155.2183508780547</v>
      </c>
      <c r="YZ10" s="1037">
        <v>2492.8395992631704</v>
      </c>
      <c r="ZA10" s="1037">
        <v>1884.8299409062995</v>
      </c>
      <c r="ZB10" s="1037">
        <v>60.800965835687087</v>
      </c>
      <c r="ZC10" s="1037">
        <v>0</v>
      </c>
      <c r="ZD10" s="1037">
        <v>0</v>
      </c>
      <c r="ZE10" s="1037">
        <v>486.4077266854967</v>
      </c>
      <c r="ZF10" s="1037">
        <v>0</v>
      </c>
      <c r="ZG10" s="1037">
        <v>1774.8354663490113</v>
      </c>
      <c r="ZH10" s="1037">
        <v>3829.9081115952345</v>
      </c>
      <c r="ZI10" s="1037">
        <v>2895.7841819378605</v>
      </c>
      <c r="ZJ10" s="1037">
        <v>93.412392965737439</v>
      </c>
      <c r="ZK10" s="1037">
        <v>0</v>
      </c>
      <c r="ZL10" s="1037">
        <v>0</v>
      </c>
      <c r="ZM10" s="1037">
        <v>747.29914372589951</v>
      </c>
      <c r="ZN10" s="1037">
        <v>0</v>
      </c>
      <c r="ZO10" s="1037">
        <v>2735.5977077244256</v>
      </c>
      <c r="ZP10" s="1037">
        <v>5903.1318956158657</v>
      </c>
      <c r="ZQ10" s="1037">
        <v>4463.3436283924839</v>
      </c>
      <c r="ZR10" s="1037">
        <v>143.9788267223382</v>
      </c>
      <c r="ZS10" s="1037">
        <v>0</v>
      </c>
      <c r="ZT10" s="1037">
        <v>0</v>
      </c>
      <c r="ZU10" s="1037">
        <v>1151.8306137787056</v>
      </c>
      <c r="ZV10" s="1037">
        <v>0</v>
      </c>
      <c r="ZW10" s="1037">
        <v>3023.5553611691021</v>
      </c>
      <c r="ZX10" s="1037">
        <v>6524.5142004175359</v>
      </c>
      <c r="ZY10" s="1037">
        <v>4933.16927348643</v>
      </c>
      <c r="ZZ10" s="1037">
        <v>159.13449269311064</v>
      </c>
      <c r="AAA10" s="1037">
        <v>0</v>
      </c>
      <c r="AAB10" s="1037">
        <v>0</v>
      </c>
      <c r="AAC10" s="1037">
        <v>1273.0759415448852</v>
      </c>
      <c r="AAD10" s="1037">
        <v>0</v>
      </c>
      <c r="AAE10" s="1037">
        <v>3167.5341878914401</v>
      </c>
      <c r="AAF10" s="1037">
        <v>6835.2053528183706</v>
      </c>
      <c r="AAG10" s="1037">
        <v>5168.0820960334022</v>
      </c>
      <c r="AAH10" s="1037">
        <v>166.71232567849685</v>
      </c>
      <c r="AAI10" s="1037">
        <v>0</v>
      </c>
      <c r="AAJ10" s="1037">
        <v>0</v>
      </c>
      <c r="AAK10" s="1037">
        <v>1333.6986054279748</v>
      </c>
      <c r="AAL10" s="1037">
        <v>0</v>
      </c>
      <c r="AAM10" s="1037">
        <v>4866.484343215031</v>
      </c>
      <c r="AAN10" s="1037">
        <v>10501.360951148225</v>
      </c>
      <c r="AAO10" s="1037">
        <v>7940.053402087683</v>
      </c>
      <c r="AAP10" s="1037">
        <v>256.13075490605428</v>
      </c>
      <c r="AAQ10" s="1037">
        <v>0</v>
      </c>
      <c r="AAR10" s="1037">
        <v>0</v>
      </c>
      <c r="AAS10" s="1037">
        <v>2049.0460392484342</v>
      </c>
      <c r="AAT10" s="1037">
        <v>0</v>
      </c>
      <c r="AAU10" s="1037">
        <v>3763.5192706269372</v>
      </c>
      <c r="AAV10" s="1037">
        <v>8121.278426089706</v>
      </c>
      <c r="AAW10" s="1037">
        <v>6140.4788099702655</v>
      </c>
      <c r="AAX10" s="1037">
        <v>198.07996161194407</v>
      </c>
      <c r="AAY10" s="1037">
        <v>0</v>
      </c>
      <c r="AAZ10" s="1037">
        <v>0</v>
      </c>
      <c r="ABA10" s="1037">
        <v>1584.6396928955526</v>
      </c>
      <c r="ABB10" s="1037">
        <v>0</v>
      </c>
      <c r="ABC10" s="1037">
        <v>3983.9788288345817</v>
      </c>
      <c r="ABD10" s="1037">
        <v>8597.006946432517</v>
      </c>
      <c r="ABE10" s="1037">
        <v>6500.1759838880016</v>
      </c>
      <c r="ABF10" s="1037">
        <v>209.68309625445167</v>
      </c>
      <c r="ABG10" s="1037">
        <v>0</v>
      </c>
      <c r="ABH10" s="1037">
        <v>0</v>
      </c>
      <c r="ABI10" s="1037">
        <v>1677.4647700356134</v>
      </c>
      <c r="ABJ10" s="1037">
        <v>0</v>
      </c>
      <c r="ABK10" s="1037">
        <v>4173.6921063981326</v>
      </c>
      <c r="ABL10" s="1037">
        <v>9006.3882295959702</v>
      </c>
      <c r="ABM10" s="1037">
        <v>6809.7081735969541</v>
      </c>
      <c r="ABN10" s="1037">
        <v>219.66800559990173</v>
      </c>
      <c r="ABO10" s="1037">
        <v>0</v>
      </c>
      <c r="ABP10" s="1037">
        <v>0</v>
      </c>
      <c r="ABQ10" s="1037">
        <v>1757.3440447992139</v>
      </c>
      <c r="ABR10" s="1037">
        <v>0</v>
      </c>
      <c r="ABS10" s="1037">
        <v>0</v>
      </c>
      <c r="ABT10" s="1037">
        <v>0</v>
      </c>
      <c r="ABU10" s="1037">
        <v>0</v>
      </c>
      <c r="ABV10" s="1037">
        <v>0</v>
      </c>
      <c r="ABW10" s="1037">
        <v>0</v>
      </c>
      <c r="ABX10" s="1037">
        <v>0</v>
      </c>
      <c r="ABY10" s="1037">
        <v>0</v>
      </c>
      <c r="ABZ10" s="1037">
        <v>0</v>
      </c>
      <c r="ACA10" s="1037">
        <v>4874.337733763522</v>
      </c>
      <c r="ACB10" s="1037">
        <v>10518.307741279179</v>
      </c>
      <c r="ACC10" s="1037">
        <v>7952.866828772062</v>
      </c>
      <c r="ACD10" s="1037">
        <v>256.54409125071169</v>
      </c>
      <c r="ACE10" s="1037">
        <v>0</v>
      </c>
      <c r="ACF10" s="1037">
        <v>0</v>
      </c>
      <c r="ACG10" s="1037">
        <v>2052.3527300056935</v>
      </c>
      <c r="ACH10" s="1037">
        <v>0</v>
      </c>
      <c r="ACI10" s="1037">
        <v>5211.1865930738059</v>
      </c>
      <c r="ACJ10" s="1037">
        <v>11245.192121896107</v>
      </c>
      <c r="ACK10" s="1037">
        <v>8502.4623360677888</v>
      </c>
      <c r="ACL10" s="1037">
        <v>274.27297858283191</v>
      </c>
      <c r="ACM10" s="1037">
        <v>0</v>
      </c>
      <c r="ACN10" s="1037">
        <v>0</v>
      </c>
      <c r="ACO10" s="1037">
        <v>2194.1838286626553</v>
      </c>
      <c r="ACP10" s="1037">
        <v>0</v>
      </c>
      <c r="ACQ10" s="1037">
        <v>5459.33833560113</v>
      </c>
      <c r="ACR10" s="1037">
        <v>11780.677461034016</v>
      </c>
      <c r="ACS10" s="1037">
        <v>8907.3414949281596</v>
      </c>
      <c r="ACT10" s="1037">
        <v>287.3335966105858</v>
      </c>
      <c r="ACU10" s="1037">
        <v>0</v>
      </c>
      <c r="ACV10" s="1037">
        <v>0</v>
      </c>
      <c r="ACW10" s="1037">
        <v>2298.6687728846864</v>
      </c>
      <c r="ACX10" s="1037">
        <v>0</v>
      </c>
      <c r="ACY10" s="1037">
        <v>8387.5288974235536</v>
      </c>
      <c r="ACZ10" s="1037">
        <v>18099.404462861352</v>
      </c>
      <c r="ADA10" s="1037">
        <v>13684.915569480536</v>
      </c>
      <c r="ADB10" s="1037">
        <v>441.44888933808181</v>
      </c>
      <c r="ADC10" s="1037">
        <v>0</v>
      </c>
      <c r="ADD10" s="1037">
        <v>0</v>
      </c>
      <c r="ADE10" s="1037">
        <v>3531.5911147046545</v>
      </c>
      <c r="ADF10" s="1037">
        <v>0</v>
      </c>
      <c r="ADG10" s="1037">
        <v>5951.9974368064777</v>
      </c>
      <c r="ADH10" s="1037">
        <v>12843.783942582399</v>
      </c>
      <c r="ADI10" s="1037">
        <v>9711.1537126842541</v>
      </c>
      <c r="ADJ10" s="1037">
        <v>313.26302298981466</v>
      </c>
      <c r="ADK10" s="1037">
        <v>0</v>
      </c>
      <c r="ADL10" s="1037">
        <v>0</v>
      </c>
      <c r="ADM10" s="1037">
        <v>2506.1041839185173</v>
      </c>
      <c r="ADN10" s="1037">
        <v>0</v>
      </c>
      <c r="ADO10" s="1037">
        <v>6402.8231177698644</v>
      </c>
      <c r="ADP10" s="1037">
        <v>13816.618306766548</v>
      </c>
      <c r="ADQ10" s="1037">
        <v>10446.711402677147</v>
      </c>
      <c r="ADR10" s="1037">
        <v>336.99069040894022</v>
      </c>
      <c r="ADS10" s="1037">
        <v>0</v>
      </c>
      <c r="ADT10" s="1037">
        <v>0</v>
      </c>
      <c r="ADU10" s="1037">
        <v>2695.9255232715218</v>
      </c>
      <c r="ADV10" s="1037">
        <v>0</v>
      </c>
      <c r="ADW10" s="1037">
        <v>6707.7194567112847</v>
      </c>
      <c r="ADX10" s="1037">
        <v>14474.552511850667</v>
      </c>
      <c r="ADY10" s="1037">
        <v>10944.173850423675</v>
      </c>
      <c r="ADZ10" s="1037">
        <v>353.03786614269922</v>
      </c>
      <c r="AEA10" s="1037">
        <v>0</v>
      </c>
      <c r="AEB10" s="1037">
        <v>0</v>
      </c>
      <c r="AEC10" s="1037">
        <v>2824.3029291415937</v>
      </c>
      <c r="AED10" s="1037">
        <v>0</v>
      </c>
      <c r="AEE10" s="1037">
        <v>10305.496256220067</v>
      </c>
      <c r="AEF10" s="1037">
        <v>22238.176131843302</v>
      </c>
      <c r="AEG10" s="1037">
        <v>16814.230733832741</v>
      </c>
      <c r="AEH10" s="1037">
        <v>542.39453980105623</v>
      </c>
      <c r="AEI10" s="1037">
        <v>0</v>
      </c>
      <c r="AEJ10" s="1037">
        <v>0</v>
      </c>
      <c r="AEK10" s="1037">
        <v>4339.1563184084498</v>
      </c>
      <c r="AEL10" s="1037">
        <v>0</v>
      </c>
      <c r="AEM10" s="1037">
        <v>6863.8633393812879</v>
      </c>
      <c r="AEN10" s="1037">
        <v>14811.494574454357</v>
      </c>
      <c r="AEO10" s="1037">
        <v>11198.934922148417</v>
      </c>
      <c r="AEP10" s="1037">
        <v>361.25596523059409</v>
      </c>
      <c r="AEQ10" s="1037">
        <v>0</v>
      </c>
      <c r="AER10" s="1037">
        <v>0</v>
      </c>
      <c r="AES10" s="1037">
        <v>2890.0477218447527</v>
      </c>
      <c r="AET10" s="1037">
        <v>0</v>
      </c>
      <c r="AEU10" s="1037">
        <v>7292.1041063490102</v>
      </c>
      <c r="AEV10" s="1037">
        <v>15735.593071595233</v>
      </c>
      <c r="AEW10" s="1037">
        <v>11897.643541937859</v>
      </c>
      <c r="AEX10" s="1037">
        <v>383.79495296573742</v>
      </c>
      <c r="AEY10" s="1037">
        <v>0</v>
      </c>
      <c r="AEZ10" s="1037">
        <v>0</v>
      </c>
      <c r="AFA10" s="1037">
        <v>3070.3596237258994</v>
      </c>
      <c r="AFB10" s="1037">
        <v>0</v>
      </c>
      <c r="AFC10" s="1037">
        <v>7639.347159032297</v>
      </c>
      <c r="AFD10" s="1037">
        <v>16484.907027385481</v>
      </c>
      <c r="AFE10" s="1037">
        <v>12464.197996315854</v>
      </c>
      <c r="AFF10" s="1037">
        <v>402.07090310696304</v>
      </c>
      <c r="AFG10" s="1037">
        <v>0</v>
      </c>
      <c r="AFH10" s="1037">
        <v>0</v>
      </c>
      <c r="AFI10" s="1037">
        <v>3216.5672248557044</v>
      </c>
      <c r="AFJ10" s="1037">
        <v>0</v>
      </c>
      <c r="AFK10" s="1037">
        <v>11736.815180695075</v>
      </c>
      <c r="AFL10" s="1037">
        <v>25326.811705710425</v>
      </c>
      <c r="AFM10" s="1037">
        <v>19149.540557976175</v>
      </c>
      <c r="AFN10" s="1037">
        <v>617.727114773425</v>
      </c>
      <c r="AFO10" s="1037">
        <v>0</v>
      </c>
      <c r="AFP10" s="1037">
        <v>0</v>
      </c>
      <c r="AFQ10" s="1037">
        <v>4941.8169181874</v>
      </c>
      <c r="AFR10" s="1037">
        <v>0</v>
      </c>
      <c r="AFS10" s="247">
        <v>2735.5977077244256</v>
      </c>
      <c r="AFT10" s="247">
        <v>5903.1318956158657</v>
      </c>
      <c r="AFU10" s="247">
        <v>4463.3436283924839</v>
      </c>
      <c r="AFV10" s="247">
        <v>143.9788267223382</v>
      </c>
      <c r="AFW10" s="247">
        <v>0</v>
      </c>
      <c r="AFX10" s="247">
        <v>0</v>
      </c>
      <c r="AFY10" s="247">
        <v>1151.8306137787056</v>
      </c>
      <c r="AFZ10" s="247">
        <v>0</v>
      </c>
      <c r="AGA10" s="247">
        <v>3023.5553611691021</v>
      </c>
      <c r="AGB10" s="247">
        <v>6524.5142004175359</v>
      </c>
      <c r="AGC10" s="247">
        <v>4933.16927348643</v>
      </c>
      <c r="AGD10" s="247">
        <v>159.13449269311064</v>
      </c>
      <c r="AGE10" s="247">
        <v>0</v>
      </c>
      <c r="AGF10" s="247">
        <v>0</v>
      </c>
      <c r="AGG10" s="247">
        <v>1273.0759415448852</v>
      </c>
      <c r="AGH10" s="247">
        <v>0</v>
      </c>
      <c r="AGI10" s="247">
        <v>3167.5341878914401</v>
      </c>
      <c r="AGJ10" s="247">
        <v>6835.2053528183706</v>
      </c>
      <c r="AGK10" s="247">
        <v>5168.0820960334022</v>
      </c>
      <c r="AGL10" s="247">
        <v>166.71232567849685</v>
      </c>
      <c r="AGM10" s="247">
        <v>0</v>
      </c>
      <c r="AGN10" s="247">
        <v>0</v>
      </c>
      <c r="AGO10" s="247">
        <v>1333.6986054279748</v>
      </c>
      <c r="AGP10" s="247">
        <v>0</v>
      </c>
      <c r="AGQ10" s="247">
        <v>4866.484343215031</v>
      </c>
      <c r="AGR10" s="247">
        <v>10501.360951148225</v>
      </c>
      <c r="AGS10" s="247">
        <v>7940.053402087683</v>
      </c>
      <c r="AGT10" s="247">
        <v>256.13075490605428</v>
      </c>
      <c r="AGU10" s="247">
        <v>0</v>
      </c>
      <c r="AGV10" s="247">
        <v>0</v>
      </c>
      <c r="AGW10" s="247">
        <v>2049.0460392484342</v>
      </c>
      <c r="AGX10" s="247">
        <v>0</v>
      </c>
      <c r="AGY10" s="249">
        <v>0</v>
      </c>
      <c r="AGZ10" s="249">
        <v>0</v>
      </c>
      <c r="AHA10" s="249">
        <v>0</v>
      </c>
      <c r="AHB10" s="249">
        <v>0</v>
      </c>
      <c r="AHC10" s="249">
        <v>0</v>
      </c>
      <c r="AHD10" s="249">
        <v>0</v>
      </c>
      <c r="AHE10" s="249">
        <v>0</v>
      </c>
      <c r="AHF10" s="249">
        <v>0</v>
      </c>
      <c r="AHG10" s="249">
        <v>0</v>
      </c>
      <c r="AHH10" s="249">
        <v>0</v>
      </c>
      <c r="AHI10" s="249">
        <v>0</v>
      </c>
      <c r="AHJ10" s="249">
        <v>0</v>
      </c>
      <c r="AHK10" s="249">
        <v>0</v>
      </c>
      <c r="AHL10" s="249">
        <v>0</v>
      </c>
      <c r="AHM10" s="249">
        <v>0</v>
      </c>
      <c r="AHN10" s="249">
        <v>0</v>
      </c>
      <c r="AHO10" s="249">
        <v>0</v>
      </c>
      <c r="AHP10" s="249">
        <v>0</v>
      </c>
      <c r="AHQ10" s="249">
        <v>0</v>
      </c>
      <c r="AHR10" s="249">
        <v>0</v>
      </c>
      <c r="AHS10" s="249">
        <v>0</v>
      </c>
      <c r="AHT10" s="249">
        <v>0</v>
      </c>
      <c r="AHU10" s="249">
        <v>0</v>
      </c>
      <c r="AHV10" s="249">
        <v>0</v>
      </c>
      <c r="AHW10" s="249">
        <v>0</v>
      </c>
      <c r="AHX10" s="249">
        <v>0</v>
      </c>
      <c r="AHY10" s="249">
        <v>0</v>
      </c>
      <c r="AHZ10" s="249">
        <v>0</v>
      </c>
      <c r="AIA10" s="249">
        <v>0</v>
      </c>
      <c r="AIB10" s="249">
        <v>0</v>
      </c>
      <c r="AIC10" s="249">
        <v>0</v>
      </c>
      <c r="AID10" s="249">
        <v>0</v>
      </c>
      <c r="AIE10" s="249"/>
      <c r="AIF10" s="249"/>
      <c r="AIG10" s="249"/>
      <c r="AIH10" s="249"/>
      <c r="AII10" s="249"/>
      <c r="AIJ10" s="249"/>
      <c r="AIK10" s="249"/>
      <c r="AIL10" s="249"/>
      <c r="AIM10" s="249">
        <v>0</v>
      </c>
      <c r="AIN10" s="249">
        <v>0</v>
      </c>
      <c r="AIO10" s="249">
        <v>0</v>
      </c>
      <c r="AIP10" s="249">
        <v>0</v>
      </c>
      <c r="AIQ10" s="249">
        <v>0</v>
      </c>
      <c r="AIR10" s="249">
        <v>0</v>
      </c>
      <c r="AIS10" s="249">
        <v>0</v>
      </c>
      <c r="AIT10" s="249">
        <v>0</v>
      </c>
      <c r="AIU10" s="134" t="s">
        <v>1216</v>
      </c>
      <c r="AIV10" s="134" t="s">
        <v>1219</v>
      </c>
      <c r="AIW10" s="134" t="s">
        <v>1218</v>
      </c>
      <c r="AIX10" s="134" t="s">
        <v>1217</v>
      </c>
      <c r="AIY10" s="134" t="s">
        <v>1228</v>
      </c>
      <c r="AIZ10" s="134" t="s">
        <v>1229</v>
      </c>
      <c r="AJA10" s="134" t="s">
        <v>1230</v>
      </c>
      <c r="AJB10" s="134" t="s">
        <v>1231</v>
      </c>
      <c r="AJC10" s="134" t="s">
        <v>1232</v>
      </c>
      <c r="AJD10" s="134" t="s">
        <v>1233</v>
      </c>
    </row>
    <row r="11" spans="1:940" ht="18" customHeight="1">
      <c r="A11" s="664" t="s">
        <v>3</v>
      </c>
      <c r="B11" s="669">
        <v>-0.7</v>
      </c>
      <c r="C11" s="6">
        <v>-0.6</v>
      </c>
      <c r="D11" s="6">
        <v>-0.6</v>
      </c>
      <c r="E11" s="74">
        <v>560.63201663201664</v>
      </c>
      <c r="F11" s="75">
        <v>-2.7</v>
      </c>
      <c r="G11" s="7">
        <v>-7.7</v>
      </c>
      <c r="H11" s="7">
        <v>-7.7</v>
      </c>
      <c r="I11" s="266">
        <v>350</v>
      </c>
      <c r="J11" s="125">
        <v>0</v>
      </c>
      <c r="K11" s="125">
        <v>0</v>
      </c>
      <c r="L11" s="125">
        <v>0</v>
      </c>
      <c r="M11" s="1">
        <v>1452.3152080465572</v>
      </c>
      <c r="N11" s="2">
        <v>12</v>
      </c>
      <c r="O11" s="8">
        <v>0.4</v>
      </c>
      <c r="P11" s="8">
        <v>0.4</v>
      </c>
      <c r="Q11" s="8">
        <v>0.4</v>
      </c>
      <c r="R11" s="7">
        <v>0.2</v>
      </c>
      <c r="S11" s="7">
        <v>0.1</v>
      </c>
      <c r="T11" s="7">
        <v>99.6</v>
      </c>
      <c r="U11" s="7">
        <v>0.1</v>
      </c>
      <c r="V11" s="71">
        <v>0</v>
      </c>
      <c r="W11" s="119">
        <v>2</v>
      </c>
      <c r="X11" s="120">
        <v>1.5</v>
      </c>
      <c r="Y11" s="119">
        <v>1</v>
      </c>
      <c r="Z11" s="120">
        <v>0.8</v>
      </c>
      <c r="AA11" s="120">
        <v>0.5</v>
      </c>
      <c r="AB11" s="559">
        <v>433.01922201480062</v>
      </c>
      <c r="AC11" s="559">
        <v>470.67306740739195</v>
      </c>
      <c r="AD11" s="559">
        <v>433.37222681535616</v>
      </c>
      <c r="AE11" s="559">
        <v>649.0581599547935</v>
      </c>
      <c r="AF11" s="622">
        <v>0.82209484106305364</v>
      </c>
      <c r="AG11" s="559">
        <v>261.91600618637949</v>
      </c>
      <c r="AH11" s="559">
        <v>284.69131107215162</v>
      </c>
      <c r="AI11" s="559">
        <v>262.12952466968363</v>
      </c>
      <c r="AJ11" s="559">
        <v>392.58931796849708</v>
      </c>
      <c r="AK11" s="622">
        <v>0.96717040125065135</v>
      </c>
      <c r="AL11" s="995">
        <v>0</v>
      </c>
      <c r="AM11" s="995">
        <v>0.1</v>
      </c>
      <c r="AN11" s="995">
        <v>0.2</v>
      </c>
      <c r="AO11" s="995">
        <v>0.3</v>
      </c>
      <c r="AP11" s="995">
        <v>0.4</v>
      </c>
      <c r="AQ11" s="995">
        <v>0.6</v>
      </c>
      <c r="AR11" s="995">
        <v>0.8</v>
      </c>
      <c r="AS11" s="1005">
        <v>0</v>
      </c>
      <c r="AT11" s="1005">
        <v>10</v>
      </c>
      <c r="AU11" s="1005">
        <v>20</v>
      </c>
      <c r="AV11" s="1005">
        <v>70</v>
      </c>
      <c r="AW11" s="1005">
        <v>100</v>
      </c>
      <c r="AX11" s="1">
        <v>8452.0349605494575</v>
      </c>
      <c r="AY11" s="5">
        <v>1.56</v>
      </c>
      <c r="AZ11" s="8">
        <v>0.7</v>
      </c>
      <c r="BA11" s="8">
        <v>0.4</v>
      </c>
      <c r="BB11" s="8">
        <v>0.4</v>
      </c>
      <c r="BC11" s="73">
        <v>0.17007468960337721</v>
      </c>
      <c r="BD11" s="73">
        <v>0.17500236602736474</v>
      </c>
      <c r="BE11" s="9">
        <v>2.4466324694609898E-4</v>
      </c>
      <c r="BF11" s="9">
        <v>3.065486564677593E-3</v>
      </c>
      <c r="BG11" s="9">
        <v>0.22152098217613855</v>
      </c>
      <c r="BH11" s="9">
        <v>52.250412545410221</v>
      </c>
      <c r="BI11" s="9">
        <v>0.33272762389099186</v>
      </c>
      <c r="BJ11" s="9"/>
      <c r="BK11" s="9">
        <v>46.494896756427373</v>
      </c>
      <c r="BL11" s="9">
        <v>0.47892110991913739</v>
      </c>
      <c r="BM11" s="9"/>
      <c r="BN11" s="9"/>
      <c r="BO11" s="9"/>
      <c r="BP11" s="9"/>
      <c r="BQ11" s="9">
        <v>0.1778413966184085</v>
      </c>
      <c r="BR11" s="9">
        <v>1.0074368991898192E-4</v>
      </c>
      <c r="BS11" s="9">
        <v>4.0268692056187341E-2</v>
      </c>
      <c r="BT11" s="262">
        <v>261.13475999999997</v>
      </c>
      <c r="BU11" s="262">
        <v>96.5</v>
      </c>
      <c r="BV11" s="262">
        <v>63.215999999999994</v>
      </c>
      <c r="BW11" s="262">
        <v>233.35949490734063</v>
      </c>
      <c r="BX11" s="262">
        <v>157.40783999999999</v>
      </c>
      <c r="BY11" s="68"/>
      <c r="BZ11" s="262">
        <v>256.20808011776955</v>
      </c>
      <c r="CA11" s="262">
        <v>165.17663999999999</v>
      </c>
      <c r="CB11" s="68"/>
      <c r="CC11" s="785">
        <v>0</v>
      </c>
      <c r="CD11" s="262">
        <v>6.585</v>
      </c>
      <c r="CE11" s="262">
        <v>1.3169999999999999</v>
      </c>
      <c r="CF11" s="262">
        <v>38</v>
      </c>
      <c r="CG11" s="262">
        <v>225.83915999999996</v>
      </c>
      <c r="CH11" s="68">
        <v>0.2</v>
      </c>
      <c r="CI11" s="262">
        <v>175.08124000000001</v>
      </c>
      <c r="CJ11" s="262">
        <v>60.4</v>
      </c>
      <c r="CK11" s="262">
        <v>42.384</v>
      </c>
      <c r="CL11" s="262">
        <v>156.45894761061641</v>
      </c>
      <c r="CM11" s="262">
        <v>105.53616</v>
      </c>
      <c r="CN11" s="68"/>
      <c r="CO11" s="262">
        <v>159.24945066654416</v>
      </c>
      <c r="CP11" s="262">
        <v>102.66767999999999</v>
      </c>
      <c r="CQ11" s="68"/>
      <c r="CR11" s="262">
        <v>0</v>
      </c>
      <c r="CS11" s="262">
        <v>4.415</v>
      </c>
      <c r="CT11" s="262">
        <v>0.88300000000000001</v>
      </c>
      <c r="CU11" s="262">
        <v>27</v>
      </c>
      <c r="CV11" s="262">
        <v>151.41683999999998</v>
      </c>
      <c r="CW11" s="68">
        <v>0.2</v>
      </c>
      <c r="CX11" s="120">
        <v>0.3</v>
      </c>
      <c r="CY11" s="120">
        <v>0.7</v>
      </c>
      <c r="CZ11" s="120">
        <v>1.2</v>
      </c>
      <c r="DA11" s="120">
        <v>1.2</v>
      </c>
      <c r="DB11" s="119">
        <v>3</v>
      </c>
      <c r="DC11" s="1005">
        <v>0</v>
      </c>
      <c r="DD11" s="1005">
        <v>10</v>
      </c>
      <c r="DE11" s="1005">
        <v>20</v>
      </c>
      <c r="DF11" s="1005">
        <v>70</v>
      </c>
      <c r="DG11" s="1005">
        <v>100</v>
      </c>
      <c r="DH11" s="2">
        <v>4.3575044789523458</v>
      </c>
      <c r="DI11" s="2">
        <v>18</v>
      </c>
      <c r="DJ11" s="63">
        <v>12</v>
      </c>
      <c r="DK11" s="8">
        <v>1.6</v>
      </c>
      <c r="DL11" s="8">
        <v>0.9</v>
      </c>
      <c r="DM11" s="8">
        <v>0.9</v>
      </c>
      <c r="DN11" s="1030" t="s">
        <v>999</v>
      </c>
      <c r="DO11" s="1030" t="s">
        <v>997</v>
      </c>
      <c r="DP11" s="1030" t="s">
        <v>997</v>
      </c>
      <c r="DQ11" s="1030" t="s">
        <v>997</v>
      </c>
      <c r="DR11" s="1030" t="s">
        <v>997</v>
      </c>
      <c r="DS11" s="1030" t="s">
        <v>997</v>
      </c>
      <c r="DT11" s="1030" t="s">
        <v>997</v>
      </c>
      <c r="DU11" s="1097">
        <v>542.5</v>
      </c>
      <c r="DV11" s="1097">
        <v>0</v>
      </c>
      <c r="DW11" s="1097">
        <v>0</v>
      </c>
      <c r="DX11" s="1097">
        <v>0</v>
      </c>
      <c r="DY11" s="1097">
        <v>0</v>
      </c>
      <c r="DZ11" s="1097">
        <v>0</v>
      </c>
      <c r="EA11" s="1097">
        <v>0</v>
      </c>
      <c r="EB11" s="207">
        <v>0.54249999999999998</v>
      </c>
      <c r="EC11" s="207">
        <v>18</v>
      </c>
      <c r="ED11" s="221">
        <v>5</v>
      </c>
      <c r="EE11" s="214">
        <v>1.6</v>
      </c>
      <c r="EF11" s="214">
        <v>0.9</v>
      </c>
      <c r="EG11" s="214">
        <v>0.9</v>
      </c>
      <c r="EH11" s="208" t="s">
        <v>999</v>
      </c>
      <c r="EI11" s="204" t="s">
        <v>997</v>
      </c>
      <c r="EJ11" s="204" t="s">
        <v>997</v>
      </c>
      <c r="EK11" s="204" t="s">
        <v>997</v>
      </c>
      <c r="EL11" s="204" t="s">
        <v>997</v>
      </c>
      <c r="EM11" s="204" t="s">
        <v>997</v>
      </c>
      <c r="EN11" s="204" t="s">
        <v>997</v>
      </c>
      <c r="EO11" s="204" t="s">
        <v>997</v>
      </c>
      <c r="EP11" s="204" t="s">
        <v>997</v>
      </c>
      <c r="EQ11" s="204" t="s">
        <v>997</v>
      </c>
      <c r="ER11" s="204" t="s">
        <v>997</v>
      </c>
      <c r="ES11" s="204" t="s">
        <v>997</v>
      </c>
      <c r="ET11" s="204" t="s">
        <v>997</v>
      </c>
      <c r="EU11" s="204" t="s">
        <v>997</v>
      </c>
      <c r="EV11" s="204" t="s">
        <v>997</v>
      </c>
      <c r="EW11" s="204" t="s">
        <v>997</v>
      </c>
      <c r="EX11" s="204" t="s">
        <v>997</v>
      </c>
      <c r="EY11" s="204" t="s">
        <v>997</v>
      </c>
      <c r="EZ11" s="204" t="s">
        <v>997</v>
      </c>
      <c r="FA11" s="204" t="s">
        <v>997</v>
      </c>
      <c r="FB11" s="204" t="s">
        <v>997</v>
      </c>
      <c r="FC11" s="204" t="s">
        <v>997</v>
      </c>
      <c r="FD11" s="204" t="s">
        <v>997</v>
      </c>
      <c r="FE11" s="204" t="s">
        <v>997</v>
      </c>
      <c r="FF11" s="204" t="s">
        <v>997</v>
      </c>
      <c r="FG11" s="204" t="s">
        <v>997</v>
      </c>
      <c r="FH11" s="204" t="s">
        <v>997</v>
      </c>
      <c r="FI11" s="204" t="s">
        <v>997</v>
      </c>
      <c r="FJ11" s="204" t="s">
        <v>997</v>
      </c>
      <c r="FK11" s="204" t="s">
        <v>997</v>
      </c>
      <c r="FL11" s="204" t="s">
        <v>997</v>
      </c>
      <c r="FM11" s="204" t="s">
        <v>997</v>
      </c>
      <c r="FN11" s="204" t="s">
        <v>997</v>
      </c>
      <c r="FO11" s="204" t="s">
        <v>997</v>
      </c>
      <c r="FP11" s="204" t="s">
        <v>997</v>
      </c>
      <c r="FQ11" s="204" t="s">
        <v>997</v>
      </c>
      <c r="FR11" s="204" t="s">
        <v>997</v>
      </c>
      <c r="FS11" s="204" t="s">
        <v>997</v>
      </c>
      <c r="FT11" s="204" t="s">
        <v>997</v>
      </c>
      <c r="FU11" s="204" t="s">
        <v>997</v>
      </c>
      <c r="FV11" s="204" t="s">
        <v>997</v>
      </c>
      <c r="FW11" s="204" t="s">
        <v>997</v>
      </c>
      <c r="FX11" s="204" t="s">
        <v>997</v>
      </c>
      <c r="FY11" s="204" t="s">
        <v>997</v>
      </c>
      <c r="FZ11" s="204" t="s">
        <v>997</v>
      </c>
      <c r="GA11" s="204" t="s">
        <v>997</v>
      </c>
      <c r="GB11" s="204" t="s">
        <v>997</v>
      </c>
      <c r="GC11" s="204" t="s">
        <v>997</v>
      </c>
      <c r="GD11" s="204" t="s">
        <v>997</v>
      </c>
      <c r="GE11" s="204" t="s">
        <v>997</v>
      </c>
      <c r="GF11" s="204" t="s">
        <v>997</v>
      </c>
      <c r="GG11" s="204" t="s">
        <v>997</v>
      </c>
      <c r="GH11" s="204" t="s">
        <v>997</v>
      </c>
      <c r="GI11" s="204" t="s">
        <v>997</v>
      </c>
      <c r="GJ11" s="204" t="s">
        <v>997</v>
      </c>
      <c r="GK11" s="204" t="s">
        <v>997</v>
      </c>
      <c r="GL11" s="204" t="s">
        <v>997</v>
      </c>
      <c r="GM11" s="204" t="s">
        <v>997</v>
      </c>
      <c r="GN11" s="1051">
        <v>542.5</v>
      </c>
      <c r="GO11" s="1051">
        <v>0</v>
      </c>
      <c r="GP11" s="1051">
        <v>0</v>
      </c>
      <c r="GQ11" s="1051">
        <v>0</v>
      </c>
      <c r="GR11" s="1051">
        <v>0</v>
      </c>
      <c r="GS11" s="1051">
        <v>0</v>
      </c>
      <c r="GT11" s="1051">
        <v>0</v>
      </c>
      <c r="GU11" s="1051">
        <v>0</v>
      </c>
      <c r="GV11" s="1051">
        <v>0</v>
      </c>
      <c r="GW11" s="1051">
        <v>0</v>
      </c>
      <c r="GX11" s="1051">
        <v>0</v>
      </c>
      <c r="GY11" s="1051">
        <v>0</v>
      </c>
      <c r="GZ11" s="1051">
        <v>0</v>
      </c>
      <c r="HA11" s="1051">
        <v>0</v>
      </c>
      <c r="HB11" s="1051">
        <v>0</v>
      </c>
      <c r="HC11" s="1051">
        <v>0</v>
      </c>
      <c r="HD11" s="1051">
        <v>0</v>
      </c>
      <c r="HE11" s="1051">
        <v>0</v>
      </c>
      <c r="HF11" s="1051">
        <v>0</v>
      </c>
      <c r="HG11" s="1051">
        <v>0</v>
      </c>
      <c r="HH11" s="1051">
        <v>0</v>
      </c>
      <c r="HI11" s="1051">
        <v>0</v>
      </c>
      <c r="HJ11" s="1051">
        <v>0</v>
      </c>
      <c r="HK11" s="1051">
        <v>0</v>
      </c>
      <c r="HL11" s="1051">
        <v>0</v>
      </c>
      <c r="HM11" s="1051">
        <v>0</v>
      </c>
      <c r="HN11" s="1051">
        <v>0</v>
      </c>
      <c r="HO11" s="1051">
        <v>0</v>
      </c>
      <c r="HP11" s="1051">
        <v>0</v>
      </c>
      <c r="HQ11" s="1051">
        <v>0</v>
      </c>
      <c r="HR11" s="1051">
        <v>0</v>
      </c>
      <c r="HS11" s="1051">
        <v>0</v>
      </c>
      <c r="HT11" s="1051">
        <v>0</v>
      </c>
      <c r="HU11" s="1051">
        <v>0</v>
      </c>
      <c r="HV11" s="1051">
        <v>0</v>
      </c>
      <c r="HW11" s="1051">
        <v>0</v>
      </c>
      <c r="HX11" s="1051">
        <v>0</v>
      </c>
      <c r="HY11" s="1051">
        <v>0</v>
      </c>
      <c r="HZ11" s="1051">
        <v>0</v>
      </c>
      <c r="IA11" s="1051">
        <v>0</v>
      </c>
      <c r="IB11" s="1051">
        <v>0</v>
      </c>
      <c r="IC11" s="1051">
        <v>0</v>
      </c>
      <c r="ID11" s="1051">
        <v>0</v>
      </c>
      <c r="IE11" s="1051">
        <v>0</v>
      </c>
      <c r="IF11" s="1051">
        <v>0</v>
      </c>
      <c r="IG11" s="1051">
        <v>0</v>
      </c>
      <c r="IH11" s="1051">
        <v>0</v>
      </c>
      <c r="II11" s="1051">
        <v>0</v>
      </c>
      <c r="IJ11" s="1051">
        <v>0</v>
      </c>
      <c r="IK11" s="1051">
        <v>0</v>
      </c>
      <c r="IL11" s="1051">
        <v>0</v>
      </c>
      <c r="IM11" s="1051">
        <v>0</v>
      </c>
      <c r="IN11" s="1051">
        <v>0</v>
      </c>
      <c r="IO11" s="1051">
        <v>0</v>
      </c>
      <c r="IP11" s="1051">
        <v>0</v>
      </c>
      <c r="IQ11" s="1051">
        <v>0</v>
      </c>
      <c r="IR11" s="1051">
        <v>0</v>
      </c>
      <c r="IS11" s="1051">
        <v>0</v>
      </c>
      <c r="IT11" s="215">
        <v>213.40125160701552</v>
      </c>
      <c r="IU11" s="207">
        <v>179.9</v>
      </c>
      <c r="IV11" s="216">
        <v>2647.0800000000199</v>
      </c>
      <c r="IW11" s="272">
        <v>12.64</v>
      </c>
      <c r="IX11" s="207">
        <v>50</v>
      </c>
      <c r="IY11" s="204">
        <v>1.6</v>
      </c>
      <c r="IZ11" s="204">
        <v>0.9</v>
      </c>
      <c r="JA11" s="204">
        <v>0.9</v>
      </c>
      <c r="JB11" s="52">
        <v>2</v>
      </c>
      <c r="JC11" s="24">
        <v>1.5</v>
      </c>
      <c r="JD11" s="24">
        <v>0.7</v>
      </c>
      <c r="JE11" s="24">
        <v>0.7</v>
      </c>
      <c r="JF11" s="24">
        <v>0.5</v>
      </c>
      <c r="JG11" s="1">
        <v>51.912290572117769</v>
      </c>
      <c r="JH11" s="216">
        <v>2647.0800000000199</v>
      </c>
      <c r="JI11" s="272">
        <v>12.64</v>
      </c>
      <c r="JJ11" s="207">
        <v>50</v>
      </c>
      <c r="JK11" s="8">
        <v>2.2000000000000002</v>
      </c>
      <c r="JL11" s="8">
        <v>1.5</v>
      </c>
      <c r="JM11" s="8">
        <v>1.5</v>
      </c>
      <c r="JN11" s="216">
        <v>2</v>
      </c>
      <c r="JO11" s="216">
        <v>2</v>
      </c>
      <c r="JP11" s="216">
        <v>1</v>
      </c>
      <c r="JQ11" s="216">
        <v>1</v>
      </c>
      <c r="JR11" s="214">
        <v>0.5</v>
      </c>
      <c r="JS11" s="1212">
        <v>2000</v>
      </c>
      <c r="JT11" s="215">
        <v>114.97228988217823</v>
      </c>
      <c r="JU11" s="215">
        <v>500</v>
      </c>
      <c r="JV11" s="207">
        <v>1.3</v>
      </c>
      <c r="JW11" s="207">
        <v>0.9</v>
      </c>
      <c r="JX11" s="207">
        <v>0.9</v>
      </c>
      <c r="JY11" s="214">
        <v>2</v>
      </c>
      <c r="JZ11" s="214">
        <v>1.5</v>
      </c>
      <c r="KA11" s="214">
        <v>0.5</v>
      </c>
      <c r="KB11" s="214">
        <v>1</v>
      </c>
      <c r="KC11" s="214">
        <v>0.5</v>
      </c>
      <c r="KD11" s="1186"/>
      <c r="KE11" s="1186"/>
      <c r="KF11" s="1186"/>
      <c r="KG11" s="1186"/>
      <c r="KH11" s="1186"/>
      <c r="KI11" s="1186"/>
      <c r="KJ11" s="1186"/>
      <c r="KK11" s="1186"/>
      <c r="KL11" s="1186"/>
      <c r="KM11" s="1187">
        <v>580</v>
      </c>
      <c r="KN11" s="1187">
        <v>580</v>
      </c>
      <c r="KO11" s="1187">
        <v>580</v>
      </c>
      <c r="KP11" s="1187">
        <v>580</v>
      </c>
      <c r="KQ11" s="1187"/>
      <c r="KR11" s="1187">
        <v>580</v>
      </c>
      <c r="KS11" s="1187">
        <v>580</v>
      </c>
      <c r="KT11" s="1187">
        <v>580</v>
      </c>
      <c r="KU11" s="1187">
        <v>580</v>
      </c>
      <c r="KV11" s="262">
        <v>370</v>
      </c>
      <c r="KW11" s="262">
        <v>370</v>
      </c>
      <c r="KX11" s="262">
        <v>370</v>
      </c>
      <c r="KY11" s="262">
        <v>370</v>
      </c>
      <c r="KZ11" s="262"/>
      <c r="LA11" s="262">
        <v>370</v>
      </c>
      <c r="LB11" s="262">
        <v>370</v>
      </c>
      <c r="LC11" s="262">
        <v>370</v>
      </c>
      <c r="LD11" s="262">
        <v>370</v>
      </c>
      <c r="LE11" s="1213">
        <v>0</v>
      </c>
      <c r="LF11" s="1213">
        <v>10</v>
      </c>
      <c r="LG11" s="1213">
        <v>20</v>
      </c>
      <c r="LH11" s="1213">
        <v>70</v>
      </c>
      <c r="LI11" s="1213">
        <v>100</v>
      </c>
      <c r="LJ11" s="1212">
        <v>1000</v>
      </c>
      <c r="LK11" s="1">
        <v>904.49744583569725</v>
      </c>
      <c r="LL11" s="4">
        <v>29</v>
      </c>
      <c r="LM11" s="8">
        <v>1.8</v>
      </c>
      <c r="LN11" s="8">
        <v>1.1000000000000001</v>
      </c>
      <c r="LO11" s="8">
        <v>1.1000000000000001</v>
      </c>
      <c r="LP11" s="214">
        <v>2</v>
      </c>
      <c r="LQ11" s="214">
        <v>1</v>
      </c>
      <c r="LR11" s="214">
        <v>0.5</v>
      </c>
      <c r="LS11" s="214">
        <v>0.7</v>
      </c>
      <c r="LT11" s="214">
        <v>0.2</v>
      </c>
      <c r="LU11" s="1212">
        <v>1500</v>
      </c>
      <c r="LV11" s="122">
        <v>0</v>
      </c>
      <c r="LW11" s="122">
        <v>0</v>
      </c>
      <c r="LX11" s="122">
        <v>0</v>
      </c>
      <c r="LY11" s="165">
        <v>0</v>
      </c>
      <c r="LZ11" s="165">
        <v>0</v>
      </c>
      <c r="MA11" s="165">
        <v>0</v>
      </c>
      <c r="MB11" s="165">
        <v>0</v>
      </c>
      <c r="MC11" s="165">
        <v>0</v>
      </c>
      <c r="MD11" s="165">
        <v>0</v>
      </c>
      <c r="ME11" s="165">
        <v>0</v>
      </c>
      <c r="MF11" s="165">
        <v>0</v>
      </c>
      <c r="MG11" s="165">
        <v>0</v>
      </c>
      <c r="MH11" s="165">
        <v>0</v>
      </c>
      <c r="MI11" s="165">
        <v>0</v>
      </c>
      <c r="MJ11" s="165">
        <v>0</v>
      </c>
      <c r="MK11" s="165">
        <v>0</v>
      </c>
      <c r="ML11" s="165">
        <v>0</v>
      </c>
      <c r="MM11" s="165">
        <v>0</v>
      </c>
      <c r="MN11" s="165">
        <v>0</v>
      </c>
      <c r="MO11" s="165">
        <v>0</v>
      </c>
      <c r="MP11" s="165">
        <v>0</v>
      </c>
      <c r="MQ11" s="165">
        <v>0</v>
      </c>
      <c r="MR11" s="165">
        <v>0</v>
      </c>
      <c r="MS11" s="165">
        <v>0</v>
      </c>
      <c r="MT11" s="165">
        <v>0</v>
      </c>
      <c r="MU11" s="165">
        <v>0</v>
      </c>
      <c r="MV11" s="165">
        <v>0</v>
      </c>
      <c r="MW11" s="166">
        <v>2.2030230349314199</v>
      </c>
      <c r="MX11" s="166">
        <v>0</v>
      </c>
      <c r="MY11" s="166">
        <v>0</v>
      </c>
      <c r="MZ11" s="166">
        <v>0.51100000000000001</v>
      </c>
      <c r="NA11" s="166">
        <v>-0.29339782528688002</v>
      </c>
      <c r="NB11" s="166">
        <v>0</v>
      </c>
      <c r="NC11" s="166">
        <v>2.0759775675122101</v>
      </c>
      <c r="ND11" s="166">
        <v>0</v>
      </c>
      <c r="NE11" s="166">
        <v>0</v>
      </c>
      <c r="NF11" s="166">
        <v>0.51100000000000001</v>
      </c>
      <c r="NG11" s="166">
        <v>-0.85831741115769</v>
      </c>
      <c r="NH11" s="166">
        <v>0</v>
      </c>
      <c r="NI11" s="166">
        <v>0</v>
      </c>
      <c r="NJ11" s="166">
        <v>0</v>
      </c>
      <c r="NK11" s="166">
        <v>0</v>
      </c>
      <c r="NL11" s="166">
        <v>0</v>
      </c>
      <c r="NM11" s="166">
        <v>0</v>
      </c>
      <c r="NN11" s="166">
        <v>0</v>
      </c>
      <c r="NO11" s="166">
        <v>0</v>
      </c>
      <c r="NP11" s="166">
        <v>0</v>
      </c>
      <c r="NQ11" s="166">
        <v>0</v>
      </c>
      <c r="NR11" s="166">
        <v>0</v>
      </c>
      <c r="NS11" s="166">
        <v>0</v>
      </c>
      <c r="NT11" s="166">
        <v>0</v>
      </c>
      <c r="NU11" s="166">
        <v>2.3909822546716399</v>
      </c>
      <c r="NV11" s="166">
        <v>0</v>
      </c>
      <c r="NW11" s="166">
        <v>0</v>
      </c>
      <c r="NX11" s="166">
        <v>0.51100000000000001</v>
      </c>
      <c r="NY11" s="166">
        <v>0.503</v>
      </c>
      <c r="NZ11" s="166">
        <v>0</v>
      </c>
      <c r="OA11" s="166">
        <v>-84.83</v>
      </c>
      <c r="OB11" s="166">
        <v>-20.2</v>
      </c>
      <c r="OC11" s="166">
        <v>0</v>
      </c>
      <c r="OD11" s="166">
        <v>0</v>
      </c>
      <c r="OE11" s="166">
        <v>0</v>
      </c>
      <c r="OF11" s="166">
        <v>0</v>
      </c>
      <c r="OG11" s="166">
        <v>1.4618833757669999E-2</v>
      </c>
      <c r="OH11" s="166">
        <v>0</v>
      </c>
      <c r="OI11" s="166">
        <v>0</v>
      </c>
      <c r="OJ11" s="166">
        <v>0</v>
      </c>
      <c r="OK11" s="166">
        <v>-0.58089471820883998</v>
      </c>
      <c r="OL11" s="166">
        <v>0</v>
      </c>
      <c r="OM11" s="166">
        <v>0</v>
      </c>
      <c r="ON11" s="166">
        <v>0</v>
      </c>
      <c r="OO11" s="166">
        <v>0</v>
      </c>
      <c r="OP11" s="166">
        <v>0</v>
      </c>
      <c r="OQ11" s="166">
        <v>0</v>
      </c>
      <c r="OR11" s="166">
        <v>0</v>
      </c>
      <c r="OS11" s="166">
        <v>0</v>
      </c>
      <c r="OT11" s="166">
        <v>0</v>
      </c>
      <c r="OU11" s="166">
        <v>0</v>
      </c>
      <c r="OV11" s="166">
        <v>0</v>
      </c>
      <c r="OW11" s="166">
        <v>0</v>
      </c>
      <c r="OX11" s="166">
        <v>0</v>
      </c>
      <c r="OY11" s="166">
        <v>0</v>
      </c>
      <c r="OZ11" s="166">
        <v>0</v>
      </c>
      <c r="PA11" s="166">
        <v>0</v>
      </c>
      <c r="PB11" s="166">
        <v>0</v>
      </c>
      <c r="PC11" s="166">
        <v>0</v>
      </c>
      <c r="PD11" s="166">
        <v>0</v>
      </c>
      <c r="PE11" s="166">
        <v>-84.83</v>
      </c>
      <c r="PF11" s="166">
        <v>-20.2</v>
      </c>
      <c r="PG11" s="166">
        <v>0</v>
      </c>
      <c r="PH11" s="166">
        <v>0</v>
      </c>
      <c r="PI11" s="166">
        <v>0</v>
      </c>
      <c r="PJ11" s="166">
        <v>0</v>
      </c>
      <c r="PK11" s="166">
        <v>1.2083968344819999E-2</v>
      </c>
      <c r="PL11" s="166">
        <v>0</v>
      </c>
      <c r="PM11" s="166">
        <v>0</v>
      </c>
      <c r="PN11" s="166">
        <v>0</v>
      </c>
      <c r="PO11" s="166">
        <v>0.54533469762231002</v>
      </c>
      <c r="PP11" s="166">
        <v>0</v>
      </c>
      <c r="PQ11" s="166">
        <v>0</v>
      </c>
      <c r="PR11" s="166">
        <v>0</v>
      </c>
      <c r="PS11" s="166">
        <v>0</v>
      </c>
      <c r="PT11" s="166">
        <v>0</v>
      </c>
      <c r="PU11" s="166">
        <v>0</v>
      </c>
      <c r="PV11" s="166">
        <v>0</v>
      </c>
      <c r="PW11" s="166">
        <v>0</v>
      </c>
      <c r="PX11" s="166">
        <v>0</v>
      </c>
      <c r="PY11" s="166">
        <v>0</v>
      </c>
      <c r="PZ11" s="166">
        <v>0</v>
      </c>
      <c r="QA11" s="166">
        <v>0</v>
      </c>
      <c r="QB11" s="166">
        <v>0</v>
      </c>
      <c r="QC11" s="166">
        <v>1.3127329477682701</v>
      </c>
      <c r="QD11" s="166">
        <v>0</v>
      </c>
      <c r="QE11" s="166">
        <v>0</v>
      </c>
      <c r="QF11" s="166">
        <v>0</v>
      </c>
      <c r="QG11" s="166">
        <v>1.75824550855553</v>
      </c>
      <c r="QH11" s="166">
        <v>0</v>
      </c>
      <c r="QI11" s="162">
        <v>0</v>
      </c>
      <c r="QJ11" s="167">
        <v>0</v>
      </c>
      <c r="QK11" s="167">
        <v>0</v>
      </c>
      <c r="QL11" s="167">
        <v>0</v>
      </c>
      <c r="QM11" s="167">
        <v>0</v>
      </c>
      <c r="QN11" s="162">
        <v>0</v>
      </c>
      <c r="QO11" s="162">
        <v>0</v>
      </c>
      <c r="QP11" s="162">
        <v>0</v>
      </c>
      <c r="QQ11" s="162">
        <v>0</v>
      </c>
      <c r="QR11" s="162">
        <v>0</v>
      </c>
      <c r="QS11" s="162">
        <v>0</v>
      </c>
      <c r="QT11" s="162">
        <v>0</v>
      </c>
      <c r="QU11" s="162">
        <v>0</v>
      </c>
      <c r="QV11" s="162">
        <v>0</v>
      </c>
      <c r="QW11" s="162">
        <v>0</v>
      </c>
      <c r="QX11" s="162">
        <v>0</v>
      </c>
      <c r="QY11" s="162">
        <v>0</v>
      </c>
      <c r="QZ11" s="162">
        <v>0</v>
      </c>
      <c r="RA11" s="167">
        <v>0</v>
      </c>
      <c r="RB11" s="167">
        <v>0</v>
      </c>
      <c r="RC11" s="167">
        <v>0</v>
      </c>
      <c r="RD11" s="167">
        <v>0</v>
      </c>
      <c r="RE11" s="167">
        <v>0</v>
      </c>
      <c r="RF11" s="167">
        <v>0</v>
      </c>
      <c r="RG11" s="167">
        <v>-7.7334152355890001E-2</v>
      </c>
      <c r="RH11" s="167">
        <v>0</v>
      </c>
      <c r="RI11" s="167">
        <v>0</v>
      </c>
      <c r="RJ11" s="167">
        <v>0</v>
      </c>
      <c r="RK11" s="167">
        <v>-4.3482455085555296</v>
      </c>
      <c r="RL11" s="167">
        <v>0</v>
      </c>
      <c r="RM11" s="166">
        <v>-84.83</v>
      </c>
      <c r="RN11" s="166">
        <v>-20.2</v>
      </c>
      <c r="RO11" s="166">
        <v>-1.72719758473841</v>
      </c>
      <c r="RP11" s="166">
        <v>0</v>
      </c>
      <c r="RQ11" s="166">
        <v>-2.3528593492484</v>
      </c>
      <c r="RR11" s="166">
        <v>0</v>
      </c>
      <c r="RS11" s="166">
        <v>-8.9597207796080006E-2</v>
      </c>
      <c r="RT11" s="166">
        <v>0</v>
      </c>
      <c r="RU11" s="166">
        <v>0</v>
      </c>
      <c r="RV11" s="166">
        <v>0</v>
      </c>
      <c r="RW11" s="166">
        <v>-2.6462254099281499</v>
      </c>
      <c r="RX11" s="166">
        <v>0</v>
      </c>
      <c r="RY11" s="166">
        <v>-0.16239203916711001</v>
      </c>
      <c r="RZ11" s="166">
        <v>0</v>
      </c>
      <c r="SA11" s="166">
        <v>0</v>
      </c>
      <c r="SB11" s="166">
        <v>0</v>
      </c>
      <c r="SC11" s="166">
        <v>-3.1811617841392699</v>
      </c>
      <c r="SD11" s="166">
        <v>0</v>
      </c>
      <c r="SE11" s="166">
        <v>0</v>
      </c>
      <c r="SF11" s="166">
        <v>0</v>
      </c>
      <c r="SG11" s="166">
        <v>0</v>
      </c>
      <c r="SH11" s="166">
        <v>0</v>
      </c>
      <c r="SI11" s="166">
        <v>0</v>
      </c>
      <c r="SJ11" s="166">
        <v>0</v>
      </c>
      <c r="SK11" s="166">
        <v>2.3814695302979999E-2</v>
      </c>
      <c r="SL11" s="166">
        <v>0</v>
      </c>
      <c r="SM11" s="166">
        <v>0</v>
      </c>
      <c r="SN11" s="166">
        <v>0</v>
      </c>
      <c r="SO11" s="166">
        <v>-1.8498593492484099</v>
      </c>
      <c r="SP11" s="166">
        <v>0</v>
      </c>
      <c r="SQ11" s="166">
        <v>-84.83</v>
      </c>
      <c r="SR11" s="166">
        <v>-20.2</v>
      </c>
      <c r="SS11" s="166">
        <v>0</v>
      </c>
      <c r="ST11" s="166">
        <v>0</v>
      </c>
      <c r="SU11" s="166">
        <v>0</v>
      </c>
      <c r="SV11" s="166">
        <v>0</v>
      </c>
      <c r="SW11" s="166">
        <v>0</v>
      </c>
      <c r="SX11" s="166">
        <v>0</v>
      </c>
      <c r="SY11" s="166">
        <v>0</v>
      </c>
      <c r="SZ11" s="166">
        <v>0</v>
      </c>
      <c r="TA11" s="166">
        <v>0</v>
      </c>
      <c r="TB11" s="166">
        <v>0</v>
      </c>
      <c r="TC11" s="166">
        <v>0</v>
      </c>
      <c r="TD11" s="166">
        <v>0</v>
      </c>
      <c r="TE11" s="166">
        <v>0</v>
      </c>
      <c r="TF11" s="166">
        <v>0</v>
      </c>
      <c r="TG11" s="166">
        <v>0</v>
      </c>
      <c r="TH11" s="166">
        <v>0</v>
      </c>
      <c r="TI11" s="166">
        <v>0</v>
      </c>
      <c r="TJ11" s="166">
        <v>0</v>
      </c>
      <c r="TK11" s="166">
        <v>0</v>
      </c>
      <c r="TL11" s="166">
        <v>0</v>
      </c>
      <c r="TM11" s="166">
        <v>0</v>
      </c>
      <c r="TN11" s="166">
        <v>0</v>
      </c>
      <c r="TO11" s="166">
        <v>0</v>
      </c>
      <c r="TP11" s="166">
        <v>0</v>
      </c>
      <c r="TQ11" s="166">
        <v>0</v>
      </c>
      <c r="TR11" s="166">
        <v>0</v>
      </c>
      <c r="TS11" s="166">
        <v>0</v>
      </c>
      <c r="TT11" s="166">
        <v>0</v>
      </c>
      <c r="TU11" s="166">
        <v>0.46256916564597</v>
      </c>
      <c r="TV11" s="166">
        <v>0</v>
      </c>
      <c r="TW11" s="166">
        <v>3.8695266936430002E-2</v>
      </c>
      <c r="TX11" s="166">
        <v>0</v>
      </c>
      <c r="TY11" s="166">
        <v>0</v>
      </c>
      <c r="TZ11" s="166">
        <v>0</v>
      </c>
      <c r="UA11" s="166">
        <v>-8.6197296875900001E-3</v>
      </c>
      <c r="UB11" s="166">
        <v>0</v>
      </c>
      <c r="UC11" s="166">
        <v>0</v>
      </c>
      <c r="UD11" s="166">
        <v>0</v>
      </c>
      <c r="UE11" s="166">
        <v>5.23938012557E-2</v>
      </c>
      <c r="UF11" s="166">
        <v>0</v>
      </c>
      <c r="UG11" s="166">
        <v>5.1491245931000005E-4</v>
      </c>
      <c r="UH11" s="166">
        <v>0</v>
      </c>
      <c r="UI11" s="166">
        <v>0</v>
      </c>
      <c r="UJ11" s="166">
        <v>0</v>
      </c>
      <c r="UK11" s="166">
        <v>-6.8496779180199996E-3</v>
      </c>
      <c r="UL11" s="166">
        <v>0</v>
      </c>
      <c r="UM11" s="166">
        <v>0</v>
      </c>
      <c r="UN11" s="166">
        <v>0</v>
      </c>
      <c r="UO11" s="166">
        <v>0</v>
      </c>
      <c r="UP11" s="166">
        <v>0</v>
      </c>
      <c r="UQ11" s="166">
        <v>0</v>
      </c>
      <c r="UR11" s="166">
        <v>0</v>
      </c>
      <c r="US11" s="163">
        <v>0</v>
      </c>
      <c r="UT11" s="163">
        <v>0</v>
      </c>
      <c r="UU11" s="163">
        <v>0</v>
      </c>
      <c r="UV11" s="163">
        <v>0</v>
      </c>
      <c r="UW11" s="163">
        <v>0</v>
      </c>
      <c r="UX11" s="163">
        <v>0</v>
      </c>
      <c r="UY11" s="166">
        <v>0</v>
      </c>
      <c r="UZ11" s="166">
        <v>0</v>
      </c>
      <c r="VA11" s="166">
        <v>0</v>
      </c>
      <c r="VB11" s="166">
        <v>0</v>
      </c>
      <c r="VC11" s="166">
        <v>0</v>
      </c>
      <c r="VD11" s="166">
        <v>0</v>
      </c>
      <c r="VE11" s="267">
        <v>202</v>
      </c>
      <c r="VF11" s="267">
        <v>279</v>
      </c>
      <c r="VG11" s="267">
        <v>354</v>
      </c>
      <c r="VH11" s="267">
        <v>0</v>
      </c>
      <c r="VI11" s="267">
        <v>403</v>
      </c>
      <c r="VJ11" s="267">
        <v>0</v>
      </c>
      <c r="VK11" s="267">
        <v>0</v>
      </c>
      <c r="VL11" s="257">
        <v>0</v>
      </c>
      <c r="VM11" s="257">
        <v>0</v>
      </c>
      <c r="VN11" s="257">
        <v>0</v>
      </c>
      <c r="VO11" s="257">
        <v>0</v>
      </c>
      <c r="VP11" s="257">
        <v>0</v>
      </c>
      <c r="VQ11" s="257">
        <v>0</v>
      </c>
      <c r="VR11" s="257">
        <v>0</v>
      </c>
      <c r="VS11" s="257">
        <v>0</v>
      </c>
      <c r="VT11" s="257">
        <v>0</v>
      </c>
      <c r="VU11" s="257">
        <v>0</v>
      </c>
      <c r="VV11" s="257">
        <v>0</v>
      </c>
      <c r="VW11" s="257">
        <v>0</v>
      </c>
      <c r="VX11" s="257">
        <v>0</v>
      </c>
      <c r="VY11" s="257">
        <v>0</v>
      </c>
      <c r="VZ11" s="257">
        <v>0</v>
      </c>
      <c r="WA11" s="257">
        <v>0</v>
      </c>
      <c r="WB11" s="257">
        <v>0</v>
      </c>
      <c r="WC11" s="257">
        <v>0</v>
      </c>
      <c r="WD11" s="257">
        <v>0</v>
      </c>
      <c r="WE11" s="257">
        <v>0</v>
      </c>
      <c r="WF11" s="257">
        <v>0</v>
      </c>
      <c r="WG11" s="257">
        <v>0</v>
      </c>
      <c r="WH11" s="257">
        <v>0</v>
      </c>
      <c r="WI11" s="257">
        <v>0</v>
      </c>
      <c r="WJ11" s="257">
        <v>0</v>
      </c>
      <c r="WK11" s="257">
        <v>0</v>
      </c>
      <c r="WL11" s="257">
        <v>0</v>
      </c>
      <c r="WM11" s="257">
        <v>0</v>
      </c>
      <c r="WN11" s="257">
        <v>0</v>
      </c>
      <c r="WO11" s="257">
        <v>0</v>
      </c>
      <c r="WP11" s="257">
        <v>0</v>
      </c>
      <c r="WQ11" s="257">
        <v>0</v>
      </c>
      <c r="WR11" s="257">
        <v>0</v>
      </c>
      <c r="WS11" s="572">
        <v>73.070999999999998</v>
      </c>
      <c r="WT11" s="572">
        <v>57.968643006263044</v>
      </c>
      <c r="WU11" s="572">
        <v>64.07060542797494</v>
      </c>
      <c r="WV11" s="572">
        <v>67.121586638830891</v>
      </c>
      <c r="WW11" s="572">
        <v>103.12316492693111</v>
      </c>
      <c r="WX11" s="247">
        <v>7938.2257200000004</v>
      </c>
      <c r="WY11" s="4">
        <v>82</v>
      </c>
      <c r="WZ11" s="4">
        <v>9</v>
      </c>
      <c r="XA11" s="4">
        <v>9</v>
      </c>
      <c r="XB11" s="4">
        <v>0</v>
      </c>
      <c r="XC11" s="1037">
        <v>791.21396967379678</v>
      </c>
      <c r="XD11" s="1037">
        <v>0</v>
      </c>
      <c r="XE11" s="1037">
        <v>0</v>
      </c>
      <c r="XF11" s="1037">
        <v>0</v>
      </c>
      <c r="XG11" s="1037">
        <v>0</v>
      </c>
      <c r="XH11" s="1037">
        <v>0</v>
      </c>
      <c r="XI11" s="1037">
        <v>636.83075607890976</v>
      </c>
      <c r="XJ11" s="1037">
        <v>289.46852549041347</v>
      </c>
      <c r="XK11" s="1037">
        <v>848.77907273055916</v>
      </c>
      <c r="XL11" s="1037">
        <v>0</v>
      </c>
      <c r="XM11" s="1037">
        <v>0</v>
      </c>
      <c r="XN11" s="1037">
        <v>0</v>
      </c>
      <c r="XO11" s="1037">
        <v>0</v>
      </c>
      <c r="XP11" s="1037">
        <v>0</v>
      </c>
      <c r="XQ11" s="1037">
        <v>683.16364390508431</v>
      </c>
      <c r="XR11" s="1037">
        <v>310.52892904776559</v>
      </c>
      <c r="XS11" s="1037">
        <v>889.19712381296677</v>
      </c>
      <c r="XT11" s="1037">
        <v>0</v>
      </c>
      <c r="XU11" s="1037">
        <v>0</v>
      </c>
      <c r="XV11" s="1037">
        <v>0</v>
      </c>
      <c r="XW11" s="1037">
        <v>0</v>
      </c>
      <c r="XX11" s="1037">
        <v>0</v>
      </c>
      <c r="XY11" s="1037">
        <v>715.69524599580257</v>
      </c>
      <c r="XZ11" s="1037">
        <v>325.31602090718297</v>
      </c>
      <c r="YA11" s="1037">
        <v>1366.1301265853763</v>
      </c>
      <c r="YB11" s="1037">
        <v>0</v>
      </c>
      <c r="YC11" s="1037">
        <v>0</v>
      </c>
      <c r="YD11" s="1037">
        <v>0</v>
      </c>
      <c r="YE11" s="1037">
        <v>0</v>
      </c>
      <c r="YF11" s="1037">
        <v>0</v>
      </c>
      <c r="YG11" s="1037">
        <v>1099.5681506662786</v>
      </c>
      <c r="YH11" s="1037">
        <v>499.80370484830837</v>
      </c>
      <c r="YI11" s="1037">
        <v>970.204152146669</v>
      </c>
      <c r="YJ11" s="1037">
        <v>70.990547718048958</v>
      </c>
      <c r="YK11" s="1037">
        <v>23.663515906016318</v>
      </c>
      <c r="YL11" s="1037">
        <v>165.64461134211425</v>
      </c>
      <c r="YM11" s="1037">
        <v>0</v>
      </c>
      <c r="YN11" s="1037">
        <v>0</v>
      </c>
      <c r="YO11" s="1037">
        <v>780.8960248985386</v>
      </c>
      <c r="YP11" s="1037">
        <v>354.95273859024479</v>
      </c>
      <c r="YQ11" s="1037">
        <v>1040.7917607393833</v>
      </c>
      <c r="YR11" s="1037">
        <v>76.155494688247572</v>
      </c>
      <c r="YS11" s="1037">
        <v>25.385164896082525</v>
      </c>
      <c r="YT11" s="1037">
        <v>177.69615427257767</v>
      </c>
      <c r="YU11" s="1037">
        <v>0</v>
      </c>
      <c r="YV11" s="1037">
        <v>0</v>
      </c>
      <c r="YW11" s="1037">
        <v>837.71044157072333</v>
      </c>
      <c r="YX11" s="1037">
        <v>380.77747344123787</v>
      </c>
      <c r="YY11" s="1037">
        <v>1090.3532731555447</v>
      </c>
      <c r="YZ11" s="1037">
        <v>79.781946816259364</v>
      </c>
      <c r="ZA11" s="1037">
        <v>26.593982272086457</v>
      </c>
      <c r="ZB11" s="1037">
        <v>186.15787590460519</v>
      </c>
      <c r="ZC11" s="1037">
        <v>0</v>
      </c>
      <c r="ZD11" s="1037">
        <v>0</v>
      </c>
      <c r="ZE11" s="1037">
        <v>877.60141497885309</v>
      </c>
      <c r="ZF11" s="1037">
        <v>398.90973408129679</v>
      </c>
      <c r="ZG11" s="1037">
        <v>1675.1791196662459</v>
      </c>
      <c r="ZH11" s="1037">
        <v>122.57408192679848</v>
      </c>
      <c r="ZI11" s="1037">
        <v>40.858027308932826</v>
      </c>
      <c r="ZJ11" s="1037">
        <v>286.00619116252983</v>
      </c>
      <c r="ZK11" s="1037">
        <v>0</v>
      </c>
      <c r="ZL11" s="1037">
        <v>0</v>
      </c>
      <c r="ZM11" s="1037">
        <v>1348.3149011947835</v>
      </c>
      <c r="ZN11" s="1037">
        <v>612.87040963399238</v>
      </c>
      <c r="ZO11" s="1037">
        <v>2581.9949210354903</v>
      </c>
      <c r="ZP11" s="1037">
        <v>188.92645763674321</v>
      </c>
      <c r="ZQ11" s="1037">
        <v>62.975485878914405</v>
      </c>
      <c r="ZR11" s="1037">
        <v>440.82840115240089</v>
      </c>
      <c r="ZS11" s="1037">
        <v>0</v>
      </c>
      <c r="ZT11" s="1037">
        <v>0</v>
      </c>
      <c r="ZU11" s="1037">
        <v>2078.1910340041754</v>
      </c>
      <c r="ZV11" s="1037">
        <v>944.63228818371601</v>
      </c>
      <c r="ZW11" s="1037">
        <v>2853.7838600918581</v>
      </c>
      <c r="ZX11" s="1037">
        <v>208.81345317745303</v>
      </c>
      <c r="ZY11" s="1037">
        <v>69.604484392484352</v>
      </c>
      <c r="ZZ11" s="1037">
        <v>487.23139074739049</v>
      </c>
      <c r="AAA11" s="1037">
        <v>0</v>
      </c>
      <c r="AAB11" s="1037">
        <v>0</v>
      </c>
      <c r="AAC11" s="1037">
        <v>2296.9479849519835</v>
      </c>
      <c r="AAD11" s="1037">
        <v>1044.0672658872652</v>
      </c>
      <c r="AAE11" s="1037">
        <v>2989.6783296200415</v>
      </c>
      <c r="AAF11" s="1037">
        <v>218.75695094780792</v>
      </c>
      <c r="AAG11" s="1037">
        <v>72.918983649269308</v>
      </c>
      <c r="AAH11" s="1037">
        <v>510.43288554488521</v>
      </c>
      <c r="AAI11" s="1037">
        <v>0</v>
      </c>
      <c r="AAJ11" s="1037">
        <v>0</v>
      </c>
      <c r="AAK11" s="1037">
        <v>2406.3264604258875</v>
      </c>
      <c r="AAL11" s="1037">
        <v>1093.7847547390397</v>
      </c>
      <c r="AAM11" s="1037">
        <v>4593.2330700526099</v>
      </c>
      <c r="AAN11" s="1037">
        <v>336.09022463799585</v>
      </c>
      <c r="AAO11" s="1037">
        <v>112.03007487933195</v>
      </c>
      <c r="AAP11" s="1037">
        <v>784.2105241553237</v>
      </c>
      <c r="AAQ11" s="1037">
        <v>0</v>
      </c>
      <c r="AAR11" s="1037">
        <v>0</v>
      </c>
      <c r="AAS11" s="1037">
        <v>3696.9924710179544</v>
      </c>
      <c r="AAT11" s="1037">
        <v>1680.4511231899792</v>
      </c>
      <c r="AAU11" s="1037">
        <v>3552.1990731821597</v>
      </c>
      <c r="AAV11" s="1037">
        <v>259.9170053547922</v>
      </c>
      <c r="AAW11" s="1037">
        <v>86.639001784930741</v>
      </c>
      <c r="AAX11" s="1037">
        <v>606.47301249451516</v>
      </c>
      <c r="AAY11" s="1037">
        <v>0</v>
      </c>
      <c r="AAZ11" s="1037">
        <v>0</v>
      </c>
      <c r="ABA11" s="1037">
        <v>2859.0870589027145</v>
      </c>
      <c r="ABB11" s="1037">
        <v>1299.5850267739609</v>
      </c>
      <c r="ABC11" s="1037">
        <v>3760.2799097680954</v>
      </c>
      <c r="ABD11" s="1037">
        <v>275.14243242205578</v>
      </c>
      <c r="ABE11" s="1037">
        <v>91.714144140685264</v>
      </c>
      <c r="ABF11" s="1037">
        <v>641.99900898479689</v>
      </c>
      <c r="ABG11" s="1037">
        <v>0</v>
      </c>
      <c r="ABH11" s="1037">
        <v>0</v>
      </c>
      <c r="ABI11" s="1037">
        <v>3026.5667566426137</v>
      </c>
      <c r="ABJ11" s="1037">
        <v>1375.7121621102788</v>
      </c>
      <c r="ABK11" s="1037">
        <v>3939.3408578522904</v>
      </c>
      <c r="ABL11" s="1037">
        <v>288.24445301358224</v>
      </c>
      <c r="ABM11" s="1037">
        <v>96.081484337860743</v>
      </c>
      <c r="ABN11" s="1037">
        <v>672.57039036502533</v>
      </c>
      <c r="ABO11" s="1037">
        <v>0</v>
      </c>
      <c r="ABP11" s="1037">
        <v>0</v>
      </c>
      <c r="ABQ11" s="1037">
        <v>3170.688983149405</v>
      </c>
      <c r="ABR11" s="1037">
        <v>1441.2222650679112</v>
      </c>
      <c r="ABS11" s="1037">
        <v>0</v>
      </c>
      <c r="ABT11" s="1037">
        <v>0</v>
      </c>
      <c r="ABU11" s="1037">
        <v>0</v>
      </c>
      <c r="ABV11" s="1037">
        <v>0</v>
      </c>
      <c r="ABW11" s="1037">
        <v>0</v>
      </c>
      <c r="ABX11" s="1037">
        <v>0</v>
      </c>
      <c r="ABY11" s="1037">
        <v>0</v>
      </c>
      <c r="ABZ11" s="1037">
        <v>0</v>
      </c>
      <c r="ACA11" s="1037">
        <v>4600.6454956632379</v>
      </c>
      <c r="ACB11" s="1037">
        <v>336.63259724365156</v>
      </c>
      <c r="ACC11" s="1037">
        <v>112.21086574788386</v>
      </c>
      <c r="ACD11" s="1037">
        <v>785.47606023518711</v>
      </c>
      <c r="ACE11" s="1037">
        <v>0</v>
      </c>
      <c r="ACF11" s="1037">
        <v>0</v>
      </c>
      <c r="ACG11" s="1037">
        <v>3702.9585696801673</v>
      </c>
      <c r="ACH11" s="1037">
        <v>1683.1629862182579</v>
      </c>
      <c r="ACI11" s="1037">
        <v>4918.5804176877318</v>
      </c>
      <c r="ACJ11" s="1037">
        <v>359.89612812349259</v>
      </c>
      <c r="ACK11" s="1037">
        <v>119.96537604116421</v>
      </c>
      <c r="ACL11" s="1037">
        <v>839.75763228814947</v>
      </c>
      <c r="ACM11" s="1037">
        <v>0</v>
      </c>
      <c r="ACN11" s="1037">
        <v>0</v>
      </c>
      <c r="ACO11" s="1037">
        <v>3958.8574093584189</v>
      </c>
      <c r="ACP11" s="1037">
        <v>1799.480640617463</v>
      </c>
      <c r="ACQ11" s="1037">
        <v>5152.7985328157183</v>
      </c>
      <c r="ACR11" s="1037">
        <v>377.03403898651601</v>
      </c>
      <c r="ACS11" s="1037">
        <v>125.67801299550534</v>
      </c>
      <c r="ACT11" s="1037">
        <v>879.74609096853749</v>
      </c>
      <c r="ACU11" s="1037">
        <v>0</v>
      </c>
      <c r="ACV11" s="1037">
        <v>0</v>
      </c>
      <c r="ACW11" s="1037">
        <v>4147.3744288516764</v>
      </c>
      <c r="ACX11" s="1037">
        <v>1885.17019493258</v>
      </c>
      <c r="ACY11" s="1037">
        <v>7916.5722913259688</v>
      </c>
      <c r="ACZ11" s="1037">
        <v>579.26138717019285</v>
      </c>
      <c r="ADA11" s="1037">
        <v>193.08712905673096</v>
      </c>
      <c r="ADB11" s="1037">
        <v>1351.6099033971168</v>
      </c>
      <c r="ADC11" s="1037">
        <v>0</v>
      </c>
      <c r="ADD11" s="1037">
        <v>0</v>
      </c>
      <c r="ADE11" s="1037">
        <v>6371.8752588721218</v>
      </c>
      <c r="ADF11" s="1037">
        <v>2896.3069358509642</v>
      </c>
      <c r="ADG11" s="1037">
        <v>5617.7950100105518</v>
      </c>
      <c r="ADH11" s="1037">
        <v>411.05817146418673</v>
      </c>
      <c r="ADI11" s="1037">
        <v>137.01939048806227</v>
      </c>
      <c r="ADJ11" s="1037">
        <v>959.13573341643587</v>
      </c>
      <c r="ADK11" s="1037">
        <v>0</v>
      </c>
      <c r="ADL11" s="1037">
        <v>0</v>
      </c>
      <c r="ADM11" s="1037">
        <v>4521.6398861060543</v>
      </c>
      <c r="ADN11" s="1037">
        <v>2055.2908573209338</v>
      </c>
      <c r="ADO11" s="1037">
        <v>6043.3069978415815</v>
      </c>
      <c r="ADP11" s="1037">
        <v>442.19319496401818</v>
      </c>
      <c r="ADQ11" s="1037">
        <v>147.39773165467273</v>
      </c>
      <c r="ADR11" s="1037">
        <v>1031.7841215827093</v>
      </c>
      <c r="ADS11" s="1037">
        <v>0</v>
      </c>
      <c r="ADT11" s="1037">
        <v>0</v>
      </c>
      <c r="ADU11" s="1037">
        <v>4864.1251446042006</v>
      </c>
      <c r="ADV11" s="1037">
        <v>2210.9659748200911</v>
      </c>
      <c r="ADW11" s="1037">
        <v>6331.0835215483239</v>
      </c>
      <c r="ADX11" s="1037">
        <v>463.25001377182855</v>
      </c>
      <c r="ADY11" s="1037">
        <v>154.41667125727619</v>
      </c>
      <c r="ADZ11" s="1037">
        <v>1080.9166988009335</v>
      </c>
      <c r="AEA11" s="1037">
        <v>0</v>
      </c>
      <c r="AEB11" s="1037">
        <v>0</v>
      </c>
      <c r="AEC11" s="1037">
        <v>5095.7501514901151</v>
      </c>
      <c r="AED11" s="1037">
        <v>2316.2500688591426</v>
      </c>
      <c r="AEE11" s="1037">
        <v>9726.8465012878787</v>
      </c>
      <c r="AEF11" s="1037">
        <v>711.72047570399116</v>
      </c>
      <c r="AEG11" s="1037">
        <v>237.24015856799707</v>
      </c>
      <c r="AEH11" s="1037">
        <v>1660.6811099759796</v>
      </c>
      <c r="AEI11" s="1037">
        <v>0</v>
      </c>
      <c r="AEJ11" s="1037">
        <v>0</v>
      </c>
      <c r="AEK11" s="1037">
        <v>7828.9252327439035</v>
      </c>
      <c r="AEL11" s="1037">
        <v>3558.6023785199559</v>
      </c>
      <c r="AEM11" s="1037">
        <v>6478.4599836890493</v>
      </c>
      <c r="AEN11" s="1037">
        <v>474.0336573431012</v>
      </c>
      <c r="AEO11" s="1037">
        <v>158.01121911436707</v>
      </c>
      <c r="AEP11" s="1037">
        <v>1106.0785338005696</v>
      </c>
      <c r="AEQ11" s="1037">
        <v>0</v>
      </c>
      <c r="AER11" s="1037">
        <v>0</v>
      </c>
      <c r="AES11" s="1037">
        <v>5214.3702307741132</v>
      </c>
      <c r="AET11" s="1037">
        <v>2370.1682867155059</v>
      </c>
      <c r="AEU11" s="1037">
        <v>6882.6551919862459</v>
      </c>
      <c r="AEV11" s="1037">
        <v>503.60891648679848</v>
      </c>
      <c r="AEW11" s="1037">
        <v>167.86963882893284</v>
      </c>
      <c r="AEX11" s="1037">
        <v>1175.08747180253</v>
      </c>
      <c r="AEY11" s="1037">
        <v>0</v>
      </c>
      <c r="AEZ11" s="1037">
        <v>0</v>
      </c>
      <c r="AFA11" s="1037">
        <v>5539.6980813547843</v>
      </c>
      <c r="AFB11" s="1037">
        <v>2518.0445824339927</v>
      </c>
      <c r="AFC11" s="1037">
        <v>7210.400677318923</v>
      </c>
      <c r="AFD11" s="1037">
        <v>527.59029346236025</v>
      </c>
      <c r="AFE11" s="1037">
        <v>175.86343115412009</v>
      </c>
      <c r="AFF11" s="1037">
        <v>1231.0440180788407</v>
      </c>
      <c r="AFG11" s="1037">
        <v>0</v>
      </c>
      <c r="AFH11" s="1037">
        <v>0</v>
      </c>
      <c r="AFI11" s="1037">
        <v>5803.493228085963</v>
      </c>
      <c r="AFJ11" s="1037">
        <v>2637.951467311801</v>
      </c>
      <c r="AFK11" s="1037">
        <v>11077.797404244529</v>
      </c>
      <c r="AFL11" s="1037">
        <v>810.57054177398993</v>
      </c>
      <c r="AFM11" s="1037">
        <v>270.19018059132998</v>
      </c>
      <c r="AFN11" s="1037">
        <v>1891.3312641393102</v>
      </c>
      <c r="AFO11" s="1037">
        <v>0</v>
      </c>
      <c r="AFP11" s="1037">
        <v>0</v>
      </c>
      <c r="AFQ11" s="1037">
        <v>8916.2759595138905</v>
      </c>
      <c r="AFR11" s="1037">
        <v>4052.8527088699498</v>
      </c>
      <c r="AFS11" s="247">
        <v>2581.9949210354903</v>
      </c>
      <c r="AFT11" s="247">
        <v>188.92645763674321</v>
      </c>
      <c r="AFU11" s="247">
        <v>62.975485878914405</v>
      </c>
      <c r="AFV11" s="247">
        <v>440.82840115240089</v>
      </c>
      <c r="AFW11" s="247">
        <v>0</v>
      </c>
      <c r="AFX11" s="247">
        <v>0</v>
      </c>
      <c r="AFY11" s="247">
        <v>2078.1910340041754</v>
      </c>
      <c r="AFZ11" s="247">
        <v>944.63228818371601</v>
      </c>
      <c r="AGA11" s="247">
        <v>2853.7838600918581</v>
      </c>
      <c r="AGB11" s="247">
        <v>208.81345317745303</v>
      </c>
      <c r="AGC11" s="247">
        <v>69.604484392484352</v>
      </c>
      <c r="AGD11" s="247">
        <v>487.23139074739049</v>
      </c>
      <c r="AGE11" s="247">
        <v>0</v>
      </c>
      <c r="AGF11" s="247">
        <v>0</v>
      </c>
      <c r="AGG11" s="247">
        <v>2296.9479849519835</v>
      </c>
      <c r="AGH11" s="247">
        <v>1044.0672658872652</v>
      </c>
      <c r="AGI11" s="247">
        <v>2989.6783296200415</v>
      </c>
      <c r="AGJ11" s="247">
        <v>218.75695094780792</v>
      </c>
      <c r="AGK11" s="247">
        <v>72.918983649269308</v>
      </c>
      <c r="AGL11" s="247">
        <v>510.43288554488521</v>
      </c>
      <c r="AGM11" s="247">
        <v>0</v>
      </c>
      <c r="AGN11" s="247">
        <v>0</v>
      </c>
      <c r="AGO11" s="247">
        <v>2406.3264604258875</v>
      </c>
      <c r="AGP11" s="247">
        <v>1093.7847547390397</v>
      </c>
      <c r="AGQ11" s="247">
        <v>4593.2330700526099</v>
      </c>
      <c r="AGR11" s="247">
        <v>336.09022463799585</v>
      </c>
      <c r="AGS11" s="247">
        <v>112.03007487933195</v>
      </c>
      <c r="AGT11" s="247">
        <v>784.2105241553237</v>
      </c>
      <c r="AGU11" s="247">
        <v>0</v>
      </c>
      <c r="AGV11" s="247">
        <v>0</v>
      </c>
      <c r="AGW11" s="247">
        <v>3696.9924710179544</v>
      </c>
      <c r="AGX11" s="247">
        <v>1680.4511231899792</v>
      </c>
      <c r="AGY11" s="249">
        <v>0</v>
      </c>
      <c r="AGZ11" s="249">
        <v>0</v>
      </c>
      <c r="AHA11" s="249">
        <v>0</v>
      </c>
      <c r="AHB11" s="249">
        <v>0</v>
      </c>
      <c r="AHC11" s="249">
        <v>0</v>
      </c>
      <c r="AHD11" s="249">
        <v>0</v>
      </c>
      <c r="AHE11" s="249">
        <v>0</v>
      </c>
      <c r="AHF11" s="249">
        <v>0</v>
      </c>
      <c r="AHG11" s="249">
        <v>0</v>
      </c>
      <c r="AHH11" s="249">
        <v>0</v>
      </c>
      <c r="AHI11" s="249">
        <v>0</v>
      </c>
      <c r="AHJ11" s="249">
        <v>0</v>
      </c>
      <c r="AHK11" s="249">
        <v>0</v>
      </c>
      <c r="AHL11" s="249">
        <v>0</v>
      </c>
      <c r="AHM11" s="249">
        <v>0</v>
      </c>
      <c r="AHN11" s="249">
        <v>0</v>
      </c>
      <c r="AHO11" s="249">
        <v>0</v>
      </c>
      <c r="AHP11" s="249">
        <v>0</v>
      </c>
      <c r="AHQ11" s="249">
        <v>0</v>
      </c>
      <c r="AHR11" s="249">
        <v>0</v>
      </c>
      <c r="AHS11" s="249">
        <v>0</v>
      </c>
      <c r="AHT11" s="249">
        <v>0</v>
      </c>
      <c r="AHU11" s="249">
        <v>0</v>
      </c>
      <c r="AHV11" s="249">
        <v>0</v>
      </c>
      <c r="AHW11" s="249">
        <v>0</v>
      </c>
      <c r="AHX11" s="249">
        <v>0</v>
      </c>
      <c r="AHY11" s="249">
        <v>0</v>
      </c>
      <c r="AHZ11" s="249">
        <v>0</v>
      </c>
      <c r="AIA11" s="249">
        <v>0</v>
      </c>
      <c r="AIB11" s="249">
        <v>0</v>
      </c>
      <c r="AIC11" s="249">
        <v>0</v>
      </c>
      <c r="AID11" s="249">
        <v>0</v>
      </c>
      <c r="AIE11" s="249"/>
      <c r="AIF11" s="249"/>
      <c r="AIG11" s="249"/>
      <c r="AIH11" s="249"/>
      <c r="AII11" s="249"/>
      <c r="AIJ11" s="249"/>
      <c r="AIK11" s="249"/>
      <c r="AIL11" s="249"/>
      <c r="AIM11" s="249">
        <v>0</v>
      </c>
      <c r="AIN11" s="249">
        <v>0</v>
      </c>
      <c r="AIO11" s="249">
        <v>0</v>
      </c>
      <c r="AIP11" s="249">
        <v>0</v>
      </c>
      <c r="AIQ11" s="249">
        <v>0</v>
      </c>
      <c r="AIR11" s="249">
        <v>0</v>
      </c>
      <c r="AIS11" s="249">
        <v>0</v>
      </c>
      <c r="AIT11" s="249">
        <v>0</v>
      </c>
      <c r="AIU11" s="134" t="s">
        <v>1216</v>
      </c>
      <c r="AIV11" s="134" t="s">
        <v>1219</v>
      </c>
      <c r="AIW11" s="134" t="s">
        <v>1218</v>
      </c>
      <c r="AIX11" s="134" t="s">
        <v>1217</v>
      </c>
      <c r="AIY11" s="134" t="s">
        <v>1228</v>
      </c>
      <c r="AIZ11" s="134" t="s">
        <v>1229</v>
      </c>
      <c r="AJA11" s="134" t="s">
        <v>1230</v>
      </c>
      <c r="AJB11" s="134" t="s">
        <v>1231</v>
      </c>
      <c r="AJC11" s="134" t="s">
        <v>1232</v>
      </c>
      <c r="AJD11" s="134" t="s">
        <v>1233</v>
      </c>
    </row>
    <row r="12" spans="1:940" ht="18" customHeight="1">
      <c r="A12" s="664" t="s">
        <v>12</v>
      </c>
      <c r="B12" s="669">
        <v>-0.3</v>
      </c>
      <c r="C12" s="6">
        <v>-0.3</v>
      </c>
      <c r="D12" s="6">
        <v>-0.3</v>
      </c>
      <c r="E12" s="74">
        <v>375.34466019417476</v>
      </c>
      <c r="F12" s="72">
        <v>-4</v>
      </c>
      <c r="G12" s="11">
        <v>-3.1</v>
      </c>
      <c r="H12" s="11">
        <v>-3.1</v>
      </c>
      <c r="I12" s="266">
        <v>350</v>
      </c>
      <c r="J12" s="125">
        <v>0</v>
      </c>
      <c r="K12" s="125">
        <v>0</v>
      </c>
      <c r="L12" s="125">
        <v>0</v>
      </c>
      <c r="M12" s="1">
        <v>979.97006705827403</v>
      </c>
      <c r="N12" s="2">
        <v>12</v>
      </c>
      <c r="O12" s="8">
        <v>0.7</v>
      </c>
      <c r="P12" s="8">
        <v>0.7</v>
      </c>
      <c r="Q12" s="8">
        <v>0.7</v>
      </c>
      <c r="R12" s="7">
        <v>0.2</v>
      </c>
      <c r="S12" s="7">
        <v>0</v>
      </c>
      <c r="T12" s="7">
        <v>99.6</v>
      </c>
      <c r="U12" s="7">
        <v>0.2</v>
      </c>
      <c r="V12" s="71">
        <v>0</v>
      </c>
      <c r="W12" s="119">
        <v>2</v>
      </c>
      <c r="X12" s="120">
        <v>1.5</v>
      </c>
      <c r="Y12" s="119">
        <v>1</v>
      </c>
      <c r="Z12" s="120">
        <v>0.8</v>
      </c>
      <c r="AA12" s="120">
        <v>0.5</v>
      </c>
      <c r="AB12" s="559">
        <v>433.01922201480062</v>
      </c>
      <c r="AC12" s="559">
        <v>470.67306740739195</v>
      </c>
      <c r="AD12" s="559">
        <v>433.37222681535616</v>
      </c>
      <c r="AE12" s="559">
        <v>649.0581599547935</v>
      </c>
      <c r="AF12" s="622">
        <v>0.82209484106305364</v>
      </c>
      <c r="AG12" s="559">
        <v>261.91600618637949</v>
      </c>
      <c r="AH12" s="559">
        <v>284.69131107215162</v>
      </c>
      <c r="AI12" s="559">
        <v>262.12952466968363</v>
      </c>
      <c r="AJ12" s="559">
        <v>392.58931796849708</v>
      </c>
      <c r="AK12" s="622">
        <v>0.96717040125065135</v>
      </c>
      <c r="AL12" s="995">
        <v>0.1</v>
      </c>
      <c r="AM12" s="995">
        <v>0.3</v>
      </c>
      <c r="AN12" s="995">
        <v>0.8</v>
      </c>
      <c r="AO12" s="995">
        <v>1</v>
      </c>
      <c r="AP12" s="995">
        <v>1.2</v>
      </c>
      <c r="AQ12" s="995">
        <v>1.6</v>
      </c>
      <c r="AR12" s="995">
        <v>1.8</v>
      </c>
      <c r="AS12" s="1005">
        <v>0</v>
      </c>
      <c r="AT12" s="1005">
        <v>10</v>
      </c>
      <c r="AU12" s="1005">
        <v>20</v>
      </c>
      <c r="AV12" s="1005">
        <v>70</v>
      </c>
      <c r="AW12" s="1005">
        <v>100</v>
      </c>
      <c r="AX12" s="1">
        <v>6487.8218682335937</v>
      </c>
      <c r="AY12" s="5">
        <v>1.38</v>
      </c>
      <c r="AZ12" s="8">
        <v>0.9</v>
      </c>
      <c r="BA12" s="8">
        <v>0.7</v>
      </c>
      <c r="BB12" s="8">
        <v>0.7</v>
      </c>
      <c r="BC12" s="73">
        <v>0.16571636266118941</v>
      </c>
      <c r="BD12" s="73">
        <v>0.17350690029559884</v>
      </c>
      <c r="BE12" s="9">
        <v>3.1241683993713729E-3</v>
      </c>
      <c r="BF12" s="9">
        <v>4.4630977133876753E-4</v>
      </c>
      <c r="BG12" s="9">
        <v>3.7700344272199864</v>
      </c>
      <c r="BH12" s="9">
        <v>41.502513002956242</v>
      </c>
      <c r="BI12" s="9"/>
      <c r="BJ12" s="9"/>
      <c r="BK12" s="9">
        <v>50.957418142603785</v>
      </c>
      <c r="BL12" s="9"/>
      <c r="BM12" s="9"/>
      <c r="BN12" s="9">
        <v>5.5788721417345941E-5</v>
      </c>
      <c r="BO12" s="9">
        <v>1.1157744283469188E-4</v>
      </c>
      <c r="BP12" s="9">
        <v>5.5788721417345941E-5</v>
      </c>
      <c r="BQ12" s="9">
        <v>3.4303369025097674</v>
      </c>
      <c r="BR12" s="9">
        <v>0.29545706862626409</v>
      </c>
      <c r="BS12" s="9">
        <v>4.0446823027575803E-2</v>
      </c>
      <c r="BT12" s="262">
        <v>261.13475999999997</v>
      </c>
      <c r="BU12" s="262">
        <v>96.5</v>
      </c>
      <c r="BV12" s="262">
        <v>63.215999999999994</v>
      </c>
      <c r="BW12" s="262">
        <v>233.35949490734063</v>
      </c>
      <c r="BX12" s="262">
        <v>157.40783999999999</v>
      </c>
      <c r="BY12" s="68"/>
      <c r="BZ12" s="262">
        <v>256.20808011776955</v>
      </c>
      <c r="CA12" s="262">
        <v>165.17663999999999</v>
      </c>
      <c r="CB12" s="68"/>
      <c r="CC12" s="785">
        <v>0</v>
      </c>
      <c r="CD12" s="262">
        <v>6.585</v>
      </c>
      <c r="CE12" s="262">
        <v>1.3169999999999999</v>
      </c>
      <c r="CF12" s="262">
        <v>38</v>
      </c>
      <c r="CG12" s="262">
        <v>225.83915999999996</v>
      </c>
      <c r="CH12" s="68">
        <v>0.2</v>
      </c>
      <c r="CI12" s="262">
        <v>175.08124000000001</v>
      </c>
      <c r="CJ12" s="262">
        <v>60.4</v>
      </c>
      <c r="CK12" s="262">
        <v>42.384</v>
      </c>
      <c r="CL12" s="262">
        <v>156.45894761061641</v>
      </c>
      <c r="CM12" s="262">
        <v>105.53616</v>
      </c>
      <c r="CN12" s="68"/>
      <c r="CO12" s="262">
        <v>159.24945066654416</v>
      </c>
      <c r="CP12" s="262">
        <v>102.66767999999999</v>
      </c>
      <c r="CQ12" s="68"/>
      <c r="CR12" s="262">
        <v>0</v>
      </c>
      <c r="CS12" s="262">
        <v>4.415</v>
      </c>
      <c r="CT12" s="262">
        <v>0.88300000000000001</v>
      </c>
      <c r="CU12" s="262">
        <v>27</v>
      </c>
      <c r="CV12" s="262">
        <v>151.41683999999998</v>
      </c>
      <c r="CW12" s="68">
        <v>0.2</v>
      </c>
      <c r="CX12" s="120">
        <v>0.3</v>
      </c>
      <c r="CY12" s="120">
        <v>0.7</v>
      </c>
      <c r="CZ12" s="120">
        <v>1.2</v>
      </c>
      <c r="DA12" s="120">
        <v>1.2</v>
      </c>
      <c r="DB12" s="119">
        <v>3</v>
      </c>
      <c r="DC12" s="1005">
        <v>0</v>
      </c>
      <c r="DD12" s="1005">
        <v>10</v>
      </c>
      <c r="DE12" s="1005">
        <v>20</v>
      </c>
      <c r="DF12" s="1005">
        <v>70</v>
      </c>
      <c r="DG12" s="1005">
        <v>100</v>
      </c>
      <c r="DH12" s="2">
        <v>0</v>
      </c>
      <c r="DI12" s="2">
        <v>18</v>
      </c>
      <c r="DJ12" s="63">
        <v>12</v>
      </c>
      <c r="DK12" s="8">
        <v>0.6</v>
      </c>
      <c r="DL12" s="8">
        <v>0.6</v>
      </c>
      <c r="DM12" s="8">
        <v>0.6</v>
      </c>
      <c r="DN12" s="1031" t="s">
        <v>1000</v>
      </c>
      <c r="DO12" s="1030" t="s">
        <v>997</v>
      </c>
      <c r="DP12" s="1030" t="s">
        <v>997</v>
      </c>
      <c r="DQ12" s="1030" t="s">
        <v>997</v>
      </c>
      <c r="DR12" s="1030" t="s">
        <v>997</v>
      </c>
      <c r="DS12" s="1030" t="s">
        <v>997</v>
      </c>
      <c r="DT12" s="1030" t="s">
        <v>997</v>
      </c>
      <c r="DU12" s="1097">
        <v>0</v>
      </c>
      <c r="DV12" s="1097">
        <v>0</v>
      </c>
      <c r="DW12" s="1097">
        <v>0</v>
      </c>
      <c r="DX12" s="1097">
        <v>0</v>
      </c>
      <c r="DY12" s="1097">
        <v>0</v>
      </c>
      <c r="DZ12" s="1097">
        <v>0</v>
      </c>
      <c r="EA12" s="1097">
        <v>0</v>
      </c>
      <c r="EB12" s="207">
        <v>0.28808250000000002</v>
      </c>
      <c r="EC12" s="207">
        <v>18</v>
      </c>
      <c r="ED12" s="221">
        <v>5</v>
      </c>
      <c r="EE12" s="214">
        <v>0.6</v>
      </c>
      <c r="EF12" s="214">
        <v>0.6</v>
      </c>
      <c r="EG12" s="214">
        <v>0.6</v>
      </c>
      <c r="EH12" s="208" t="s">
        <v>1038</v>
      </c>
      <c r="EI12" s="208" t="s">
        <v>1059</v>
      </c>
      <c r="EJ12" s="204" t="s">
        <v>997</v>
      </c>
      <c r="EK12" s="204" t="s">
        <v>997</v>
      </c>
      <c r="EL12" s="204" t="s">
        <v>997</v>
      </c>
      <c r="EM12" s="204" t="s">
        <v>997</v>
      </c>
      <c r="EN12" s="204" t="s">
        <v>997</v>
      </c>
      <c r="EO12" s="204" t="s">
        <v>997</v>
      </c>
      <c r="EP12" s="204" t="s">
        <v>997</v>
      </c>
      <c r="EQ12" s="204" t="s">
        <v>997</v>
      </c>
      <c r="ER12" s="204" t="s">
        <v>997</v>
      </c>
      <c r="ES12" s="204" t="s">
        <v>997</v>
      </c>
      <c r="ET12" s="204" t="s">
        <v>997</v>
      </c>
      <c r="EU12" s="204" t="s">
        <v>997</v>
      </c>
      <c r="EV12" s="204" t="s">
        <v>997</v>
      </c>
      <c r="EW12" s="204" t="s">
        <v>997</v>
      </c>
      <c r="EX12" s="204" t="s">
        <v>997</v>
      </c>
      <c r="EY12" s="204" t="s">
        <v>997</v>
      </c>
      <c r="EZ12" s="204" t="s">
        <v>997</v>
      </c>
      <c r="FA12" s="204" t="s">
        <v>997</v>
      </c>
      <c r="FB12" s="204" t="s">
        <v>997</v>
      </c>
      <c r="FC12" s="204" t="s">
        <v>997</v>
      </c>
      <c r="FD12" s="204" t="s">
        <v>997</v>
      </c>
      <c r="FE12" s="204" t="s">
        <v>997</v>
      </c>
      <c r="FF12" s="204" t="s">
        <v>997</v>
      </c>
      <c r="FG12" s="204" t="s">
        <v>997</v>
      </c>
      <c r="FH12" s="204" t="s">
        <v>997</v>
      </c>
      <c r="FI12" s="204" t="s">
        <v>997</v>
      </c>
      <c r="FJ12" s="204" t="s">
        <v>997</v>
      </c>
      <c r="FK12" s="204" t="s">
        <v>997</v>
      </c>
      <c r="FL12" s="204" t="s">
        <v>997</v>
      </c>
      <c r="FM12" s="204" t="s">
        <v>997</v>
      </c>
      <c r="FN12" s="204" t="s">
        <v>997</v>
      </c>
      <c r="FO12" s="204" t="s">
        <v>997</v>
      </c>
      <c r="FP12" s="204" t="s">
        <v>997</v>
      </c>
      <c r="FQ12" s="204" t="s">
        <v>997</v>
      </c>
      <c r="FR12" s="204" t="s">
        <v>997</v>
      </c>
      <c r="FS12" s="204" t="s">
        <v>997</v>
      </c>
      <c r="FT12" s="204" t="s">
        <v>997</v>
      </c>
      <c r="FU12" s="204" t="s">
        <v>997</v>
      </c>
      <c r="FV12" s="204" t="s">
        <v>997</v>
      </c>
      <c r="FW12" s="204" t="s">
        <v>997</v>
      </c>
      <c r="FX12" s="204" t="s">
        <v>997</v>
      </c>
      <c r="FY12" s="204" t="s">
        <v>997</v>
      </c>
      <c r="FZ12" s="204" t="s">
        <v>997</v>
      </c>
      <c r="GA12" s="204" t="s">
        <v>997</v>
      </c>
      <c r="GB12" s="204" t="s">
        <v>997</v>
      </c>
      <c r="GC12" s="204" t="s">
        <v>997</v>
      </c>
      <c r="GD12" s="204" t="s">
        <v>997</v>
      </c>
      <c r="GE12" s="204" t="s">
        <v>997</v>
      </c>
      <c r="GF12" s="204" t="s">
        <v>997</v>
      </c>
      <c r="GG12" s="204" t="s">
        <v>997</v>
      </c>
      <c r="GH12" s="204" t="s">
        <v>997</v>
      </c>
      <c r="GI12" s="204" t="s">
        <v>997</v>
      </c>
      <c r="GJ12" s="204" t="s">
        <v>997</v>
      </c>
      <c r="GK12" s="204" t="s">
        <v>997</v>
      </c>
      <c r="GL12" s="204" t="s">
        <v>997</v>
      </c>
      <c r="GM12" s="204" t="s">
        <v>997</v>
      </c>
      <c r="GN12" s="1051">
        <v>27.007734375000002</v>
      </c>
      <c r="GO12" s="1051">
        <v>261.074765625</v>
      </c>
      <c r="GP12" s="1051">
        <v>0</v>
      </c>
      <c r="GQ12" s="1051">
        <v>0</v>
      </c>
      <c r="GR12" s="1051">
        <v>0</v>
      </c>
      <c r="GS12" s="1051">
        <v>0</v>
      </c>
      <c r="GT12" s="1051">
        <v>0</v>
      </c>
      <c r="GU12" s="1051">
        <v>0</v>
      </c>
      <c r="GV12" s="1051">
        <v>0</v>
      </c>
      <c r="GW12" s="1051">
        <v>0</v>
      </c>
      <c r="GX12" s="1051">
        <v>0</v>
      </c>
      <c r="GY12" s="1051">
        <v>0</v>
      </c>
      <c r="GZ12" s="1051">
        <v>0</v>
      </c>
      <c r="HA12" s="1051">
        <v>0</v>
      </c>
      <c r="HB12" s="1051">
        <v>0</v>
      </c>
      <c r="HC12" s="1051">
        <v>0</v>
      </c>
      <c r="HD12" s="1051">
        <v>0</v>
      </c>
      <c r="HE12" s="1051">
        <v>0</v>
      </c>
      <c r="HF12" s="1051">
        <v>0</v>
      </c>
      <c r="HG12" s="1051">
        <v>0</v>
      </c>
      <c r="HH12" s="1051">
        <v>0</v>
      </c>
      <c r="HI12" s="1051">
        <v>0</v>
      </c>
      <c r="HJ12" s="1051">
        <v>0</v>
      </c>
      <c r="HK12" s="1051">
        <v>0</v>
      </c>
      <c r="HL12" s="1051">
        <v>0</v>
      </c>
      <c r="HM12" s="1051">
        <v>0</v>
      </c>
      <c r="HN12" s="1051">
        <v>0</v>
      </c>
      <c r="HO12" s="1051">
        <v>0</v>
      </c>
      <c r="HP12" s="1051">
        <v>0</v>
      </c>
      <c r="HQ12" s="1051">
        <v>0</v>
      </c>
      <c r="HR12" s="1051">
        <v>0</v>
      </c>
      <c r="HS12" s="1051">
        <v>0</v>
      </c>
      <c r="HT12" s="1051">
        <v>0</v>
      </c>
      <c r="HU12" s="1051">
        <v>0</v>
      </c>
      <c r="HV12" s="1051">
        <v>0</v>
      </c>
      <c r="HW12" s="1051">
        <v>0</v>
      </c>
      <c r="HX12" s="1051">
        <v>0</v>
      </c>
      <c r="HY12" s="1051">
        <v>0</v>
      </c>
      <c r="HZ12" s="1051">
        <v>0</v>
      </c>
      <c r="IA12" s="1051">
        <v>0</v>
      </c>
      <c r="IB12" s="1051">
        <v>0</v>
      </c>
      <c r="IC12" s="1051">
        <v>0</v>
      </c>
      <c r="ID12" s="1051">
        <v>0</v>
      </c>
      <c r="IE12" s="1051">
        <v>0</v>
      </c>
      <c r="IF12" s="1051">
        <v>0</v>
      </c>
      <c r="IG12" s="1051">
        <v>0</v>
      </c>
      <c r="IH12" s="1051">
        <v>0</v>
      </c>
      <c r="II12" s="1051">
        <v>0</v>
      </c>
      <c r="IJ12" s="1051">
        <v>0</v>
      </c>
      <c r="IK12" s="1051">
        <v>0</v>
      </c>
      <c r="IL12" s="1051">
        <v>0</v>
      </c>
      <c r="IM12" s="1051">
        <v>0</v>
      </c>
      <c r="IN12" s="1051">
        <v>0</v>
      </c>
      <c r="IO12" s="1051">
        <v>0</v>
      </c>
      <c r="IP12" s="1051">
        <v>0</v>
      </c>
      <c r="IQ12" s="1051">
        <v>0</v>
      </c>
      <c r="IR12" s="1051">
        <v>0</v>
      </c>
      <c r="IS12" s="1051">
        <v>0</v>
      </c>
      <c r="IT12" s="215">
        <v>185.0679635463184</v>
      </c>
      <c r="IU12" s="207">
        <v>179.9</v>
      </c>
      <c r="IV12" s="216">
        <v>2647.0800000000199</v>
      </c>
      <c r="IW12" s="272">
        <v>12.64</v>
      </c>
      <c r="IX12" s="207">
        <v>50</v>
      </c>
      <c r="IY12" s="204">
        <v>0.6</v>
      </c>
      <c r="IZ12" s="204">
        <v>0.6</v>
      </c>
      <c r="JA12" s="204">
        <v>0.6</v>
      </c>
      <c r="JB12" s="52">
        <v>2</v>
      </c>
      <c r="JC12" s="24">
        <v>1.5</v>
      </c>
      <c r="JD12" s="24">
        <v>0.7</v>
      </c>
      <c r="JE12" s="24">
        <v>0.7</v>
      </c>
      <c r="JF12" s="24">
        <v>0.5</v>
      </c>
      <c r="JG12" s="1">
        <v>65.384236746272336</v>
      </c>
      <c r="JH12" s="216">
        <v>2647.0800000000199</v>
      </c>
      <c r="JI12" s="272">
        <v>12.64</v>
      </c>
      <c r="JJ12" s="207">
        <v>50</v>
      </c>
      <c r="JK12" s="8">
        <v>1.2</v>
      </c>
      <c r="JL12" s="8">
        <v>0.6</v>
      </c>
      <c r="JM12" s="8">
        <v>0.6</v>
      </c>
      <c r="JN12" s="216">
        <v>2</v>
      </c>
      <c r="JO12" s="216">
        <v>2</v>
      </c>
      <c r="JP12" s="216">
        <v>1</v>
      </c>
      <c r="JQ12" s="216">
        <v>1</v>
      </c>
      <c r="JR12" s="214">
        <v>0.5</v>
      </c>
      <c r="JS12" s="1212">
        <v>2000</v>
      </c>
      <c r="JT12" s="215">
        <v>203.95114737925681</v>
      </c>
      <c r="JU12" s="215">
        <v>500</v>
      </c>
      <c r="JV12" s="207">
        <v>1.7</v>
      </c>
      <c r="JW12" s="207">
        <v>1</v>
      </c>
      <c r="JX12" s="207">
        <v>1</v>
      </c>
      <c r="JY12" s="214">
        <v>2</v>
      </c>
      <c r="JZ12" s="214">
        <v>1.5</v>
      </c>
      <c r="KA12" s="214">
        <v>0.5</v>
      </c>
      <c r="KB12" s="214">
        <v>1</v>
      </c>
      <c r="KC12" s="214">
        <v>0.5</v>
      </c>
      <c r="KD12" s="1186">
        <v>3.3535635422734598</v>
      </c>
      <c r="KE12" s="1186"/>
      <c r="KF12" s="1186">
        <v>95.627023585352973</v>
      </c>
      <c r="KG12" s="1186"/>
      <c r="KH12" s="1186">
        <v>9.008764918650175E-2</v>
      </c>
      <c r="KI12" s="1186">
        <v>0.92932522318707067</v>
      </c>
      <c r="KJ12" s="1186"/>
      <c r="KK12" s="1186"/>
      <c r="KL12" s="1186"/>
      <c r="KM12" s="1187">
        <v>580</v>
      </c>
      <c r="KN12" s="1187">
        <v>580</v>
      </c>
      <c r="KO12" s="1187">
        <v>580</v>
      </c>
      <c r="KP12" s="1187">
        <v>580</v>
      </c>
      <c r="KQ12" s="1187"/>
      <c r="KR12" s="1187">
        <v>580</v>
      </c>
      <c r="KS12" s="1187">
        <v>580</v>
      </c>
      <c r="KT12" s="1187">
        <v>580</v>
      </c>
      <c r="KU12" s="1187">
        <v>580</v>
      </c>
      <c r="KV12" s="262">
        <v>370</v>
      </c>
      <c r="KW12" s="262">
        <v>370</v>
      </c>
      <c r="KX12" s="262">
        <v>370</v>
      </c>
      <c r="KY12" s="262">
        <v>370</v>
      </c>
      <c r="KZ12" s="262"/>
      <c r="LA12" s="262">
        <v>370</v>
      </c>
      <c r="LB12" s="262">
        <v>370</v>
      </c>
      <c r="LC12" s="262">
        <v>370</v>
      </c>
      <c r="LD12" s="262">
        <v>370</v>
      </c>
      <c r="LE12" s="1213">
        <v>0</v>
      </c>
      <c r="LF12" s="1213">
        <v>10</v>
      </c>
      <c r="LG12" s="1213">
        <v>20</v>
      </c>
      <c r="LH12" s="1213">
        <v>70</v>
      </c>
      <c r="LI12" s="1213">
        <v>100</v>
      </c>
      <c r="LJ12" s="1212">
        <v>1000</v>
      </c>
      <c r="LK12" s="1">
        <v>223.71669488932466</v>
      </c>
      <c r="LL12" s="4">
        <v>29</v>
      </c>
      <c r="LM12" s="8">
        <v>0.9</v>
      </c>
      <c r="LN12" s="10">
        <v>1.5</v>
      </c>
      <c r="LO12" s="10">
        <v>1.5</v>
      </c>
      <c r="LP12" s="214">
        <v>2</v>
      </c>
      <c r="LQ12" s="214">
        <v>1</v>
      </c>
      <c r="LR12" s="214">
        <v>0.5</v>
      </c>
      <c r="LS12" s="214">
        <v>0.7</v>
      </c>
      <c r="LT12" s="214">
        <v>0.2</v>
      </c>
      <c r="LU12" s="1212">
        <v>1500</v>
      </c>
      <c r="LV12" s="122">
        <v>0</v>
      </c>
      <c r="LW12" s="122">
        <v>0</v>
      </c>
      <c r="LX12" s="122">
        <v>0</v>
      </c>
      <c r="LY12" s="165">
        <v>0</v>
      </c>
      <c r="LZ12" s="165">
        <v>0</v>
      </c>
      <c r="MA12" s="165">
        <v>0</v>
      </c>
      <c r="MB12" s="165">
        <v>0</v>
      </c>
      <c r="MC12" s="165">
        <v>0</v>
      </c>
      <c r="MD12" s="165">
        <v>0</v>
      </c>
      <c r="ME12" s="165">
        <v>0</v>
      </c>
      <c r="MF12" s="165">
        <v>0</v>
      </c>
      <c r="MG12" s="165">
        <v>0</v>
      </c>
      <c r="MH12" s="165">
        <v>0</v>
      </c>
      <c r="MI12" s="165">
        <v>0</v>
      </c>
      <c r="MJ12" s="165">
        <v>0</v>
      </c>
      <c r="MK12" s="165">
        <v>0</v>
      </c>
      <c r="ML12" s="165">
        <v>0</v>
      </c>
      <c r="MM12" s="165">
        <v>0</v>
      </c>
      <c r="MN12" s="165">
        <v>0</v>
      </c>
      <c r="MO12" s="165">
        <v>0</v>
      </c>
      <c r="MP12" s="165">
        <v>0</v>
      </c>
      <c r="MQ12" s="165">
        <v>0</v>
      </c>
      <c r="MR12" s="165">
        <v>0</v>
      </c>
      <c r="MS12" s="165">
        <v>0</v>
      </c>
      <c r="MT12" s="165">
        <v>0</v>
      </c>
      <c r="MU12" s="165">
        <v>0</v>
      </c>
      <c r="MV12" s="165">
        <v>0</v>
      </c>
      <c r="MW12" s="166">
        <v>1.1915668011957601</v>
      </c>
      <c r="MX12" s="166">
        <v>0</v>
      </c>
      <c r="MY12" s="166">
        <v>2.00785405309E-2</v>
      </c>
      <c r="MZ12" s="166">
        <v>0.22850000000175999</v>
      </c>
      <c r="NA12" s="166">
        <v>0.77571229145364995</v>
      </c>
      <c r="NB12" s="166">
        <v>0</v>
      </c>
      <c r="NC12" s="166">
        <v>1.1971650480566201</v>
      </c>
      <c r="ND12" s="166">
        <v>0</v>
      </c>
      <c r="NE12" s="166">
        <v>1.6500300959829999E-2</v>
      </c>
      <c r="NF12" s="166">
        <v>0.22850000000003001</v>
      </c>
      <c r="NG12" s="166">
        <v>-0.29450000000010002</v>
      </c>
      <c r="NH12" s="166">
        <v>0</v>
      </c>
      <c r="NI12" s="166">
        <v>0</v>
      </c>
      <c r="NJ12" s="166">
        <v>0</v>
      </c>
      <c r="NK12" s="166">
        <v>0</v>
      </c>
      <c r="NL12" s="166">
        <v>0</v>
      </c>
      <c r="NM12" s="166">
        <v>0</v>
      </c>
      <c r="NN12" s="166">
        <v>0</v>
      </c>
      <c r="NO12" s="166">
        <v>0</v>
      </c>
      <c r="NP12" s="166">
        <v>0</v>
      </c>
      <c r="NQ12" s="166">
        <v>0</v>
      </c>
      <c r="NR12" s="166">
        <v>0</v>
      </c>
      <c r="NS12" s="166">
        <v>0</v>
      </c>
      <c r="NT12" s="166">
        <v>0</v>
      </c>
      <c r="NU12" s="166">
        <v>0</v>
      </c>
      <c r="NV12" s="166">
        <v>0</v>
      </c>
      <c r="NW12" s="166">
        <v>0</v>
      </c>
      <c r="NX12" s="166">
        <v>0</v>
      </c>
      <c r="NY12" s="166">
        <v>0</v>
      </c>
      <c r="NZ12" s="166">
        <v>0</v>
      </c>
      <c r="OA12" s="166">
        <v>-81.790000000000006</v>
      </c>
      <c r="OB12" s="166">
        <v>-19.37</v>
      </c>
      <c r="OC12" s="166">
        <v>0</v>
      </c>
      <c r="OD12" s="166">
        <v>0</v>
      </c>
      <c r="OE12" s="166">
        <v>5.7500000000000002E-2</v>
      </c>
      <c r="OF12" s="166">
        <v>0</v>
      </c>
      <c r="OG12" s="166">
        <v>0.43472720816430999</v>
      </c>
      <c r="OH12" s="166">
        <v>0</v>
      </c>
      <c r="OI12" s="166">
        <v>0</v>
      </c>
      <c r="OJ12" s="166">
        <v>0</v>
      </c>
      <c r="OK12" s="166">
        <v>-0.95885325741642002</v>
      </c>
      <c r="OL12" s="166">
        <v>0</v>
      </c>
      <c r="OM12" s="166">
        <v>0</v>
      </c>
      <c r="ON12" s="166">
        <v>0</v>
      </c>
      <c r="OO12" s="166">
        <v>0</v>
      </c>
      <c r="OP12" s="166">
        <v>0</v>
      </c>
      <c r="OQ12" s="166">
        <v>0</v>
      </c>
      <c r="OR12" s="166">
        <v>0</v>
      </c>
      <c r="OS12" s="166">
        <v>0</v>
      </c>
      <c r="OT12" s="166">
        <v>0</v>
      </c>
      <c r="OU12" s="166">
        <v>0</v>
      </c>
      <c r="OV12" s="166">
        <v>0</v>
      </c>
      <c r="OW12" s="166">
        <v>0</v>
      </c>
      <c r="OX12" s="166">
        <v>0</v>
      </c>
      <c r="OY12" s="166">
        <v>0</v>
      </c>
      <c r="OZ12" s="166">
        <v>0</v>
      </c>
      <c r="PA12" s="166">
        <v>0</v>
      </c>
      <c r="PB12" s="166">
        <v>0</v>
      </c>
      <c r="PC12" s="166">
        <v>0</v>
      </c>
      <c r="PD12" s="166">
        <v>0</v>
      </c>
      <c r="PE12" s="166">
        <v>-81.790000000000006</v>
      </c>
      <c r="PF12" s="166">
        <v>-19.37</v>
      </c>
      <c r="PG12" s="166">
        <v>0</v>
      </c>
      <c r="PH12" s="166">
        <v>0</v>
      </c>
      <c r="PI12" s="166">
        <v>0</v>
      </c>
      <c r="PJ12" s="166">
        <v>0</v>
      </c>
      <c r="PK12" s="166">
        <v>-4.2676210883269998E-2</v>
      </c>
      <c r="PL12" s="166">
        <v>0</v>
      </c>
      <c r="PM12" s="166">
        <v>0</v>
      </c>
      <c r="PN12" s="166">
        <v>0</v>
      </c>
      <c r="PO12" s="166">
        <v>1.0465215330514901</v>
      </c>
      <c r="PP12" s="166">
        <v>0</v>
      </c>
      <c r="PQ12" s="166">
        <v>0</v>
      </c>
      <c r="PR12" s="166">
        <v>0</v>
      </c>
      <c r="PS12" s="166">
        <v>0</v>
      </c>
      <c r="PT12" s="166">
        <v>0</v>
      </c>
      <c r="PU12" s="166">
        <v>0</v>
      </c>
      <c r="PV12" s="166">
        <v>0</v>
      </c>
      <c r="PW12" s="166">
        <v>0</v>
      </c>
      <c r="PX12" s="166">
        <v>0</v>
      </c>
      <c r="PY12" s="166">
        <v>0</v>
      </c>
      <c r="PZ12" s="166">
        <v>0</v>
      </c>
      <c r="QA12" s="166">
        <v>0</v>
      </c>
      <c r="QB12" s="166">
        <v>0</v>
      </c>
      <c r="QC12" s="166">
        <v>0</v>
      </c>
      <c r="QD12" s="166">
        <v>0</v>
      </c>
      <c r="QE12" s="166">
        <v>0</v>
      </c>
      <c r="QF12" s="166">
        <v>0</v>
      </c>
      <c r="QG12" s="166">
        <v>0</v>
      </c>
      <c r="QH12" s="166">
        <v>0</v>
      </c>
      <c r="QI12" s="162">
        <v>0</v>
      </c>
      <c r="QJ12" s="167">
        <v>0</v>
      </c>
      <c r="QK12" s="167">
        <v>0</v>
      </c>
      <c r="QL12" s="167">
        <v>0</v>
      </c>
      <c r="QM12" s="167">
        <v>0</v>
      </c>
      <c r="QN12" s="162">
        <v>0</v>
      </c>
      <c r="QO12" s="162">
        <v>0</v>
      </c>
      <c r="QP12" s="162">
        <v>0</v>
      </c>
      <c r="QQ12" s="162">
        <v>0</v>
      </c>
      <c r="QR12" s="162">
        <v>0</v>
      </c>
      <c r="QS12" s="162">
        <v>0</v>
      </c>
      <c r="QT12" s="162">
        <v>0</v>
      </c>
      <c r="QU12" s="162">
        <v>-0.82203621730398002</v>
      </c>
      <c r="QV12" s="162">
        <v>0</v>
      </c>
      <c r="QW12" s="162">
        <v>0</v>
      </c>
      <c r="QX12" s="162">
        <v>0</v>
      </c>
      <c r="QY12" s="162">
        <v>-2.7178499999999999</v>
      </c>
      <c r="QZ12" s="162">
        <v>0</v>
      </c>
      <c r="RA12" s="167">
        <v>-0.82203621730398002</v>
      </c>
      <c r="RB12" s="167">
        <v>0</v>
      </c>
      <c r="RC12" s="167">
        <v>0</v>
      </c>
      <c r="RD12" s="167">
        <v>0</v>
      </c>
      <c r="RE12" s="167">
        <v>-1.7178500000000001</v>
      </c>
      <c r="RF12" s="167">
        <v>0</v>
      </c>
      <c r="RG12" s="167">
        <v>-0.82203621730398002</v>
      </c>
      <c r="RH12" s="167">
        <v>0</v>
      </c>
      <c r="RI12" s="167">
        <v>0</v>
      </c>
      <c r="RJ12" s="167">
        <v>0</v>
      </c>
      <c r="RK12" s="167">
        <v>-0.71784999999999999</v>
      </c>
      <c r="RL12" s="167">
        <v>0</v>
      </c>
      <c r="RM12" s="166">
        <v>-81.790000000000006</v>
      </c>
      <c r="RN12" s="166">
        <v>-19.37</v>
      </c>
      <c r="RO12" s="166">
        <v>-5.2372812923390001E-2</v>
      </c>
      <c r="RP12" s="166">
        <v>0</v>
      </c>
      <c r="RQ12" s="166">
        <v>-2.60253229562821</v>
      </c>
      <c r="RR12" s="166">
        <v>0</v>
      </c>
      <c r="RS12" s="166">
        <v>-9.5519047762769996E-2</v>
      </c>
      <c r="RT12" s="166">
        <v>0</v>
      </c>
      <c r="RU12" s="166">
        <v>0</v>
      </c>
      <c r="RV12" s="166">
        <v>0</v>
      </c>
      <c r="RW12" s="166">
        <v>-1.82738229562821</v>
      </c>
      <c r="RX12" s="166">
        <v>0</v>
      </c>
      <c r="RY12" s="166">
        <v>-2.1136701275229999E-2</v>
      </c>
      <c r="RZ12" s="166">
        <v>0</v>
      </c>
      <c r="SA12" s="166">
        <v>0</v>
      </c>
      <c r="SB12" s="166">
        <v>0</v>
      </c>
      <c r="SC12" s="166">
        <v>-2.8970322956282102</v>
      </c>
      <c r="SD12" s="166">
        <v>0</v>
      </c>
      <c r="SE12" s="166">
        <v>0</v>
      </c>
      <c r="SF12" s="166">
        <v>0</v>
      </c>
      <c r="SG12" s="166">
        <v>0</v>
      </c>
      <c r="SH12" s="166">
        <v>0</v>
      </c>
      <c r="SI12" s="166">
        <v>0</v>
      </c>
      <c r="SJ12" s="166">
        <v>0</v>
      </c>
      <c r="SK12" s="166">
        <v>0</v>
      </c>
      <c r="SL12" s="166">
        <v>0</v>
      </c>
      <c r="SM12" s="166">
        <v>0</v>
      </c>
      <c r="SN12" s="166">
        <v>0</v>
      </c>
      <c r="SO12" s="166">
        <v>0</v>
      </c>
      <c r="SP12" s="166">
        <v>0</v>
      </c>
      <c r="SQ12" s="166">
        <v>-81.790000000000006</v>
      </c>
      <c r="SR12" s="166">
        <v>-19.37</v>
      </c>
      <c r="SS12" s="166">
        <v>0</v>
      </c>
      <c r="ST12" s="166">
        <v>0</v>
      </c>
      <c r="SU12" s="166">
        <v>0</v>
      </c>
      <c r="SV12" s="166">
        <v>0</v>
      </c>
      <c r="SW12" s="166">
        <v>0</v>
      </c>
      <c r="SX12" s="166">
        <v>0</v>
      </c>
      <c r="SY12" s="166">
        <v>0</v>
      </c>
      <c r="SZ12" s="166">
        <v>0</v>
      </c>
      <c r="TA12" s="166">
        <v>0</v>
      </c>
      <c r="TB12" s="166">
        <v>0</v>
      </c>
      <c r="TC12" s="166">
        <v>0</v>
      </c>
      <c r="TD12" s="166">
        <v>0</v>
      </c>
      <c r="TE12" s="166">
        <v>0</v>
      </c>
      <c r="TF12" s="166">
        <v>0</v>
      </c>
      <c r="TG12" s="166">
        <v>0</v>
      </c>
      <c r="TH12" s="166">
        <v>0</v>
      </c>
      <c r="TI12" s="166">
        <v>0</v>
      </c>
      <c r="TJ12" s="166">
        <v>0</v>
      </c>
      <c r="TK12" s="166">
        <v>0</v>
      </c>
      <c r="TL12" s="166">
        <v>0</v>
      </c>
      <c r="TM12" s="166">
        <v>0</v>
      </c>
      <c r="TN12" s="166">
        <v>0</v>
      </c>
      <c r="TO12" s="166">
        <v>0</v>
      </c>
      <c r="TP12" s="166">
        <v>0</v>
      </c>
      <c r="TQ12" s="166">
        <v>0</v>
      </c>
      <c r="TR12" s="166">
        <v>0</v>
      </c>
      <c r="TS12" s="166">
        <v>0</v>
      </c>
      <c r="TT12" s="166">
        <v>0</v>
      </c>
      <c r="TU12" s="166">
        <v>0.65215627945054999</v>
      </c>
      <c r="TV12" s="166">
        <v>0</v>
      </c>
      <c r="TW12" s="166">
        <v>0</v>
      </c>
      <c r="TX12" s="166">
        <v>0</v>
      </c>
      <c r="TY12" s="166">
        <v>0</v>
      </c>
      <c r="TZ12" s="166">
        <v>0</v>
      </c>
      <c r="UA12" s="166">
        <v>-4.2417674051300001E-2</v>
      </c>
      <c r="UB12" s="166">
        <v>0</v>
      </c>
      <c r="UC12" s="166">
        <v>0</v>
      </c>
      <c r="UD12" s="166">
        <v>0</v>
      </c>
      <c r="UE12" s="166">
        <v>-1.067061072834E-2</v>
      </c>
      <c r="UF12" s="166">
        <v>-10.00000000001285</v>
      </c>
      <c r="UG12" s="166">
        <v>0</v>
      </c>
      <c r="UH12" s="166">
        <v>0</v>
      </c>
      <c r="UI12" s="166">
        <v>0</v>
      </c>
      <c r="UJ12" s="166">
        <v>0</v>
      </c>
      <c r="UK12" s="166">
        <v>0</v>
      </c>
      <c r="UL12" s="166">
        <v>-2.45391336104348</v>
      </c>
      <c r="UM12" s="166">
        <v>0</v>
      </c>
      <c r="UN12" s="166">
        <v>0</v>
      </c>
      <c r="UO12" s="166">
        <v>0</v>
      </c>
      <c r="UP12" s="166">
        <v>0</v>
      </c>
      <c r="UQ12" s="166">
        <v>0</v>
      </c>
      <c r="UR12" s="166">
        <v>0</v>
      </c>
      <c r="US12" s="163">
        <v>0</v>
      </c>
      <c r="UT12" s="163">
        <v>0</v>
      </c>
      <c r="UU12" s="163">
        <v>0</v>
      </c>
      <c r="UV12" s="163">
        <v>0</v>
      </c>
      <c r="UW12" s="163">
        <v>0</v>
      </c>
      <c r="UX12" s="163">
        <v>0</v>
      </c>
      <c r="UY12" s="166">
        <v>0</v>
      </c>
      <c r="UZ12" s="166">
        <v>0</v>
      </c>
      <c r="VA12" s="166">
        <v>0</v>
      </c>
      <c r="VB12" s="166">
        <v>0</v>
      </c>
      <c r="VC12" s="166">
        <v>0</v>
      </c>
      <c r="VD12" s="166">
        <v>0</v>
      </c>
      <c r="VE12" s="267">
        <v>202</v>
      </c>
      <c r="VF12" s="267">
        <v>279</v>
      </c>
      <c r="VG12" s="267">
        <v>354</v>
      </c>
      <c r="VH12" s="267">
        <v>0</v>
      </c>
      <c r="VI12" s="267">
        <v>403</v>
      </c>
      <c r="VJ12" s="267">
        <v>0</v>
      </c>
      <c r="VK12" s="267">
        <v>0</v>
      </c>
      <c r="VL12" s="257">
        <v>0</v>
      </c>
      <c r="VM12" s="257">
        <v>0</v>
      </c>
      <c r="VN12" s="257">
        <v>0</v>
      </c>
      <c r="VO12" s="257">
        <v>0</v>
      </c>
      <c r="VP12" s="257">
        <v>0</v>
      </c>
      <c r="VQ12" s="257">
        <v>0</v>
      </c>
      <c r="VR12" s="257">
        <v>0</v>
      </c>
      <c r="VS12" s="257">
        <v>0</v>
      </c>
      <c r="VT12" s="257">
        <v>0</v>
      </c>
      <c r="VU12" s="257">
        <v>0</v>
      </c>
      <c r="VV12" s="257">
        <v>0</v>
      </c>
      <c r="VW12" s="257">
        <v>0</v>
      </c>
      <c r="VX12" s="257">
        <v>0</v>
      </c>
      <c r="VY12" s="257">
        <v>0</v>
      </c>
      <c r="VZ12" s="257">
        <v>0</v>
      </c>
      <c r="WA12" s="257">
        <v>0</v>
      </c>
      <c r="WB12" s="257">
        <v>0</v>
      </c>
      <c r="WC12" s="257">
        <v>0</v>
      </c>
      <c r="WD12" s="257">
        <v>0</v>
      </c>
      <c r="WE12" s="257">
        <v>0</v>
      </c>
      <c r="WF12" s="257">
        <v>0</v>
      </c>
      <c r="WG12" s="257">
        <v>0</v>
      </c>
      <c r="WH12" s="257">
        <v>0</v>
      </c>
      <c r="WI12" s="257">
        <v>0</v>
      </c>
      <c r="WJ12" s="257">
        <v>0</v>
      </c>
      <c r="WK12" s="257">
        <v>0</v>
      </c>
      <c r="WL12" s="257">
        <v>0</v>
      </c>
      <c r="WM12" s="257">
        <v>0</v>
      </c>
      <c r="WN12" s="257">
        <v>0</v>
      </c>
      <c r="WO12" s="257">
        <v>0</v>
      </c>
      <c r="WP12" s="257">
        <v>0</v>
      </c>
      <c r="WQ12" s="257">
        <v>0</v>
      </c>
      <c r="WR12" s="257">
        <v>0</v>
      </c>
      <c r="WS12" s="572">
        <v>76</v>
      </c>
      <c r="WT12" s="572">
        <v>60.292275574112736</v>
      </c>
      <c r="WU12" s="572">
        <v>66.638830897703542</v>
      </c>
      <c r="WV12" s="572">
        <v>69.812108559498952</v>
      </c>
      <c r="WW12" s="572">
        <v>107.25678496868477</v>
      </c>
      <c r="WX12" s="247">
        <v>16793.08858</v>
      </c>
      <c r="WY12" s="4">
        <v>80</v>
      </c>
      <c r="WZ12" s="4">
        <v>8</v>
      </c>
      <c r="XA12" s="4">
        <v>12</v>
      </c>
      <c r="XB12" s="4">
        <v>0</v>
      </c>
      <c r="XC12" s="1037">
        <v>1129.2844495021875</v>
      </c>
      <c r="XD12" s="1037">
        <v>0</v>
      </c>
      <c r="XE12" s="1037">
        <v>0</v>
      </c>
      <c r="XF12" s="1037">
        <v>0</v>
      </c>
      <c r="XG12" s="1037">
        <v>0</v>
      </c>
      <c r="XH12" s="1037">
        <v>0</v>
      </c>
      <c r="XI12" s="1037">
        <v>2258.568899004375</v>
      </c>
      <c r="XJ12" s="1037">
        <v>245.49661945699728</v>
      </c>
      <c r="XK12" s="1037">
        <v>1211.4460116176717</v>
      </c>
      <c r="XL12" s="1037">
        <v>0</v>
      </c>
      <c r="XM12" s="1037">
        <v>0</v>
      </c>
      <c r="XN12" s="1037">
        <v>0</v>
      </c>
      <c r="XO12" s="1037">
        <v>0</v>
      </c>
      <c r="XP12" s="1037">
        <v>0</v>
      </c>
      <c r="XQ12" s="1037">
        <v>2422.8920232353435</v>
      </c>
      <c r="XR12" s="1037">
        <v>263.35782861253733</v>
      </c>
      <c r="XS12" s="1037">
        <v>1269.1339169327991</v>
      </c>
      <c r="XT12" s="1037">
        <v>0</v>
      </c>
      <c r="XU12" s="1037">
        <v>0</v>
      </c>
      <c r="XV12" s="1037">
        <v>0</v>
      </c>
      <c r="XW12" s="1037">
        <v>0</v>
      </c>
      <c r="XX12" s="1037">
        <v>0</v>
      </c>
      <c r="XY12" s="1037">
        <v>2538.2678338655983</v>
      </c>
      <c r="XZ12" s="1037">
        <v>275.89867759408673</v>
      </c>
      <c r="YA12" s="1037">
        <v>1949.8511996513005</v>
      </c>
      <c r="YB12" s="1037">
        <v>0</v>
      </c>
      <c r="YC12" s="1037">
        <v>0</v>
      </c>
      <c r="YD12" s="1037">
        <v>0</v>
      </c>
      <c r="YE12" s="1037">
        <v>0</v>
      </c>
      <c r="YF12" s="1037">
        <v>0</v>
      </c>
      <c r="YG12" s="1037">
        <v>3899.702399302601</v>
      </c>
      <c r="YH12" s="1037">
        <v>423.88069557636965</v>
      </c>
      <c r="YI12" s="1037">
        <v>1151.3682342924528</v>
      </c>
      <c r="YJ12" s="1037">
        <v>1001.1897689499589</v>
      </c>
      <c r="YK12" s="1037">
        <v>300.35693068498762</v>
      </c>
      <c r="YL12" s="1037">
        <v>0</v>
      </c>
      <c r="YM12" s="1037">
        <v>0</v>
      </c>
      <c r="YN12" s="1037">
        <v>0</v>
      </c>
      <c r="YO12" s="1037">
        <v>2302.7364685849057</v>
      </c>
      <c r="YP12" s="1037">
        <v>250.29744223748972</v>
      </c>
      <c r="YQ12" s="1037">
        <v>1235.1365114004175</v>
      </c>
      <c r="YR12" s="1037">
        <v>1074.0317490438413</v>
      </c>
      <c r="YS12" s="1037">
        <v>322.20952471315235</v>
      </c>
      <c r="YT12" s="1037">
        <v>0</v>
      </c>
      <c r="YU12" s="1037">
        <v>0</v>
      </c>
      <c r="YV12" s="1037">
        <v>0</v>
      </c>
      <c r="YW12" s="1037">
        <v>2470.273022800835</v>
      </c>
      <c r="YX12" s="1037">
        <v>268.50793726096032</v>
      </c>
      <c r="YY12" s="1037">
        <v>1293.9525357528182</v>
      </c>
      <c r="YZ12" s="1037">
        <v>1125.1761180459289</v>
      </c>
      <c r="ZA12" s="1037">
        <v>337.55283541377867</v>
      </c>
      <c r="ZB12" s="1037">
        <v>0</v>
      </c>
      <c r="ZC12" s="1037">
        <v>0</v>
      </c>
      <c r="ZD12" s="1037">
        <v>0</v>
      </c>
      <c r="ZE12" s="1037">
        <v>2587.9050715056364</v>
      </c>
      <c r="ZF12" s="1037">
        <v>281.29402951148222</v>
      </c>
      <c r="ZG12" s="1037">
        <v>1987.9816231111483</v>
      </c>
      <c r="ZH12" s="1037">
        <v>1728.6796722705637</v>
      </c>
      <c r="ZI12" s="1037">
        <v>518.60390168116908</v>
      </c>
      <c r="ZJ12" s="1037">
        <v>0</v>
      </c>
      <c r="ZK12" s="1037">
        <v>0</v>
      </c>
      <c r="ZL12" s="1037">
        <v>0</v>
      </c>
      <c r="ZM12" s="1037">
        <v>3975.9632462222967</v>
      </c>
      <c r="ZN12" s="1037">
        <v>432.16991806764094</v>
      </c>
      <c r="ZO12" s="1037">
        <v>3064.1251396492694</v>
      </c>
      <c r="ZP12" s="1037">
        <v>2664.4566431732778</v>
      </c>
      <c r="ZQ12" s="1037">
        <v>799.33699295198323</v>
      </c>
      <c r="ZR12" s="1037">
        <v>0</v>
      </c>
      <c r="ZS12" s="1037">
        <v>0</v>
      </c>
      <c r="ZT12" s="1037">
        <v>0</v>
      </c>
      <c r="ZU12" s="1037">
        <v>6128.2502792985388</v>
      </c>
      <c r="ZV12" s="1037">
        <v>666.11416079331946</v>
      </c>
      <c r="ZW12" s="1037">
        <v>3386.664628033403</v>
      </c>
      <c r="ZX12" s="1037">
        <v>2944.9257635073068</v>
      </c>
      <c r="ZY12" s="1037">
        <v>883.47772905219199</v>
      </c>
      <c r="ZZ12" s="1037">
        <v>0</v>
      </c>
      <c r="AAA12" s="1037">
        <v>0</v>
      </c>
      <c r="AAB12" s="1037">
        <v>0</v>
      </c>
      <c r="AAC12" s="1037">
        <v>6773.329256066806</v>
      </c>
      <c r="AAD12" s="1037">
        <v>736.2314408768267</v>
      </c>
      <c r="AAE12" s="1037">
        <v>3547.9343722254698</v>
      </c>
      <c r="AAF12" s="1037">
        <v>3085.1603236743213</v>
      </c>
      <c r="AAG12" s="1037">
        <v>925.54809710229631</v>
      </c>
      <c r="AAH12" s="1037">
        <v>0</v>
      </c>
      <c r="AAI12" s="1037">
        <v>0</v>
      </c>
      <c r="AAJ12" s="1037">
        <v>0</v>
      </c>
      <c r="AAK12" s="1037">
        <v>7095.8687444509396</v>
      </c>
      <c r="AAL12" s="1037">
        <v>771.29008091858032</v>
      </c>
      <c r="AAM12" s="1037">
        <v>5450.9173536918588</v>
      </c>
      <c r="AAN12" s="1037">
        <v>4739.928133645094</v>
      </c>
      <c r="AAO12" s="1037">
        <v>1421.9784400935282</v>
      </c>
      <c r="AAP12" s="1037">
        <v>0</v>
      </c>
      <c r="AAQ12" s="1037">
        <v>0</v>
      </c>
      <c r="AAR12" s="1037">
        <v>0</v>
      </c>
      <c r="AAS12" s="1037">
        <v>10901.834707383718</v>
      </c>
      <c r="AAT12" s="1037">
        <v>1184.9820334112735</v>
      </c>
      <c r="AAU12" s="1037">
        <v>4215.493373941722</v>
      </c>
      <c r="AAV12" s="1037">
        <v>3665.6464121232366</v>
      </c>
      <c r="AAW12" s="1037">
        <v>1099.6939236369708</v>
      </c>
      <c r="AAX12" s="1037">
        <v>0</v>
      </c>
      <c r="AAY12" s="1037">
        <v>0</v>
      </c>
      <c r="AAZ12" s="1037">
        <v>0</v>
      </c>
      <c r="ABA12" s="1037">
        <v>8430.986747883444</v>
      </c>
      <c r="ABB12" s="1037">
        <v>916.41160303080915</v>
      </c>
      <c r="ABC12" s="1037">
        <v>4462.4286863498955</v>
      </c>
      <c r="ABD12" s="1037">
        <v>3880.3727707390399</v>
      </c>
      <c r="ABE12" s="1037">
        <v>1164.1118312217118</v>
      </c>
      <c r="ABF12" s="1037">
        <v>0</v>
      </c>
      <c r="ABG12" s="1037">
        <v>0</v>
      </c>
      <c r="ABH12" s="1037">
        <v>0</v>
      </c>
      <c r="ABI12" s="1037">
        <v>8924.8573726997911</v>
      </c>
      <c r="ABJ12" s="1037">
        <v>970.09319268475997</v>
      </c>
      <c r="ABK12" s="1037">
        <v>4674.9252904617952</v>
      </c>
      <c r="ABL12" s="1037">
        <v>4065.1524264885174</v>
      </c>
      <c r="ABM12" s="1037">
        <v>1219.5457279465552</v>
      </c>
      <c r="ABN12" s="1037">
        <v>0</v>
      </c>
      <c r="ABO12" s="1037">
        <v>0</v>
      </c>
      <c r="ABP12" s="1037">
        <v>0</v>
      </c>
      <c r="ABQ12" s="1037">
        <v>9349.8505809235903</v>
      </c>
      <c r="ABR12" s="1037">
        <v>1016.2881066221294</v>
      </c>
      <c r="ABS12" s="1037">
        <v>0</v>
      </c>
      <c r="ABT12" s="1037">
        <v>0</v>
      </c>
      <c r="ABU12" s="1037">
        <v>0</v>
      </c>
      <c r="ABV12" s="1037">
        <v>0</v>
      </c>
      <c r="ABW12" s="1037">
        <v>0</v>
      </c>
      <c r="ABX12" s="1037">
        <v>0</v>
      </c>
      <c r="ABY12" s="1037">
        <v>0</v>
      </c>
      <c r="ABZ12" s="1037">
        <v>0</v>
      </c>
      <c r="ACA12" s="1037">
        <v>5459.7138851932432</v>
      </c>
      <c r="ACB12" s="1037">
        <v>4747.5772914723848</v>
      </c>
      <c r="ACC12" s="1037">
        <v>1424.2731874417154</v>
      </c>
      <c r="ACD12" s="1037">
        <v>0</v>
      </c>
      <c r="ACE12" s="1037">
        <v>0</v>
      </c>
      <c r="ACF12" s="1037">
        <v>0</v>
      </c>
      <c r="ACG12" s="1037">
        <v>10919.427770386486</v>
      </c>
      <c r="ACH12" s="1037">
        <v>1186.8943228680962</v>
      </c>
      <c r="ACI12" s="1037">
        <v>5837.0160941987479</v>
      </c>
      <c r="ACJ12" s="1037">
        <v>5075.6661688684762</v>
      </c>
      <c r="ACK12" s="1037">
        <v>1522.6998506605428</v>
      </c>
      <c r="ACL12" s="1037">
        <v>0</v>
      </c>
      <c r="ACM12" s="1037">
        <v>0</v>
      </c>
      <c r="ACN12" s="1037">
        <v>0</v>
      </c>
      <c r="ACO12" s="1037">
        <v>11674.032188397496</v>
      </c>
      <c r="ACP12" s="1037">
        <v>1268.9165422171191</v>
      </c>
      <c r="ACQ12" s="1037">
        <v>6114.9692415415448</v>
      </c>
      <c r="ACR12" s="1037">
        <v>5317.3645578622127</v>
      </c>
      <c r="ACS12" s="1037">
        <v>1595.2093673586637</v>
      </c>
      <c r="ACT12" s="1037">
        <v>0</v>
      </c>
      <c r="ACU12" s="1037">
        <v>0</v>
      </c>
      <c r="ACV12" s="1037">
        <v>0</v>
      </c>
      <c r="ACW12" s="1037">
        <v>12229.93848308309</v>
      </c>
      <c r="ACX12" s="1037">
        <v>1329.3411394655532</v>
      </c>
      <c r="ACY12" s="1037">
        <v>9394.8163801865576</v>
      </c>
      <c r="ACZ12" s="1037">
        <v>8169.40554798831</v>
      </c>
      <c r="ADA12" s="1037">
        <v>2450.8216643964929</v>
      </c>
      <c r="ADB12" s="1037">
        <v>0</v>
      </c>
      <c r="ADC12" s="1037">
        <v>0</v>
      </c>
      <c r="ADD12" s="1037">
        <v>0</v>
      </c>
      <c r="ADE12" s="1037">
        <v>18789.632760373115</v>
      </c>
      <c r="ADF12" s="1037">
        <v>2042.3513869970775</v>
      </c>
      <c r="ADG12" s="1037">
        <v>6666.7934856611382</v>
      </c>
      <c r="ADH12" s="1037">
        <v>5797.2117266618588</v>
      </c>
      <c r="ADI12" s="1037">
        <v>1739.1635179985576</v>
      </c>
      <c r="ADJ12" s="1037">
        <v>0</v>
      </c>
      <c r="ADK12" s="1037">
        <v>0</v>
      </c>
      <c r="ADL12" s="1037">
        <v>0</v>
      </c>
      <c r="ADM12" s="1037">
        <v>13333.586971322276</v>
      </c>
      <c r="ADN12" s="1037">
        <v>1449.3029316654647</v>
      </c>
      <c r="ADO12" s="1037">
        <v>7171.7603887766181</v>
      </c>
      <c r="ADP12" s="1037">
        <v>6236.3133815448855</v>
      </c>
      <c r="ADQ12" s="1037">
        <v>1870.8940144634653</v>
      </c>
      <c r="ADR12" s="1037">
        <v>0</v>
      </c>
      <c r="ADS12" s="1037">
        <v>0</v>
      </c>
      <c r="ADT12" s="1037">
        <v>0</v>
      </c>
      <c r="ADU12" s="1037">
        <v>14343.520777553236</v>
      </c>
      <c r="ADV12" s="1037">
        <v>1559.0783453862214</v>
      </c>
      <c r="ADW12" s="1037">
        <v>7513.2727882421714</v>
      </c>
      <c r="ADX12" s="1037">
        <v>6533.2806854279752</v>
      </c>
      <c r="ADY12" s="1037">
        <v>1959.9842056283924</v>
      </c>
      <c r="ADZ12" s="1037">
        <v>0</v>
      </c>
      <c r="AEA12" s="1037">
        <v>0</v>
      </c>
      <c r="AEB12" s="1037">
        <v>0</v>
      </c>
      <c r="AEC12" s="1037">
        <v>15026.545576484343</v>
      </c>
      <c r="AED12" s="1037">
        <v>1633.3201713569938</v>
      </c>
      <c r="AEE12" s="1037">
        <v>11543.119101935699</v>
      </c>
      <c r="AEF12" s="1037">
        <v>10037.494871248435</v>
      </c>
      <c r="AEG12" s="1037">
        <v>3011.2484613745301</v>
      </c>
      <c r="AEH12" s="1037">
        <v>0</v>
      </c>
      <c r="AEI12" s="1037">
        <v>0</v>
      </c>
      <c r="AEJ12" s="1037">
        <v>0</v>
      </c>
      <c r="AEK12" s="1037">
        <v>23086.238203871399</v>
      </c>
      <c r="AEL12" s="1037">
        <v>2509.3737178121087</v>
      </c>
      <c r="AEM12" s="1037">
        <v>7688.1685322108951</v>
      </c>
      <c r="AEN12" s="1037">
        <v>6685.3639410529522</v>
      </c>
      <c r="AEO12" s="1037">
        <v>2005.6091823158854</v>
      </c>
      <c r="AEP12" s="1037">
        <v>0</v>
      </c>
      <c r="AEQ12" s="1037">
        <v>0</v>
      </c>
      <c r="AER12" s="1037">
        <v>0</v>
      </c>
      <c r="AES12" s="1037">
        <v>15376.33706442179</v>
      </c>
      <c r="AET12" s="1037">
        <v>1671.3409852632381</v>
      </c>
      <c r="AEU12" s="1037">
        <v>8167.838220551148</v>
      </c>
      <c r="AEV12" s="1037">
        <v>7102.4680178705639</v>
      </c>
      <c r="AEW12" s="1037">
        <v>2130.740405361169</v>
      </c>
      <c r="AEX12" s="1037">
        <v>0</v>
      </c>
      <c r="AEY12" s="1037">
        <v>0</v>
      </c>
      <c r="AEZ12" s="1037">
        <v>0</v>
      </c>
      <c r="AFA12" s="1037">
        <v>16335.676441102296</v>
      </c>
      <c r="AFB12" s="1037">
        <v>1775.617004467641</v>
      </c>
      <c r="AFC12" s="1037">
        <v>8556.7828977202498</v>
      </c>
      <c r="AFD12" s="1037">
        <v>7440.6807806263041</v>
      </c>
      <c r="AFE12" s="1037">
        <v>2232.204234187891</v>
      </c>
      <c r="AFF12" s="1037">
        <v>0</v>
      </c>
      <c r="AFG12" s="1037">
        <v>0</v>
      </c>
      <c r="AFH12" s="1037">
        <v>0</v>
      </c>
      <c r="AFI12" s="1037">
        <v>17113.5657954405</v>
      </c>
      <c r="AFJ12" s="1037">
        <v>1860.170195156576</v>
      </c>
      <c r="AFK12" s="1037">
        <v>13146.330088315659</v>
      </c>
      <c r="AFL12" s="1037">
        <v>11431.591381144051</v>
      </c>
      <c r="AFM12" s="1037">
        <v>3429.4774143432151</v>
      </c>
      <c r="AFN12" s="1037">
        <v>0</v>
      </c>
      <c r="AFO12" s="1037">
        <v>0</v>
      </c>
      <c r="AFP12" s="1037">
        <v>0</v>
      </c>
      <c r="AFQ12" s="1037">
        <v>26292.660176631318</v>
      </c>
      <c r="AFR12" s="1037">
        <v>2857.8978452860129</v>
      </c>
      <c r="AFS12" s="247">
        <v>3064.1251396492694</v>
      </c>
      <c r="AFT12" s="247">
        <v>2664.4566431732778</v>
      </c>
      <c r="AFU12" s="247">
        <v>799.33699295198323</v>
      </c>
      <c r="AFV12" s="247">
        <v>0</v>
      </c>
      <c r="AFW12" s="247">
        <v>0</v>
      </c>
      <c r="AFX12" s="247">
        <v>0</v>
      </c>
      <c r="AFY12" s="247">
        <v>6128.2502792985388</v>
      </c>
      <c r="AFZ12" s="247">
        <v>666.11416079331946</v>
      </c>
      <c r="AGA12" s="247">
        <v>3386.664628033403</v>
      </c>
      <c r="AGB12" s="247">
        <v>2944.9257635073068</v>
      </c>
      <c r="AGC12" s="247">
        <v>883.47772905219199</v>
      </c>
      <c r="AGD12" s="247">
        <v>0</v>
      </c>
      <c r="AGE12" s="247">
        <v>0</v>
      </c>
      <c r="AGF12" s="247">
        <v>0</v>
      </c>
      <c r="AGG12" s="247">
        <v>6773.329256066806</v>
      </c>
      <c r="AGH12" s="247">
        <v>736.2314408768267</v>
      </c>
      <c r="AGI12" s="247">
        <v>3547.9343722254698</v>
      </c>
      <c r="AGJ12" s="247">
        <v>3085.1603236743213</v>
      </c>
      <c r="AGK12" s="247">
        <v>925.54809710229631</v>
      </c>
      <c r="AGL12" s="247">
        <v>0</v>
      </c>
      <c r="AGM12" s="247">
        <v>0</v>
      </c>
      <c r="AGN12" s="247">
        <v>0</v>
      </c>
      <c r="AGO12" s="247">
        <v>7095.8687444509396</v>
      </c>
      <c r="AGP12" s="247">
        <v>771.29008091858032</v>
      </c>
      <c r="AGQ12" s="247">
        <v>5450.9173536918588</v>
      </c>
      <c r="AGR12" s="247">
        <v>4739.928133645094</v>
      </c>
      <c r="AGS12" s="247">
        <v>1421.9784400935282</v>
      </c>
      <c r="AGT12" s="247">
        <v>0</v>
      </c>
      <c r="AGU12" s="247">
        <v>0</v>
      </c>
      <c r="AGV12" s="247">
        <v>0</v>
      </c>
      <c r="AGW12" s="247">
        <v>10901.834707383718</v>
      </c>
      <c r="AGX12" s="247">
        <v>1184.9820334112735</v>
      </c>
      <c r="AGY12" s="249">
        <v>0</v>
      </c>
      <c r="AGZ12" s="249">
        <v>0</v>
      </c>
      <c r="AHA12" s="249">
        <v>0</v>
      </c>
      <c r="AHB12" s="249">
        <v>0</v>
      </c>
      <c r="AHC12" s="249">
        <v>0</v>
      </c>
      <c r="AHD12" s="249">
        <v>0</v>
      </c>
      <c r="AHE12" s="249">
        <v>0</v>
      </c>
      <c r="AHF12" s="249">
        <v>0</v>
      </c>
      <c r="AHG12" s="249">
        <v>0</v>
      </c>
      <c r="AHH12" s="249">
        <v>0</v>
      </c>
      <c r="AHI12" s="249">
        <v>0</v>
      </c>
      <c r="AHJ12" s="249">
        <v>0</v>
      </c>
      <c r="AHK12" s="249">
        <v>0</v>
      </c>
      <c r="AHL12" s="249">
        <v>0</v>
      </c>
      <c r="AHM12" s="249">
        <v>0</v>
      </c>
      <c r="AHN12" s="249">
        <v>0</v>
      </c>
      <c r="AHO12" s="249">
        <v>0</v>
      </c>
      <c r="AHP12" s="249">
        <v>0</v>
      </c>
      <c r="AHQ12" s="249">
        <v>0</v>
      </c>
      <c r="AHR12" s="249">
        <v>0</v>
      </c>
      <c r="AHS12" s="249">
        <v>0</v>
      </c>
      <c r="AHT12" s="249">
        <v>0</v>
      </c>
      <c r="AHU12" s="249">
        <v>0</v>
      </c>
      <c r="AHV12" s="249">
        <v>0</v>
      </c>
      <c r="AHW12" s="249">
        <v>0</v>
      </c>
      <c r="AHX12" s="249">
        <v>0</v>
      </c>
      <c r="AHY12" s="249">
        <v>0</v>
      </c>
      <c r="AHZ12" s="249">
        <v>0</v>
      </c>
      <c r="AIA12" s="249">
        <v>0</v>
      </c>
      <c r="AIB12" s="249">
        <v>0</v>
      </c>
      <c r="AIC12" s="249">
        <v>0</v>
      </c>
      <c r="AID12" s="249">
        <v>0</v>
      </c>
      <c r="AIE12" s="249"/>
      <c r="AIF12" s="249"/>
      <c r="AIG12" s="249"/>
      <c r="AIH12" s="249"/>
      <c r="AII12" s="249"/>
      <c r="AIJ12" s="249"/>
      <c r="AIK12" s="249"/>
      <c r="AIL12" s="249"/>
      <c r="AIM12" s="249">
        <v>0</v>
      </c>
      <c r="AIN12" s="249">
        <v>0</v>
      </c>
      <c r="AIO12" s="249">
        <v>0</v>
      </c>
      <c r="AIP12" s="249">
        <v>0</v>
      </c>
      <c r="AIQ12" s="249">
        <v>0</v>
      </c>
      <c r="AIR12" s="249">
        <v>0</v>
      </c>
      <c r="AIS12" s="249">
        <v>0</v>
      </c>
      <c r="AIT12" s="249">
        <v>0</v>
      </c>
      <c r="AIU12" s="134" t="s">
        <v>1216</v>
      </c>
      <c r="AIV12" s="134" t="s">
        <v>1219</v>
      </c>
      <c r="AIW12" s="134" t="s">
        <v>1218</v>
      </c>
      <c r="AIX12" s="134" t="s">
        <v>1217</v>
      </c>
      <c r="AIY12" s="134" t="s">
        <v>1228</v>
      </c>
      <c r="AIZ12" s="134" t="s">
        <v>1229</v>
      </c>
      <c r="AJA12" s="134" t="s">
        <v>1230</v>
      </c>
      <c r="AJB12" s="134" t="s">
        <v>1231</v>
      </c>
      <c r="AJC12" s="134" t="s">
        <v>1232</v>
      </c>
      <c r="AJD12" s="134" t="s">
        <v>1233</v>
      </c>
    </row>
    <row r="13" spans="1:940" ht="18" customHeight="1">
      <c r="A13" s="664" t="s">
        <v>4</v>
      </c>
      <c r="B13" s="669">
        <v>0.3</v>
      </c>
      <c r="C13" s="6">
        <v>0.6</v>
      </c>
      <c r="D13" s="6">
        <v>0.6</v>
      </c>
      <c r="E13" s="74">
        <v>684.41441441441441</v>
      </c>
      <c r="F13" s="75">
        <v>-3.2</v>
      </c>
      <c r="G13" s="7">
        <v>-1.3</v>
      </c>
      <c r="H13" s="7">
        <v>-1.3</v>
      </c>
      <c r="I13" s="266">
        <v>350</v>
      </c>
      <c r="J13" s="125">
        <v>0</v>
      </c>
      <c r="K13" s="125">
        <v>0</v>
      </c>
      <c r="L13" s="125">
        <v>0</v>
      </c>
      <c r="M13" s="1">
        <v>1802.6022620724268</v>
      </c>
      <c r="N13" s="2">
        <v>12</v>
      </c>
      <c r="O13" s="10">
        <v>0.1</v>
      </c>
      <c r="P13" s="8">
        <v>0.8</v>
      </c>
      <c r="Q13" s="8">
        <v>0.8</v>
      </c>
      <c r="R13" s="7">
        <v>0.2</v>
      </c>
      <c r="S13" s="7">
        <v>0</v>
      </c>
      <c r="T13" s="7">
        <v>99.8</v>
      </c>
      <c r="U13" s="7">
        <v>0</v>
      </c>
      <c r="V13" s="71">
        <v>0</v>
      </c>
      <c r="W13" s="119">
        <v>2</v>
      </c>
      <c r="X13" s="120">
        <v>1.5</v>
      </c>
      <c r="Y13" s="119">
        <v>1</v>
      </c>
      <c r="Z13" s="120">
        <v>0.8</v>
      </c>
      <c r="AA13" s="120">
        <v>0.5</v>
      </c>
      <c r="AB13" s="559">
        <v>433.01922201480062</v>
      </c>
      <c r="AC13" s="559">
        <v>470.67306740739195</v>
      </c>
      <c r="AD13" s="559">
        <v>433.37222681535616</v>
      </c>
      <c r="AE13" s="559">
        <v>649.0581599547935</v>
      </c>
      <c r="AF13" s="622">
        <v>0.82209484106305364</v>
      </c>
      <c r="AG13" s="559">
        <v>261.91600618637949</v>
      </c>
      <c r="AH13" s="559">
        <v>284.69131107215162</v>
      </c>
      <c r="AI13" s="559">
        <v>262.12952466968363</v>
      </c>
      <c r="AJ13" s="559">
        <v>392.58931796849708</v>
      </c>
      <c r="AK13" s="622">
        <v>0.96717040125065135</v>
      </c>
      <c r="AL13" s="995">
        <v>0.1</v>
      </c>
      <c r="AM13" s="995">
        <v>0.3</v>
      </c>
      <c r="AN13" s="995">
        <v>0.6</v>
      </c>
      <c r="AO13" s="995">
        <v>0.9</v>
      </c>
      <c r="AP13" s="995">
        <v>1.3</v>
      </c>
      <c r="AQ13" s="995">
        <v>1.7</v>
      </c>
      <c r="AR13" s="995">
        <v>2</v>
      </c>
      <c r="AS13" s="1005">
        <v>0</v>
      </c>
      <c r="AT13" s="1005">
        <v>10</v>
      </c>
      <c r="AU13" s="1005">
        <v>20</v>
      </c>
      <c r="AV13" s="1005">
        <v>70</v>
      </c>
      <c r="AW13" s="1005">
        <v>100</v>
      </c>
      <c r="AX13" s="1">
        <v>7757.4025622567233</v>
      </c>
      <c r="AY13" s="5">
        <v>1.46</v>
      </c>
      <c r="AZ13" s="10">
        <v>0.8</v>
      </c>
      <c r="BA13" s="10">
        <v>1.1000000000000001</v>
      </c>
      <c r="BB13" s="10">
        <v>1.1000000000000001</v>
      </c>
      <c r="BC13" s="73">
        <v>0.17719020114452594</v>
      </c>
      <c r="BD13" s="73">
        <v>0.18538934885511546</v>
      </c>
      <c r="BE13" s="9">
        <v>0</v>
      </c>
      <c r="BF13" s="9">
        <v>0</v>
      </c>
      <c r="BG13" s="9">
        <v>0.12699985520620904</v>
      </c>
      <c r="BH13" s="9">
        <v>78.441251227694337</v>
      </c>
      <c r="BI13" s="9">
        <v>1.3666440462712111</v>
      </c>
      <c r="BJ13" s="9">
        <v>0</v>
      </c>
      <c r="BK13" s="9">
        <v>19.938105015622028</v>
      </c>
      <c r="BL13" s="9">
        <v>0</v>
      </c>
      <c r="BM13" s="9">
        <v>0</v>
      </c>
      <c r="BN13" s="9">
        <v>0</v>
      </c>
      <c r="BO13" s="9">
        <v>0</v>
      </c>
      <c r="BP13" s="9">
        <v>0</v>
      </c>
      <c r="BQ13" s="9">
        <v>0</v>
      </c>
      <c r="BR13" s="9">
        <v>9.7866646663026455E-2</v>
      </c>
      <c r="BS13" s="9">
        <v>2.9133208543182566E-2</v>
      </c>
      <c r="BT13" s="262">
        <v>261.13475999999997</v>
      </c>
      <c r="BU13" s="262">
        <v>96.5</v>
      </c>
      <c r="BV13" s="262">
        <v>63.215999999999994</v>
      </c>
      <c r="BW13" s="262">
        <v>233.35949490734063</v>
      </c>
      <c r="BX13" s="262">
        <v>157.40783999999999</v>
      </c>
      <c r="BY13" s="68"/>
      <c r="BZ13" s="262">
        <v>256.20808011776955</v>
      </c>
      <c r="CA13" s="262">
        <v>165.17663999999999</v>
      </c>
      <c r="CB13" s="68"/>
      <c r="CC13" s="785">
        <v>0</v>
      </c>
      <c r="CD13" s="262">
        <v>6.585</v>
      </c>
      <c r="CE13" s="262">
        <v>1.3169999999999999</v>
      </c>
      <c r="CF13" s="262">
        <v>38</v>
      </c>
      <c r="CG13" s="262">
        <v>225.83915999999996</v>
      </c>
      <c r="CH13" s="68">
        <v>0.2</v>
      </c>
      <c r="CI13" s="262">
        <v>175.08124000000001</v>
      </c>
      <c r="CJ13" s="262">
        <v>60.4</v>
      </c>
      <c r="CK13" s="262">
        <v>42.384</v>
      </c>
      <c r="CL13" s="262">
        <v>156.45894761061641</v>
      </c>
      <c r="CM13" s="262">
        <v>105.53616</v>
      </c>
      <c r="CN13" s="68"/>
      <c r="CO13" s="262">
        <v>159.24945066654416</v>
      </c>
      <c r="CP13" s="262">
        <v>102.66767999999999</v>
      </c>
      <c r="CQ13" s="68"/>
      <c r="CR13" s="262">
        <v>0</v>
      </c>
      <c r="CS13" s="262">
        <v>4.415</v>
      </c>
      <c r="CT13" s="262">
        <v>0.88300000000000001</v>
      </c>
      <c r="CU13" s="262">
        <v>27</v>
      </c>
      <c r="CV13" s="262">
        <v>151.41683999999998</v>
      </c>
      <c r="CW13" s="68">
        <v>0.2</v>
      </c>
      <c r="CX13" s="120">
        <v>0.3</v>
      </c>
      <c r="CY13" s="120">
        <v>0.7</v>
      </c>
      <c r="CZ13" s="120">
        <v>1.2</v>
      </c>
      <c r="DA13" s="120">
        <v>1.2</v>
      </c>
      <c r="DB13" s="119">
        <v>3</v>
      </c>
      <c r="DC13" s="1005">
        <v>0</v>
      </c>
      <c r="DD13" s="1005">
        <v>10</v>
      </c>
      <c r="DE13" s="1005">
        <v>20</v>
      </c>
      <c r="DF13" s="1005">
        <v>70</v>
      </c>
      <c r="DG13" s="1005">
        <v>100</v>
      </c>
      <c r="DH13" s="2">
        <v>0</v>
      </c>
      <c r="DI13" s="2">
        <v>18</v>
      </c>
      <c r="DJ13" s="63">
        <v>12</v>
      </c>
      <c r="DK13" s="10">
        <v>0</v>
      </c>
      <c r="DL13" s="10">
        <v>0</v>
      </c>
      <c r="DM13" s="10">
        <v>0</v>
      </c>
      <c r="DN13" s="1031" t="s">
        <v>1000</v>
      </c>
      <c r="DO13" s="1030" t="s">
        <v>997</v>
      </c>
      <c r="DP13" s="1030" t="s">
        <v>997</v>
      </c>
      <c r="DQ13" s="1030" t="s">
        <v>997</v>
      </c>
      <c r="DR13" s="1030" t="s">
        <v>997</v>
      </c>
      <c r="DS13" s="1030" t="s">
        <v>997</v>
      </c>
      <c r="DT13" s="1030" t="s">
        <v>997</v>
      </c>
      <c r="DU13" s="1097">
        <v>0</v>
      </c>
      <c r="DV13" s="1097">
        <v>0</v>
      </c>
      <c r="DW13" s="1097">
        <v>0</v>
      </c>
      <c r="DX13" s="1097">
        <v>0</v>
      </c>
      <c r="DY13" s="1097">
        <v>0</v>
      </c>
      <c r="DZ13" s="1097">
        <v>0</v>
      </c>
      <c r="EA13" s="1097">
        <v>0</v>
      </c>
      <c r="EB13" s="207">
        <v>0</v>
      </c>
      <c r="EC13" s="207">
        <v>18</v>
      </c>
      <c r="ED13" s="221">
        <v>5</v>
      </c>
      <c r="EE13" s="216">
        <v>0</v>
      </c>
      <c r="EF13" s="216">
        <v>0</v>
      </c>
      <c r="EG13" s="216">
        <v>0</v>
      </c>
      <c r="EH13" s="209" t="s">
        <v>1039</v>
      </c>
      <c r="EI13" s="204" t="s">
        <v>997</v>
      </c>
      <c r="EJ13" s="204" t="s">
        <v>997</v>
      </c>
      <c r="EK13" s="204" t="s">
        <v>997</v>
      </c>
      <c r="EL13" s="204" t="s">
        <v>997</v>
      </c>
      <c r="EM13" s="204" t="s">
        <v>997</v>
      </c>
      <c r="EN13" s="204" t="s">
        <v>997</v>
      </c>
      <c r="EO13" s="204" t="s">
        <v>997</v>
      </c>
      <c r="EP13" s="204" t="s">
        <v>997</v>
      </c>
      <c r="EQ13" s="204" t="s">
        <v>997</v>
      </c>
      <c r="ER13" s="204" t="s">
        <v>997</v>
      </c>
      <c r="ES13" s="204" t="s">
        <v>997</v>
      </c>
      <c r="ET13" s="204" t="s">
        <v>997</v>
      </c>
      <c r="EU13" s="204" t="s">
        <v>997</v>
      </c>
      <c r="EV13" s="204" t="s">
        <v>997</v>
      </c>
      <c r="EW13" s="204" t="s">
        <v>997</v>
      </c>
      <c r="EX13" s="204" t="s">
        <v>997</v>
      </c>
      <c r="EY13" s="204" t="s">
        <v>997</v>
      </c>
      <c r="EZ13" s="204" t="s">
        <v>997</v>
      </c>
      <c r="FA13" s="204" t="s">
        <v>997</v>
      </c>
      <c r="FB13" s="204" t="s">
        <v>997</v>
      </c>
      <c r="FC13" s="204" t="s">
        <v>997</v>
      </c>
      <c r="FD13" s="204" t="s">
        <v>997</v>
      </c>
      <c r="FE13" s="204" t="s">
        <v>997</v>
      </c>
      <c r="FF13" s="204" t="s">
        <v>997</v>
      </c>
      <c r="FG13" s="204" t="s">
        <v>997</v>
      </c>
      <c r="FH13" s="204" t="s">
        <v>997</v>
      </c>
      <c r="FI13" s="204" t="s">
        <v>997</v>
      </c>
      <c r="FJ13" s="204" t="s">
        <v>997</v>
      </c>
      <c r="FK13" s="204" t="s">
        <v>997</v>
      </c>
      <c r="FL13" s="204" t="s">
        <v>997</v>
      </c>
      <c r="FM13" s="204" t="s">
        <v>997</v>
      </c>
      <c r="FN13" s="204" t="s">
        <v>997</v>
      </c>
      <c r="FO13" s="204" t="s">
        <v>997</v>
      </c>
      <c r="FP13" s="204" t="s">
        <v>997</v>
      </c>
      <c r="FQ13" s="204" t="s">
        <v>997</v>
      </c>
      <c r="FR13" s="204" t="s">
        <v>997</v>
      </c>
      <c r="FS13" s="204" t="s">
        <v>997</v>
      </c>
      <c r="FT13" s="204" t="s">
        <v>997</v>
      </c>
      <c r="FU13" s="204" t="s">
        <v>997</v>
      </c>
      <c r="FV13" s="204" t="s">
        <v>997</v>
      </c>
      <c r="FW13" s="204" t="s">
        <v>997</v>
      </c>
      <c r="FX13" s="204" t="s">
        <v>997</v>
      </c>
      <c r="FY13" s="204" t="s">
        <v>997</v>
      </c>
      <c r="FZ13" s="204" t="s">
        <v>997</v>
      </c>
      <c r="GA13" s="204" t="s">
        <v>997</v>
      </c>
      <c r="GB13" s="204" t="s">
        <v>997</v>
      </c>
      <c r="GC13" s="204" t="s">
        <v>997</v>
      </c>
      <c r="GD13" s="204" t="s">
        <v>997</v>
      </c>
      <c r="GE13" s="204" t="s">
        <v>997</v>
      </c>
      <c r="GF13" s="204" t="s">
        <v>997</v>
      </c>
      <c r="GG13" s="204" t="s">
        <v>997</v>
      </c>
      <c r="GH13" s="204" t="s">
        <v>997</v>
      </c>
      <c r="GI13" s="204" t="s">
        <v>997</v>
      </c>
      <c r="GJ13" s="204" t="s">
        <v>997</v>
      </c>
      <c r="GK13" s="204" t="s">
        <v>997</v>
      </c>
      <c r="GL13" s="204" t="s">
        <v>997</v>
      </c>
      <c r="GM13" s="204" t="s">
        <v>997</v>
      </c>
      <c r="GN13" s="1051">
        <v>0</v>
      </c>
      <c r="GO13" s="1051">
        <v>0</v>
      </c>
      <c r="GP13" s="1051">
        <v>0</v>
      </c>
      <c r="GQ13" s="1051">
        <v>0</v>
      </c>
      <c r="GR13" s="1051">
        <v>0</v>
      </c>
      <c r="GS13" s="1051">
        <v>0</v>
      </c>
      <c r="GT13" s="1051">
        <v>0</v>
      </c>
      <c r="GU13" s="1051">
        <v>0</v>
      </c>
      <c r="GV13" s="1051">
        <v>0</v>
      </c>
      <c r="GW13" s="1051">
        <v>0</v>
      </c>
      <c r="GX13" s="1051">
        <v>0</v>
      </c>
      <c r="GY13" s="1051">
        <v>0</v>
      </c>
      <c r="GZ13" s="1051">
        <v>0</v>
      </c>
      <c r="HA13" s="1051">
        <v>0</v>
      </c>
      <c r="HB13" s="1051">
        <v>0</v>
      </c>
      <c r="HC13" s="1051">
        <v>0</v>
      </c>
      <c r="HD13" s="1051">
        <v>0</v>
      </c>
      <c r="HE13" s="1051">
        <v>0</v>
      </c>
      <c r="HF13" s="1051">
        <v>0</v>
      </c>
      <c r="HG13" s="1051">
        <v>0</v>
      </c>
      <c r="HH13" s="1051">
        <v>0</v>
      </c>
      <c r="HI13" s="1051">
        <v>0</v>
      </c>
      <c r="HJ13" s="1051">
        <v>0</v>
      </c>
      <c r="HK13" s="1051">
        <v>0</v>
      </c>
      <c r="HL13" s="1051">
        <v>0</v>
      </c>
      <c r="HM13" s="1051">
        <v>0</v>
      </c>
      <c r="HN13" s="1051">
        <v>0</v>
      </c>
      <c r="HO13" s="1051">
        <v>0</v>
      </c>
      <c r="HP13" s="1051">
        <v>0</v>
      </c>
      <c r="HQ13" s="1051">
        <v>0</v>
      </c>
      <c r="HR13" s="1051">
        <v>0</v>
      </c>
      <c r="HS13" s="1051">
        <v>0</v>
      </c>
      <c r="HT13" s="1051">
        <v>0</v>
      </c>
      <c r="HU13" s="1051">
        <v>0</v>
      </c>
      <c r="HV13" s="1051">
        <v>0</v>
      </c>
      <c r="HW13" s="1051">
        <v>0</v>
      </c>
      <c r="HX13" s="1051">
        <v>0</v>
      </c>
      <c r="HY13" s="1051">
        <v>0</v>
      </c>
      <c r="HZ13" s="1051">
        <v>0</v>
      </c>
      <c r="IA13" s="1051">
        <v>0</v>
      </c>
      <c r="IB13" s="1051">
        <v>0</v>
      </c>
      <c r="IC13" s="1051">
        <v>0</v>
      </c>
      <c r="ID13" s="1051">
        <v>0</v>
      </c>
      <c r="IE13" s="1051">
        <v>0</v>
      </c>
      <c r="IF13" s="1051">
        <v>0</v>
      </c>
      <c r="IG13" s="1051">
        <v>0</v>
      </c>
      <c r="IH13" s="1051">
        <v>0</v>
      </c>
      <c r="II13" s="1051">
        <v>0</v>
      </c>
      <c r="IJ13" s="1051">
        <v>0</v>
      </c>
      <c r="IK13" s="1051">
        <v>0</v>
      </c>
      <c r="IL13" s="1051">
        <v>0</v>
      </c>
      <c r="IM13" s="1051">
        <v>0</v>
      </c>
      <c r="IN13" s="1051">
        <v>0</v>
      </c>
      <c r="IO13" s="1051">
        <v>0</v>
      </c>
      <c r="IP13" s="1051">
        <v>0</v>
      </c>
      <c r="IQ13" s="1051">
        <v>0</v>
      </c>
      <c r="IR13" s="1051">
        <v>0</v>
      </c>
      <c r="IS13" s="1051">
        <v>0</v>
      </c>
      <c r="IT13" s="215">
        <v>0</v>
      </c>
      <c r="IU13" s="207">
        <v>179.9</v>
      </c>
      <c r="IV13" s="216">
        <v>2647.0800000000199</v>
      </c>
      <c r="IW13" s="272">
        <v>12.64</v>
      </c>
      <c r="IX13" s="207">
        <v>50</v>
      </c>
      <c r="IY13" s="207">
        <v>0</v>
      </c>
      <c r="IZ13" s="207">
        <v>0</v>
      </c>
      <c r="JA13" s="207">
        <v>0</v>
      </c>
      <c r="JB13" s="52">
        <v>2</v>
      </c>
      <c r="JC13" s="24">
        <v>1.5</v>
      </c>
      <c r="JD13" s="24">
        <v>0.7</v>
      </c>
      <c r="JE13" s="24">
        <v>0.7</v>
      </c>
      <c r="JF13" s="24">
        <v>0.5</v>
      </c>
      <c r="JG13" s="1">
        <v>0</v>
      </c>
      <c r="JH13" s="216">
        <v>2647.0800000000199</v>
      </c>
      <c r="JI13" s="272">
        <v>12.64</v>
      </c>
      <c r="JJ13" s="207">
        <v>50</v>
      </c>
      <c r="JK13" s="10">
        <v>0</v>
      </c>
      <c r="JL13" s="10">
        <v>0</v>
      </c>
      <c r="JM13" s="10">
        <v>0</v>
      </c>
      <c r="JN13" s="216">
        <v>2</v>
      </c>
      <c r="JO13" s="216">
        <v>2</v>
      </c>
      <c r="JP13" s="216">
        <v>1</v>
      </c>
      <c r="JQ13" s="216">
        <v>1</v>
      </c>
      <c r="JR13" s="214">
        <v>0.5</v>
      </c>
      <c r="JS13" s="1212">
        <v>2000</v>
      </c>
      <c r="JT13" s="215">
        <v>166.21925770503509</v>
      </c>
      <c r="JU13" s="215">
        <v>500</v>
      </c>
      <c r="JV13" s="207">
        <v>1.3</v>
      </c>
      <c r="JW13" s="207">
        <v>0.8</v>
      </c>
      <c r="JX13" s="207">
        <v>0.8</v>
      </c>
      <c r="JY13" s="214">
        <v>2</v>
      </c>
      <c r="JZ13" s="214">
        <v>1.5</v>
      </c>
      <c r="KA13" s="214">
        <v>0.5</v>
      </c>
      <c r="KB13" s="214">
        <v>1</v>
      </c>
      <c r="KC13" s="214">
        <v>0.5</v>
      </c>
      <c r="KD13" s="1186">
        <v>4.9539567636775494</v>
      </c>
      <c r="KE13" s="1186">
        <v>0</v>
      </c>
      <c r="KF13" s="1186">
        <v>94.999753779484905</v>
      </c>
      <c r="KG13" s="1186"/>
      <c r="KH13" s="1186">
        <v>6.8941744226128912E-3</v>
      </c>
      <c r="KI13" s="1186">
        <v>3.9395282414930816E-2</v>
      </c>
      <c r="KJ13" s="1186">
        <v>0</v>
      </c>
      <c r="KK13" s="1186">
        <v>0</v>
      </c>
      <c r="KL13" s="1186"/>
      <c r="KM13" s="1187">
        <v>580</v>
      </c>
      <c r="KN13" s="1187">
        <v>580</v>
      </c>
      <c r="KO13" s="1187">
        <v>580</v>
      </c>
      <c r="KP13" s="1187">
        <v>580</v>
      </c>
      <c r="KQ13" s="1187"/>
      <c r="KR13" s="1187">
        <v>580</v>
      </c>
      <c r="KS13" s="1187">
        <v>580</v>
      </c>
      <c r="KT13" s="1187">
        <v>580</v>
      </c>
      <c r="KU13" s="1187">
        <v>580</v>
      </c>
      <c r="KV13" s="262">
        <v>370</v>
      </c>
      <c r="KW13" s="262">
        <v>370</v>
      </c>
      <c r="KX13" s="262">
        <v>370</v>
      </c>
      <c r="KY13" s="262">
        <v>370</v>
      </c>
      <c r="KZ13" s="262"/>
      <c r="LA13" s="262">
        <v>370</v>
      </c>
      <c r="LB13" s="262">
        <v>370</v>
      </c>
      <c r="LC13" s="262">
        <v>370</v>
      </c>
      <c r="LD13" s="262">
        <v>370</v>
      </c>
      <c r="LE13" s="1213">
        <v>0</v>
      </c>
      <c r="LF13" s="1213">
        <v>10</v>
      </c>
      <c r="LG13" s="1213">
        <v>20</v>
      </c>
      <c r="LH13" s="1213">
        <v>70</v>
      </c>
      <c r="LI13" s="1213">
        <v>100</v>
      </c>
      <c r="LJ13" s="1212">
        <v>1000</v>
      </c>
      <c r="LK13" s="1"/>
      <c r="LL13" s="4">
        <v>29</v>
      </c>
      <c r="LM13" s="10">
        <v>0</v>
      </c>
      <c r="LN13" s="10">
        <v>0</v>
      </c>
      <c r="LO13" s="10">
        <v>0</v>
      </c>
      <c r="LP13" s="214">
        <v>2</v>
      </c>
      <c r="LQ13" s="214">
        <v>1</v>
      </c>
      <c r="LR13" s="214">
        <v>0.5</v>
      </c>
      <c r="LS13" s="214">
        <v>0.7</v>
      </c>
      <c r="LT13" s="214">
        <v>0.2</v>
      </c>
      <c r="LU13" s="1212">
        <v>1500</v>
      </c>
      <c r="LV13" s="122">
        <v>0</v>
      </c>
      <c r="LW13" s="122">
        <v>0</v>
      </c>
      <c r="LX13" s="122">
        <v>0</v>
      </c>
      <c r="LY13" s="165">
        <v>0</v>
      </c>
      <c r="LZ13" s="165">
        <v>0</v>
      </c>
      <c r="MA13" s="165">
        <v>0</v>
      </c>
      <c r="MB13" s="165">
        <v>0</v>
      </c>
      <c r="MC13" s="165">
        <v>0</v>
      </c>
      <c r="MD13" s="165">
        <v>0</v>
      </c>
      <c r="ME13" s="165">
        <v>0</v>
      </c>
      <c r="MF13" s="165">
        <v>0</v>
      </c>
      <c r="MG13" s="165">
        <v>0</v>
      </c>
      <c r="MH13" s="165">
        <v>0</v>
      </c>
      <c r="MI13" s="165">
        <v>0</v>
      </c>
      <c r="MJ13" s="165">
        <v>0</v>
      </c>
      <c r="MK13" s="165">
        <v>0</v>
      </c>
      <c r="ML13" s="165">
        <v>0</v>
      </c>
      <c r="MM13" s="165">
        <v>0</v>
      </c>
      <c r="MN13" s="165">
        <v>0</v>
      </c>
      <c r="MO13" s="165">
        <v>0</v>
      </c>
      <c r="MP13" s="165">
        <v>0</v>
      </c>
      <c r="MQ13" s="165">
        <v>0</v>
      </c>
      <c r="MR13" s="165">
        <v>0</v>
      </c>
      <c r="MS13" s="165">
        <v>0</v>
      </c>
      <c r="MT13" s="165">
        <v>0</v>
      </c>
      <c r="MU13" s="165">
        <v>0</v>
      </c>
      <c r="MV13" s="165">
        <v>0</v>
      </c>
      <c r="MW13" s="166">
        <v>0</v>
      </c>
      <c r="MX13" s="166">
        <v>0</v>
      </c>
      <c r="MY13" s="166">
        <v>0</v>
      </c>
      <c r="MZ13" s="166">
        <v>0</v>
      </c>
      <c r="NA13" s="166">
        <v>0</v>
      </c>
      <c r="NB13" s="166">
        <v>0</v>
      </c>
      <c r="NC13" s="166">
        <v>1.2417024000000001</v>
      </c>
      <c r="ND13" s="166">
        <v>0</v>
      </c>
      <c r="NE13" s="166">
        <v>0</v>
      </c>
      <c r="NF13" s="166">
        <v>0</v>
      </c>
      <c r="NG13" s="166">
        <v>0</v>
      </c>
      <c r="NH13" s="166">
        <v>0</v>
      </c>
      <c r="NI13" s="166">
        <v>0</v>
      </c>
      <c r="NJ13" s="166">
        <v>0</v>
      </c>
      <c r="NK13" s="166">
        <v>0</v>
      </c>
      <c r="NL13" s="166">
        <v>0</v>
      </c>
      <c r="NM13" s="166">
        <v>0</v>
      </c>
      <c r="NN13" s="166">
        <v>0</v>
      </c>
      <c r="NO13" s="166">
        <v>1.17961728</v>
      </c>
      <c r="NP13" s="166">
        <v>0</v>
      </c>
      <c r="NQ13" s="166">
        <v>0</v>
      </c>
      <c r="NR13" s="166">
        <v>0.18006082725061001</v>
      </c>
      <c r="NS13" s="166">
        <v>0.22989999999999999</v>
      </c>
      <c r="NT13" s="166">
        <v>0</v>
      </c>
      <c r="NU13" s="166">
        <v>1.2417024000000001</v>
      </c>
      <c r="NV13" s="166">
        <v>0</v>
      </c>
      <c r="NW13" s="166">
        <v>0</v>
      </c>
      <c r="NX13" s="166">
        <v>0</v>
      </c>
      <c r="NY13" s="166">
        <v>0.97660000000000002</v>
      </c>
      <c r="NZ13" s="166">
        <v>0</v>
      </c>
      <c r="OA13" s="166">
        <v>-19.71</v>
      </c>
      <c r="OB13" s="166">
        <v>-5.52</v>
      </c>
      <c r="OC13" s="166">
        <v>0</v>
      </c>
      <c r="OD13" s="166">
        <v>0</v>
      </c>
      <c r="OE13" s="166">
        <v>7.6000665282669994E-2</v>
      </c>
      <c r="OF13" s="166">
        <v>0</v>
      </c>
      <c r="OG13" s="166">
        <v>2.330943981746E-2</v>
      </c>
      <c r="OH13" s="166">
        <v>0</v>
      </c>
      <c r="OI13" s="166">
        <v>0</v>
      </c>
      <c r="OJ13" s="166">
        <v>0</v>
      </c>
      <c r="OK13" s="166">
        <v>-0.37969205577324999</v>
      </c>
      <c r="OL13" s="166">
        <v>0</v>
      </c>
      <c r="OM13" s="166">
        <v>0</v>
      </c>
      <c r="ON13" s="166">
        <v>0</v>
      </c>
      <c r="OO13" s="166">
        <v>0</v>
      </c>
      <c r="OP13" s="166">
        <v>0</v>
      </c>
      <c r="OQ13" s="166">
        <v>0</v>
      </c>
      <c r="OR13" s="166">
        <v>0</v>
      </c>
      <c r="OS13" s="166">
        <v>0.47457367410816997</v>
      </c>
      <c r="OT13" s="166">
        <v>0</v>
      </c>
      <c r="OU13" s="166">
        <v>0</v>
      </c>
      <c r="OV13" s="166">
        <v>0</v>
      </c>
      <c r="OW13" s="166">
        <v>0.21620973471648999</v>
      </c>
      <c r="OX13" s="166">
        <v>0</v>
      </c>
      <c r="OY13" s="166">
        <v>0.55543450834399</v>
      </c>
      <c r="OZ13" s="166">
        <v>0</v>
      </c>
      <c r="PA13" s="166">
        <v>0</v>
      </c>
      <c r="PB13" s="166">
        <v>0</v>
      </c>
      <c r="PC13" s="166">
        <v>1.02686049179244</v>
      </c>
      <c r="PD13" s="166">
        <v>0</v>
      </c>
      <c r="PE13" s="166">
        <v>-19.71</v>
      </c>
      <c r="PF13" s="166">
        <v>-5.52</v>
      </c>
      <c r="PG13" s="166">
        <v>0</v>
      </c>
      <c r="PH13" s="166">
        <v>0</v>
      </c>
      <c r="PI13" s="166">
        <v>0</v>
      </c>
      <c r="PJ13" s="166">
        <v>0</v>
      </c>
      <c r="PK13" s="166">
        <v>0</v>
      </c>
      <c r="PL13" s="166">
        <v>0</v>
      </c>
      <c r="PM13" s="166">
        <v>0</v>
      </c>
      <c r="PN13" s="166">
        <v>0</v>
      </c>
      <c r="PO13" s="166">
        <v>0</v>
      </c>
      <c r="PP13" s="166">
        <v>0</v>
      </c>
      <c r="PQ13" s="166">
        <v>0</v>
      </c>
      <c r="PR13" s="166">
        <v>0</v>
      </c>
      <c r="PS13" s="166">
        <v>0</v>
      </c>
      <c r="PT13" s="166">
        <v>0</v>
      </c>
      <c r="PU13" s="166">
        <v>0</v>
      </c>
      <c r="PV13" s="166">
        <v>0</v>
      </c>
      <c r="PW13" s="166">
        <v>1.0196222400000801</v>
      </c>
      <c r="PX13" s="166">
        <v>0</v>
      </c>
      <c r="PY13" s="166">
        <v>1.464285739436E-2</v>
      </c>
      <c r="PZ13" s="166">
        <v>0</v>
      </c>
      <c r="QA13" s="166">
        <v>0.22989999999977001</v>
      </c>
      <c r="QB13" s="166">
        <v>0</v>
      </c>
      <c r="QC13" s="166">
        <v>1.114928569216</v>
      </c>
      <c r="QD13" s="166">
        <v>0</v>
      </c>
      <c r="QE13" s="166">
        <v>2.9285716786749998E-2</v>
      </c>
      <c r="QF13" s="166">
        <v>0</v>
      </c>
      <c r="QG13" s="166">
        <v>0.97660000445239004</v>
      </c>
      <c r="QH13" s="166">
        <v>0</v>
      </c>
      <c r="QI13" s="162">
        <v>0</v>
      </c>
      <c r="QJ13" s="167">
        <v>0</v>
      </c>
      <c r="QK13" s="167">
        <v>0</v>
      </c>
      <c r="QL13" s="167">
        <v>0</v>
      </c>
      <c r="QM13" s="167">
        <v>0</v>
      </c>
      <c r="QN13" s="162">
        <v>0</v>
      </c>
      <c r="QO13" s="162">
        <v>0</v>
      </c>
      <c r="QP13" s="162">
        <v>0</v>
      </c>
      <c r="QQ13" s="162">
        <v>0</v>
      </c>
      <c r="QR13" s="162">
        <v>0</v>
      </c>
      <c r="QS13" s="162">
        <v>0</v>
      </c>
      <c r="QT13" s="162">
        <v>0</v>
      </c>
      <c r="QU13" s="162">
        <v>0</v>
      </c>
      <c r="QV13" s="162">
        <v>0</v>
      </c>
      <c r="QW13" s="162">
        <v>0</v>
      </c>
      <c r="QX13" s="162">
        <v>0</v>
      </c>
      <c r="QY13" s="162">
        <v>0</v>
      </c>
      <c r="QZ13" s="162">
        <v>0</v>
      </c>
      <c r="RA13" s="167">
        <v>0</v>
      </c>
      <c r="RB13" s="167">
        <v>0</v>
      </c>
      <c r="RC13" s="167">
        <v>0</v>
      </c>
      <c r="RD13" s="167">
        <v>0</v>
      </c>
      <c r="RE13" s="167">
        <v>0</v>
      </c>
      <c r="RF13" s="167">
        <v>0</v>
      </c>
      <c r="RG13" s="167">
        <v>0</v>
      </c>
      <c r="RH13" s="167">
        <v>0</v>
      </c>
      <c r="RI13" s="167">
        <v>0</v>
      </c>
      <c r="RJ13" s="167">
        <v>0</v>
      </c>
      <c r="RK13" s="167">
        <v>0</v>
      </c>
      <c r="RL13" s="167">
        <v>0</v>
      </c>
      <c r="RM13" s="166">
        <v>-19.71</v>
      </c>
      <c r="RN13" s="166">
        <v>-5.52</v>
      </c>
      <c r="RO13" s="166">
        <v>0</v>
      </c>
      <c r="RP13" s="166">
        <v>0</v>
      </c>
      <c r="RQ13" s="166">
        <v>-0.30105546835291003</v>
      </c>
      <c r="RR13" s="166">
        <v>0</v>
      </c>
      <c r="RS13" s="166">
        <v>-0.27342476006429001</v>
      </c>
      <c r="RT13" s="166">
        <v>0</v>
      </c>
      <c r="RU13" s="166">
        <v>-1.52298153439E-3</v>
      </c>
      <c r="RV13" s="166">
        <v>0</v>
      </c>
      <c r="RW13" s="166">
        <v>-2.343617990872E-2</v>
      </c>
      <c r="RX13" s="166">
        <v>0</v>
      </c>
      <c r="RY13" s="166">
        <v>-0.32705097183526</v>
      </c>
      <c r="RZ13" s="166">
        <v>0</v>
      </c>
      <c r="SA13" s="166">
        <v>-2.91894067242E-3</v>
      </c>
      <c r="SB13" s="166">
        <v>0</v>
      </c>
      <c r="SC13" s="166">
        <v>-0.31539999977437</v>
      </c>
      <c r="SD13" s="166">
        <v>0</v>
      </c>
      <c r="SE13" s="166">
        <v>0</v>
      </c>
      <c r="SF13" s="166">
        <v>0</v>
      </c>
      <c r="SG13" s="166">
        <v>0</v>
      </c>
      <c r="SH13" s="166">
        <v>0</v>
      </c>
      <c r="SI13" s="166">
        <v>0</v>
      </c>
      <c r="SJ13" s="166">
        <v>0</v>
      </c>
      <c r="SK13" s="166">
        <v>6.0072881324730001E-2</v>
      </c>
      <c r="SL13" s="166">
        <v>0</v>
      </c>
      <c r="SM13" s="166">
        <v>0</v>
      </c>
      <c r="SN13" s="166">
        <v>0</v>
      </c>
      <c r="SO13" s="166">
        <v>0.66119988872809998</v>
      </c>
      <c r="SP13" s="166">
        <v>0</v>
      </c>
      <c r="SQ13" s="166">
        <v>-19.71</v>
      </c>
      <c r="SR13" s="166">
        <v>-5.52</v>
      </c>
      <c r="SS13" s="166">
        <v>-4.0983537362919797</v>
      </c>
      <c r="ST13" s="166">
        <v>0</v>
      </c>
      <c r="SU13" s="166">
        <v>-19.532000716324379</v>
      </c>
      <c r="SV13" s="166">
        <v>0</v>
      </c>
      <c r="SW13" s="166">
        <v>-11.520000200774991</v>
      </c>
      <c r="SX13" s="166">
        <v>0</v>
      </c>
      <c r="SY13" s="166">
        <v>-0.41000000278875998</v>
      </c>
      <c r="SZ13" s="166">
        <v>0</v>
      </c>
      <c r="TA13" s="166">
        <v>-21.05200037329227</v>
      </c>
      <c r="TB13" s="166">
        <v>0</v>
      </c>
      <c r="TC13" s="166">
        <v>0</v>
      </c>
      <c r="TD13" s="166">
        <v>0</v>
      </c>
      <c r="TE13" s="166">
        <v>0</v>
      </c>
      <c r="TF13" s="166">
        <v>0</v>
      </c>
      <c r="TG13" s="166">
        <v>-19.53199982991752</v>
      </c>
      <c r="TH13" s="166">
        <v>0</v>
      </c>
      <c r="TI13" s="166">
        <v>0</v>
      </c>
      <c r="TJ13" s="166">
        <v>0</v>
      </c>
      <c r="TK13" s="166">
        <v>0</v>
      </c>
      <c r="TL13" s="166">
        <v>0</v>
      </c>
      <c r="TM13" s="166">
        <v>0</v>
      </c>
      <c r="TN13" s="166">
        <v>0</v>
      </c>
      <c r="TO13" s="166">
        <v>-1.20145463729383</v>
      </c>
      <c r="TP13" s="166">
        <v>0</v>
      </c>
      <c r="TQ13" s="166">
        <v>-0.20499969552387001</v>
      </c>
      <c r="TR13" s="166">
        <v>0</v>
      </c>
      <c r="TS13" s="166">
        <v>-14.933995390679881</v>
      </c>
      <c r="TT13" s="166">
        <v>0</v>
      </c>
      <c r="TU13" s="166">
        <v>0.23031030638609001</v>
      </c>
      <c r="TV13" s="166">
        <v>0</v>
      </c>
      <c r="TW13" s="166">
        <v>0</v>
      </c>
      <c r="TX13" s="166">
        <v>0</v>
      </c>
      <c r="TY13" s="166">
        <v>0</v>
      </c>
      <c r="TZ13" s="166">
        <v>0</v>
      </c>
      <c r="UA13" s="166">
        <v>0.15019085880361999</v>
      </c>
      <c r="UB13" s="166">
        <v>0</v>
      </c>
      <c r="UC13" s="166">
        <v>0</v>
      </c>
      <c r="UD13" s="166">
        <v>0</v>
      </c>
      <c r="UE13" s="166">
        <v>0</v>
      </c>
      <c r="UF13" s="166">
        <v>0</v>
      </c>
      <c r="UG13" s="166">
        <v>0.24729033332124001</v>
      </c>
      <c r="UH13" s="166">
        <v>0</v>
      </c>
      <c r="UI13" s="166">
        <v>0</v>
      </c>
      <c r="UJ13" s="166">
        <v>0</v>
      </c>
      <c r="UK13" s="166">
        <v>0</v>
      </c>
      <c r="UL13" s="166">
        <v>0</v>
      </c>
      <c r="UM13" s="166">
        <v>0</v>
      </c>
      <c r="UN13" s="166">
        <v>0</v>
      </c>
      <c r="UO13" s="166">
        <v>0</v>
      </c>
      <c r="UP13" s="166">
        <v>0</v>
      </c>
      <c r="UQ13" s="166">
        <v>0</v>
      </c>
      <c r="UR13" s="166">
        <v>0</v>
      </c>
      <c r="US13" s="163">
        <v>0</v>
      </c>
      <c r="UT13" s="163">
        <v>0</v>
      </c>
      <c r="UU13" s="163">
        <v>0</v>
      </c>
      <c r="UV13" s="163">
        <v>0</v>
      </c>
      <c r="UW13" s="163">
        <v>0</v>
      </c>
      <c r="UX13" s="163">
        <v>0</v>
      </c>
      <c r="UY13" s="166">
        <v>0</v>
      </c>
      <c r="UZ13" s="166">
        <v>0</v>
      </c>
      <c r="VA13" s="166">
        <v>0</v>
      </c>
      <c r="VB13" s="166">
        <v>0</v>
      </c>
      <c r="VC13" s="166">
        <v>0</v>
      </c>
      <c r="VD13" s="166">
        <v>0</v>
      </c>
      <c r="VE13" s="267">
        <v>202</v>
      </c>
      <c r="VF13" s="267">
        <v>279</v>
      </c>
      <c r="VG13" s="267">
        <v>354</v>
      </c>
      <c r="VH13" s="267">
        <v>0</v>
      </c>
      <c r="VI13" s="267">
        <v>403</v>
      </c>
      <c r="VJ13" s="267">
        <v>0</v>
      </c>
      <c r="VK13" s="267">
        <v>0</v>
      </c>
      <c r="VL13" s="257">
        <v>0</v>
      </c>
      <c r="VM13" s="257">
        <v>0</v>
      </c>
      <c r="VN13" s="257">
        <v>0</v>
      </c>
      <c r="VO13" s="257">
        <v>0</v>
      </c>
      <c r="VP13" s="257">
        <v>0</v>
      </c>
      <c r="VQ13" s="257">
        <v>0</v>
      </c>
      <c r="VR13" s="257">
        <v>0</v>
      </c>
      <c r="VS13" s="257">
        <v>0</v>
      </c>
      <c r="VT13" s="257">
        <v>0</v>
      </c>
      <c r="VU13" s="257">
        <v>0</v>
      </c>
      <c r="VV13" s="257">
        <v>0</v>
      </c>
      <c r="VW13" s="257">
        <v>0</v>
      </c>
      <c r="VX13" s="257">
        <v>0</v>
      </c>
      <c r="VY13" s="257">
        <v>0</v>
      </c>
      <c r="VZ13" s="257">
        <v>0</v>
      </c>
      <c r="WA13" s="257">
        <v>0</v>
      </c>
      <c r="WB13" s="257">
        <v>0</v>
      </c>
      <c r="WC13" s="257">
        <v>0</v>
      </c>
      <c r="WD13" s="257">
        <v>0</v>
      </c>
      <c r="WE13" s="257">
        <v>0</v>
      </c>
      <c r="WF13" s="257">
        <v>0</v>
      </c>
      <c r="WG13" s="257">
        <v>0</v>
      </c>
      <c r="WH13" s="257">
        <v>0</v>
      </c>
      <c r="WI13" s="257">
        <v>0</v>
      </c>
      <c r="WJ13" s="257">
        <v>0</v>
      </c>
      <c r="WK13" s="257">
        <v>0</v>
      </c>
      <c r="WL13" s="257">
        <v>0</v>
      </c>
      <c r="WM13" s="257">
        <v>0</v>
      </c>
      <c r="WN13" s="257">
        <v>0</v>
      </c>
      <c r="WO13" s="257">
        <v>0</v>
      </c>
      <c r="WP13" s="257">
        <v>0</v>
      </c>
      <c r="WQ13" s="257">
        <v>0</v>
      </c>
      <c r="WR13" s="257">
        <v>0</v>
      </c>
      <c r="WS13" s="572">
        <v>144.81530000000001</v>
      </c>
      <c r="WT13" s="572">
        <v>114.8847891440501</v>
      </c>
      <c r="WU13" s="572">
        <v>126.97792484342381</v>
      </c>
      <c r="WV13" s="572">
        <v>133.02449269311066</v>
      </c>
      <c r="WW13" s="572">
        <v>204.37399331941546</v>
      </c>
      <c r="WX13" s="247">
        <v>9464.8985900000007</v>
      </c>
      <c r="WY13" s="4">
        <v>38</v>
      </c>
      <c r="WZ13" s="4">
        <v>31</v>
      </c>
      <c r="XA13" s="4">
        <v>31</v>
      </c>
      <c r="XB13" s="4">
        <v>0</v>
      </c>
      <c r="XC13" s="1037">
        <v>1375.8817164126258</v>
      </c>
      <c r="XD13" s="1037">
        <v>0</v>
      </c>
      <c r="XE13" s="1037">
        <v>0</v>
      </c>
      <c r="XF13" s="1037">
        <v>0</v>
      </c>
      <c r="XG13" s="1037">
        <v>0</v>
      </c>
      <c r="XH13" s="1037">
        <v>0</v>
      </c>
      <c r="XI13" s="1037">
        <v>671.94223359686373</v>
      </c>
      <c r="XJ13" s="1037">
        <v>0</v>
      </c>
      <c r="XK13" s="1037">
        <v>1475.984565749148</v>
      </c>
      <c r="XL13" s="1037">
        <v>0</v>
      </c>
      <c r="XM13" s="1037">
        <v>0</v>
      </c>
      <c r="XN13" s="1037">
        <v>0</v>
      </c>
      <c r="XO13" s="1037">
        <v>0</v>
      </c>
      <c r="XP13" s="1037">
        <v>0</v>
      </c>
      <c r="XQ13" s="1037">
        <v>720.82967164493277</v>
      </c>
      <c r="XR13" s="1037">
        <v>0</v>
      </c>
      <c r="XS13" s="1037">
        <v>1546.2695450705362</v>
      </c>
      <c r="XT13" s="1037">
        <v>0</v>
      </c>
      <c r="XU13" s="1037">
        <v>0</v>
      </c>
      <c r="XV13" s="1037">
        <v>0</v>
      </c>
      <c r="XW13" s="1037">
        <v>0</v>
      </c>
      <c r="XX13" s="1037">
        <v>0</v>
      </c>
      <c r="XY13" s="1037">
        <v>755.15489410421537</v>
      </c>
      <c r="XZ13" s="1037">
        <v>0</v>
      </c>
      <c r="YA13" s="1037">
        <v>2375.6323010629148</v>
      </c>
      <c r="YB13" s="1037">
        <v>0</v>
      </c>
      <c r="YC13" s="1037">
        <v>0</v>
      </c>
      <c r="YD13" s="1037">
        <v>0</v>
      </c>
      <c r="YE13" s="1037">
        <v>0</v>
      </c>
      <c r="YF13" s="1037">
        <v>0</v>
      </c>
      <c r="YG13" s="1037">
        <v>1160.1925191237492</v>
      </c>
      <c r="YH13" s="1037">
        <v>0</v>
      </c>
      <c r="YI13" s="1037">
        <v>1213.2219223833997</v>
      </c>
      <c r="YJ13" s="1037">
        <v>0</v>
      </c>
      <c r="YK13" s="1037">
        <v>1015.7206792047068</v>
      </c>
      <c r="YL13" s="1037">
        <v>0</v>
      </c>
      <c r="YM13" s="1037">
        <v>0</v>
      </c>
      <c r="YN13" s="1037">
        <v>0</v>
      </c>
      <c r="YO13" s="1037">
        <v>592.50372953607894</v>
      </c>
      <c r="YP13" s="1037">
        <v>0</v>
      </c>
      <c r="YQ13" s="1037">
        <v>1301.4903904205819</v>
      </c>
      <c r="YR13" s="1037">
        <v>0</v>
      </c>
      <c r="YS13" s="1037">
        <v>1089.619861747464</v>
      </c>
      <c r="YT13" s="1037">
        <v>0</v>
      </c>
      <c r="YU13" s="1037">
        <v>0</v>
      </c>
      <c r="YV13" s="1037">
        <v>0</v>
      </c>
      <c r="YW13" s="1037">
        <v>635.61158601935392</v>
      </c>
      <c r="YX13" s="1037">
        <v>0</v>
      </c>
      <c r="YY13" s="1037">
        <v>1363.4661232977526</v>
      </c>
      <c r="YZ13" s="1037">
        <v>0</v>
      </c>
      <c r="ZA13" s="1037">
        <v>1141.5065218306765</v>
      </c>
      <c r="ZB13" s="1037">
        <v>0</v>
      </c>
      <c r="ZC13" s="1037">
        <v>0</v>
      </c>
      <c r="ZD13" s="1037">
        <v>0</v>
      </c>
      <c r="ZE13" s="1037">
        <v>665.87880440122797</v>
      </c>
      <c r="ZF13" s="1037">
        <v>0</v>
      </c>
      <c r="ZG13" s="1037">
        <v>2094.7797712483653</v>
      </c>
      <c r="ZH13" s="1037">
        <v>0</v>
      </c>
      <c r="ZI13" s="1037">
        <v>1753.769110812585</v>
      </c>
      <c r="ZJ13" s="1037">
        <v>0</v>
      </c>
      <c r="ZK13" s="1037">
        <v>0</v>
      </c>
      <c r="ZL13" s="1037">
        <v>0</v>
      </c>
      <c r="ZM13" s="1037">
        <v>1023.0319813073412</v>
      </c>
      <c r="ZN13" s="1037">
        <v>0</v>
      </c>
      <c r="ZO13" s="1037">
        <v>3228.7357611816287</v>
      </c>
      <c r="ZP13" s="1037">
        <v>0</v>
      </c>
      <c r="ZQ13" s="1037">
        <v>2703.127614012526</v>
      </c>
      <c r="ZR13" s="1037">
        <v>0</v>
      </c>
      <c r="ZS13" s="1037">
        <v>0</v>
      </c>
      <c r="ZT13" s="1037">
        <v>0</v>
      </c>
      <c r="ZU13" s="1037">
        <v>1576.824441507307</v>
      </c>
      <c r="ZV13" s="1037">
        <v>0</v>
      </c>
      <c r="ZW13" s="1037">
        <v>3568.6026834112736</v>
      </c>
      <c r="ZX13" s="1037">
        <v>0</v>
      </c>
      <c r="ZY13" s="1037">
        <v>2987.6673628559497</v>
      </c>
      <c r="ZZ13" s="1037">
        <v>0</v>
      </c>
      <c r="AAA13" s="1037">
        <v>0</v>
      </c>
      <c r="AAB13" s="1037">
        <v>0</v>
      </c>
      <c r="AAC13" s="1037">
        <v>1742.8059616659707</v>
      </c>
      <c r="AAD13" s="1037">
        <v>0</v>
      </c>
      <c r="AAE13" s="1037">
        <v>3738.536144526096</v>
      </c>
      <c r="AAF13" s="1037">
        <v>0</v>
      </c>
      <c r="AAG13" s="1037">
        <v>3129.937237277662</v>
      </c>
      <c r="AAH13" s="1037">
        <v>0</v>
      </c>
      <c r="AAI13" s="1037">
        <v>0</v>
      </c>
      <c r="AAJ13" s="1037">
        <v>0</v>
      </c>
      <c r="AAK13" s="1037">
        <v>1825.7967217453026</v>
      </c>
      <c r="AAL13" s="1037">
        <v>0</v>
      </c>
      <c r="AAM13" s="1037">
        <v>5743.7509856810029</v>
      </c>
      <c r="AAN13" s="1037">
        <v>0</v>
      </c>
      <c r="AAO13" s="1037">
        <v>4808.7217554538629</v>
      </c>
      <c r="AAP13" s="1037">
        <v>0</v>
      </c>
      <c r="AAQ13" s="1037">
        <v>0</v>
      </c>
      <c r="AAR13" s="1037">
        <v>0</v>
      </c>
      <c r="AAS13" s="1037">
        <v>2805.0876906814201</v>
      </c>
      <c r="AAT13" s="1037">
        <v>0</v>
      </c>
      <c r="AAU13" s="1037">
        <v>4441.9576835650287</v>
      </c>
      <c r="AAV13" s="1037">
        <v>0</v>
      </c>
      <c r="AAW13" s="1037">
        <v>3718.8482932172328</v>
      </c>
      <c r="AAX13" s="1037">
        <v>0</v>
      </c>
      <c r="AAY13" s="1037">
        <v>0</v>
      </c>
      <c r="AAZ13" s="1037">
        <v>0</v>
      </c>
      <c r="ABA13" s="1037">
        <v>2169.3281710433857</v>
      </c>
      <c r="ABB13" s="1037">
        <v>0</v>
      </c>
      <c r="ABC13" s="1037">
        <v>4702.1588299066188</v>
      </c>
      <c r="ABD13" s="1037">
        <v>0</v>
      </c>
      <c r="ABE13" s="1037">
        <v>3936.6911134101929</v>
      </c>
      <c r="ABF13" s="1037">
        <v>0</v>
      </c>
      <c r="ABG13" s="1037">
        <v>0</v>
      </c>
      <c r="ABH13" s="1037">
        <v>0</v>
      </c>
      <c r="ABI13" s="1037">
        <v>2296.4031494892793</v>
      </c>
      <c r="ABJ13" s="1037">
        <v>0</v>
      </c>
      <c r="ABK13" s="1037">
        <v>4926.0711551402674</v>
      </c>
      <c r="ABL13" s="1037">
        <v>0</v>
      </c>
      <c r="ABM13" s="1037">
        <v>4124.1525950011546</v>
      </c>
      <c r="ABN13" s="1037">
        <v>0</v>
      </c>
      <c r="ABO13" s="1037">
        <v>0</v>
      </c>
      <c r="ABP13" s="1037">
        <v>0</v>
      </c>
      <c r="ABQ13" s="1037">
        <v>2405.75568041734</v>
      </c>
      <c r="ABR13" s="1037">
        <v>0</v>
      </c>
      <c r="ABS13" s="1037">
        <v>0</v>
      </c>
      <c r="ABT13" s="1037">
        <v>0</v>
      </c>
      <c r="ABU13" s="1037">
        <v>0</v>
      </c>
      <c r="ABV13" s="1037">
        <v>0</v>
      </c>
      <c r="ABW13" s="1037">
        <v>0</v>
      </c>
      <c r="ABX13" s="1037">
        <v>0</v>
      </c>
      <c r="ABY13" s="1037">
        <v>0</v>
      </c>
      <c r="ABZ13" s="1037">
        <v>0</v>
      </c>
      <c r="ACA13" s="1037">
        <v>5753.0200835599926</v>
      </c>
      <c r="ACB13" s="1037">
        <v>0</v>
      </c>
      <c r="ACC13" s="1037">
        <v>4816.4819304223192</v>
      </c>
      <c r="ACD13" s="1037">
        <v>0</v>
      </c>
      <c r="ACE13" s="1037">
        <v>0</v>
      </c>
      <c r="ACF13" s="1037">
        <v>0</v>
      </c>
      <c r="ACG13" s="1037">
        <v>2809.6144594130196</v>
      </c>
      <c r="ACH13" s="1037">
        <v>0</v>
      </c>
      <c r="ACI13" s="1037">
        <v>6150.5916837617833</v>
      </c>
      <c r="ACJ13" s="1037">
        <v>0</v>
      </c>
      <c r="ACK13" s="1037">
        <v>5149.3325724517254</v>
      </c>
      <c r="ACL13" s="1037">
        <v>0</v>
      </c>
      <c r="ACM13" s="1037">
        <v>0</v>
      </c>
      <c r="ACN13" s="1037">
        <v>0</v>
      </c>
      <c r="ACO13" s="1037">
        <v>3003.7773339301734</v>
      </c>
      <c r="ACP13" s="1037">
        <v>0</v>
      </c>
      <c r="ACQ13" s="1037">
        <v>6443.4770020361548</v>
      </c>
      <c r="ACR13" s="1037">
        <v>0</v>
      </c>
      <c r="ACS13" s="1037">
        <v>5394.538885425618</v>
      </c>
      <c r="ACT13" s="1037">
        <v>0</v>
      </c>
      <c r="ACU13" s="1037">
        <v>0</v>
      </c>
      <c r="ACV13" s="1037">
        <v>0</v>
      </c>
      <c r="ACW13" s="1037">
        <v>3146.8143498316103</v>
      </c>
      <c r="ACX13" s="1037">
        <v>0</v>
      </c>
      <c r="ACY13" s="1037">
        <v>9899.5237576737291</v>
      </c>
      <c r="ACZ13" s="1037">
        <v>0</v>
      </c>
      <c r="ADA13" s="1037">
        <v>8287.9733785175395</v>
      </c>
      <c r="ADB13" s="1037">
        <v>0</v>
      </c>
      <c r="ADC13" s="1037">
        <v>0</v>
      </c>
      <c r="ADD13" s="1037">
        <v>0</v>
      </c>
      <c r="ADE13" s="1037">
        <v>4834.6511374685651</v>
      </c>
      <c r="ADF13" s="1037">
        <v>0</v>
      </c>
      <c r="ADG13" s="1037">
        <v>7024.9462925103317</v>
      </c>
      <c r="ADH13" s="1037">
        <v>0</v>
      </c>
      <c r="ADI13" s="1037">
        <v>5881.3503844272545</v>
      </c>
      <c r="ADJ13" s="1037">
        <v>0</v>
      </c>
      <c r="ADK13" s="1037">
        <v>0</v>
      </c>
      <c r="ADL13" s="1037">
        <v>0</v>
      </c>
      <c r="ADM13" s="1037">
        <v>3430.7877242492314</v>
      </c>
      <c r="ADN13" s="1037">
        <v>0</v>
      </c>
      <c r="ADO13" s="1037">
        <v>7557.0409766356379</v>
      </c>
      <c r="ADP13" s="1037">
        <v>0</v>
      </c>
      <c r="ADQ13" s="1037">
        <v>6326.825003694953</v>
      </c>
      <c r="ADR13" s="1037">
        <v>0</v>
      </c>
      <c r="ADS13" s="1037">
        <v>0</v>
      </c>
      <c r="ADT13" s="1037">
        <v>0</v>
      </c>
      <c r="ADU13" s="1037">
        <v>3690.647918822056</v>
      </c>
      <c r="ADV13" s="1037">
        <v>0</v>
      </c>
      <c r="ADW13" s="1037">
        <v>7916.9000707611449</v>
      </c>
      <c r="ADX13" s="1037">
        <v>0</v>
      </c>
      <c r="ADY13" s="1037">
        <v>6628.1023848232844</v>
      </c>
      <c r="ADZ13" s="1037">
        <v>0</v>
      </c>
      <c r="AEA13" s="1037">
        <v>0</v>
      </c>
      <c r="AEB13" s="1037">
        <v>0</v>
      </c>
      <c r="AEC13" s="1037">
        <v>3866.3930578135823</v>
      </c>
      <c r="AED13" s="1037">
        <v>0</v>
      </c>
      <c r="AEE13" s="1037">
        <v>12163.237381442124</v>
      </c>
      <c r="AEF13" s="1037">
        <v>0</v>
      </c>
      <c r="AEG13" s="1037">
        <v>10183.175482137593</v>
      </c>
      <c r="AEH13" s="1037">
        <v>0</v>
      </c>
      <c r="AEI13" s="1037">
        <v>0</v>
      </c>
      <c r="AEJ13" s="1037">
        <v>0</v>
      </c>
      <c r="AEK13" s="1037">
        <v>5940.1856979135955</v>
      </c>
      <c r="AEL13" s="1037">
        <v>0</v>
      </c>
      <c r="AEM13" s="1037">
        <v>8101.1915462375418</v>
      </c>
      <c r="AEN13" s="1037">
        <v>0</v>
      </c>
      <c r="AEO13" s="1037">
        <v>6782.3929224314297</v>
      </c>
      <c r="AEP13" s="1037">
        <v>0</v>
      </c>
      <c r="AEQ13" s="1037">
        <v>0</v>
      </c>
      <c r="AER13" s="1037">
        <v>0</v>
      </c>
      <c r="AES13" s="1037">
        <v>3956.3958714183341</v>
      </c>
      <c r="AET13" s="1037">
        <v>0</v>
      </c>
      <c r="AEU13" s="1037">
        <v>8606.6300011683652</v>
      </c>
      <c r="AEV13" s="1037">
        <v>0</v>
      </c>
      <c r="AEW13" s="1037">
        <v>7205.5506986525843</v>
      </c>
      <c r="AEX13" s="1037">
        <v>0</v>
      </c>
      <c r="AEY13" s="1037">
        <v>0</v>
      </c>
      <c r="AEZ13" s="1037">
        <v>0</v>
      </c>
      <c r="AFA13" s="1037">
        <v>4203.2379075473409</v>
      </c>
      <c r="AFB13" s="1037">
        <v>0</v>
      </c>
      <c r="AFC13" s="1037">
        <v>9016.4695250335244</v>
      </c>
      <c r="AFD13" s="1037">
        <v>0</v>
      </c>
      <c r="AFE13" s="1037">
        <v>7548.6721604931836</v>
      </c>
      <c r="AFF13" s="1037">
        <v>0</v>
      </c>
      <c r="AFG13" s="1037">
        <v>0</v>
      </c>
      <c r="AFH13" s="1037">
        <v>0</v>
      </c>
      <c r="AFI13" s="1037">
        <v>4403.3920936210234</v>
      </c>
      <c r="AFJ13" s="1037">
        <v>0</v>
      </c>
      <c r="AFK13" s="1037">
        <v>13852.575906642418</v>
      </c>
      <c r="AFL13" s="1037">
        <v>0</v>
      </c>
      <c r="AFM13" s="1037">
        <v>11597.505410212256</v>
      </c>
      <c r="AFN13" s="1037">
        <v>0</v>
      </c>
      <c r="AFO13" s="1037">
        <v>0</v>
      </c>
      <c r="AFP13" s="1037">
        <v>0</v>
      </c>
      <c r="AFQ13" s="1037">
        <v>6765.2114892904829</v>
      </c>
      <c r="AFR13" s="1037">
        <v>0</v>
      </c>
      <c r="AFS13" s="247">
        <v>3228.7357611816287</v>
      </c>
      <c r="AFT13" s="247">
        <v>0</v>
      </c>
      <c r="AFU13" s="247">
        <v>2703.127614012526</v>
      </c>
      <c r="AFV13" s="247">
        <v>0</v>
      </c>
      <c r="AFW13" s="247">
        <v>0</v>
      </c>
      <c r="AFX13" s="247">
        <v>0</v>
      </c>
      <c r="AFY13" s="247">
        <v>1576.824441507307</v>
      </c>
      <c r="AFZ13" s="247">
        <v>0</v>
      </c>
      <c r="AGA13" s="247">
        <v>3568.6026834112736</v>
      </c>
      <c r="AGB13" s="247">
        <v>0</v>
      </c>
      <c r="AGC13" s="247">
        <v>2987.6673628559497</v>
      </c>
      <c r="AGD13" s="247">
        <v>0</v>
      </c>
      <c r="AGE13" s="247">
        <v>0</v>
      </c>
      <c r="AGF13" s="247">
        <v>0</v>
      </c>
      <c r="AGG13" s="247">
        <v>1742.8059616659707</v>
      </c>
      <c r="AGH13" s="247">
        <v>0</v>
      </c>
      <c r="AGI13" s="247">
        <v>3738.536144526096</v>
      </c>
      <c r="AGJ13" s="247">
        <v>0</v>
      </c>
      <c r="AGK13" s="247">
        <v>3129.937237277662</v>
      </c>
      <c r="AGL13" s="247">
        <v>0</v>
      </c>
      <c r="AGM13" s="247">
        <v>0</v>
      </c>
      <c r="AGN13" s="247">
        <v>0</v>
      </c>
      <c r="AGO13" s="247">
        <v>1825.7967217453026</v>
      </c>
      <c r="AGP13" s="247">
        <v>0</v>
      </c>
      <c r="AGQ13" s="247">
        <v>5743.7509856810029</v>
      </c>
      <c r="AGR13" s="247">
        <v>0</v>
      </c>
      <c r="AGS13" s="247">
        <v>4808.7217554538629</v>
      </c>
      <c r="AGT13" s="247">
        <v>0</v>
      </c>
      <c r="AGU13" s="247">
        <v>0</v>
      </c>
      <c r="AGV13" s="247">
        <v>0</v>
      </c>
      <c r="AGW13" s="247">
        <v>2805.0876906814201</v>
      </c>
      <c r="AGX13" s="247">
        <v>0</v>
      </c>
      <c r="AGY13" s="249">
        <v>0</v>
      </c>
      <c r="AGZ13" s="249">
        <v>0</v>
      </c>
      <c r="AHA13" s="249">
        <v>0</v>
      </c>
      <c r="AHB13" s="249">
        <v>0</v>
      </c>
      <c r="AHC13" s="249">
        <v>0</v>
      </c>
      <c r="AHD13" s="249">
        <v>0</v>
      </c>
      <c r="AHE13" s="249">
        <v>0</v>
      </c>
      <c r="AHF13" s="249">
        <v>0</v>
      </c>
      <c r="AHG13" s="249">
        <v>0</v>
      </c>
      <c r="AHH13" s="249">
        <v>0</v>
      </c>
      <c r="AHI13" s="249">
        <v>0</v>
      </c>
      <c r="AHJ13" s="249">
        <v>0</v>
      </c>
      <c r="AHK13" s="249">
        <v>0</v>
      </c>
      <c r="AHL13" s="249">
        <v>0</v>
      </c>
      <c r="AHM13" s="249">
        <v>0</v>
      </c>
      <c r="AHN13" s="249">
        <v>0</v>
      </c>
      <c r="AHO13" s="249">
        <v>0</v>
      </c>
      <c r="AHP13" s="249">
        <v>0</v>
      </c>
      <c r="AHQ13" s="249">
        <v>0</v>
      </c>
      <c r="AHR13" s="249">
        <v>0</v>
      </c>
      <c r="AHS13" s="249">
        <v>0</v>
      </c>
      <c r="AHT13" s="249">
        <v>0</v>
      </c>
      <c r="AHU13" s="249">
        <v>0</v>
      </c>
      <c r="AHV13" s="249">
        <v>0</v>
      </c>
      <c r="AHW13" s="249">
        <v>0</v>
      </c>
      <c r="AHX13" s="249">
        <v>0</v>
      </c>
      <c r="AHY13" s="249">
        <v>0</v>
      </c>
      <c r="AHZ13" s="249">
        <v>0</v>
      </c>
      <c r="AIA13" s="249">
        <v>0</v>
      </c>
      <c r="AIB13" s="249">
        <v>0</v>
      </c>
      <c r="AIC13" s="249">
        <v>0</v>
      </c>
      <c r="AID13" s="249">
        <v>0</v>
      </c>
      <c r="AIE13" s="249"/>
      <c r="AIF13" s="249"/>
      <c r="AIG13" s="249"/>
      <c r="AIH13" s="249"/>
      <c r="AII13" s="249"/>
      <c r="AIJ13" s="249"/>
      <c r="AIK13" s="249"/>
      <c r="AIL13" s="249"/>
      <c r="AIM13" s="249">
        <v>0</v>
      </c>
      <c r="AIN13" s="249">
        <v>0</v>
      </c>
      <c r="AIO13" s="249">
        <v>0</v>
      </c>
      <c r="AIP13" s="249">
        <v>0</v>
      </c>
      <c r="AIQ13" s="249">
        <v>0</v>
      </c>
      <c r="AIR13" s="249">
        <v>0</v>
      </c>
      <c r="AIS13" s="249">
        <v>0</v>
      </c>
      <c r="AIT13" s="249">
        <v>0</v>
      </c>
      <c r="AIU13" s="134" t="s">
        <v>1216</v>
      </c>
      <c r="AIV13" s="134" t="s">
        <v>1219</v>
      </c>
      <c r="AIW13" s="134" t="s">
        <v>1218</v>
      </c>
      <c r="AIX13" s="134" t="s">
        <v>1217</v>
      </c>
      <c r="AIY13" s="134" t="s">
        <v>1228</v>
      </c>
      <c r="AIZ13" s="134" t="s">
        <v>1229</v>
      </c>
      <c r="AJA13" s="134" t="s">
        <v>1230</v>
      </c>
      <c r="AJB13" s="134" t="s">
        <v>1231</v>
      </c>
      <c r="AJC13" s="134" t="s">
        <v>1232</v>
      </c>
      <c r="AJD13" s="134" t="s">
        <v>1233</v>
      </c>
    </row>
    <row r="14" spans="1:940" ht="18" customHeight="1">
      <c r="A14" s="664" t="s">
        <v>5</v>
      </c>
      <c r="B14" s="669">
        <v>0.1</v>
      </c>
      <c r="C14" s="6">
        <v>0.1</v>
      </c>
      <c r="D14" s="6">
        <v>0.1</v>
      </c>
      <c r="E14" s="74">
        <v>582.33962264150944</v>
      </c>
      <c r="F14" s="75">
        <v>-0.5</v>
      </c>
      <c r="G14" s="7">
        <v>-7.9</v>
      </c>
      <c r="H14" s="7">
        <v>-7.9</v>
      </c>
      <c r="I14" s="266">
        <v>350</v>
      </c>
      <c r="J14" s="125">
        <v>0</v>
      </c>
      <c r="K14" s="125">
        <v>0</v>
      </c>
      <c r="L14" s="125">
        <v>0</v>
      </c>
      <c r="M14" s="1">
        <v>1753.2725473909616</v>
      </c>
      <c r="N14" s="2">
        <v>12</v>
      </c>
      <c r="O14" s="10">
        <v>1.5</v>
      </c>
      <c r="P14" s="10">
        <v>1</v>
      </c>
      <c r="Q14" s="10">
        <v>1</v>
      </c>
      <c r="R14" s="7">
        <v>7.8</v>
      </c>
      <c r="S14" s="7">
        <v>0</v>
      </c>
      <c r="T14" s="7">
        <v>84.7</v>
      </c>
      <c r="U14" s="7">
        <v>7.5</v>
      </c>
      <c r="V14" s="71">
        <v>0</v>
      </c>
      <c r="W14" s="119">
        <v>2</v>
      </c>
      <c r="X14" s="120">
        <v>1.5</v>
      </c>
      <c r="Y14" s="119">
        <v>1</v>
      </c>
      <c r="Z14" s="120">
        <v>0.8</v>
      </c>
      <c r="AA14" s="120">
        <v>0.5</v>
      </c>
      <c r="AB14" s="559">
        <v>433.01922201480062</v>
      </c>
      <c r="AC14" s="559">
        <v>470.67306740739195</v>
      </c>
      <c r="AD14" s="559">
        <v>433.37222681535616</v>
      </c>
      <c r="AE14" s="559">
        <v>649.0581599547935</v>
      </c>
      <c r="AF14" s="622">
        <v>0.82209484106305364</v>
      </c>
      <c r="AG14" s="559">
        <v>261.91600618637949</v>
      </c>
      <c r="AH14" s="559">
        <v>284.69131107215162</v>
      </c>
      <c r="AI14" s="559">
        <v>262.12952466968363</v>
      </c>
      <c r="AJ14" s="559">
        <v>392.58931796849708</v>
      </c>
      <c r="AK14" s="622">
        <v>0.96717040125065135</v>
      </c>
      <c r="AL14" s="995">
        <v>0.1</v>
      </c>
      <c r="AM14" s="995">
        <v>0.2</v>
      </c>
      <c r="AN14" s="995">
        <v>0.4</v>
      </c>
      <c r="AO14" s="995">
        <v>0.6</v>
      </c>
      <c r="AP14" s="995">
        <v>0.8</v>
      </c>
      <c r="AQ14" s="995">
        <v>1.1000000000000001</v>
      </c>
      <c r="AR14" s="995">
        <v>1.4</v>
      </c>
      <c r="AS14" s="1005">
        <v>0</v>
      </c>
      <c r="AT14" s="1005">
        <v>10</v>
      </c>
      <c r="AU14" s="1005">
        <v>20</v>
      </c>
      <c r="AV14" s="1005">
        <v>70</v>
      </c>
      <c r="AW14" s="1005">
        <v>100</v>
      </c>
      <c r="AX14" s="1">
        <v>7491.5917593037138</v>
      </c>
      <c r="AY14" s="5">
        <v>1.38</v>
      </c>
      <c r="AZ14" s="8">
        <v>1.4</v>
      </c>
      <c r="BA14" s="8">
        <v>1.1000000000000001</v>
      </c>
      <c r="BB14" s="8">
        <v>1.1000000000000001</v>
      </c>
      <c r="BC14" s="73">
        <v>0.17111084121059142</v>
      </c>
      <c r="BD14" s="73">
        <v>0.17335999999999999</v>
      </c>
      <c r="BE14" s="9">
        <v>1.7504555560044199</v>
      </c>
      <c r="BF14" s="9"/>
      <c r="BG14" s="9">
        <v>1.88667764888714</v>
      </c>
      <c r="BH14" s="9">
        <v>57.773761270865343</v>
      </c>
      <c r="BI14" s="9"/>
      <c r="BJ14" s="9"/>
      <c r="BK14" s="9">
        <v>38.452883431360377</v>
      </c>
      <c r="BL14" s="9"/>
      <c r="BM14" s="9"/>
      <c r="BN14" s="9"/>
      <c r="BO14" s="9"/>
      <c r="BP14" s="9"/>
      <c r="BQ14" s="9"/>
      <c r="BR14" s="9">
        <v>2.3274460585282858E-4</v>
      </c>
      <c r="BS14" s="9">
        <v>0.13598934827686698</v>
      </c>
      <c r="BT14" s="262">
        <v>261.13475999999997</v>
      </c>
      <c r="BU14" s="262">
        <v>96.5</v>
      </c>
      <c r="BV14" s="262">
        <v>63.215999999999994</v>
      </c>
      <c r="BW14" s="262">
        <v>233.35949490734063</v>
      </c>
      <c r="BX14" s="262">
        <v>157.40783999999999</v>
      </c>
      <c r="BY14" s="68"/>
      <c r="BZ14" s="262">
        <v>256.20808011776955</v>
      </c>
      <c r="CA14" s="262">
        <v>165.17663999999999</v>
      </c>
      <c r="CB14" s="68"/>
      <c r="CC14" s="785">
        <v>0</v>
      </c>
      <c r="CD14" s="262">
        <v>6.585</v>
      </c>
      <c r="CE14" s="262">
        <v>1.3169999999999999</v>
      </c>
      <c r="CF14" s="262">
        <v>38</v>
      </c>
      <c r="CG14" s="262">
        <v>225.83915999999996</v>
      </c>
      <c r="CH14" s="68">
        <v>0.2</v>
      </c>
      <c r="CI14" s="262">
        <v>175.08124000000001</v>
      </c>
      <c r="CJ14" s="262">
        <v>60.4</v>
      </c>
      <c r="CK14" s="262">
        <v>42.384</v>
      </c>
      <c r="CL14" s="262">
        <v>156.45894761061641</v>
      </c>
      <c r="CM14" s="262">
        <v>105.53616</v>
      </c>
      <c r="CN14" s="68"/>
      <c r="CO14" s="262">
        <v>159.24945066654416</v>
      </c>
      <c r="CP14" s="262">
        <v>102.66767999999999</v>
      </c>
      <c r="CQ14" s="68"/>
      <c r="CR14" s="262">
        <v>0</v>
      </c>
      <c r="CS14" s="262">
        <v>4.415</v>
      </c>
      <c r="CT14" s="262">
        <v>0.88300000000000001</v>
      </c>
      <c r="CU14" s="262">
        <v>27</v>
      </c>
      <c r="CV14" s="262">
        <v>151.41683999999998</v>
      </c>
      <c r="CW14" s="68">
        <v>0.2</v>
      </c>
      <c r="CX14" s="120">
        <v>0.3</v>
      </c>
      <c r="CY14" s="120">
        <v>0.7</v>
      </c>
      <c r="CZ14" s="120">
        <v>1.2</v>
      </c>
      <c r="DA14" s="120">
        <v>1.2</v>
      </c>
      <c r="DB14" s="119">
        <v>3</v>
      </c>
      <c r="DC14" s="1005">
        <v>0</v>
      </c>
      <c r="DD14" s="1005">
        <v>10</v>
      </c>
      <c r="DE14" s="1005">
        <v>20</v>
      </c>
      <c r="DF14" s="1005">
        <v>70</v>
      </c>
      <c r="DG14" s="1005">
        <v>100</v>
      </c>
      <c r="DH14" s="2">
        <v>27.863493033810077</v>
      </c>
      <c r="DI14" s="2">
        <v>18</v>
      </c>
      <c r="DJ14" s="63">
        <v>12</v>
      </c>
      <c r="DK14" s="8">
        <v>1.6</v>
      </c>
      <c r="DL14" s="10">
        <v>1</v>
      </c>
      <c r="DM14" s="10">
        <v>1</v>
      </c>
      <c r="DN14" s="1030" t="s">
        <v>1001</v>
      </c>
      <c r="DO14" s="1030" t="s">
        <v>997</v>
      </c>
      <c r="DP14" s="1030" t="s">
        <v>997</v>
      </c>
      <c r="DQ14" s="1030" t="s">
        <v>997</v>
      </c>
      <c r="DR14" s="1030" t="s">
        <v>997</v>
      </c>
      <c r="DS14" s="1030" t="s">
        <v>997</v>
      </c>
      <c r="DT14" s="1030" t="s">
        <v>997</v>
      </c>
      <c r="DU14" s="1097">
        <v>5367.4</v>
      </c>
      <c r="DV14" s="1097">
        <v>0</v>
      </c>
      <c r="DW14" s="1097">
        <v>0</v>
      </c>
      <c r="DX14" s="1097">
        <v>0</v>
      </c>
      <c r="DY14" s="1097">
        <v>0</v>
      </c>
      <c r="DZ14" s="1097">
        <v>0</v>
      </c>
      <c r="EA14" s="1097">
        <v>0</v>
      </c>
      <c r="EB14" s="207">
        <v>5.3673999999999999</v>
      </c>
      <c r="EC14" s="207">
        <v>18</v>
      </c>
      <c r="ED14" s="221">
        <v>5</v>
      </c>
      <c r="EE14" s="214">
        <v>1.6</v>
      </c>
      <c r="EF14" s="216">
        <v>1</v>
      </c>
      <c r="EG14" s="216">
        <v>1</v>
      </c>
      <c r="EH14" s="208" t="s">
        <v>1040</v>
      </c>
      <c r="EI14" s="208" t="s">
        <v>1060</v>
      </c>
      <c r="EJ14" s="210" t="s">
        <v>1074</v>
      </c>
      <c r="EK14" s="210" t="s">
        <v>1089</v>
      </c>
      <c r="EL14" s="210" t="s">
        <v>1101</v>
      </c>
      <c r="EM14" s="210" t="s">
        <v>1111</v>
      </c>
      <c r="EN14" s="204" t="s">
        <v>997</v>
      </c>
      <c r="EO14" s="204" t="s">
        <v>997</v>
      </c>
      <c r="EP14" s="204" t="s">
        <v>997</v>
      </c>
      <c r="EQ14" s="204" t="s">
        <v>997</v>
      </c>
      <c r="ER14" s="204" t="s">
        <v>997</v>
      </c>
      <c r="ES14" s="204" t="s">
        <v>997</v>
      </c>
      <c r="ET14" s="204" t="s">
        <v>997</v>
      </c>
      <c r="EU14" s="204" t="s">
        <v>997</v>
      </c>
      <c r="EV14" s="204" t="s">
        <v>997</v>
      </c>
      <c r="EW14" s="204" t="s">
        <v>997</v>
      </c>
      <c r="EX14" s="204" t="s">
        <v>997</v>
      </c>
      <c r="EY14" s="204" t="s">
        <v>997</v>
      </c>
      <c r="EZ14" s="204" t="s">
        <v>997</v>
      </c>
      <c r="FA14" s="204" t="s">
        <v>997</v>
      </c>
      <c r="FB14" s="204" t="s">
        <v>997</v>
      </c>
      <c r="FC14" s="204" t="s">
        <v>997</v>
      </c>
      <c r="FD14" s="204" t="s">
        <v>997</v>
      </c>
      <c r="FE14" s="204" t="s">
        <v>997</v>
      </c>
      <c r="FF14" s="204" t="s">
        <v>997</v>
      </c>
      <c r="FG14" s="204" t="s">
        <v>997</v>
      </c>
      <c r="FH14" s="204" t="s">
        <v>997</v>
      </c>
      <c r="FI14" s="204" t="s">
        <v>997</v>
      </c>
      <c r="FJ14" s="204" t="s">
        <v>997</v>
      </c>
      <c r="FK14" s="204" t="s">
        <v>997</v>
      </c>
      <c r="FL14" s="204" t="s">
        <v>997</v>
      </c>
      <c r="FM14" s="204" t="s">
        <v>997</v>
      </c>
      <c r="FN14" s="204" t="s">
        <v>997</v>
      </c>
      <c r="FO14" s="204" t="s">
        <v>997</v>
      </c>
      <c r="FP14" s="204" t="s">
        <v>997</v>
      </c>
      <c r="FQ14" s="204" t="s">
        <v>997</v>
      </c>
      <c r="FR14" s="204" t="s">
        <v>997</v>
      </c>
      <c r="FS14" s="204" t="s">
        <v>997</v>
      </c>
      <c r="FT14" s="204" t="s">
        <v>997</v>
      </c>
      <c r="FU14" s="204" t="s">
        <v>997</v>
      </c>
      <c r="FV14" s="204" t="s">
        <v>997</v>
      </c>
      <c r="FW14" s="204" t="s">
        <v>997</v>
      </c>
      <c r="FX14" s="204" t="s">
        <v>997</v>
      </c>
      <c r="FY14" s="204" t="s">
        <v>997</v>
      </c>
      <c r="FZ14" s="204" t="s">
        <v>997</v>
      </c>
      <c r="GA14" s="204" t="s">
        <v>997</v>
      </c>
      <c r="GB14" s="204" t="s">
        <v>997</v>
      </c>
      <c r="GC14" s="204" t="s">
        <v>997</v>
      </c>
      <c r="GD14" s="204" t="s">
        <v>997</v>
      </c>
      <c r="GE14" s="204" t="s">
        <v>997</v>
      </c>
      <c r="GF14" s="204" t="s">
        <v>997</v>
      </c>
      <c r="GG14" s="204" t="s">
        <v>997</v>
      </c>
      <c r="GH14" s="204" t="s">
        <v>997</v>
      </c>
      <c r="GI14" s="204" t="s">
        <v>997</v>
      </c>
      <c r="GJ14" s="204" t="s">
        <v>997</v>
      </c>
      <c r="GK14" s="204" t="s">
        <v>997</v>
      </c>
      <c r="GL14" s="204" t="s">
        <v>997</v>
      </c>
      <c r="GM14" s="204" t="s">
        <v>997</v>
      </c>
      <c r="GN14" s="1051">
        <v>1790.8388941849378</v>
      </c>
      <c r="GO14" s="1051">
        <v>550.04337464251671</v>
      </c>
      <c r="GP14" s="1051">
        <v>475.85147759771218</v>
      </c>
      <c r="GQ14" s="1051">
        <v>347.93441372735936</v>
      </c>
      <c r="GR14" s="1051">
        <v>1680.8302192564347</v>
      </c>
      <c r="GS14" s="1051">
        <v>521.90162059103898</v>
      </c>
      <c r="GT14" s="1051">
        <v>0</v>
      </c>
      <c r="GU14" s="1051">
        <v>0</v>
      </c>
      <c r="GV14" s="1051">
        <v>0</v>
      </c>
      <c r="GW14" s="1051">
        <v>0</v>
      </c>
      <c r="GX14" s="1051">
        <v>0</v>
      </c>
      <c r="GY14" s="1051">
        <v>0</v>
      </c>
      <c r="GZ14" s="1051">
        <v>0</v>
      </c>
      <c r="HA14" s="1051">
        <v>0</v>
      </c>
      <c r="HB14" s="1051">
        <v>0</v>
      </c>
      <c r="HC14" s="1051">
        <v>0</v>
      </c>
      <c r="HD14" s="1051">
        <v>0</v>
      </c>
      <c r="HE14" s="1051">
        <v>0</v>
      </c>
      <c r="HF14" s="1051">
        <v>0</v>
      </c>
      <c r="HG14" s="1051">
        <v>0</v>
      </c>
      <c r="HH14" s="1051">
        <v>0</v>
      </c>
      <c r="HI14" s="1051">
        <v>0</v>
      </c>
      <c r="HJ14" s="1051">
        <v>0</v>
      </c>
      <c r="HK14" s="1051">
        <v>0</v>
      </c>
      <c r="HL14" s="1051">
        <v>0</v>
      </c>
      <c r="HM14" s="1051">
        <v>0</v>
      </c>
      <c r="HN14" s="1051">
        <v>0</v>
      </c>
      <c r="HO14" s="1051">
        <v>0</v>
      </c>
      <c r="HP14" s="1051">
        <v>0</v>
      </c>
      <c r="HQ14" s="1051">
        <v>0</v>
      </c>
      <c r="HR14" s="1051">
        <v>0</v>
      </c>
      <c r="HS14" s="1051">
        <v>0</v>
      </c>
      <c r="HT14" s="1051">
        <v>0</v>
      </c>
      <c r="HU14" s="1051">
        <v>0</v>
      </c>
      <c r="HV14" s="1051">
        <v>0</v>
      </c>
      <c r="HW14" s="1051">
        <v>0</v>
      </c>
      <c r="HX14" s="1051">
        <v>0</v>
      </c>
      <c r="HY14" s="1051">
        <v>0</v>
      </c>
      <c r="HZ14" s="1051">
        <v>0</v>
      </c>
      <c r="IA14" s="1051">
        <v>0</v>
      </c>
      <c r="IB14" s="1051">
        <v>0</v>
      </c>
      <c r="IC14" s="1051">
        <v>0</v>
      </c>
      <c r="ID14" s="1051">
        <v>0</v>
      </c>
      <c r="IE14" s="1051">
        <v>0</v>
      </c>
      <c r="IF14" s="1051">
        <v>0</v>
      </c>
      <c r="IG14" s="1051">
        <v>0</v>
      </c>
      <c r="IH14" s="1051">
        <v>0</v>
      </c>
      <c r="II14" s="1051">
        <v>0</v>
      </c>
      <c r="IJ14" s="1051">
        <v>0</v>
      </c>
      <c r="IK14" s="1051">
        <v>0</v>
      </c>
      <c r="IL14" s="1051">
        <v>0</v>
      </c>
      <c r="IM14" s="1051">
        <v>0</v>
      </c>
      <c r="IN14" s="1051">
        <v>0</v>
      </c>
      <c r="IO14" s="1051">
        <v>0</v>
      </c>
      <c r="IP14" s="1051">
        <v>0</v>
      </c>
      <c r="IQ14" s="1051">
        <v>0</v>
      </c>
      <c r="IR14" s="1051">
        <v>0</v>
      </c>
      <c r="IS14" s="1051">
        <v>0</v>
      </c>
      <c r="IT14" s="215">
        <v>954.98158857169233</v>
      </c>
      <c r="IU14" s="207">
        <v>179.9</v>
      </c>
      <c r="IV14" s="216">
        <v>2647.0800000000199</v>
      </c>
      <c r="IW14" s="272">
        <v>12.64</v>
      </c>
      <c r="IX14" s="207">
        <v>53.18713000973225</v>
      </c>
      <c r="IY14" s="204">
        <v>1.6</v>
      </c>
      <c r="IZ14" s="207">
        <v>1</v>
      </c>
      <c r="JA14" s="207">
        <v>1</v>
      </c>
      <c r="JB14" s="52">
        <v>2</v>
      </c>
      <c r="JC14" s="24">
        <v>1.5</v>
      </c>
      <c r="JD14" s="24">
        <v>0.7</v>
      </c>
      <c r="JE14" s="24">
        <v>0.7</v>
      </c>
      <c r="JF14" s="24">
        <v>0.5</v>
      </c>
      <c r="JG14" s="1">
        <v>0</v>
      </c>
      <c r="JH14" s="216">
        <v>2647.0800000000199</v>
      </c>
      <c r="JI14" s="272">
        <v>12.64</v>
      </c>
      <c r="JJ14" s="207">
        <v>53.18713000973225</v>
      </c>
      <c r="JK14" s="8">
        <v>1.8</v>
      </c>
      <c r="JL14" s="10">
        <v>1.1000000000000001</v>
      </c>
      <c r="JM14" s="10">
        <v>1.1000000000000001</v>
      </c>
      <c r="JN14" s="216">
        <v>2</v>
      </c>
      <c r="JO14" s="216">
        <v>2</v>
      </c>
      <c r="JP14" s="216">
        <v>1</v>
      </c>
      <c r="JQ14" s="216">
        <v>1</v>
      </c>
      <c r="JR14" s="214">
        <v>0.5</v>
      </c>
      <c r="JS14" s="1212">
        <v>2000</v>
      </c>
      <c r="JT14" s="215"/>
      <c r="JU14" s="215">
        <v>500</v>
      </c>
      <c r="JV14" s="207">
        <v>1.4</v>
      </c>
      <c r="JW14" s="207">
        <v>1.2</v>
      </c>
      <c r="JX14" s="207">
        <v>1.2</v>
      </c>
      <c r="JY14" s="214">
        <v>2</v>
      </c>
      <c r="JZ14" s="214">
        <v>1.5</v>
      </c>
      <c r="KA14" s="214">
        <v>0.5</v>
      </c>
      <c r="KB14" s="214">
        <v>1</v>
      </c>
      <c r="KC14" s="214">
        <v>0.5</v>
      </c>
      <c r="KD14" s="1186"/>
      <c r="KE14" s="1186"/>
      <c r="KF14" s="1186"/>
      <c r="KG14" s="1186"/>
      <c r="KH14" s="1186"/>
      <c r="KI14" s="1186"/>
      <c r="KJ14" s="1186"/>
      <c r="KK14" s="1186"/>
      <c r="KL14" s="1186"/>
      <c r="KM14" s="1187">
        <v>580</v>
      </c>
      <c r="KN14" s="1187">
        <v>580</v>
      </c>
      <c r="KO14" s="1187">
        <v>580</v>
      </c>
      <c r="KP14" s="1187">
        <v>580</v>
      </c>
      <c r="KQ14" s="1187"/>
      <c r="KR14" s="1187">
        <v>580</v>
      </c>
      <c r="KS14" s="1187">
        <v>580</v>
      </c>
      <c r="KT14" s="1187">
        <v>580</v>
      </c>
      <c r="KU14" s="1187">
        <v>580</v>
      </c>
      <c r="KV14" s="262">
        <v>370</v>
      </c>
      <c r="KW14" s="262">
        <v>370</v>
      </c>
      <c r="KX14" s="262">
        <v>370</v>
      </c>
      <c r="KY14" s="262">
        <v>370</v>
      </c>
      <c r="KZ14" s="262"/>
      <c r="LA14" s="262">
        <v>370</v>
      </c>
      <c r="LB14" s="262">
        <v>370</v>
      </c>
      <c r="LC14" s="262">
        <v>370</v>
      </c>
      <c r="LD14" s="262">
        <v>370</v>
      </c>
      <c r="LE14" s="1213">
        <v>0</v>
      </c>
      <c r="LF14" s="1213">
        <v>10</v>
      </c>
      <c r="LG14" s="1213">
        <v>20</v>
      </c>
      <c r="LH14" s="1213">
        <v>70</v>
      </c>
      <c r="LI14" s="1213">
        <v>100</v>
      </c>
      <c r="LJ14" s="1212">
        <v>1000</v>
      </c>
      <c r="LK14" s="1">
        <v>1.6819636589325306</v>
      </c>
      <c r="LL14" s="4">
        <v>29</v>
      </c>
      <c r="LM14" s="8">
        <v>1.7</v>
      </c>
      <c r="LN14" s="10">
        <v>1.3</v>
      </c>
      <c r="LO14" s="10">
        <v>1.3</v>
      </c>
      <c r="LP14" s="214">
        <v>2</v>
      </c>
      <c r="LQ14" s="214">
        <v>1</v>
      </c>
      <c r="LR14" s="214">
        <v>0.5</v>
      </c>
      <c r="LS14" s="214">
        <v>0.7</v>
      </c>
      <c r="LT14" s="214">
        <v>0.2</v>
      </c>
      <c r="LU14" s="1212">
        <v>1500</v>
      </c>
      <c r="LV14" s="122">
        <v>0</v>
      </c>
      <c r="LW14" s="122">
        <v>0</v>
      </c>
      <c r="LX14" s="122">
        <v>0</v>
      </c>
      <c r="LY14" s="165">
        <v>0</v>
      </c>
      <c r="LZ14" s="165">
        <v>0</v>
      </c>
      <c r="MA14" s="165">
        <v>0</v>
      </c>
      <c r="MB14" s="165">
        <v>0</v>
      </c>
      <c r="MC14" s="165">
        <v>0</v>
      </c>
      <c r="MD14" s="165">
        <v>0</v>
      </c>
      <c r="ME14" s="165">
        <v>0</v>
      </c>
      <c r="MF14" s="165">
        <v>0</v>
      </c>
      <c r="MG14" s="165">
        <v>0</v>
      </c>
      <c r="MH14" s="165">
        <v>0</v>
      </c>
      <c r="MI14" s="165">
        <v>0</v>
      </c>
      <c r="MJ14" s="165">
        <v>0</v>
      </c>
      <c r="MK14" s="165">
        <v>0</v>
      </c>
      <c r="ML14" s="165">
        <v>0</v>
      </c>
      <c r="MM14" s="165">
        <v>0</v>
      </c>
      <c r="MN14" s="165">
        <v>0</v>
      </c>
      <c r="MO14" s="165">
        <v>0</v>
      </c>
      <c r="MP14" s="165">
        <v>0</v>
      </c>
      <c r="MQ14" s="165">
        <v>0</v>
      </c>
      <c r="MR14" s="165">
        <v>0</v>
      </c>
      <c r="MS14" s="165">
        <v>0</v>
      </c>
      <c r="MT14" s="165">
        <v>0</v>
      </c>
      <c r="MU14" s="165">
        <v>0</v>
      </c>
      <c r="MV14" s="165">
        <v>0</v>
      </c>
      <c r="MW14" s="166">
        <v>2.0036831406212299</v>
      </c>
      <c r="MX14" s="166">
        <v>0</v>
      </c>
      <c r="MY14" s="166">
        <v>2.3067368390280001E-2</v>
      </c>
      <c r="MZ14" s="166">
        <v>0.54346971482275996</v>
      </c>
      <c r="NA14" s="166">
        <v>0.30202261380607998</v>
      </c>
      <c r="NB14" s="166">
        <v>0</v>
      </c>
      <c r="NC14" s="166">
        <v>2.0036831406212299</v>
      </c>
      <c r="ND14" s="166">
        <v>0</v>
      </c>
      <c r="NE14" s="166">
        <v>2.297085956873E-2</v>
      </c>
      <c r="NF14" s="166">
        <v>0.54357175057244</v>
      </c>
      <c r="NG14" s="166">
        <v>0.17237730802415999</v>
      </c>
      <c r="NH14" s="166">
        <v>0</v>
      </c>
      <c r="NI14" s="166">
        <v>2.0510376306728801</v>
      </c>
      <c r="NJ14" s="166">
        <v>0</v>
      </c>
      <c r="NK14" s="166">
        <v>2.3037323390039999E-2</v>
      </c>
      <c r="NL14" s="166">
        <v>0.54340986787189005</v>
      </c>
      <c r="NM14" s="166">
        <v>0</v>
      </c>
      <c r="NN14" s="166">
        <v>0</v>
      </c>
      <c r="NO14" s="166">
        <v>2.0510376306728801</v>
      </c>
      <c r="NP14" s="166">
        <v>0</v>
      </c>
      <c r="NQ14" s="166">
        <v>2.3017456906229999E-2</v>
      </c>
      <c r="NR14" s="166">
        <v>0.54351548525372995</v>
      </c>
      <c r="NS14" s="166">
        <v>0.33259364429123001</v>
      </c>
      <c r="NT14" s="166">
        <v>0</v>
      </c>
      <c r="NU14" s="166">
        <v>0</v>
      </c>
      <c r="NV14" s="166">
        <v>0</v>
      </c>
      <c r="NW14" s="166">
        <v>0</v>
      </c>
      <c r="NX14" s="166">
        <v>0</v>
      </c>
      <c r="NY14" s="166">
        <v>0</v>
      </c>
      <c r="NZ14" s="166">
        <v>0</v>
      </c>
      <c r="OA14" s="166">
        <v>-76.72</v>
      </c>
      <c r="OB14" s="166">
        <v>-19.329999999999998</v>
      </c>
      <c r="OC14" s="166">
        <v>-5.130468482673E-2</v>
      </c>
      <c r="OD14" s="166">
        <v>0</v>
      </c>
      <c r="OE14" s="166">
        <v>-0.25409412355960997</v>
      </c>
      <c r="OF14" s="166">
        <v>0</v>
      </c>
      <c r="OG14" s="166">
        <v>-0.15524039716466001</v>
      </c>
      <c r="OH14" s="166">
        <v>0</v>
      </c>
      <c r="OI14" s="166">
        <v>0</v>
      </c>
      <c r="OJ14" s="166">
        <v>0</v>
      </c>
      <c r="OK14" s="166">
        <v>-0.47308934848860001</v>
      </c>
      <c r="OL14" s="166">
        <v>0</v>
      </c>
      <c r="OM14" s="166">
        <v>0.17133210138480001</v>
      </c>
      <c r="ON14" s="166">
        <v>0</v>
      </c>
      <c r="OO14" s="166">
        <v>0</v>
      </c>
      <c r="OP14" s="166">
        <v>0</v>
      </c>
      <c r="OQ14" s="166">
        <v>0</v>
      </c>
      <c r="OR14" s="166">
        <v>0</v>
      </c>
      <c r="OS14" s="166">
        <v>0</v>
      </c>
      <c r="OT14" s="166">
        <v>0</v>
      </c>
      <c r="OU14" s="166">
        <v>0</v>
      </c>
      <c r="OV14" s="166">
        <v>0</v>
      </c>
      <c r="OW14" s="166">
        <v>6.185701811114E-2</v>
      </c>
      <c r="OX14" s="166">
        <v>0</v>
      </c>
      <c r="OY14" s="166">
        <v>0</v>
      </c>
      <c r="OZ14" s="166">
        <v>0</v>
      </c>
      <c r="PA14" s="166">
        <v>0</v>
      </c>
      <c r="PB14" s="166">
        <v>0</v>
      </c>
      <c r="PC14" s="166">
        <v>0</v>
      </c>
      <c r="PD14" s="166">
        <v>0</v>
      </c>
      <c r="PE14" s="166">
        <v>-76.72</v>
      </c>
      <c r="PF14" s="166">
        <v>-19.329999999999998</v>
      </c>
      <c r="PG14" s="166">
        <v>-0.1165537644266</v>
      </c>
      <c r="PH14" s="166">
        <v>0</v>
      </c>
      <c r="PI14" s="166">
        <v>-8.0872830945369997E-2</v>
      </c>
      <c r="PJ14" s="166">
        <v>0</v>
      </c>
      <c r="PK14" s="166">
        <v>0.12690178868217</v>
      </c>
      <c r="PL14" s="166">
        <v>0</v>
      </c>
      <c r="PM14" s="166">
        <v>0</v>
      </c>
      <c r="PN14" s="166">
        <v>0</v>
      </c>
      <c r="PO14" s="166">
        <v>0.46903396918181001</v>
      </c>
      <c r="PP14" s="166">
        <v>0</v>
      </c>
      <c r="PQ14" s="166">
        <v>0.49253208563139</v>
      </c>
      <c r="PR14" s="166">
        <v>0</v>
      </c>
      <c r="PS14" s="166">
        <v>0</v>
      </c>
      <c r="PT14" s="166">
        <v>0</v>
      </c>
      <c r="PU14" s="166">
        <v>0</v>
      </c>
      <c r="PV14" s="166">
        <v>0</v>
      </c>
      <c r="PW14" s="166">
        <v>0</v>
      </c>
      <c r="PX14" s="166">
        <v>0</v>
      </c>
      <c r="PY14" s="166">
        <v>0</v>
      </c>
      <c r="PZ14" s="166">
        <v>0</v>
      </c>
      <c r="QA14" s="166">
        <v>0.35185908929693999</v>
      </c>
      <c r="QB14" s="166">
        <v>0</v>
      </c>
      <c r="QC14" s="166">
        <v>0</v>
      </c>
      <c r="QD14" s="166">
        <v>0</v>
      </c>
      <c r="QE14" s="166">
        <v>0</v>
      </c>
      <c r="QF14" s="166">
        <v>0</v>
      </c>
      <c r="QG14" s="166">
        <v>0</v>
      </c>
      <c r="QH14" s="166">
        <v>0</v>
      </c>
      <c r="QI14" s="162">
        <v>0</v>
      </c>
      <c r="QJ14" s="167">
        <v>0</v>
      </c>
      <c r="QK14" s="167">
        <v>0</v>
      </c>
      <c r="QL14" s="167">
        <v>0</v>
      </c>
      <c r="QM14" s="167">
        <v>0</v>
      </c>
      <c r="QN14" s="162">
        <v>0</v>
      </c>
      <c r="QO14" s="162">
        <v>0</v>
      </c>
      <c r="QP14" s="162">
        <v>0</v>
      </c>
      <c r="QQ14" s="162">
        <v>0</v>
      </c>
      <c r="QR14" s="162">
        <v>0</v>
      </c>
      <c r="QS14" s="162">
        <v>0</v>
      </c>
      <c r="QT14" s="162">
        <v>0</v>
      </c>
      <c r="QU14" s="162">
        <v>-4.6729114945424497</v>
      </c>
      <c r="QV14" s="162">
        <v>0</v>
      </c>
      <c r="QW14" s="162">
        <v>-0.11108130327765001</v>
      </c>
      <c r="QX14" s="162">
        <v>0</v>
      </c>
      <c r="QY14" s="162">
        <v>0</v>
      </c>
      <c r="QZ14" s="162">
        <v>0</v>
      </c>
      <c r="RA14" s="167">
        <v>-0.21634434494695001</v>
      </c>
      <c r="RB14" s="167">
        <v>0</v>
      </c>
      <c r="RC14" s="167">
        <v>0</v>
      </c>
      <c r="RD14" s="167">
        <v>0</v>
      </c>
      <c r="RE14" s="167">
        <v>0</v>
      </c>
      <c r="RF14" s="167">
        <v>0</v>
      </c>
      <c r="RG14" s="167">
        <v>-0.23045275548388999</v>
      </c>
      <c r="RH14" s="167">
        <v>0</v>
      </c>
      <c r="RI14" s="167">
        <v>0</v>
      </c>
      <c r="RJ14" s="167">
        <v>0</v>
      </c>
      <c r="RK14" s="167">
        <v>0</v>
      </c>
      <c r="RL14" s="167">
        <v>0</v>
      </c>
      <c r="RM14" s="166">
        <v>-76.72</v>
      </c>
      <c r="RN14" s="166">
        <v>-19.329999999999998</v>
      </c>
      <c r="RO14" s="166">
        <v>-8.1912788106269993E-2</v>
      </c>
      <c r="RP14" s="166">
        <v>0</v>
      </c>
      <c r="RQ14" s="166">
        <v>-0.29028198392646998</v>
      </c>
      <c r="RR14" s="166">
        <v>0</v>
      </c>
      <c r="RS14" s="166">
        <v>0</v>
      </c>
      <c r="RT14" s="166">
        <v>0</v>
      </c>
      <c r="RU14" s="166">
        <v>0</v>
      </c>
      <c r="RV14" s="166">
        <v>0</v>
      </c>
      <c r="RW14" s="166">
        <v>-5.4493930852369997E-2</v>
      </c>
      <c r="RX14" s="166">
        <v>0</v>
      </c>
      <c r="RY14" s="166">
        <v>0</v>
      </c>
      <c r="RZ14" s="166">
        <v>0</v>
      </c>
      <c r="SA14" s="166">
        <v>0</v>
      </c>
      <c r="SB14" s="166">
        <v>0</v>
      </c>
      <c r="SC14" s="166">
        <v>-0.40807807849428002</v>
      </c>
      <c r="SD14" s="166">
        <v>0</v>
      </c>
      <c r="SE14" s="166">
        <v>0</v>
      </c>
      <c r="SF14" s="166">
        <v>0</v>
      </c>
      <c r="SG14" s="166">
        <v>0</v>
      </c>
      <c r="SH14" s="166">
        <v>0</v>
      </c>
      <c r="SI14" s="166">
        <v>0</v>
      </c>
      <c r="SJ14" s="166">
        <v>0</v>
      </c>
      <c r="SK14" s="166">
        <v>0</v>
      </c>
      <c r="SL14" s="166">
        <v>0</v>
      </c>
      <c r="SM14" s="166">
        <v>0</v>
      </c>
      <c r="SN14" s="166">
        <v>0</v>
      </c>
      <c r="SO14" s="166">
        <v>0</v>
      </c>
      <c r="SP14" s="166">
        <v>0</v>
      </c>
      <c r="SQ14" s="166">
        <v>-76.72</v>
      </c>
      <c r="SR14" s="166">
        <v>-19.329999999999998</v>
      </c>
      <c r="SS14" s="166">
        <v>0</v>
      </c>
      <c r="ST14" s="166">
        <v>0</v>
      </c>
      <c r="SU14" s="166">
        <v>0</v>
      </c>
      <c r="SV14" s="166">
        <v>0</v>
      </c>
      <c r="SW14" s="166">
        <v>0</v>
      </c>
      <c r="SX14" s="166">
        <v>0</v>
      </c>
      <c r="SY14" s="166">
        <v>0</v>
      </c>
      <c r="SZ14" s="166">
        <v>0</v>
      </c>
      <c r="TA14" s="166">
        <v>0</v>
      </c>
      <c r="TB14" s="166">
        <v>0</v>
      </c>
      <c r="TC14" s="166">
        <v>0</v>
      </c>
      <c r="TD14" s="166">
        <v>0</v>
      </c>
      <c r="TE14" s="166">
        <v>0</v>
      </c>
      <c r="TF14" s="166">
        <v>0</v>
      </c>
      <c r="TG14" s="166">
        <v>0</v>
      </c>
      <c r="TH14" s="166">
        <v>0</v>
      </c>
      <c r="TI14" s="166">
        <v>0</v>
      </c>
      <c r="TJ14" s="166">
        <v>0</v>
      </c>
      <c r="TK14" s="166">
        <v>0</v>
      </c>
      <c r="TL14" s="166">
        <v>0</v>
      </c>
      <c r="TM14" s="166">
        <v>0</v>
      </c>
      <c r="TN14" s="166">
        <v>0</v>
      </c>
      <c r="TO14" s="166">
        <v>0</v>
      </c>
      <c r="TP14" s="166">
        <v>0</v>
      </c>
      <c r="TQ14" s="166">
        <v>0</v>
      </c>
      <c r="TR14" s="166">
        <v>0</v>
      </c>
      <c r="TS14" s="166">
        <v>0</v>
      </c>
      <c r="TT14" s="166">
        <v>0</v>
      </c>
      <c r="TU14" s="166">
        <v>-1.6282588938306</v>
      </c>
      <c r="TV14" s="166">
        <v>0</v>
      </c>
      <c r="TW14" s="166">
        <v>1.190256410256E-2</v>
      </c>
      <c r="TX14" s="166">
        <v>0</v>
      </c>
      <c r="TY14" s="166">
        <v>0</v>
      </c>
      <c r="TZ14" s="166">
        <v>0</v>
      </c>
      <c r="UA14" s="166">
        <v>3.6403360707E-4</v>
      </c>
      <c r="UB14" s="166">
        <v>0</v>
      </c>
      <c r="UC14" s="166">
        <v>0</v>
      </c>
      <c r="UD14" s="166">
        <v>0</v>
      </c>
      <c r="UE14" s="166">
        <v>-5.0637167778499999E-3</v>
      </c>
      <c r="UF14" s="166">
        <v>0</v>
      </c>
      <c r="UG14" s="166">
        <v>0</v>
      </c>
      <c r="UH14" s="166">
        <v>0</v>
      </c>
      <c r="UI14" s="166">
        <v>0</v>
      </c>
      <c r="UJ14" s="166">
        <v>0</v>
      </c>
      <c r="UK14" s="166">
        <v>2.382769618553E-2</v>
      </c>
      <c r="UL14" s="166">
        <v>0</v>
      </c>
      <c r="UM14" s="166">
        <v>0</v>
      </c>
      <c r="UN14" s="166">
        <v>0</v>
      </c>
      <c r="UO14" s="166">
        <v>0</v>
      </c>
      <c r="UP14" s="166">
        <v>0</v>
      </c>
      <c r="UQ14" s="166">
        <v>0</v>
      </c>
      <c r="UR14" s="166">
        <v>0</v>
      </c>
      <c r="US14" s="163">
        <v>0</v>
      </c>
      <c r="UT14" s="163">
        <v>0</v>
      </c>
      <c r="UU14" s="163">
        <v>0</v>
      </c>
      <c r="UV14" s="163">
        <v>0</v>
      </c>
      <c r="UW14" s="163">
        <v>0</v>
      </c>
      <c r="UX14" s="163">
        <v>0</v>
      </c>
      <c r="UY14" s="166">
        <v>0</v>
      </c>
      <c r="UZ14" s="166">
        <v>0</v>
      </c>
      <c r="VA14" s="166">
        <v>0</v>
      </c>
      <c r="VB14" s="166">
        <v>0</v>
      </c>
      <c r="VC14" s="166">
        <v>0</v>
      </c>
      <c r="VD14" s="166">
        <v>0</v>
      </c>
      <c r="VE14" s="267">
        <v>202</v>
      </c>
      <c r="VF14" s="267">
        <v>279</v>
      </c>
      <c r="VG14" s="267">
        <v>354</v>
      </c>
      <c r="VH14" s="267">
        <v>0</v>
      </c>
      <c r="VI14" s="267">
        <v>403</v>
      </c>
      <c r="VJ14" s="267">
        <v>0</v>
      </c>
      <c r="VK14" s="267">
        <v>0</v>
      </c>
      <c r="VL14" s="257">
        <v>0</v>
      </c>
      <c r="VM14" s="257">
        <v>0</v>
      </c>
      <c r="VN14" s="257">
        <v>0</v>
      </c>
      <c r="VO14" s="257">
        <v>0</v>
      </c>
      <c r="VP14" s="257">
        <v>0</v>
      </c>
      <c r="VQ14" s="257">
        <v>0</v>
      </c>
      <c r="VR14" s="257">
        <v>0</v>
      </c>
      <c r="VS14" s="257">
        <v>0</v>
      </c>
      <c r="VT14" s="257">
        <v>0</v>
      </c>
      <c r="VU14" s="257">
        <v>0</v>
      </c>
      <c r="VV14" s="257">
        <v>0</v>
      </c>
      <c r="VW14" s="257">
        <v>0</v>
      </c>
      <c r="VX14" s="257">
        <v>0</v>
      </c>
      <c r="VY14" s="257">
        <v>0</v>
      </c>
      <c r="VZ14" s="257">
        <v>0</v>
      </c>
      <c r="WA14" s="257">
        <v>0</v>
      </c>
      <c r="WB14" s="257">
        <v>0</v>
      </c>
      <c r="WC14" s="257">
        <v>0</v>
      </c>
      <c r="WD14" s="257">
        <v>0</v>
      </c>
      <c r="WE14" s="257">
        <v>0</v>
      </c>
      <c r="WF14" s="257">
        <v>0</v>
      </c>
      <c r="WG14" s="257">
        <v>0</v>
      </c>
      <c r="WH14" s="257">
        <v>0</v>
      </c>
      <c r="WI14" s="257">
        <v>0</v>
      </c>
      <c r="WJ14" s="257">
        <v>0</v>
      </c>
      <c r="WK14" s="257">
        <v>0</v>
      </c>
      <c r="WL14" s="257">
        <v>0</v>
      </c>
      <c r="WM14" s="257">
        <v>0</v>
      </c>
      <c r="WN14" s="257">
        <v>0</v>
      </c>
      <c r="WO14" s="257">
        <v>0</v>
      </c>
      <c r="WP14" s="257">
        <v>0</v>
      </c>
      <c r="WQ14" s="257">
        <v>0</v>
      </c>
      <c r="WR14" s="257">
        <v>0</v>
      </c>
      <c r="WS14" s="572">
        <v>77.892899999999997</v>
      </c>
      <c r="WT14" s="572">
        <v>61.79394989561586</v>
      </c>
      <c r="WU14" s="572">
        <v>68.298576200417529</v>
      </c>
      <c r="WV14" s="572">
        <v>71.550889352818373</v>
      </c>
      <c r="WW14" s="572">
        <v>109.92818455114822</v>
      </c>
      <c r="WX14" s="247">
        <v>15950.67664</v>
      </c>
      <c r="WY14" s="4">
        <v>73</v>
      </c>
      <c r="WZ14" s="4">
        <v>18</v>
      </c>
      <c r="XA14" s="4">
        <v>9</v>
      </c>
      <c r="XB14" s="4">
        <v>0</v>
      </c>
      <c r="XC14" s="1037">
        <v>1035.3257564775099</v>
      </c>
      <c r="XD14" s="1037">
        <v>0</v>
      </c>
      <c r="XE14" s="1037">
        <v>0</v>
      </c>
      <c r="XF14" s="1037">
        <v>0</v>
      </c>
      <c r="XG14" s="1037">
        <v>0</v>
      </c>
      <c r="XH14" s="1037">
        <v>0</v>
      </c>
      <c r="XI14" s="1037">
        <v>1552.9886347162651</v>
      </c>
      <c r="XJ14" s="1037">
        <v>862.77146373125822</v>
      </c>
      <c r="XK14" s="1037">
        <v>1110.6513146113225</v>
      </c>
      <c r="XL14" s="1037">
        <v>0</v>
      </c>
      <c r="XM14" s="1037">
        <v>0</v>
      </c>
      <c r="XN14" s="1037">
        <v>0</v>
      </c>
      <c r="XO14" s="1037">
        <v>0</v>
      </c>
      <c r="XP14" s="1037">
        <v>0</v>
      </c>
      <c r="XQ14" s="1037">
        <v>1665.976971916984</v>
      </c>
      <c r="XR14" s="1037">
        <v>925.54276217610209</v>
      </c>
      <c r="XS14" s="1037">
        <v>1163.5394724499567</v>
      </c>
      <c r="XT14" s="1037">
        <v>0</v>
      </c>
      <c r="XU14" s="1037">
        <v>0</v>
      </c>
      <c r="XV14" s="1037">
        <v>0</v>
      </c>
      <c r="XW14" s="1037">
        <v>0</v>
      </c>
      <c r="XX14" s="1037">
        <v>0</v>
      </c>
      <c r="XY14" s="1037">
        <v>1745.3092086749357</v>
      </c>
      <c r="XZ14" s="1037">
        <v>969.61622704163074</v>
      </c>
      <c r="YA14" s="1037">
        <v>1787.6197349458432</v>
      </c>
      <c r="YB14" s="1037">
        <v>0</v>
      </c>
      <c r="YC14" s="1037">
        <v>0</v>
      </c>
      <c r="YD14" s="1037">
        <v>0</v>
      </c>
      <c r="YE14" s="1037">
        <v>0</v>
      </c>
      <c r="YF14" s="1037">
        <v>0</v>
      </c>
      <c r="YG14" s="1037">
        <v>2681.4296024187652</v>
      </c>
      <c r="YH14" s="1037">
        <v>1489.6831124548694</v>
      </c>
      <c r="YI14" s="1037">
        <v>855.86929202140811</v>
      </c>
      <c r="YJ14" s="1037">
        <v>1331.3522320333018</v>
      </c>
      <c r="YK14" s="1037">
        <v>47.54829400118934</v>
      </c>
      <c r="YL14" s="1037">
        <v>523.03123401308278</v>
      </c>
      <c r="YM14" s="1037">
        <v>0</v>
      </c>
      <c r="YN14" s="1037">
        <v>0</v>
      </c>
      <c r="YO14" s="1037">
        <v>1283.8039380321122</v>
      </c>
      <c r="YP14" s="1037">
        <v>713.22441001784011</v>
      </c>
      <c r="YQ14" s="1037">
        <v>918.13842007869312</v>
      </c>
      <c r="YR14" s="1037">
        <v>1428.2153201224116</v>
      </c>
      <c r="YS14" s="1037">
        <v>51.007690004371845</v>
      </c>
      <c r="YT14" s="1037">
        <v>561.08459004809026</v>
      </c>
      <c r="YU14" s="1037">
        <v>0</v>
      </c>
      <c r="YV14" s="1037">
        <v>0</v>
      </c>
      <c r="YW14" s="1037">
        <v>1377.2076301180398</v>
      </c>
      <c r="YX14" s="1037">
        <v>765.11535006557767</v>
      </c>
      <c r="YY14" s="1037">
        <v>961.85929722529761</v>
      </c>
      <c r="YZ14" s="1037">
        <v>1496.2255734615742</v>
      </c>
      <c r="ZA14" s="1037">
        <v>53.436627623627651</v>
      </c>
      <c r="ZB14" s="1037">
        <v>587.80290385990406</v>
      </c>
      <c r="ZC14" s="1037">
        <v>0</v>
      </c>
      <c r="ZD14" s="1037">
        <v>0</v>
      </c>
      <c r="ZE14" s="1037">
        <v>1442.7889458379466</v>
      </c>
      <c r="ZF14" s="1037">
        <v>801.54941435441469</v>
      </c>
      <c r="ZG14" s="1037">
        <v>1477.7656475552301</v>
      </c>
      <c r="ZH14" s="1037">
        <v>2298.7465628636915</v>
      </c>
      <c r="ZI14" s="1037">
        <v>82.098091530846119</v>
      </c>
      <c r="ZJ14" s="1037">
        <v>903.07900683930734</v>
      </c>
      <c r="ZK14" s="1037">
        <v>0</v>
      </c>
      <c r="ZL14" s="1037">
        <v>0</v>
      </c>
      <c r="ZM14" s="1037">
        <v>2216.6484713328455</v>
      </c>
      <c r="ZN14" s="1037">
        <v>1231.4713729626917</v>
      </c>
      <c r="ZO14" s="1037">
        <v>2277.7166642505217</v>
      </c>
      <c r="ZP14" s="1037">
        <v>3543.1148110563677</v>
      </c>
      <c r="ZQ14" s="1037">
        <v>126.53981468058456</v>
      </c>
      <c r="ZR14" s="1037">
        <v>1391.9379614864301</v>
      </c>
      <c r="ZS14" s="1037">
        <v>0</v>
      </c>
      <c r="ZT14" s="1037">
        <v>0</v>
      </c>
      <c r="ZU14" s="1037">
        <v>3416.574996375783</v>
      </c>
      <c r="ZV14" s="1037">
        <v>1898.0972202087682</v>
      </c>
      <c r="ZW14" s="1037">
        <v>2517.4763131189975</v>
      </c>
      <c r="ZX14" s="1037">
        <v>3916.0742648517748</v>
      </c>
      <c r="ZY14" s="1037">
        <v>139.85979517327766</v>
      </c>
      <c r="ZZ14" s="1037">
        <v>1538.4577469060541</v>
      </c>
      <c r="AAA14" s="1037">
        <v>0</v>
      </c>
      <c r="AAB14" s="1037">
        <v>0</v>
      </c>
      <c r="AAC14" s="1037">
        <v>3776.2144696784967</v>
      </c>
      <c r="AAD14" s="1037">
        <v>2097.8969275991649</v>
      </c>
      <c r="AAE14" s="1037">
        <v>2637.3561375532354</v>
      </c>
      <c r="AAF14" s="1037">
        <v>4102.553991749478</v>
      </c>
      <c r="AAG14" s="1037">
        <v>146.51978541962421</v>
      </c>
      <c r="AAH14" s="1037">
        <v>1611.7176396158663</v>
      </c>
      <c r="AAI14" s="1037">
        <v>0</v>
      </c>
      <c r="AAJ14" s="1037">
        <v>0</v>
      </c>
      <c r="AAK14" s="1037">
        <v>3956.034206329854</v>
      </c>
      <c r="AAL14" s="1037">
        <v>2197.796781294363</v>
      </c>
      <c r="AAM14" s="1037">
        <v>4051.9380658772443</v>
      </c>
      <c r="AAN14" s="1037">
        <v>6303.0147691423808</v>
      </c>
      <c r="AAO14" s="1037">
        <v>225.10767032651358</v>
      </c>
      <c r="AAP14" s="1037">
        <v>2476.1843735916495</v>
      </c>
      <c r="AAQ14" s="1037">
        <v>0</v>
      </c>
      <c r="AAR14" s="1037">
        <v>0</v>
      </c>
      <c r="AAS14" s="1037">
        <v>6077.9070988158674</v>
      </c>
      <c r="AAT14" s="1037">
        <v>3376.6150548977034</v>
      </c>
      <c r="AAU14" s="1037">
        <v>3133.5859562719297</v>
      </c>
      <c r="AAV14" s="1037">
        <v>4874.4670430896695</v>
      </c>
      <c r="AAW14" s="1037">
        <v>174.08810868177389</v>
      </c>
      <c r="AAX14" s="1037">
        <v>1914.9691954995128</v>
      </c>
      <c r="AAY14" s="1037">
        <v>0</v>
      </c>
      <c r="AAZ14" s="1037">
        <v>0</v>
      </c>
      <c r="ABA14" s="1037">
        <v>4700.378934407895</v>
      </c>
      <c r="ABB14" s="1037">
        <v>2611.3216302266082</v>
      </c>
      <c r="ABC14" s="1037">
        <v>3317.14525963915</v>
      </c>
      <c r="ABD14" s="1037">
        <v>5160.0037372164561</v>
      </c>
      <c r="ABE14" s="1037">
        <v>184.28584775773055</v>
      </c>
      <c r="ABF14" s="1037">
        <v>2027.144325335036</v>
      </c>
      <c r="ABG14" s="1037">
        <v>0</v>
      </c>
      <c r="ABH14" s="1037">
        <v>0</v>
      </c>
      <c r="ABI14" s="1037">
        <v>4975.717889458725</v>
      </c>
      <c r="ABJ14" s="1037">
        <v>2764.2877163659582</v>
      </c>
      <c r="ABK14" s="1037">
        <v>3475.1045577172044</v>
      </c>
      <c r="ABL14" s="1037">
        <v>5405.7182008934296</v>
      </c>
      <c r="ABM14" s="1037">
        <v>193.06136431762246</v>
      </c>
      <c r="ABN14" s="1037">
        <v>2123.6750074938473</v>
      </c>
      <c r="ABO14" s="1037">
        <v>0</v>
      </c>
      <c r="ABP14" s="1037">
        <v>0</v>
      </c>
      <c r="ABQ14" s="1037">
        <v>5212.6568365758067</v>
      </c>
      <c r="ABR14" s="1037">
        <v>2895.9204647643369</v>
      </c>
      <c r="ABS14" s="1037">
        <v>0</v>
      </c>
      <c r="ABT14" s="1037">
        <v>0</v>
      </c>
      <c r="ABU14" s="1037">
        <v>0</v>
      </c>
      <c r="ABV14" s="1037">
        <v>0</v>
      </c>
      <c r="ABW14" s="1037">
        <v>0</v>
      </c>
      <c r="ABX14" s="1037">
        <v>0</v>
      </c>
      <c r="ABY14" s="1037">
        <v>0</v>
      </c>
      <c r="ABZ14" s="1037">
        <v>0</v>
      </c>
      <c r="ACA14" s="1037">
        <v>4058.4769653918383</v>
      </c>
      <c r="ACB14" s="1037">
        <v>6313.1863906095277</v>
      </c>
      <c r="ACC14" s="1037">
        <v>225.47094252176882</v>
      </c>
      <c r="ACD14" s="1037">
        <v>2480.1803677394569</v>
      </c>
      <c r="ACE14" s="1037">
        <v>0</v>
      </c>
      <c r="ACF14" s="1037">
        <v>0</v>
      </c>
      <c r="ACG14" s="1037">
        <v>6087.715448087758</v>
      </c>
      <c r="ACH14" s="1037">
        <v>3382.0641378265323</v>
      </c>
      <c r="ACI14" s="1037">
        <v>4338.9444690815662</v>
      </c>
      <c r="ACJ14" s="1037">
        <v>6749.4691741268825</v>
      </c>
      <c r="ACK14" s="1037">
        <v>241.0524705045315</v>
      </c>
      <c r="ACL14" s="1037">
        <v>2651.5771755498463</v>
      </c>
      <c r="ACM14" s="1037">
        <v>0</v>
      </c>
      <c r="ACN14" s="1037">
        <v>0</v>
      </c>
      <c r="ACO14" s="1037">
        <v>6508.4167036223507</v>
      </c>
      <c r="ACP14" s="1037">
        <v>3615.7870575679722</v>
      </c>
      <c r="ACQ14" s="1037">
        <v>4545.5608723711648</v>
      </c>
      <c r="ACR14" s="1037">
        <v>7070.872468132924</v>
      </c>
      <c r="ACS14" s="1037">
        <v>252.53115957617587</v>
      </c>
      <c r="ACT14" s="1037">
        <v>2777.8427553379342</v>
      </c>
      <c r="ACU14" s="1037">
        <v>0</v>
      </c>
      <c r="ACV14" s="1037">
        <v>0</v>
      </c>
      <c r="ACW14" s="1037">
        <v>6818.3413085567481</v>
      </c>
      <c r="ACX14" s="1037">
        <v>3787.9673936426375</v>
      </c>
      <c r="ACY14" s="1037">
        <v>6983.6344311884268</v>
      </c>
      <c r="ACZ14" s="1037">
        <v>10863.431337404221</v>
      </c>
      <c r="ADA14" s="1037">
        <v>387.97969062157927</v>
      </c>
      <c r="ADB14" s="1037">
        <v>4267.7765968373724</v>
      </c>
      <c r="ADC14" s="1037">
        <v>0</v>
      </c>
      <c r="ADD14" s="1037">
        <v>0</v>
      </c>
      <c r="ADE14" s="1037">
        <v>10475.451646782642</v>
      </c>
      <c r="ADF14" s="1037">
        <v>5819.6953593236894</v>
      </c>
      <c r="ADG14" s="1037">
        <v>4955.7592876723475</v>
      </c>
      <c r="ADH14" s="1037">
        <v>7708.9588919347634</v>
      </c>
      <c r="ADI14" s="1037">
        <v>275.31996042624155</v>
      </c>
      <c r="ADJ14" s="1037">
        <v>3028.5195646886568</v>
      </c>
      <c r="ADK14" s="1037">
        <v>0</v>
      </c>
      <c r="ADL14" s="1037">
        <v>0</v>
      </c>
      <c r="ADM14" s="1037">
        <v>7433.6389315085216</v>
      </c>
      <c r="ADN14" s="1037">
        <v>4129.799406393623</v>
      </c>
      <c r="ADO14" s="1037">
        <v>5331.1263101343475</v>
      </c>
      <c r="ADP14" s="1037">
        <v>8292.8631490978751</v>
      </c>
      <c r="ADQ14" s="1037">
        <v>296.17368389635266</v>
      </c>
      <c r="ADR14" s="1037">
        <v>3257.9105228598792</v>
      </c>
      <c r="ADS14" s="1037">
        <v>0</v>
      </c>
      <c r="ADT14" s="1037">
        <v>0</v>
      </c>
      <c r="ADU14" s="1037">
        <v>7996.6894652015226</v>
      </c>
      <c r="ADV14" s="1037">
        <v>4442.60525844529</v>
      </c>
      <c r="ADW14" s="1037">
        <v>5584.9894677597931</v>
      </c>
      <c r="ADX14" s="1037">
        <v>8687.7613942930129</v>
      </c>
      <c r="ADY14" s="1037">
        <v>310.27719265332183</v>
      </c>
      <c r="ADZ14" s="1037">
        <v>3413.0491191865403</v>
      </c>
      <c r="AEA14" s="1037">
        <v>0</v>
      </c>
      <c r="AEB14" s="1037">
        <v>0</v>
      </c>
      <c r="AEC14" s="1037">
        <v>8377.4842016396906</v>
      </c>
      <c r="AED14" s="1037">
        <v>4654.157889799827</v>
      </c>
      <c r="AEE14" s="1037">
        <v>8580.5747277400478</v>
      </c>
      <c r="AEF14" s="1037">
        <v>13347.560687595631</v>
      </c>
      <c r="AEG14" s="1037">
        <v>476.6985959855582</v>
      </c>
      <c r="AEH14" s="1037">
        <v>5243.6845558411405</v>
      </c>
      <c r="AEI14" s="1037">
        <v>0</v>
      </c>
      <c r="AEJ14" s="1037">
        <v>0</v>
      </c>
      <c r="AEK14" s="1037">
        <v>12870.862091610072</v>
      </c>
      <c r="AEL14" s="1037">
        <v>7150.4789397833729</v>
      </c>
      <c r="AEM14" s="1037">
        <v>5714.9981757558553</v>
      </c>
      <c r="AEN14" s="1037">
        <v>8889.997162286887</v>
      </c>
      <c r="AEO14" s="1037">
        <v>317.49989865310312</v>
      </c>
      <c r="AEP14" s="1037">
        <v>3492.498885184134</v>
      </c>
      <c r="AEQ14" s="1037">
        <v>0</v>
      </c>
      <c r="AER14" s="1037">
        <v>0</v>
      </c>
      <c r="AES14" s="1037">
        <v>8572.4972636337843</v>
      </c>
      <c r="AET14" s="1037">
        <v>4762.4984797965462</v>
      </c>
      <c r="AEU14" s="1037">
        <v>6071.5605198752291</v>
      </c>
      <c r="AEV14" s="1037">
        <v>9444.6496975836908</v>
      </c>
      <c r="AEW14" s="1037">
        <v>337.30891777084611</v>
      </c>
      <c r="AEX14" s="1037">
        <v>3710.3980954793069</v>
      </c>
      <c r="AEY14" s="1037">
        <v>0</v>
      </c>
      <c r="AEZ14" s="1037">
        <v>0</v>
      </c>
      <c r="AFA14" s="1037">
        <v>9107.3407798128446</v>
      </c>
      <c r="AFB14" s="1037">
        <v>5059.6337665626916</v>
      </c>
      <c r="AFC14" s="1037">
        <v>6360.6824493930981</v>
      </c>
      <c r="AFD14" s="1037">
        <v>9894.3949212781536</v>
      </c>
      <c r="AFE14" s="1037">
        <v>353.37124718850544</v>
      </c>
      <c r="AFF14" s="1037">
        <v>3887.0837190735597</v>
      </c>
      <c r="AFG14" s="1037">
        <v>0</v>
      </c>
      <c r="AFH14" s="1037">
        <v>0</v>
      </c>
      <c r="AFI14" s="1037">
        <v>9541.0236740896471</v>
      </c>
      <c r="AFJ14" s="1037">
        <v>5300.5687078275814</v>
      </c>
      <c r="AFK14" s="1037">
        <v>9772.3212177039404</v>
      </c>
      <c r="AFL14" s="1037">
        <v>15201.3885608728</v>
      </c>
      <c r="AFM14" s="1037">
        <v>542.9067343168856</v>
      </c>
      <c r="AFN14" s="1037">
        <v>5971.9740774857419</v>
      </c>
      <c r="AFO14" s="1037">
        <v>0</v>
      </c>
      <c r="AFP14" s="1037">
        <v>0</v>
      </c>
      <c r="AFQ14" s="1037">
        <v>14658.481826555913</v>
      </c>
      <c r="AFR14" s="1037">
        <v>8143.6010147532843</v>
      </c>
      <c r="AFS14" s="247">
        <v>2277.7166642505217</v>
      </c>
      <c r="AFT14" s="247">
        <v>3543.1148110563677</v>
      </c>
      <c r="AFU14" s="247">
        <v>126.53981468058456</v>
      </c>
      <c r="AFV14" s="247">
        <v>1391.9379614864301</v>
      </c>
      <c r="AFW14" s="247">
        <v>0</v>
      </c>
      <c r="AFX14" s="247">
        <v>0</v>
      </c>
      <c r="AFY14" s="247">
        <v>3416.574996375783</v>
      </c>
      <c r="AFZ14" s="247">
        <v>1898.0972202087682</v>
      </c>
      <c r="AGA14" s="247">
        <v>2517.4763131189975</v>
      </c>
      <c r="AGB14" s="247">
        <v>3916.0742648517748</v>
      </c>
      <c r="AGC14" s="247">
        <v>139.85979517327766</v>
      </c>
      <c r="AGD14" s="247">
        <v>1538.4577469060541</v>
      </c>
      <c r="AGE14" s="247">
        <v>0</v>
      </c>
      <c r="AGF14" s="247">
        <v>0</v>
      </c>
      <c r="AGG14" s="247">
        <v>3776.2144696784967</v>
      </c>
      <c r="AGH14" s="247">
        <v>2097.8969275991649</v>
      </c>
      <c r="AGI14" s="247">
        <v>2637.3561375532354</v>
      </c>
      <c r="AGJ14" s="247">
        <v>4102.553991749478</v>
      </c>
      <c r="AGK14" s="247">
        <v>146.51978541962421</v>
      </c>
      <c r="AGL14" s="247">
        <v>1611.7176396158663</v>
      </c>
      <c r="AGM14" s="247">
        <v>0</v>
      </c>
      <c r="AGN14" s="247">
        <v>0</v>
      </c>
      <c r="AGO14" s="247">
        <v>3956.034206329854</v>
      </c>
      <c r="AGP14" s="247">
        <v>2197.796781294363</v>
      </c>
      <c r="AGQ14" s="247">
        <v>4051.9380658772443</v>
      </c>
      <c r="AGR14" s="247">
        <v>6303.0147691423808</v>
      </c>
      <c r="AGS14" s="247">
        <v>225.10767032651358</v>
      </c>
      <c r="AGT14" s="247">
        <v>2476.1843735916495</v>
      </c>
      <c r="AGU14" s="247">
        <v>0</v>
      </c>
      <c r="AGV14" s="247">
        <v>0</v>
      </c>
      <c r="AGW14" s="247">
        <v>6077.9070988158674</v>
      </c>
      <c r="AGX14" s="247">
        <v>3376.6150548977034</v>
      </c>
      <c r="AGY14" s="249">
        <v>0</v>
      </c>
      <c r="AGZ14" s="249">
        <v>0</v>
      </c>
      <c r="AHA14" s="249">
        <v>0</v>
      </c>
      <c r="AHB14" s="249">
        <v>0</v>
      </c>
      <c r="AHC14" s="249">
        <v>0</v>
      </c>
      <c r="AHD14" s="249">
        <v>0</v>
      </c>
      <c r="AHE14" s="249">
        <v>0</v>
      </c>
      <c r="AHF14" s="249">
        <v>0</v>
      </c>
      <c r="AHG14" s="249">
        <v>0</v>
      </c>
      <c r="AHH14" s="249">
        <v>0</v>
      </c>
      <c r="AHI14" s="249">
        <v>0</v>
      </c>
      <c r="AHJ14" s="249">
        <v>0</v>
      </c>
      <c r="AHK14" s="249">
        <v>0</v>
      </c>
      <c r="AHL14" s="249">
        <v>0</v>
      </c>
      <c r="AHM14" s="249">
        <v>0</v>
      </c>
      <c r="AHN14" s="249">
        <v>0</v>
      </c>
      <c r="AHO14" s="249">
        <v>0</v>
      </c>
      <c r="AHP14" s="249">
        <v>0</v>
      </c>
      <c r="AHQ14" s="249">
        <v>0</v>
      </c>
      <c r="AHR14" s="249">
        <v>0</v>
      </c>
      <c r="AHS14" s="249">
        <v>0</v>
      </c>
      <c r="AHT14" s="249">
        <v>0</v>
      </c>
      <c r="AHU14" s="249">
        <v>0</v>
      </c>
      <c r="AHV14" s="249">
        <v>0</v>
      </c>
      <c r="AHW14" s="249">
        <v>0</v>
      </c>
      <c r="AHX14" s="249">
        <v>0</v>
      </c>
      <c r="AHY14" s="249">
        <v>0</v>
      </c>
      <c r="AHZ14" s="249">
        <v>0</v>
      </c>
      <c r="AIA14" s="249">
        <v>0</v>
      </c>
      <c r="AIB14" s="249">
        <v>0</v>
      </c>
      <c r="AIC14" s="249">
        <v>0</v>
      </c>
      <c r="AID14" s="249">
        <v>0</v>
      </c>
      <c r="AIE14" s="249"/>
      <c r="AIF14" s="249"/>
      <c r="AIG14" s="249"/>
      <c r="AIH14" s="249"/>
      <c r="AII14" s="249"/>
      <c r="AIJ14" s="249"/>
      <c r="AIK14" s="249"/>
      <c r="AIL14" s="249"/>
      <c r="AIM14" s="249">
        <v>0</v>
      </c>
      <c r="AIN14" s="249">
        <v>0</v>
      </c>
      <c r="AIO14" s="249">
        <v>0</v>
      </c>
      <c r="AIP14" s="249">
        <v>0</v>
      </c>
      <c r="AIQ14" s="249">
        <v>0</v>
      </c>
      <c r="AIR14" s="249">
        <v>0</v>
      </c>
      <c r="AIS14" s="249">
        <v>0</v>
      </c>
      <c r="AIT14" s="249">
        <v>0</v>
      </c>
      <c r="AIU14" s="134" t="s">
        <v>1216</v>
      </c>
      <c r="AIV14" s="134" t="s">
        <v>1219</v>
      </c>
      <c r="AIW14" s="134" t="s">
        <v>1218</v>
      </c>
      <c r="AIX14" s="134" t="s">
        <v>1217</v>
      </c>
      <c r="AIY14" s="134" t="s">
        <v>1228</v>
      </c>
      <c r="AIZ14" s="134" t="s">
        <v>1229</v>
      </c>
      <c r="AJA14" s="134" t="s">
        <v>1230</v>
      </c>
      <c r="AJB14" s="134" t="s">
        <v>1231</v>
      </c>
      <c r="AJC14" s="134" t="s">
        <v>1232</v>
      </c>
      <c r="AJD14" s="134" t="s">
        <v>1233</v>
      </c>
    </row>
    <row r="15" spans="1:940" ht="18" customHeight="1">
      <c r="A15" s="664" t="s">
        <v>6</v>
      </c>
      <c r="B15" s="669">
        <v>0.5</v>
      </c>
      <c r="C15" s="6">
        <v>0.3</v>
      </c>
      <c r="D15" s="6">
        <v>0.3</v>
      </c>
      <c r="E15" s="74">
        <v>118.12218649517685</v>
      </c>
      <c r="F15" s="75">
        <v>-2.2999999999999998</v>
      </c>
      <c r="G15" s="7">
        <v>-4.8</v>
      </c>
      <c r="H15" s="7">
        <v>-4.8</v>
      </c>
      <c r="I15" s="266">
        <v>350</v>
      </c>
      <c r="J15" s="125">
        <v>0</v>
      </c>
      <c r="K15" s="125">
        <v>0</v>
      </c>
      <c r="L15" s="125">
        <v>0</v>
      </c>
      <c r="M15" s="1">
        <v>1246.5552690926183</v>
      </c>
      <c r="N15" s="2">
        <v>12</v>
      </c>
      <c r="O15" s="8">
        <v>0.6</v>
      </c>
      <c r="P15" s="8">
        <v>0.2</v>
      </c>
      <c r="Q15" s="8">
        <v>0.2</v>
      </c>
      <c r="R15" s="7">
        <v>2.8</v>
      </c>
      <c r="S15" s="7">
        <v>0</v>
      </c>
      <c r="T15" s="7">
        <v>97.1</v>
      </c>
      <c r="U15" s="7">
        <v>0</v>
      </c>
      <c r="V15" s="71">
        <v>0</v>
      </c>
      <c r="W15" s="119">
        <v>2</v>
      </c>
      <c r="X15" s="120">
        <v>1.5</v>
      </c>
      <c r="Y15" s="119">
        <v>1</v>
      </c>
      <c r="Z15" s="120">
        <v>0.8</v>
      </c>
      <c r="AA15" s="120">
        <v>0.5</v>
      </c>
      <c r="AB15" s="559">
        <v>433.01922201480062</v>
      </c>
      <c r="AC15" s="559">
        <v>470.67306740739195</v>
      </c>
      <c r="AD15" s="559">
        <v>433.37222681535616</v>
      </c>
      <c r="AE15" s="559">
        <v>649.0581599547935</v>
      </c>
      <c r="AF15" s="622">
        <v>0.82209484106305364</v>
      </c>
      <c r="AG15" s="559">
        <v>261.91600618637949</v>
      </c>
      <c r="AH15" s="559">
        <v>284.69131107215162</v>
      </c>
      <c r="AI15" s="559">
        <v>262.12952466968363</v>
      </c>
      <c r="AJ15" s="559">
        <v>392.58931796849708</v>
      </c>
      <c r="AK15" s="622">
        <v>0.96717040125065135</v>
      </c>
      <c r="AL15" s="995">
        <v>0.1</v>
      </c>
      <c r="AM15" s="995">
        <v>0.3</v>
      </c>
      <c r="AN15" s="995">
        <v>0.7</v>
      </c>
      <c r="AO15" s="995">
        <v>1</v>
      </c>
      <c r="AP15" s="995">
        <v>1.3</v>
      </c>
      <c r="AQ15" s="995">
        <v>1.7</v>
      </c>
      <c r="AR15" s="995">
        <v>2.1</v>
      </c>
      <c r="AS15" s="1005">
        <v>0</v>
      </c>
      <c r="AT15" s="1005">
        <v>10</v>
      </c>
      <c r="AU15" s="1005">
        <v>20</v>
      </c>
      <c r="AV15" s="1005">
        <v>70</v>
      </c>
      <c r="AW15" s="1005">
        <v>100</v>
      </c>
      <c r="AX15" s="1">
        <v>10619.325978210618</v>
      </c>
      <c r="AY15" s="5">
        <v>1.56</v>
      </c>
      <c r="AZ15" s="8">
        <v>0.7</v>
      </c>
      <c r="BA15" s="8">
        <v>0.3</v>
      </c>
      <c r="BB15" s="8">
        <v>0.3</v>
      </c>
      <c r="BC15" s="73">
        <v>0.17424004435335025</v>
      </c>
      <c r="BD15" s="73">
        <v>0.17685328942052908</v>
      </c>
      <c r="BE15" s="9">
        <v>1.4995555692181729E-4</v>
      </c>
      <c r="BF15" s="9">
        <v>5.2484444922636054E-3</v>
      </c>
      <c r="BG15" s="9">
        <v>0.58973771648427697</v>
      </c>
      <c r="BH15" s="9">
        <v>67.629056438398067</v>
      </c>
      <c r="BI15" s="9"/>
      <c r="BJ15" s="9">
        <v>0.36881569224920963</v>
      </c>
      <c r="BK15" s="9">
        <v>30.822652436384168</v>
      </c>
      <c r="BL15" s="9"/>
      <c r="BM15" s="9"/>
      <c r="BN15" s="9">
        <v>2.8866444707449832E-3</v>
      </c>
      <c r="BO15" s="9"/>
      <c r="BP15" s="9"/>
      <c r="BQ15" s="9"/>
      <c r="BR15" s="9">
        <v>1.1246666769136296E-4</v>
      </c>
      <c r="BS15" s="9">
        <v>0.5813402052966552</v>
      </c>
      <c r="BT15" s="262">
        <v>261.13475999999997</v>
      </c>
      <c r="BU15" s="262">
        <v>96.5</v>
      </c>
      <c r="BV15" s="262">
        <v>63.215999999999994</v>
      </c>
      <c r="BW15" s="262">
        <v>233.35949490734063</v>
      </c>
      <c r="BX15" s="262">
        <v>157.40783999999999</v>
      </c>
      <c r="BY15" s="68"/>
      <c r="BZ15" s="262">
        <v>256.20808011776955</v>
      </c>
      <c r="CA15" s="262">
        <v>165.17663999999999</v>
      </c>
      <c r="CB15" s="68"/>
      <c r="CC15" s="785">
        <v>0</v>
      </c>
      <c r="CD15" s="262">
        <v>6.585</v>
      </c>
      <c r="CE15" s="262">
        <v>1.3169999999999999</v>
      </c>
      <c r="CF15" s="262">
        <v>38</v>
      </c>
      <c r="CG15" s="262">
        <v>225.83915999999996</v>
      </c>
      <c r="CH15" s="68">
        <v>0.2</v>
      </c>
      <c r="CI15" s="262">
        <v>175.08124000000001</v>
      </c>
      <c r="CJ15" s="262">
        <v>60.4</v>
      </c>
      <c r="CK15" s="262">
        <v>42.384</v>
      </c>
      <c r="CL15" s="262">
        <v>156.45894761061641</v>
      </c>
      <c r="CM15" s="262">
        <v>105.53616</v>
      </c>
      <c r="CN15" s="68"/>
      <c r="CO15" s="262">
        <v>159.24945066654416</v>
      </c>
      <c r="CP15" s="262">
        <v>102.66767999999999</v>
      </c>
      <c r="CQ15" s="68"/>
      <c r="CR15" s="262">
        <v>0</v>
      </c>
      <c r="CS15" s="262">
        <v>4.415</v>
      </c>
      <c r="CT15" s="262">
        <v>0.88300000000000001</v>
      </c>
      <c r="CU15" s="262">
        <v>27</v>
      </c>
      <c r="CV15" s="262">
        <v>151.41683999999998</v>
      </c>
      <c r="CW15" s="68">
        <v>0.2</v>
      </c>
      <c r="CX15" s="120">
        <v>0.3</v>
      </c>
      <c r="CY15" s="120">
        <v>0.7</v>
      </c>
      <c r="CZ15" s="120">
        <v>1.2</v>
      </c>
      <c r="DA15" s="120">
        <v>1.2</v>
      </c>
      <c r="DB15" s="119">
        <v>3</v>
      </c>
      <c r="DC15" s="1005">
        <v>0</v>
      </c>
      <c r="DD15" s="1005">
        <v>10</v>
      </c>
      <c r="DE15" s="1005">
        <v>20</v>
      </c>
      <c r="DF15" s="1005">
        <v>70</v>
      </c>
      <c r="DG15" s="1005">
        <v>100</v>
      </c>
      <c r="DH15" s="2">
        <v>1.6742641157350289</v>
      </c>
      <c r="DI15" s="2">
        <v>18</v>
      </c>
      <c r="DJ15" s="63">
        <v>12</v>
      </c>
      <c r="DK15" s="8">
        <v>1.9</v>
      </c>
      <c r="DL15" s="8">
        <v>0.9</v>
      </c>
      <c r="DM15" s="8">
        <v>0.9</v>
      </c>
      <c r="DN15" s="1030" t="s">
        <v>1002</v>
      </c>
      <c r="DO15" s="1030" t="s">
        <v>997</v>
      </c>
      <c r="DP15" s="1030" t="s">
        <v>997</v>
      </c>
      <c r="DQ15" s="1030" t="s">
        <v>997</v>
      </c>
      <c r="DR15" s="1030" t="s">
        <v>997</v>
      </c>
      <c r="DS15" s="1030" t="s">
        <v>997</v>
      </c>
      <c r="DT15" s="1030" t="s">
        <v>997</v>
      </c>
      <c r="DU15" s="1097">
        <v>176</v>
      </c>
      <c r="DV15" s="1097">
        <v>0</v>
      </c>
      <c r="DW15" s="1097">
        <v>0</v>
      </c>
      <c r="DX15" s="1097">
        <v>0</v>
      </c>
      <c r="DY15" s="1097">
        <v>0</v>
      </c>
      <c r="DZ15" s="1097">
        <v>0</v>
      </c>
      <c r="EA15" s="1097">
        <v>0</v>
      </c>
      <c r="EB15" s="207">
        <v>0.17599999999999999</v>
      </c>
      <c r="EC15" s="207">
        <v>18</v>
      </c>
      <c r="ED15" s="221">
        <v>5</v>
      </c>
      <c r="EE15" s="214">
        <v>1.9</v>
      </c>
      <c r="EF15" s="214">
        <v>0.9</v>
      </c>
      <c r="EG15" s="214">
        <v>0.9</v>
      </c>
      <c r="EH15" s="208" t="s">
        <v>1041</v>
      </c>
      <c r="EI15" s="204" t="s">
        <v>997</v>
      </c>
      <c r="EJ15" s="204" t="s">
        <v>997</v>
      </c>
      <c r="EK15" s="204" t="s">
        <v>997</v>
      </c>
      <c r="EL15" s="204" t="s">
        <v>997</v>
      </c>
      <c r="EM15" s="204" t="s">
        <v>997</v>
      </c>
      <c r="EN15" s="204" t="s">
        <v>997</v>
      </c>
      <c r="EO15" s="204" t="s">
        <v>997</v>
      </c>
      <c r="EP15" s="204" t="s">
        <v>997</v>
      </c>
      <c r="EQ15" s="204" t="s">
        <v>997</v>
      </c>
      <c r="ER15" s="204" t="s">
        <v>997</v>
      </c>
      <c r="ES15" s="204" t="s">
        <v>997</v>
      </c>
      <c r="ET15" s="204" t="s">
        <v>997</v>
      </c>
      <c r="EU15" s="204" t="s">
        <v>997</v>
      </c>
      <c r="EV15" s="204" t="s">
        <v>997</v>
      </c>
      <c r="EW15" s="204" t="s">
        <v>997</v>
      </c>
      <c r="EX15" s="204" t="s">
        <v>997</v>
      </c>
      <c r="EY15" s="204" t="s">
        <v>997</v>
      </c>
      <c r="EZ15" s="204" t="s">
        <v>997</v>
      </c>
      <c r="FA15" s="204" t="s">
        <v>997</v>
      </c>
      <c r="FB15" s="204" t="s">
        <v>997</v>
      </c>
      <c r="FC15" s="204" t="s">
        <v>997</v>
      </c>
      <c r="FD15" s="204" t="s">
        <v>997</v>
      </c>
      <c r="FE15" s="204" t="s">
        <v>997</v>
      </c>
      <c r="FF15" s="204" t="s">
        <v>997</v>
      </c>
      <c r="FG15" s="204" t="s">
        <v>997</v>
      </c>
      <c r="FH15" s="204" t="s">
        <v>997</v>
      </c>
      <c r="FI15" s="204" t="s">
        <v>997</v>
      </c>
      <c r="FJ15" s="204" t="s">
        <v>997</v>
      </c>
      <c r="FK15" s="204" t="s">
        <v>997</v>
      </c>
      <c r="FL15" s="204" t="s">
        <v>997</v>
      </c>
      <c r="FM15" s="204" t="s">
        <v>997</v>
      </c>
      <c r="FN15" s="204" t="s">
        <v>997</v>
      </c>
      <c r="FO15" s="204" t="s">
        <v>997</v>
      </c>
      <c r="FP15" s="204" t="s">
        <v>997</v>
      </c>
      <c r="FQ15" s="204" t="s">
        <v>997</v>
      </c>
      <c r="FR15" s="204" t="s">
        <v>997</v>
      </c>
      <c r="FS15" s="204" t="s">
        <v>997</v>
      </c>
      <c r="FT15" s="204" t="s">
        <v>997</v>
      </c>
      <c r="FU15" s="204" t="s">
        <v>997</v>
      </c>
      <c r="FV15" s="204" t="s">
        <v>997</v>
      </c>
      <c r="FW15" s="204" t="s">
        <v>997</v>
      </c>
      <c r="FX15" s="204" t="s">
        <v>997</v>
      </c>
      <c r="FY15" s="204" t="s">
        <v>997</v>
      </c>
      <c r="FZ15" s="204" t="s">
        <v>997</v>
      </c>
      <c r="GA15" s="204" t="s">
        <v>997</v>
      </c>
      <c r="GB15" s="204" t="s">
        <v>997</v>
      </c>
      <c r="GC15" s="204" t="s">
        <v>997</v>
      </c>
      <c r="GD15" s="204" t="s">
        <v>997</v>
      </c>
      <c r="GE15" s="204" t="s">
        <v>997</v>
      </c>
      <c r="GF15" s="204" t="s">
        <v>997</v>
      </c>
      <c r="GG15" s="204" t="s">
        <v>997</v>
      </c>
      <c r="GH15" s="204" t="s">
        <v>997</v>
      </c>
      <c r="GI15" s="204" t="s">
        <v>997</v>
      </c>
      <c r="GJ15" s="204" t="s">
        <v>997</v>
      </c>
      <c r="GK15" s="204" t="s">
        <v>997</v>
      </c>
      <c r="GL15" s="204" t="s">
        <v>997</v>
      </c>
      <c r="GM15" s="204" t="s">
        <v>997</v>
      </c>
      <c r="GN15" s="1051">
        <v>176</v>
      </c>
      <c r="GO15" s="1051">
        <v>0</v>
      </c>
      <c r="GP15" s="1051">
        <v>0</v>
      </c>
      <c r="GQ15" s="1051">
        <v>0</v>
      </c>
      <c r="GR15" s="1051">
        <v>0</v>
      </c>
      <c r="GS15" s="1051">
        <v>0</v>
      </c>
      <c r="GT15" s="1051">
        <v>0</v>
      </c>
      <c r="GU15" s="1051">
        <v>0</v>
      </c>
      <c r="GV15" s="1051">
        <v>0</v>
      </c>
      <c r="GW15" s="1051">
        <v>0</v>
      </c>
      <c r="GX15" s="1051">
        <v>0</v>
      </c>
      <c r="GY15" s="1051">
        <v>0</v>
      </c>
      <c r="GZ15" s="1051">
        <v>0</v>
      </c>
      <c r="HA15" s="1051">
        <v>0</v>
      </c>
      <c r="HB15" s="1051">
        <v>0</v>
      </c>
      <c r="HC15" s="1051">
        <v>0</v>
      </c>
      <c r="HD15" s="1051">
        <v>0</v>
      </c>
      <c r="HE15" s="1051">
        <v>0</v>
      </c>
      <c r="HF15" s="1051">
        <v>0</v>
      </c>
      <c r="HG15" s="1051">
        <v>0</v>
      </c>
      <c r="HH15" s="1051">
        <v>0</v>
      </c>
      <c r="HI15" s="1051">
        <v>0</v>
      </c>
      <c r="HJ15" s="1051">
        <v>0</v>
      </c>
      <c r="HK15" s="1051">
        <v>0</v>
      </c>
      <c r="HL15" s="1051">
        <v>0</v>
      </c>
      <c r="HM15" s="1051">
        <v>0</v>
      </c>
      <c r="HN15" s="1051">
        <v>0</v>
      </c>
      <c r="HO15" s="1051">
        <v>0</v>
      </c>
      <c r="HP15" s="1051">
        <v>0</v>
      </c>
      <c r="HQ15" s="1051">
        <v>0</v>
      </c>
      <c r="HR15" s="1051">
        <v>0</v>
      </c>
      <c r="HS15" s="1051">
        <v>0</v>
      </c>
      <c r="HT15" s="1051">
        <v>0</v>
      </c>
      <c r="HU15" s="1051">
        <v>0</v>
      </c>
      <c r="HV15" s="1051">
        <v>0</v>
      </c>
      <c r="HW15" s="1051">
        <v>0</v>
      </c>
      <c r="HX15" s="1051">
        <v>0</v>
      </c>
      <c r="HY15" s="1051">
        <v>0</v>
      </c>
      <c r="HZ15" s="1051">
        <v>0</v>
      </c>
      <c r="IA15" s="1051">
        <v>0</v>
      </c>
      <c r="IB15" s="1051">
        <v>0</v>
      </c>
      <c r="IC15" s="1051">
        <v>0</v>
      </c>
      <c r="ID15" s="1051">
        <v>0</v>
      </c>
      <c r="IE15" s="1051">
        <v>0</v>
      </c>
      <c r="IF15" s="1051">
        <v>0</v>
      </c>
      <c r="IG15" s="1051">
        <v>0</v>
      </c>
      <c r="IH15" s="1051">
        <v>0</v>
      </c>
      <c r="II15" s="1051">
        <v>0</v>
      </c>
      <c r="IJ15" s="1051">
        <v>0</v>
      </c>
      <c r="IK15" s="1051">
        <v>0</v>
      </c>
      <c r="IL15" s="1051">
        <v>0</v>
      </c>
      <c r="IM15" s="1051">
        <v>0</v>
      </c>
      <c r="IN15" s="1051">
        <v>0</v>
      </c>
      <c r="IO15" s="1051">
        <v>0</v>
      </c>
      <c r="IP15" s="1051">
        <v>0</v>
      </c>
      <c r="IQ15" s="1051">
        <v>0</v>
      </c>
      <c r="IR15" s="1051">
        <v>0</v>
      </c>
      <c r="IS15" s="1051">
        <v>0</v>
      </c>
      <c r="IT15" s="215">
        <v>1060.7794974182561</v>
      </c>
      <c r="IU15" s="207">
        <v>179.9</v>
      </c>
      <c r="IV15" s="216">
        <v>2647.0800000000199</v>
      </c>
      <c r="IW15" s="272">
        <v>12.64</v>
      </c>
      <c r="IX15" s="207">
        <v>50</v>
      </c>
      <c r="IY15" s="204">
        <v>1.9</v>
      </c>
      <c r="IZ15" s="204">
        <v>0.9</v>
      </c>
      <c r="JA15" s="204">
        <v>0.9</v>
      </c>
      <c r="JB15" s="52">
        <v>2</v>
      </c>
      <c r="JC15" s="24">
        <v>1.5</v>
      </c>
      <c r="JD15" s="24">
        <v>0.7</v>
      </c>
      <c r="JE15" s="24">
        <v>0.7</v>
      </c>
      <c r="JF15" s="24">
        <v>0.5</v>
      </c>
      <c r="JG15" s="1">
        <v>29.98203335761967</v>
      </c>
      <c r="JH15" s="216">
        <v>2647.0800000000199</v>
      </c>
      <c r="JI15" s="272">
        <v>12.64</v>
      </c>
      <c r="JJ15" s="207">
        <v>50</v>
      </c>
      <c r="JK15" s="8">
        <v>1.6</v>
      </c>
      <c r="JL15" s="8">
        <v>1.3</v>
      </c>
      <c r="JM15" s="8">
        <v>1.3</v>
      </c>
      <c r="JN15" s="216">
        <v>2</v>
      </c>
      <c r="JO15" s="216">
        <v>2</v>
      </c>
      <c r="JP15" s="216">
        <v>1</v>
      </c>
      <c r="JQ15" s="216">
        <v>1</v>
      </c>
      <c r="JR15" s="214">
        <v>0.5</v>
      </c>
      <c r="JS15" s="1212">
        <v>2000</v>
      </c>
      <c r="JT15" s="215">
        <v>232.08785152768519</v>
      </c>
      <c r="JU15" s="215">
        <v>500</v>
      </c>
      <c r="JV15" s="207">
        <v>1.3</v>
      </c>
      <c r="JW15" s="207">
        <v>1</v>
      </c>
      <c r="JX15" s="207">
        <v>1</v>
      </c>
      <c r="JY15" s="214">
        <v>2</v>
      </c>
      <c r="JZ15" s="214">
        <v>1.5</v>
      </c>
      <c r="KA15" s="214">
        <v>0.5</v>
      </c>
      <c r="KB15" s="214">
        <v>1</v>
      </c>
      <c r="KC15" s="214">
        <v>0.5</v>
      </c>
      <c r="KD15" s="1186">
        <v>10.279942142826977</v>
      </c>
      <c r="KE15" s="1186"/>
      <c r="KF15" s="1186">
        <v>89.720057857173018</v>
      </c>
      <c r="KG15" s="1186"/>
      <c r="KH15" s="1186"/>
      <c r="KI15" s="1186"/>
      <c r="KJ15" s="1186"/>
      <c r="KK15" s="1186"/>
      <c r="KL15" s="1186"/>
      <c r="KM15" s="1187">
        <v>580</v>
      </c>
      <c r="KN15" s="1187">
        <v>580</v>
      </c>
      <c r="KO15" s="1187">
        <v>580</v>
      </c>
      <c r="KP15" s="1187">
        <v>580</v>
      </c>
      <c r="KQ15" s="1187"/>
      <c r="KR15" s="1187">
        <v>580</v>
      </c>
      <c r="KS15" s="1187">
        <v>580</v>
      </c>
      <c r="KT15" s="1187">
        <v>580</v>
      </c>
      <c r="KU15" s="1187">
        <v>580</v>
      </c>
      <c r="KV15" s="262">
        <v>370</v>
      </c>
      <c r="KW15" s="262">
        <v>370</v>
      </c>
      <c r="KX15" s="262">
        <v>370</v>
      </c>
      <c r="KY15" s="262">
        <v>370</v>
      </c>
      <c r="KZ15" s="262"/>
      <c r="LA15" s="262">
        <v>370</v>
      </c>
      <c r="LB15" s="262">
        <v>370</v>
      </c>
      <c r="LC15" s="262">
        <v>370</v>
      </c>
      <c r="LD15" s="262">
        <v>370</v>
      </c>
      <c r="LE15" s="1213">
        <v>0</v>
      </c>
      <c r="LF15" s="1213">
        <v>10</v>
      </c>
      <c r="LG15" s="1213">
        <v>20</v>
      </c>
      <c r="LH15" s="1213">
        <v>70</v>
      </c>
      <c r="LI15" s="1213">
        <v>100</v>
      </c>
      <c r="LJ15" s="1212">
        <v>1000</v>
      </c>
      <c r="LK15" s="1"/>
      <c r="LL15" s="4">
        <v>29</v>
      </c>
      <c r="LM15" s="8">
        <v>0.9</v>
      </c>
      <c r="LN15" s="10">
        <v>0.9</v>
      </c>
      <c r="LO15" s="10">
        <v>0.9</v>
      </c>
      <c r="LP15" s="214">
        <v>2</v>
      </c>
      <c r="LQ15" s="214">
        <v>1</v>
      </c>
      <c r="LR15" s="214">
        <v>0.5</v>
      </c>
      <c r="LS15" s="214">
        <v>0.7</v>
      </c>
      <c r="LT15" s="214">
        <v>0.2</v>
      </c>
      <c r="LU15" s="1212">
        <v>1500</v>
      </c>
      <c r="LV15" s="122">
        <v>0</v>
      </c>
      <c r="LW15" s="122">
        <v>0</v>
      </c>
      <c r="LX15" s="122">
        <v>0</v>
      </c>
      <c r="LY15" s="165">
        <v>0</v>
      </c>
      <c r="LZ15" s="165">
        <v>0</v>
      </c>
      <c r="MA15" s="165">
        <v>0</v>
      </c>
      <c r="MB15" s="165">
        <v>0</v>
      </c>
      <c r="MC15" s="165">
        <v>0</v>
      </c>
      <c r="MD15" s="165">
        <v>0</v>
      </c>
      <c r="ME15" s="165">
        <v>0</v>
      </c>
      <c r="MF15" s="165">
        <v>0</v>
      </c>
      <c r="MG15" s="165">
        <v>0</v>
      </c>
      <c r="MH15" s="165">
        <v>0</v>
      </c>
      <c r="MI15" s="165">
        <v>0</v>
      </c>
      <c r="MJ15" s="165">
        <v>0</v>
      </c>
      <c r="MK15" s="165">
        <v>0</v>
      </c>
      <c r="ML15" s="165">
        <v>0</v>
      </c>
      <c r="MM15" s="165">
        <v>0</v>
      </c>
      <c r="MN15" s="165">
        <v>0</v>
      </c>
      <c r="MO15" s="165">
        <v>0</v>
      </c>
      <c r="MP15" s="165">
        <v>0</v>
      </c>
      <c r="MQ15" s="165">
        <v>0</v>
      </c>
      <c r="MR15" s="165">
        <v>0</v>
      </c>
      <c r="MS15" s="165">
        <v>0</v>
      </c>
      <c r="MT15" s="165">
        <v>0</v>
      </c>
      <c r="MU15" s="165">
        <v>0</v>
      </c>
      <c r="MV15" s="165">
        <v>0</v>
      </c>
      <c r="MW15" s="166">
        <v>3.0023141676325702</v>
      </c>
      <c r="MX15" s="166">
        <v>0</v>
      </c>
      <c r="MY15" s="166">
        <v>4.8916457425700003E-3</v>
      </c>
      <c r="MZ15" s="166">
        <v>0.29590384858404001</v>
      </c>
      <c r="NA15" s="166">
        <v>0.17453123015728</v>
      </c>
      <c r="NB15" s="166">
        <v>-1.30000000001973</v>
      </c>
      <c r="NC15" s="166">
        <v>3.3463344534083999</v>
      </c>
      <c r="ND15" s="166">
        <v>0</v>
      </c>
      <c r="NE15" s="166">
        <v>5.44278346337E-3</v>
      </c>
      <c r="NF15" s="166">
        <v>0.32924309294243997</v>
      </c>
      <c r="NG15" s="166">
        <v>0</v>
      </c>
      <c r="NH15" s="166">
        <v>-1.3</v>
      </c>
      <c r="NI15" s="166">
        <v>3.6217350249565601</v>
      </c>
      <c r="NJ15" s="166">
        <v>0</v>
      </c>
      <c r="NK15" s="166">
        <v>5.8484178825599998E-3</v>
      </c>
      <c r="NL15" s="166">
        <v>0.35378059873124001</v>
      </c>
      <c r="NM15" s="166">
        <v>0</v>
      </c>
      <c r="NN15" s="166">
        <v>-1.2999999999468901</v>
      </c>
      <c r="NO15" s="166">
        <v>0</v>
      </c>
      <c r="NP15" s="166">
        <v>0</v>
      </c>
      <c r="NQ15" s="166">
        <v>0</v>
      </c>
      <c r="NR15" s="166">
        <v>0</v>
      </c>
      <c r="NS15" s="166">
        <v>0</v>
      </c>
      <c r="NT15" s="166">
        <v>0</v>
      </c>
      <c r="NU15" s="166">
        <v>0</v>
      </c>
      <c r="NV15" s="166">
        <v>0</v>
      </c>
      <c r="NW15" s="166">
        <v>0</v>
      </c>
      <c r="NX15" s="166">
        <v>0</v>
      </c>
      <c r="NY15" s="166">
        <v>0</v>
      </c>
      <c r="NZ15" s="166">
        <v>0</v>
      </c>
      <c r="OA15" s="166">
        <v>-52.91</v>
      </c>
      <c r="OB15" s="166">
        <v>-11.67</v>
      </c>
      <c r="OC15" s="166">
        <v>-0.54643414814545999</v>
      </c>
      <c r="OD15" s="166">
        <v>0</v>
      </c>
      <c r="OE15" s="166">
        <v>-0.33998674296532999</v>
      </c>
      <c r="OF15" s="166">
        <v>0</v>
      </c>
      <c r="OG15" s="166">
        <v>0.18372230561139999</v>
      </c>
      <c r="OH15" s="166">
        <v>0</v>
      </c>
      <c r="OI15" s="166">
        <v>0</v>
      </c>
      <c r="OJ15" s="166">
        <v>0</v>
      </c>
      <c r="OK15" s="166">
        <v>0</v>
      </c>
      <c r="OL15" s="166">
        <v>0</v>
      </c>
      <c r="OM15" s="166">
        <v>0</v>
      </c>
      <c r="ON15" s="166">
        <v>0</v>
      </c>
      <c r="OO15" s="166">
        <v>0</v>
      </c>
      <c r="OP15" s="166">
        <v>0</v>
      </c>
      <c r="OQ15" s="166">
        <v>-1.7739743612950201</v>
      </c>
      <c r="OR15" s="166">
        <v>0</v>
      </c>
      <c r="OS15" s="166">
        <v>0</v>
      </c>
      <c r="OT15" s="166">
        <v>0</v>
      </c>
      <c r="OU15" s="166">
        <v>0</v>
      </c>
      <c r="OV15" s="166">
        <v>0</v>
      </c>
      <c r="OW15" s="166">
        <v>0</v>
      </c>
      <c r="OX15" s="166">
        <v>0</v>
      </c>
      <c r="OY15" s="166">
        <v>0</v>
      </c>
      <c r="OZ15" s="166">
        <v>0</v>
      </c>
      <c r="PA15" s="166">
        <v>0</v>
      </c>
      <c r="PB15" s="166">
        <v>0</v>
      </c>
      <c r="PC15" s="166">
        <v>0</v>
      </c>
      <c r="PD15" s="166">
        <v>0</v>
      </c>
      <c r="PE15" s="166">
        <v>-52.91</v>
      </c>
      <c r="PF15" s="166">
        <v>-11.67</v>
      </c>
      <c r="PG15" s="166">
        <v>-0.18172036730723001</v>
      </c>
      <c r="PH15" s="166">
        <v>0</v>
      </c>
      <c r="PI15" s="166">
        <v>0.19802294827854</v>
      </c>
      <c r="PJ15" s="166">
        <v>-10.408344278869309</v>
      </c>
      <c r="PK15" s="166">
        <v>-0.13109341541788999</v>
      </c>
      <c r="PL15" s="166">
        <v>0</v>
      </c>
      <c r="PM15" s="166">
        <v>0</v>
      </c>
      <c r="PN15" s="166">
        <v>0</v>
      </c>
      <c r="PO15" s="166">
        <v>0</v>
      </c>
      <c r="PP15" s="166">
        <v>0</v>
      </c>
      <c r="PQ15" s="166">
        <v>0</v>
      </c>
      <c r="PR15" s="166">
        <v>0</v>
      </c>
      <c r="PS15" s="166">
        <v>0</v>
      </c>
      <c r="PT15" s="166">
        <v>0</v>
      </c>
      <c r="PU15" s="166">
        <v>-1.06666666666667</v>
      </c>
      <c r="PV15" s="166">
        <v>0</v>
      </c>
      <c r="PW15" s="166">
        <v>0</v>
      </c>
      <c r="PX15" s="166">
        <v>0</v>
      </c>
      <c r="PY15" s="166">
        <v>0</v>
      </c>
      <c r="PZ15" s="166">
        <v>0</v>
      </c>
      <c r="QA15" s="166">
        <v>0</v>
      </c>
      <c r="QB15" s="166">
        <v>0</v>
      </c>
      <c r="QC15" s="166">
        <v>0</v>
      </c>
      <c r="QD15" s="166">
        <v>0</v>
      </c>
      <c r="QE15" s="166">
        <v>0</v>
      </c>
      <c r="QF15" s="166">
        <v>0</v>
      </c>
      <c r="QG15" s="166">
        <v>0</v>
      </c>
      <c r="QH15" s="166">
        <v>0</v>
      </c>
      <c r="QI15" s="162">
        <v>0</v>
      </c>
      <c r="QJ15" s="167">
        <v>0</v>
      </c>
      <c r="QK15" s="167">
        <v>0</v>
      </c>
      <c r="QL15" s="167">
        <v>0</v>
      </c>
      <c r="QM15" s="167">
        <v>0</v>
      </c>
      <c r="QN15" s="162">
        <v>0</v>
      </c>
      <c r="QO15" s="162">
        <v>0</v>
      </c>
      <c r="QP15" s="162">
        <v>0</v>
      </c>
      <c r="QQ15" s="162">
        <v>0</v>
      </c>
      <c r="QR15" s="162">
        <v>0</v>
      </c>
      <c r="QS15" s="162">
        <v>0</v>
      </c>
      <c r="QT15" s="162">
        <v>0</v>
      </c>
      <c r="QU15" s="162">
        <v>-2.5665427509497198</v>
      </c>
      <c r="QV15" s="162">
        <v>0</v>
      </c>
      <c r="QW15" s="162">
        <v>0</v>
      </c>
      <c r="QX15" s="162">
        <v>0</v>
      </c>
      <c r="QY15" s="162">
        <v>0</v>
      </c>
      <c r="QZ15" s="162">
        <v>0</v>
      </c>
      <c r="RA15" s="167">
        <v>-0.23653062818921</v>
      </c>
      <c r="RB15" s="167">
        <v>0</v>
      </c>
      <c r="RC15" s="167">
        <v>0</v>
      </c>
      <c r="RD15" s="167">
        <v>0</v>
      </c>
      <c r="RE15" s="167">
        <v>0</v>
      </c>
      <c r="RF15" s="167">
        <v>0</v>
      </c>
      <c r="RG15" s="167">
        <v>-2.50580804071038</v>
      </c>
      <c r="RH15" s="167">
        <v>0</v>
      </c>
      <c r="RI15" s="167">
        <v>0</v>
      </c>
      <c r="RJ15" s="167">
        <v>0</v>
      </c>
      <c r="RK15" s="167">
        <v>0</v>
      </c>
      <c r="RL15" s="167">
        <v>0</v>
      </c>
      <c r="RM15" s="166">
        <v>-52.91</v>
      </c>
      <c r="RN15" s="166">
        <v>-11.67</v>
      </c>
      <c r="RO15" s="166">
        <v>-2.2095224184042799</v>
      </c>
      <c r="RP15" s="166">
        <v>0</v>
      </c>
      <c r="RQ15" s="166">
        <v>-1.48307883259603</v>
      </c>
      <c r="RR15" s="166">
        <v>0</v>
      </c>
      <c r="RS15" s="166">
        <v>-0.12793422384617001</v>
      </c>
      <c r="RT15" s="166">
        <v>0</v>
      </c>
      <c r="RU15" s="166">
        <v>0</v>
      </c>
      <c r="RV15" s="166">
        <v>0</v>
      </c>
      <c r="RW15" s="166">
        <v>-0.80520512773868003</v>
      </c>
      <c r="RX15" s="166">
        <v>0</v>
      </c>
      <c r="RY15" s="166">
        <v>-4.8821770334930001E-2</v>
      </c>
      <c r="RZ15" s="166">
        <v>0</v>
      </c>
      <c r="SA15" s="166">
        <v>0</v>
      </c>
      <c r="SB15" s="166">
        <v>0</v>
      </c>
      <c r="SC15" s="166">
        <v>-1.51251282240104</v>
      </c>
      <c r="SD15" s="166">
        <v>0</v>
      </c>
      <c r="SE15" s="166">
        <v>-5.7780184082299998E-2</v>
      </c>
      <c r="SF15" s="166">
        <v>0</v>
      </c>
      <c r="SG15" s="166">
        <v>0</v>
      </c>
      <c r="SH15" s="166">
        <v>0</v>
      </c>
      <c r="SI15" s="166">
        <v>2.5791794890699998E-3</v>
      </c>
      <c r="SJ15" s="166">
        <v>0</v>
      </c>
      <c r="SK15" s="166">
        <v>0</v>
      </c>
      <c r="SL15" s="166">
        <v>0</v>
      </c>
      <c r="SM15" s="166">
        <v>0</v>
      </c>
      <c r="SN15" s="166">
        <v>0</v>
      </c>
      <c r="SO15" s="166">
        <v>0</v>
      </c>
      <c r="SP15" s="166">
        <v>0</v>
      </c>
      <c r="SQ15" s="166">
        <v>-52.91</v>
      </c>
      <c r="SR15" s="166">
        <v>-11.67</v>
      </c>
      <c r="SS15" s="166">
        <v>0</v>
      </c>
      <c r="ST15" s="166">
        <v>0</v>
      </c>
      <c r="SU15" s="166">
        <v>0</v>
      </c>
      <c r="SV15" s="166">
        <v>0</v>
      </c>
      <c r="SW15" s="166">
        <v>0</v>
      </c>
      <c r="SX15" s="166">
        <v>0</v>
      </c>
      <c r="SY15" s="166">
        <v>0</v>
      </c>
      <c r="SZ15" s="166">
        <v>0</v>
      </c>
      <c r="TA15" s="166">
        <v>0</v>
      </c>
      <c r="TB15" s="166">
        <v>0</v>
      </c>
      <c r="TC15" s="166">
        <v>0</v>
      </c>
      <c r="TD15" s="166">
        <v>0</v>
      </c>
      <c r="TE15" s="166">
        <v>0</v>
      </c>
      <c r="TF15" s="166">
        <v>0</v>
      </c>
      <c r="TG15" s="166">
        <v>0</v>
      </c>
      <c r="TH15" s="166">
        <v>0</v>
      </c>
      <c r="TI15" s="166">
        <v>0</v>
      </c>
      <c r="TJ15" s="166">
        <v>0</v>
      </c>
      <c r="TK15" s="166">
        <v>0</v>
      </c>
      <c r="TL15" s="166">
        <v>0</v>
      </c>
      <c r="TM15" s="166">
        <v>0</v>
      </c>
      <c r="TN15" s="166">
        <v>0</v>
      </c>
      <c r="TO15" s="166">
        <v>0</v>
      </c>
      <c r="TP15" s="166">
        <v>0</v>
      </c>
      <c r="TQ15" s="166">
        <v>0</v>
      </c>
      <c r="TR15" s="166">
        <v>0</v>
      </c>
      <c r="TS15" s="166">
        <v>0</v>
      </c>
      <c r="TT15" s="166">
        <v>0</v>
      </c>
      <c r="TU15" s="166">
        <v>0.13941526258303999</v>
      </c>
      <c r="TV15" s="166">
        <v>0</v>
      </c>
      <c r="TW15" s="166">
        <v>6.9938276129620003E-2</v>
      </c>
      <c r="TX15" s="166">
        <v>0.47464340967364999</v>
      </c>
      <c r="TY15" s="166">
        <v>0</v>
      </c>
      <c r="TZ15" s="166">
        <v>-1.30000000000389</v>
      </c>
      <c r="UA15" s="166">
        <v>-3.5225263151399998E-3</v>
      </c>
      <c r="UB15" s="166">
        <v>0</v>
      </c>
      <c r="UC15" s="166">
        <v>0</v>
      </c>
      <c r="UD15" s="166">
        <v>0</v>
      </c>
      <c r="UE15" s="166">
        <v>-4.9885985614600004E-3</v>
      </c>
      <c r="UF15" s="166">
        <v>-7.5515057820746998</v>
      </c>
      <c r="UG15" s="166">
        <v>-0.19159248592764</v>
      </c>
      <c r="UH15" s="166">
        <v>0</v>
      </c>
      <c r="UI15" s="166">
        <v>0</v>
      </c>
      <c r="UJ15" s="166">
        <v>0</v>
      </c>
      <c r="UK15" s="166">
        <v>0</v>
      </c>
      <c r="UL15" s="166">
        <v>-6.4178284247483797</v>
      </c>
      <c r="UM15" s="166">
        <v>0</v>
      </c>
      <c r="UN15" s="166">
        <v>0</v>
      </c>
      <c r="UO15" s="166">
        <v>0</v>
      </c>
      <c r="UP15" s="166">
        <v>0</v>
      </c>
      <c r="UQ15" s="166">
        <v>0</v>
      </c>
      <c r="UR15" s="166">
        <v>-10.11815</v>
      </c>
      <c r="US15" s="163">
        <v>0</v>
      </c>
      <c r="UT15" s="163">
        <v>0</v>
      </c>
      <c r="UU15" s="163">
        <v>0</v>
      </c>
      <c r="UV15" s="163">
        <v>0</v>
      </c>
      <c r="UW15" s="163">
        <v>0</v>
      </c>
      <c r="UX15" s="163">
        <v>-5.6066847810739198</v>
      </c>
      <c r="UY15" s="166">
        <v>0</v>
      </c>
      <c r="UZ15" s="166">
        <v>0</v>
      </c>
      <c r="VA15" s="166">
        <v>0</v>
      </c>
      <c r="VB15" s="166">
        <v>0</v>
      </c>
      <c r="VC15" s="166">
        <v>0</v>
      </c>
      <c r="VD15" s="166">
        <v>0</v>
      </c>
      <c r="VE15" s="267">
        <v>202</v>
      </c>
      <c r="VF15" s="267">
        <v>279</v>
      </c>
      <c r="VG15" s="267">
        <v>354</v>
      </c>
      <c r="VH15" s="267">
        <v>0</v>
      </c>
      <c r="VI15" s="267">
        <v>403</v>
      </c>
      <c r="VJ15" s="267">
        <v>0</v>
      </c>
      <c r="VK15" s="267">
        <v>0</v>
      </c>
      <c r="VL15" s="257">
        <v>0</v>
      </c>
      <c r="VM15" s="257">
        <v>0</v>
      </c>
      <c r="VN15" s="257">
        <v>0</v>
      </c>
      <c r="VO15" s="257">
        <v>0</v>
      </c>
      <c r="VP15" s="257">
        <v>0</v>
      </c>
      <c r="VQ15" s="257">
        <v>0</v>
      </c>
      <c r="VR15" s="257">
        <v>0</v>
      </c>
      <c r="VS15" s="257">
        <v>0</v>
      </c>
      <c r="VT15" s="257">
        <v>0</v>
      </c>
      <c r="VU15" s="257">
        <v>0</v>
      </c>
      <c r="VV15" s="257">
        <v>0</v>
      </c>
      <c r="VW15" s="257">
        <v>0</v>
      </c>
      <c r="VX15" s="257">
        <v>0</v>
      </c>
      <c r="VY15" s="257">
        <v>0</v>
      </c>
      <c r="VZ15" s="257">
        <v>0</v>
      </c>
      <c r="WA15" s="257">
        <v>0</v>
      </c>
      <c r="WB15" s="257">
        <v>0</v>
      </c>
      <c r="WC15" s="257">
        <v>0</v>
      </c>
      <c r="WD15" s="257">
        <v>0</v>
      </c>
      <c r="WE15" s="257">
        <v>0</v>
      </c>
      <c r="WF15" s="257">
        <v>0</v>
      </c>
      <c r="WG15" s="257">
        <v>0</v>
      </c>
      <c r="WH15" s="257">
        <v>0</v>
      </c>
      <c r="WI15" s="257">
        <v>0</v>
      </c>
      <c r="WJ15" s="257">
        <v>0</v>
      </c>
      <c r="WK15" s="257">
        <v>0</v>
      </c>
      <c r="WL15" s="257">
        <v>0</v>
      </c>
      <c r="WM15" s="257">
        <v>0</v>
      </c>
      <c r="WN15" s="257">
        <v>0</v>
      </c>
      <c r="WO15" s="257">
        <v>0</v>
      </c>
      <c r="WP15" s="257">
        <v>0</v>
      </c>
      <c r="WQ15" s="257">
        <v>0</v>
      </c>
      <c r="WR15" s="257">
        <v>0</v>
      </c>
      <c r="WS15" s="572">
        <v>117.57470000000001</v>
      </c>
      <c r="WT15" s="572">
        <v>93.274292275574112</v>
      </c>
      <c r="WU15" s="572">
        <v>103.09263883089771</v>
      </c>
      <c r="WV15" s="572">
        <v>108.00181210855951</v>
      </c>
      <c r="WW15" s="572">
        <v>165.93005678496871</v>
      </c>
      <c r="WX15" s="247">
        <v>17613.36665</v>
      </c>
      <c r="WY15" s="4">
        <v>78</v>
      </c>
      <c r="WZ15" s="4">
        <v>15</v>
      </c>
      <c r="XA15" s="4">
        <v>7.0000000000000009</v>
      </c>
      <c r="XB15" s="4">
        <v>0</v>
      </c>
      <c r="XC15" s="1037">
        <v>882.99608302357547</v>
      </c>
      <c r="XD15" s="1037">
        <v>0</v>
      </c>
      <c r="XE15" s="1037">
        <v>0</v>
      </c>
      <c r="XF15" s="1037">
        <v>0</v>
      </c>
      <c r="XG15" s="1037">
        <v>0</v>
      </c>
      <c r="XH15" s="1037">
        <v>0</v>
      </c>
      <c r="XI15" s="1037">
        <v>1208.3104294006823</v>
      </c>
      <c r="XJ15" s="1037">
        <v>1719.5186879932785</v>
      </c>
      <c r="XK15" s="1037">
        <v>947.23883209804615</v>
      </c>
      <c r="XL15" s="1037">
        <v>0</v>
      </c>
      <c r="XM15" s="1037">
        <v>0</v>
      </c>
      <c r="XN15" s="1037">
        <v>0</v>
      </c>
      <c r="XO15" s="1037">
        <v>0</v>
      </c>
      <c r="XP15" s="1037">
        <v>0</v>
      </c>
      <c r="XQ15" s="1037">
        <v>1296.221559713116</v>
      </c>
      <c r="XR15" s="1037">
        <v>1844.6229888225109</v>
      </c>
      <c r="XS15" s="1037">
        <v>992.34544315033418</v>
      </c>
      <c r="XT15" s="1037">
        <v>0</v>
      </c>
      <c r="XU15" s="1037">
        <v>0</v>
      </c>
      <c r="XV15" s="1037">
        <v>0</v>
      </c>
      <c r="XW15" s="1037">
        <v>0</v>
      </c>
      <c r="XX15" s="1037">
        <v>0</v>
      </c>
      <c r="XY15" s="1037">
        <v>1357.9463958899312</v>
      </c>
      <c r="XZ15" s="1037">
        <v>1932.4621787664403</v>
      </c>
      <c r="YA15" s="1037">
        <v>1524.6034535673314</v>
      </c>
      <c r="YB15" s="1037">
        <v>0</v>
      </c>
      <c r="YC15" s="1037">
        <v>0</v>
      </c>
      <c r="YD15" s="1037">
        <v>0</v>
      </c>
      <c r="YE15" s="1037">
        <v>0</v>
      </c>
      <c r="YF15" s="1037">
        <v>0</v>
      </c>
      <c r="YG15" s="1037">
        <v>2086.2994627763483</v>
      </c>
      <c r="YH15" s="1037">
        <v>2968.9646201048031</v>
      </c>
      <c r="YI15" s="1037">
        <v>997.58935246485737</v>
      </c>
      <c r="YJ15" s="1037">
        <v>682.56113589700772</v>
      </c>
      <c r="YK15" s="1037">
        <v>262.52351380654142</v>
      </c>
      <c r="YL15" s="1037">
        <v>0</v>
      </c>
      <c r="YM15" s="1037">
        <v>0</v>
      </c>
      <c r="YN15" s="1037">
        <v>0</v>
      </c>
      <c r="YO15" s="1037">
        <v>1365.1222717940154</v>
      </c>
      <c r="YP15" s="1037">
        <v>1942.6740021684063</v>
      </c>
      <c r="YQ15" s="1037">
        <v>1070.1693827525482</v>
      </c>
      <c r="YR15" s="1037">
        <v>732.22115662016449</v>
      </c>
      <c r="YS15" s="1037">
        <v>281.62352177698637</v>
      </c>
      <c r="YT15" s="1037">
        <v>0</v>
      </c>
      <c r="YU15" s="1037">
        <v>0</v>
      </c>
      <c r="YV15" s="1037">
        <v>0</v>
      </c>
      <c r="YW15" s="1037">
        <v>1464.442313240329</v>
      </c>
      <c r="YX15" s="1037">
        <v>2084.014061149699</v>
      </c>
      <c r="YY15" s="1037">
        <v>1121.1298295502886</v>
      </c>
      <c r="YZ15" s="1037">
        <v>767.0888307449344</v>
      </c>
      <c r="ZA15" s="1037">
        <v>295.03416567112862</v>
      </c>
      <c r="ZB15" s="1037">
        <v>0</v>
      </c>
      <c r="ZC15" s="1037">
        <v>0</v>
      </c>
      <c r="ZD15" s="1037">
        <v>0</v>
      </c>
      <c r="ZE15" s="1037">
        <v>1534.1776614898688</v>
      </c>
      <c r="ZF15" s="1037">
        <v>2183.2528259663513</v>
      </c>
      <c r="ZG15" s="1037">
        <v>1722.4631017636252</v>
      </c>
      <c r="ZH15" s="1037">
        <v>1178.5273854172171</v>
      </c>
      <c r="ZI15" s="1037">
        <v>453.27976362200661</v>
      </c>
      <c r="ZJ15" s="1037">
        <v>0</v>
      </c>
      <c r="ZK15" s="1037">
        <v>0</v>
      </c>
      <c r="ZL15" s="1037">
        <v>0</v>
      </c>
      <c r="ZM15" s="1037">
        <v>2357.0547708344343</v>
      </c>
      <c r="ZN15" s="1037">
        <v>3354.2702508028488</v>
      </c>
      <c r="ZO15" s="1037">
        <v>2654.8748896242173</v>
      </c>
      <c r="ZP15" s="1037">
        <v>1816.4933455323592</v>
      </c>
      <c r="ZQ15" s="1037">
        <v>698.65128674321511</v>
      </c>
      <c r="ZR15" s="1037">
        <v>0</v>
      </c>
      <c r="ZS15" s="1037">
        <v>0</v>
      </c>
      <c r="ZT15" s="1037">
        <v>0</v>
      </c>
      <c r="ZU15" s="1037">
        <v>3632.9866910647183</v>
      </c>
      <c r="ZV15" s="1037">
        <v>5170.0195218997915</v>
      </c>
      <c r="ZW15" s="1037">
        <v>2934.3354043215031</v>
      </c>
      <c r="ZX15" s="1037">
        <v>2007.7031713778706</v>
      </c>
      <c r="ZY15" s="1037">
        <v>772.19352745302717</v>
      </c>
      <c r="ZZ15" s="1037">
        <v>0</v>
      </c>
      <c r="AAA15" s="1037">
        <v>0</v>
      </c>
      <c r="AAB15" s="1037">
        <v>0</v>
      </c>
      <c r="AAC15" s="1037">
        <v>4015.4063427557412</v>
      </c>
      <c r="AAD15" s="1037">
        <v>5714.2321031524007</v>
      </c>
      <c r="AAE15" s="1037">
        <v>3074.0656616701463</v>
      </c>
      <c r="AAF15" s="1037">
        <v>2103.3080843006264</v>
      </c>
      <c r="AAG15" s="1037">
        <v>808.96464780793326</v>
      </c>
      <c r="AAH15" s="1037">
        <v>0</v>
      </c>
      <c r="AAI15" s="1037">
        <v>0</v>
      </c>
      <c r="AAJ15" s="1037">
        <v>0</v>
      </c>
      <c r="AAK15" s="1037">
        <v>4206.6161686012529</v>
      </c>
      <c r="AAL15" s="1037">
        <v>5986.3383937787057</v>
      </c>
      <c r="AAM15" s="1037">
        <v>4722.8826983841336</v>
      </c>
      <c r="AAN15" s="1037">
        <v>3231.4460567891442</v>
      </c>
      <c r="AAO15" s="1037">
        <v>1242.8638679958249</v>
      </c>
      <c r="AAP15" s="1037">
        <v>0</v>
      </c>
      <c r="AAQ15" s="1037">
        <v>0</v>
      </c>
      <c r="AAR15" s="1037">
        <v>0</v>
      </c>
      <c r="AAS15" s="1037">
        <v>6462.8921135782884</v>
      </c>
      <c r="AAT15" s="1037">
        <v>9197.1926231691032</v>
      </c>
      <c r="AAU15" s="1037">
        <v>3652.4642420890746</v>
      </c>
      <c r="AAV15" s="1037">
        <v>2499.0544814293667</v>
      </c>
      <c r="AAW15" s="1037">
        <v>961.17480054975647</v>
      </c>
      <c r="AAX15" s="1037">
        <v>0</v>
      </c>
      <c r="AAY15" s="1037">
        <v>0</v>
      </c>
      <c r="AAZ15" s="1037">
        <v>0</v>
      </c>
      <c r="ABA15" s="1037">
        <v>4998.1089628587333</v>
      </c>
      <c r="ABB15" s="1037">
        <v>7112.6935240681969</v>
      </c>
      <c r="ABC15" s="1037">
        <v>3866.4184151059808</v>
      </c>
      <c r="ABD15" s="1037">
        <v>2645.4441787567239</v>
      </c>
      <c r="ABE15" s="1037">
        <v>1017.4785302910476</v>
      </c>
      <c r="ABF15" s="1037">
        <v>0</v>
      </c>
      <c r="ABG15" s="1037">
        <v>0</v>
      </c>
      <c r="ABH15" s="1037">
        <v>0</v>
      </c>
      <c r="ABI15" s="1037">
        <v>5290.8883575134478</v>
      </c>
      <c r="ABJ15" s="1037">
        <v>7529.3411241537515</v>
      </c>
      <c r="ABK15" s="1037">
        <v>4050.5335777300747</v>
      </c>
      <c r="ABL15" s="1037">
        <v>2771.4177110784722</v>
      </c>
      <c r="ABM15" s="1037">
        <v>1065.9298888763356</v>
      </c>
      <c r="ABN15" s="1037">
        <v>0</v>
      </c>
      <c r="ABO15" s="1037">
        <v>0</v>
      </c>
      <c r="ABP15" s="1037">
        <v>0</v>
      </c>
      <c r="ABQ15" s="1037">
        <v>5542.8354221569443</v>
      </c>
      <c r="ABR15" s="1037">
        <v>7887.8811776848825</v>
      </c>
      <c r="ABS15" s="1037">
        <v>8415.3182625753652</v>
      </c>
      <c r="ABT15" s="1037">
        <v>5757.8493375515654</v>
      </c>
      <c r="ABU15" s="1037">
        <v>2214.557437519833</v>
      </c>
      <c r="ABV15" s="1037">
        <v>0</v>
      </c>
      <c r="ABW15" s="1037">
        <v>0</v>
      </c>
      <c r="ABX15" s="1037">
        <v>0</v>
      </c>
      <c r="ABY15" s="1037">
        <v>11515.698675103131</v>
      </c>
      <c r="ABZ15" s="1037">
        <v>16387.725037646764</v>
      </c>
      <c r="ACA15" s="1037">
        <v>4730.504348784968</v>
      </c>
      <c r="ACB15" s="1037">
        <v>3236.6608702212943</v>
      </c>
      <c r="ACC15" s="1037">
        <v>1244.8695654697285</v>
      </c>
      <c r="ACD15" s="1037">
        <v>0</v>
      </c>
      <c r="ACE15" s="1037">
        <v>0</v>
      </c>
      <c r="ACF15" s="1037">
        <v>0</v>
      </c>
      <c r="ACG15" s="1037">
        <v>6473.3217404425886</v>
      </c>
      <c r="ACH15" s="1037">
        <v>9212.0347844759908</v>
      </c>
      <c r="ACI15" s="1037">
        <v>5057.4133733305907</v>
      </c>
      <c r="ACJ15" s="1037">
        <v>3460.3354659630359</v>
      </c>
      <c r="ACK15" s="1037">
        <v>1330.8982561396292</v>
      </c>
      <c r="ACL15" s="1037">
        <v>0</v>
      </c>
      <c r="ACM15" s="1037">
        <v>0</v>
      </c>
      <c r="ACN15" s="1037">
        <v>0</v>
      </c>
      <c r="ACO15" s="1037">
        <v>6920.6709319260717</v>
      </c>
      <c r="ACP15" s="1037">
        <v>9848.6470954332563</v>
      </c>
      <c r="ACQ15" s="1037">
        <v>5298.242581584429</v>
      </c>
      <c r="ACR15" s="1037">
        <v>3625.1133452946092</v>
      </c>
      <c r="ACS15" s="1037">
        <v>1394.2743635748498</v>
      </c>
      <c r="ACT15" s="1037">
        <v>0</v>
      </c>
      <c r="ACU15" s="1037">
        <v>0</v>
      </c>
      <c r="ACV15" s="1037">
        <v>0</v>
      </c>
      <c r="ACW15" s="1037">
        <v>7250.2266905892184</v>
      </c>
      <c r="ACX15" s="1037">
        <v>10317.630290453888</v>
      </c>
      <c r="ACY15" s="1037">
        <v>8140.0272389797137</v>
      </c>
      <c r="ACZ15" s="1037">
        <v>5569.4923214071723</v>
      </c>
      <c r="ADA15" s="1037">
        <v>2142.112431310451</v>
      </c>
      <c r="ADB15" s="1037">
        <v>0</v>
      </c>
      <c r="ADC15" s="1037">
        <v>0</v>
      </c>
      <c r="ADD15" s="1037">
        <v>0</v>
      </c>
      <c r="ADE15" s="1037">
        <v>11138.984642814345</v>
      </c>
      <c r="ADF15" s="1037">
        <v>15851.631991697335</v>
      </c>
      <c r="ADG15" s="1037">
        <v>5776.3641537884487</v>
      </c>
      <c r="ADH15" s="1037">
        <v>3952.2491578552545</v>
      </c>
      <c r="ADI15" s="1037">
        <v>1520.0958299443287</v>
      </c>
      <c r="ADJ15" s="1037">
        <v>0</v>
      </c>
      <c r="ADK15" s="1037">
        <v>0</v>
      </c>
      <c r="ADL15" s="1037">
        <v>0</v>
      </c>
      <c r="ADM15" s="1037">
        <v>7904.4983157105089</v>
      </c>
      <c r="ADN15" s="1037">
        <v>11248.709141588031</v>
      </c>
      <c r="ADO15" s="1037">
        <v>6213.8867385631829</v>
      </c>
      <c r="ADP15" s="1037">
        <v>4251.6067158590204</v>
      </c>
      <c r="ADQ15" s="1037">
        <v>1635.2333522534693</v>
      </c>
      <c r="ADR15" s="1037">
        <v>0</v>
      </c>
      <c r="ADS15" s="1037">
        <v>0</v>
      </c>
      <c r="ADT15" s="1037">
        <v>0</v>
      </c>
      <c r="ADU15" s="1037">
        <v>8503.2134317180407</v>
      </c>
      <c r="ADV15" s="1037">
        <v>12100.726806675673</v>
      </c>
      <c r="ADW15" s="1037">
        <v>6509.7861070661929</v>
      </c>
      <c r="ADX15" s="1037">
        <v>4454.0641785189737</v>
      </c>
      <c r="ADY15" s="1037">
        <v>1713.1016071226823</v>
      </c>
      <c r="ADZ15" s="1037">
        <v>0</v>
      </c>
      <c r="AEA15" s="1037">
        <v>0</v>
      </c>
      <c r="AEB15" s="1037">
        <v>0</v>
      </c>
      <c r="AEC15" s="1037">
        <v>8908.1283570379474</v>
      </c>
      <c r="AED15" s="1037">
        <v>12676.951892707848</v>
      </c>
      <c r="AEE15" s="1037">
        <v>10001.398655401696</v>
      </c>
      <c r="AEF15" s="1037">
        <v>6843.0622379064225</v>
      </c>
      <c r="AEG15" s="1037">
        <v>2631.9470145793935</v>
      </c>
      <c r="AEH15" s="1037">
        <v>0</v>
      </c>
      <c r="AEI15" s="1037">
        <v>0</v>
      </c>
      <c r="AEJ15" s="1037">
        <v>0</v>
      </c>
      <c r="AEK15" s="1037">
        <v>13686.124475812845</v>
      </c>
      <c r="AEL15" s="1037">
        <v>19476.407907887511</v>
      </c>
      <c r="AEM15" s="1037">
        <v>6661.3224503298534</v>
      </c>
      <c r="AEN15" s="1037">
        <v>4557.7469396993738</v>
      </c>
      <c r="AEO15" s="1037">
        <v>1752.9795921920668</v>
      </c>
      <c r="AEP15" s="1037">
        <v>0</v>
      </c>
      <c r="AEQ15" s="1037">
        <v>0</v>
      </c>
      <c r="AER15" s="1037">
        <v>0</v>
      </c>
      <c r="AES15" s="1037">
        <v>9115.4938793987476</v>
      </c>
      <c r="AET15" s="1037">
        <v>12972.048982221295</v>
      </c>
      <c r="AEU15" s="1037">
        <v>7076.9265633636251</v>
      </c>
      <c r="AEV15" s="1037">
        <v>4842.1076486172178</v>
      </c>
      <c r="AEW15" s="1037">
        <v>1862.3490956220066</v>
      </c>
      <c r="AEX15" s="1037">
        <v>0</v>
      </c>
      <c r="AEY15" s="1037">
        <v>0</v>
      </c>
      <c r="AEZ15" s="1037">
        <v>0</v>
      </c>
      <c r="AFA15" s="1037">
        <v>9684.2152972344356</v>
      </c>
      <c r="AFB15" s="1037">
        <v>13781.38330760285</v>
      </c>
      <c r="AFC15" s="1037">
        <v>7413.9230663809412</v>
      </c>
      <c r="AFD15" s="1037">
        <v>5072.6842033132752</v>
      </c>
      <c r="AFE15" s="1037">
        <v>1951.0323858897214</v>
      </c>
      <c r="AFF15" s="1037">
        <v>0</v>
      </c>
      <c r="AFG15" s="1037">
        <v>0</v>
      </c>
      <c r="AFH15" s="1037">
        <v>0</v>
      </c>
      <c r="AFI15" s="1037">
        <v>10145.36840662655</v>
      </c>
      <c r="AFJ15" s="1037">
        <v>14437.639655583936</v>
      </c>
      <c r="AFK15" s="1037">
        <v>11390.481801985263</v>
      </c>
      <c r="AFL15" s="1037">
        <v>7793.4875487267591</v>
      </c>
      <c r="AFM15" s="1037">
        <v>2997.4952110487538</v>
      </c>
      <c r="AFN15" s="1037">
        <v>0</v>
      </c>
      <c r="AFO15" s="1037">
        <v>0</v>
      </c>
      <c r="AFP15" s="1037">
        <v>0</v>
      </c>
      <c r="AFQ15" s="1037">
        <v>15586.975097453518</v>
      </c>
      <c r="AFR15" s="1037">
        <v>22181.464561760775</v>
      </c>
      <c r="AFS15" s="247">
        <v>2654.8748896242173</v>
      </c>
      <c r="AFT15" s="247">
        <v>1816.4933455323592</v>
      </c>
      <c r="AFU15" s="247">
        <v>698.65128674321511</v>
      </c>
      <c r="AFV15" s="247">
        <v>0</v>
      </c>
      <c r="AFW15" s="247">
        <v>0</v>
      </c>
      <c r="AFX15" s="247">
        <v>0</v>
      </c>
      <c r="AFY15" s="247">
        <v>3632.9866910647183</v>
      </c>
      <c r="AFZ15" s="247">
        <v>5170.0195218997915</v>
      </c>
      <c r="AGA15" s="247">
        <v>2934.3354043215031</v>
      </c>
      <c r="AGB15" s="247">
        <v>2007.7031713778706</v>
      </c>
      <c r="AGC15" s="247">
        <v>772.19352745302717</v>
      </c>
      <c r="AGD15" s="247">
        <v>0</v>
      </c>
      <c r="AGE15" s="247">
        <v>0</v>
      </c>
      <c r="AGF15" s="247">
        <v>0</v>
      </c>
      <c r="AGG15" s="247">
        <v>4015.4063427557412</v>
      </c>
      <c r="AGH15" s="247">
        <v>5714.2321031524007</v>
      </c>
      <c r="AGI15" s="247">
        <v>3074.0656616701463</v>
      </c>
      <c r="AGJ15" s="247">
        <v>2103.3080843006264</v>
      </c>
      <c r="AGK15" s="247">
        <v>808.96464780793326</v>
      </c>
      <c r="AGL15" s="247">
        <v>0</v>
      </c>
      <c r="AGM15" s="247">
        <v>0</v>
      </c>
      <c r="AGN15" s="247">
        <v>0</v>
      </c>
      <c r="AGO15" s="247">
        <v>4206.6161686012529</v>
      </c>
      <c r="AGP15" s="247">
        <v>5986.3383937787057</v>
      </c>
      <c r="AGQ15" s="247">
        <v>4722.8826983841336</v>
      </c>
      <c r="AGR15" s="247">
        <v>3231.4460567891442</v>
      </c>
      <c r="AGS15" s="247">
        <v>1242.8638679958249</v>
      </c>
      <c r="AGT15" s="247">
        <v>0</v>
      </c>
      <c r="AGU15" s="247">
        <v>0</v>
      </c>
      <c r="AGV15" s="247">
        <v>0</v>
      </c>
      <c r="AGW15" s="247">
        <v>6462.8921135782884</v>
      </c>
      <c r="AGX15" s="247">
        <v>9197.1926231691032</v>
      </c>
      <c r="AGY15" s="249">
        <v>0</v>
      </c>
      <c r="AGZ15" s="249">
        <v>0</v>
      </c>
      <c r="AHA15" s="249">
        <v>0</v>
      </c>
      <c r="AHB15" s="249">
        <v>0</v>
      </c>
      <c r="AHC15" s="249">
        <v>0</v>
      </c>
      <c r="AHD15" s="249">
        <v>0</v>
      </c>
      <c r="AHE15" s="249">
        <v>0</v>
      </c>
      <c r="AHF15" s="249">
        <v>0</v>
      </c>
      <c r="AHG15" s="249">
        <v>346.13892000019422</v>
      </c>
      <c r="AHH15" s="249">
        <v>84.611736000047486</v>
      </c>
      <c r="AHI15" s="249">
        <v>23.075928000012947</v>
      </c>
      <c r="AHJ15" s="249">
        <v>0</v>
      </c>
      <c r="AHK15" s="249">
        <v>0</v>
      </c>
      <c r="AHL15" s="249">
        <v>0</v>
      </c>
      <c r="AHM15" s="249">
        <v>15.383952000008634</v>
      </c>
      <c r="AHN15" s="249">
        <v>299.98706400016835</v>
      </c>
      <c r="AHO15" s="249">
        <v>118.73854809101613</v>
      </c>
      <c r="AHP15" s="249">
        <v>29.024978422248388</v>
      </c>
      <c r="AHQ15" s="249">
        <v>7.9159032060677417</v>
      </c>
      <c r="AHR15" s="249">
        <v>0</v>
      </c>
      <c r="AHS15" s="249">
        <v>0</v>
      </c>
      <c r="AHT15" s="249">
        <v>0</v>
      </c>
      <c r="AHU15" s="249">
        <v>5.2772688040451614</v>
      </c>
      <c r="AHV15" s="249">
        <v>102.90674167888065</v>
      </c>
      <c r="AHW15" s="249">
        <v>39.587602491559686</v>
      </c>
      <c r="AHX15" s="249">
        <v>9.6769694979368115</v>
      </c>
      <c r="AHY15" s="249">
        <v>2.6391734994373119</v>
      </c>
      <c r="AHZ15" s="249">
        <v>0</v>
      </c>
      <c r="AIA15" s="249">
        <v>0</v>
      </c>
      <c r="AIB15" s="249">
        <v>0</v>
      </c>
      <c r="AIC15" s="249">
        <v>1.7594489996248748</v>
      </c>
      <c r="AID15" s="249">
        <v>34.309255492685061</v>
      </c>
      <c r="AIE15" s="249"/>
      <c r="AIF15" s="249"/>
      <c r="AIG15" s="249"/>
      <c r="AIH15" s="249"/>
      <c r="AII15" s="249"/>
      <c r="AIJ15" s="249"/>
      <c r="AIK15" s="249"/>
      <c r="AIL15" s="249"/>
      <c r="AIM15" s="249">
        <v>8.3401515989873359E-2</v>
      </c>
      <c r="AIN15" s="249">
        <v>2.0387037241969042E-2</v>
      </c>
      <c r="AIO15" s="249">
        <v>5.5601010659915564E-3</v>
      </c>
      <c r="AIP15" s="249">
        <v>0</v>
      </c>
      <c r="AIQ15" s="249">
        <v>0</v>
      </c>
      <c r="AIR15" s="249">
        <v>0</v>
      </c>
      <c r="AIS15" s="249">
        <v>3.7067340439943712E-3</v>
      </c>
      <c r="AIT15" s="249">
        <v>7.2281313857890245E-2</v>
      </c>
      <c r="AIU15" s="134" t="s">
        <v>1216</v>
      </c>
      <c r="AIV15" s="134" t="s">
        <v>1219</v>
      </c>
      <c r="AIW15" s="134" t="s">
        <v>1218</v>
      </c>
      <c r="AIX15" s="134" t="s">
        <v>1217</v>
      </c>
      <c r="AIY15" s="134" t="s">
        <v>1228</v>
      </c>
      <c r="AIZ15" s="134" t="s">
        <v>1229</v>
      </c>
      <c r="AJA15" s="134" t="s">
        <v>1230</v>
      </c>
      <c r="AJB15" s="134" t="s">
        <v>1231</v>
      </c>
      <c r="AJC15" s="134" t="s">
        <v>1232</v>
      </c>
      <c r="AJD15" s="134" t="s">
        <v>1233</v>
      </c>
    </row>
    <row r="16" spans="1:940" ht="18" customHeight="1">
      <c r="A16" s="664" t="s">
        <v>7</v>
      </c>
      <c r="B16" s="669">
        <v>-0.6</v>
      </c>
      <c r="C16" s="6">
        <v>-0.3</v>
      </c>
      <c r="D16" s="6">
        <v>-0.3</v>
      </c>
      <c r="E16" s="74">
        <v>710.87615148413511</v>
      </c>
      <c r="F16" s="75">
        <v>-1.3</v>
      </c>
      <c r="G16" s="7">
        <v>-6.1</v>
      </c>
      <c r="H16" s="7">
        <v>-6.1</v>
      </c>
      <c r="I16" s="266">
        <v>350</v>
      </c>
      <c r="J16" s="125">
        <v>0</v>
      </c>
      <c r="K16" s="125">
        <v>0</v>
      </c>
      <c r="L16" s="125">
        <v>0</v>
      </c>
      <c r="M16" s="1">
        <v>2171.6667850440722</v>
      </c>
      <c r="N16" s="2">
        <v>12</v>
      </c>
      <c r="O16" s="8">
        <v>0.6</v>
      </c>
      <c r="P16" s="8">
        <v>0.3</v>
      </c>
      <c r="Q16" s="8">
        <v>0.3</v>
      </c>
      <c r="R16" s="7">
        <v>4.2</v>
      </c>
      <c r="S16" s="7">
        <v>0</v>
      </c>
      <c r="T16" s="7">
        <v>92.4</v>
      </c>
      <c r="U16" s="7">
        <v>3.4</v>
      </c>
      <c r="V16" s="71">
        <v>0</v>
      </c>
      <c r="W16" s="119">
        <v>2</v>
      </c>
      <c r="X16" s="120">
        <v>1.5</v>
      </c>
      <c r="Y16" s="119">
        <v>1</v>
      </c>
      <c r="Z16" s="120">
        <v>0.8</v>
      </c>
      <c r="AA16" s="120">
        <v>0.5</v>
      </c>
      <c r="AB16" s="559">
        <v>433.01922201480062</v>
      </c>
      <c r="AC16" s="559">
        <v>470.67306740739195</v>
      </c>
      <c r="AD16" s="559">
        <v>433.37222681535616</v>
      </c>
      <c r="AE16" s="559">
        <v>649.0581599547935</v>
      </c>
      <c r="AF16" s="622">
        <v>0.82209484106305364</v>
      </c>
      <c r="AG16" s="559">
        <v>261.91600618637949</v>
      </c>
      <c r="AH16" s="559">
        <v>284.69131107215162</v>
      </c>
      <c r="AI16" s="559">
        <v>262.12952466968363</v>
      </c>
      <c r="AJ16" s="559">
        <v>392.58931796849708</v>
      </c>
      <c r="AK16" s="622">
        <v>0.96717040125065135</v>
      </c>
      <c r="AL16" s="995">
        <v>0.2</v>
      </c>
      <c r="AM16" s="995">
        <v>0.3</v>
      </c>
      <c r="AN16" s="995">
        <v>0.6</v>
      </c>
      <c r="AO16" s="995">
        <v>1</v>
      </c>
      <c r="AP16" s="995">
        <v>1.2</v>
      </c>
      <c r="AQ16" s="995">
        <v>1.5</v>
      </c>
      <c r="AR16" s="995">
        <v>1.7</v>
      </c>
      <c r="AS16" s="1005">
        <v>0</v>
      </c>
      <c r="AT16" s="1005">
        <v>10</v>
      </c>
      <c r="AU16" s="1005">
        <v>20</v>
      </c>
      <c r="AV16" s="1005">
        <v>70</v>
      </c>
      <c r="AW16" s="1005">
        <v>100</v>
      </c>
      <c r="AX16" s="1">
        <v>10221.459910814488</v>
      </c>
      <c r="AY16" s="5">
        <v>1.45</v>
      </c>
      <c r="AZ16" s="8">
        <v>0.5</v>
      </c>
      <c r="BA16" s="8">
        <v>0.5</v>
      </c>
      <c r="BB16" s="8">
        <v>0.5</v>
      </c>
      <c r="BC16" s="73">
        <v>0.19961001253043553</v>
      </c>
      <c r="BD16" s="73">
        <v>0.18771489791382917</v>
      </c>
      <c r="BE16" s="9">
        <v>3.7611188074745966E-4</v>
      </c>
      <c r="BF16" s="9">
        <v>0.16599071003654553</v>
      </c>
      <c r="BG16" s="9">
        <v>0.33962902831495606</v>
      </c>
      <c r="BH16" s="9">
        <v>58.709309395901634</v>
      </c>
      <c r="BI16" s="9">
        <v>1.1223178521504196</v>
      </c>
      <c r="BJ16" s="9"/>
      <c r="BK16" s="9">
        <v>39.43332476634049</v>
      </c>
      <c r="BL16" s="9">
        <v>5.578992897753985E-2</v>
      </c>
      <c r="BM16" s="9"/>
      <c r="BN16" s="9"/>
      <c r="BO16" s="9"/>
      <c r="BP16" s="9"/>
      <c r="BQ16" s="9"/>
      <c r="BR16" s="9"/>
      <c r="BS16" s="9">
        <v>0.1732622063976631</v>
      </c>
      <c r="BT16" s="262">
        <v>261.13475999999997</v>
      </c>
      <c r="BU16" s="262">
        <v>96.5</v>
      </c>
      <c r="BV16" s="262">
        <v>63.215999999999994</v>
      </c>
      <c r="BW16" s="262">
        <v>233.35949490734063</v>
      </c>
      <c r="BX16" s="262">
        <v>157.40783999999999</v>
      </c>
      <c r="BY16" s="68"/>
      <c r="BZ16" s="262">
        <v>256.20808011776955</v>
      </c>
      <c r="CA16" s="262">
        <v>165.17663999999999</v>
      </c>
      <c r="CB16" s="68"/>
      <c r="CC16" s="785">
        <v>0</v>
      </c>
      <c r="CD16" s="262">
        <v>6.585</v>
      </c>
      <c r="CE16" s="262">
        <v>1.3169999999999999</v>
      </c>
      <c r="CF16" s="262">
        <v>38</v>
      </c>
      <c r="CG16" s="262">
        <v>225.83915999999996</v>
      </c>
      <c r="CH16" s="68">
        <v>0.2</v>
      </c>
      <c r="CI16" s="262">
        <v>175.08124000000001</v>
      </c>
      <c r="CJ16" s="262">
        <v>60.4</v>
      </c>
      <c r="CK16" s="262">
        <v>42.384</v>
      </c>
      <c r="CL16" s="262">
        <v>156.45894761061641</v>
      </c>
      <c r="CM16" s="262">
        <v>105.53616</v>
      </c>
      <c r="CN16" s="68"/>
      <c r="CO16" s="262">
        <v>159.24945066654416</v>
      </c>
      <c r="CP16" s="262">
        <v>102.66767999999999</v>
      </c>
      <c r="CQ16" s="68"/>
      <c r="CR16" s="262">
        <v>0</v>
      </c>
      <c r="CS16" s="262">
        <v>4.415</v>
      </c>
      <c r="CT16" s="262">
        <v>0.88300000000000001</v>
      </c>
      <c r="CU16" s="262">
        <v>27</v>
      </c>
      <c r="CV16" s="262">
        <v>151.41683999999998</v>
      </c>
      <c r="CW16" s="68">
        <v>0.2</v>
      </c>
      <c r="CX16" s="120">
        <v>0.3</v>
      </c>
      <c r="CY16" s="120">
        <v>0.7</v>
      </c>
      <c r="CZ16" s="120">
        <v>1.2</v>
      </c>
      <c r="DA16" s="120">
        <v>1.2</v>
      </c>
      <c r="DB16" s="119">
        <v>3</v>
      </c>
      <c r="DC16" s="1005">
        <v>0</v>
      </c>
      <c r="DD16" s="1005">
        <v>10</v>
      </c>
      <c r="DE16" s="1005">
        <v>20</v>
      </c>
      <c r="DF16" s="1005">
        <v>70</v>
      </c>
      <c r="DG16" s="1005">
        <v>100</v>
      </c>
      <c r="DH16" s="2">
        <v>0</v>
      </c>
      <c r="DI16" s="2">
        <v>18</v>
      </c>
      <c r="DJ16" s="63">
        <v>12</v>
      </c>
      <c r="DK16" s="8">
        <v>2.4</v>
      </c>
      <c r="DL16" s="8">
        <v>1.2</v>
      </c>
      <c r="DM16" s="8">
        <v>1.2</v>
      </c>
      <c r="DN16" s="1031" t="s">
        <v>1000</v>
      </c>
      <c r="DO16" s="1030" t="s">
        <v>997</v>
      </c>
      <c r="DP16" s="1030" t="s">
        <v>997</v>
      </c>
      <c r="DQ16" s="1030" t="s">
        <v>997</v>
      </c>
      <c r="DR16" s="1030" t="s">
        <v>997</v>
      </c>
      <c r="DS16" s="1030" t="s">
        <v>997</v>
      </c>
      <c r="DT16" s="1030" t="s">
        <v>997</v>
      </c>
      <c r="DU16" s="1097">
        <v>0</v>
      </c>
      <c r="DV16" s="1097">
        <v>0</v>
      </c>
      <c r="DW16" s="1097">
        <v>0</v>
      </c>
      <c r="DX16" s="1097">
        <v>0</v>
      </c>
      <c r="DY16" s="1097">
        <v>0</v>
      </c>
      <c r="DZ16" s="1097">
        <v>0</v>
      </c>
      <c r="EA16" s="1097">
        <v>0</v>
      </c>
      <c r="EB16" s="207">
        <v>6.8468100000000032E-2</v>
      </c>
      <c r="EC16" s="207">
        <v>18</v>
      </c>
      <c r="ED16" s="221">
        <v>5</v>
      </c>
      <c r="EE16" s="214">
        <v>2.4</v>
      </c>
      <c r="EF16" s="214">
        <v>1.2</v>
      </c>
      <c r="EG16" s="214">
        <v>1.2</v>
      </c>
      <c r="EH16" s="210" t="s">
        <v>1042</v>
      </c>
      <c r="EI16" s="204" t="s">
        <v>997</v>
      </c>
      <c r="EJ16" s="204" t="s">
        <v>997</v>
      </c>
      <c r="EK16" s="204" t="s">
        <v>997</v>
      </c>
      <c r="EL16" s="204" t="s">
        <v>997</v>
      </c>
      <c r="EM16" s="204" t="s">
        <v>997</v>
      </c>
      <c r="EN16" s="204" t="s">
        <v>997</v>
      </c>
      <c r="EO16" s="204" t="s">
        <v>997</v>
      </c>
      <c r="EP16" s="204" t="s">
        <v>997</v>
      </c>
      <c r="EQ16" s="204" t="s">
        <v>997</v>
      </c>
      <c r="ER16" s="204" t="s">
        <v>997</v>
      </c>
      <c r="ES16" s="204" t="s">
        <v>997</v>
      </c>
      <c r="ET16" s="204" t="s">
        <v>997</v>
      </c>
      <c r="EU16" s="204" t="s">
        <v>997</v>
      </c>
      <c r="EV16" s="204" t="s">
        <v>997</v>
      </c>
      <c r="EW16" s="204" t="s">
        <v>997</v>
      </c>
      <c r="EX16" s="204" t="s">
        <v>997</v>
      </c>
      <c r="EY16" s="204" t="s">
        <v>997</v>
      </c>
      <c r="EZ16" s="204" t="s">
        <v>997</v>
      </c>
      <c r="FA16" s="204" t="s">
        <v>997</v>
      </c>
      <c r="FB16" s="204" t="s">
        <v>997</v>
      </c>
      <c r="FC16" s="204" t="s">
        <v>997</v>
      </c>
      <c r="FD16" s="204" t="s">
        <v>997</v>
      </c>
      <c r="FE16" s="204" t="s">
        <v>997</v>
      </c>
      <c r="FF16" s="204" t="s">
        <v>997</v>
      </c>
      <c r="FG16" s="204" t="s">
        <v>997</v>
      </c>
      <c r="FH16" s="204" t="s">
        <v>997</v>
      </c>
      <c r="FI16" s="204" t="s">
        <v>997</v>
      </c>
      <c r="FJ16" s="204" t="s">
        <v>997</v>
      </c>
      <c r="FK16" s="204" t="s">
        <v>997</v>
      </c>
      <c r="FL16" s="204" t="s">
        <v>997</v>
      </c>
      <c r="FM16" s="204" t="s">
        <v>997</v>
      </c>
      <c r="FN16" s="204" t="s">
        <v>997</v>
      </c>
      <c r="FO16" s="204" t="s">
        <v>997</v>
      </c>
      <c r="FP16" s="204" t="s">
        <v>997</v>
      </c>
      <c r="FQ16" s="204" t="s">
        <v>997</v>
      </c>
      <c r="FR16" s="204" t="s">
        <v>997</v>
      </c>
      <c r="FS16" s="204" t="s">
        <v>997</v>
      </c>
      <c r="FT16" s="204" t="s">
        <v>997</v>
      </c>
      <c r="FU16" s="204" t="s">
        <v>997</v>
      </c>
      <c r="FV16" s="204" t="s">
        <v>997</v>
      </c>
      <c r="FW16" s="204" t="s">
        <v>997</v>
      </c>
      <c r="FX16" s="204" t="s">
        <v>997</v>
      </c>
      <c r="FY16" s="204" t="s">
        <v>997</v>
      </c>
      <c r="FZ16" s="204" t="s">
        <v>997</v>
      </c>
      <c r="GA16" s="204" t="s">
        <v>997</v>
      </c>
      <c r="GB16" s="204" t="s">
        <v>997</v>
      </c>
      <c r="GC16" s="204" t="s">
        <v>997</v>
      </c>
      <c r="GD16" s="204" t="s">
        <v>997</v>
      </c>
      <c r="GE16" s="204" t="s">
        <v>997</v>
      </c>
      <c r="GF16" s="204" t="s">
        <v>997</v>
      </c>
      <c r="GG16" s="204" t="s">
        <v>997</v>
      </c>
      <c r="GH16" s="204" t="s">
        <v>997</v>
      </c>
      <c r="GI16" s="204" t="s">
        <v>997</v>
      </c>
      <c r="GJ16" s="204" t="s">
        <v>997</v>
      </c>
      <c r="GK16" s="204" t="s">
        <v>997</v>
      </c>
      <c r="GL16" s="204" t="s">
        <v>997</v>
      </c>
      <c r="GM16" s="204" t="s">
        <v>997</v>
      </c>
      <c r="GN16" s="1051">
        <v>68.468100000000035</v>
      </c>
      <c r="GO16" s="1051">
        <v>0</v>
      </c>
      <c r="GP16" s="1051">
        <v>0</v>
      </c>
      <c r="GQ16" s="1051">
        <v>0</v>
      </c>
      <c r="GR16" s="1051">
        <v>0</v>
      </c>
      <c r="GS16" s="1051">
        <v>0</v>
      </c>
      <c r="GT16" s="1051">
        <v>0</v>
      </c>
      <c r="GU16" s="1051">
        <v>0</v>
      </c>
      <c r="GV16" s="1051">
        <v>0</v>
      </c>
      <c r="GW16" s="1051">
        <v>0</v>
      </c>
      <c r="GX16" s="1051">
        <v>0</v>
      </c>
      <c r="GY16" s="1051">
        <v>0</v>
      </c>
      <c r="GZ16" s="1051">
        <v>0</v>
      </c>
      <c r="HA16" s="1051">
        <v>0</v>
      </c>
      <c r="HB16" s="1051">
        <v>0</v>
      </c>
      <c r="HC16" s="1051">
        <v>0</v>
      </c>
      <c r="HD16" s="1051">
        <v>0</v>
      </c>
      <c r="HE16" s="1051">
        <v>0</v>
      </c>
      <c r="HF16" s="1051">
        <v>0</v>
      </c>
      <c r="HG16" s="1051">
        <v>0</v>
      </c>
      <c r="HH16" s="1051">
        <v>0</v>
      </c>
      <c r="HI16" s="1051">
        <v>0</v>
      </c>
      <c r="HJ16" s="1051">
        <v>0</v>
      </c>
      <c r="HK16" s="1051">
        <v>0</v>
      </c>
      <c r="HL16" s="1051">
        <v>0</v>
      </c>
      <c r="HM16" s="1051">
        <v>0</v>
      </c>
      <c r="HN16" s="1051">
        <v>0</v>
      </c>
      <c r="HO16" s="1051">
        <v>0</v>
      </c>
      <c r="HP16" s="1051">
        <v>0</v>
      </c>
      <c r="HQ16" s="1051">
        <v>0</v>
      </c>
      <c r="HR16" s="1051">
        <v>0</v>
      </c>
      <c r="HS16" s="1051">
        <v>0</v>
      </c>
      <c r="HT16" s="1051">
        <v>0</v>
      </c>
      <c r="HU16" s="1051">
        <v>0</v>
      </c>
      <c r="HV16" s="1051">
        <v>0</v>
      </c>
      <c r="HW16" s="1051">
        <v>0</v>
      </c>
      <c r="HX16" s="1051">
        <v>0</v>
      </c>
      <c r="HY16" s="1051">
        <v>0</v>
      </c>
      <c r="HZ16" s="1051">
        <v>0</v>
      </c>
      <c r="IA16" s="1051">
        <v>0</v>
      </c>
      <c r="IB16" s="1051">
        <v>0</v>
      </c>
      <c r="IC16" s="1051">
        <v>0</v>
      </c>
      <c r="ID16" s="1051">
        <v>0</v>
      </c>
      <c r="IE16" s="1051">
        <v>0</v>
      </c>
      <c r="IF16" s="1051">
        <v>0</v>
      </c>
      <c r="IG16" s="1051">
        <v>0</v>
      </c>
      <c r="IH16" s="1051">
        <v>0</v>
      </c>
      <c r="II16" s="1051">
        <v>0</v>
      </c>
      <c r="IJ16" s="1051">
        <v>0</v>
      </c>
      <c r="IK16" s="1051">
        <v>0</v>
      </c>
      <c r="IL16" s="1051">
        <v>0</v>
      </c>
      <c r="IM16" s="1051">
        <v>0</v>
      </c>
      <c r="IN16" s="1051">
        <v>0</v>
      </c>
      <c r="IO16" s="1051">
        <v>0</v>
      </c>
      <c r="IP16" s="1051">
        <v>0</v>
      </c>
      <c r="IQ16" s="1051">
        <v>0</v>
      </c>
      <c r="IR16" s="1051">
        <v>0</v>
      </c>
      <c r="IS16" s="1051">
        <v>0</v>
      </c>
      <c r="IT16" s="215">
        <v>313.51780510470144</v>
      </c>
      <c r="IU16" s="207">
        <v>179.9</v>
      </c>
      <c r="IV16" s="216">
        <v>2647.0800000000199</v>
      </c>
      <c r="IW16" s="272">
        <v>12.64</v>
      </c>
      <c r="IX16" s="207">
        <v>50</v>
      </c>
      <c r="IY16" s="204">
        <v>2.4</v>
      </c>
      <c r="IZ16" s="204">
        <v>1.2</v>
      </c>
      <c r="JA16" s="204">
        <v>1.2</v>
      </c>
      <c r="JB16" s="52">
        <v>2</v>
      </c>
      <c r="JC16" s="24">
        <v>1.5</v>
      </c>
      <c r="JD16" s="24">
        <v>0.7</v>
      </c>
      <c r="JE16" s="24">
        <v>0.7</v>
      </c>
      <c r="JF16" s="24">
        <v>0.5</v>
      </c>
      <c r="JG16" s="1">
        <v>117.28496305452052</v>
      </c>
      <c r="JH16" s="216">
        <v>2647.0800000000199</v>
      </c>
      <c r="JI16" s="272">
        <v>12.64</v>
      </c>
      <c r="JJ16" s="207">
        <v>50</v>
      </c>
      <c r="JK16" s="8">
        <v>2.2000000000000002</v>
      </c>
      <c r="JL16" s="8">
        <v>1.3</v>
      </c>
      <c r="JM16" s="8">
        <v>1.3</v>
      </c>
      <c r="JN16" s="216">
        <v>2</v>
      </c>
      <c r="JO16" s="216">
        <v>2</v>
      </c>
      <c r="JP16" s="216">
        <v>1</v>
      </c>
      <c r="JQ16" s="216">
        <v>1</v>
      </c>
      <c r="JR16" s="214">
        <v>0.5</v>
      </c>
      <c r="JS16" s="1212">
        <v>2000</v>
      </c>
      <c r="JT16" s="215">
        <v>162.58874371836629</v>
      </c>
      <c r="JU16" s="215">
        <v>500</v>
      </c>
      <c r="JV16" s="207">
        <v>1.3</v>
      </c>
      <c r="JW16" s="207">
        <v>0.9</v>
      </c>
      <c r="JX16" s="207">
        <v>0.9</v>
      </c>
      <c r="JY16" s="214">
        <v>2</v>
      </c>
      <c r="JZ16" s="214">
        <v>1.5</v>
      </c>
      <c r="KA16" s="214">
        <v>0.5</v>
      </c>
      <c r="KB16" s="214">
        <v>1</v>
      </c>
      <c r="KC16" s="214">
        <v>0.5</v>
      </c>
      <c r="KD16" s="1186">
        <v>15.469266358228683</v>
      </c>
      <c r="KE16" s="1186">
        <v>0</v>
      </c>
      <c r="KF16" s="1186">
        <v>84.136373650583835</v>
      </c>
      <c r="KG16" s="1186"/>
      <c r="KH16" s="1186">
        <v>2.3132848645076007E-2</v>
      </c>
      <c r="KI16" s="1186">
        <v>0.37122714254241024</v>
      </c>
      <c r="KJ16" s="1186"/>
      <c r="KK16" s="1186"/>
      <c r="KL16" s="1186"/>
      <c r="KM16" s="1187">
        <v>580</v>
      </c>
      <c r="KN16" s="1187">
        <v>580</v>
      </c>
      <c r="KO16" s="1187">
        <v>580</v>
      </c>
      <c r="KP16" s="1187">
        <v>580</v>
      </c>
      <c r="KQ16" s="1187"/>
      <c r="KR16" s="1187">
        <v>580</v>
      </c>
      <c r="KS16" s="1187">
        <v>580</v>
      </c>
      <c r="KT16" s="1187">
        <v>580</v>
      </c>
      <c r="KU16" s="1187">
        <v>580</v>
      </c>
      <c r="KV16" s="262">
        <v>370</v>
      </c>
      <c r="KW16" s="262">
        <v>370</v>
      </c>
      <c r="KX16" s="262">
        <v>370</v>
      </c>
      <c r="KY16" s="262">
        <v>370</v>
      </c>
      <c r="KZ16" s="262"/>
      <c r="LA16" s="262">
        <v>370</v>
      </c>
      <c r="LB16" s="262">
        <v>370</v>
      </c>
      <c r="LC16" s="262">
        <v>370</v>
      </c>
      <c r="LD16" s="262">
        <v>370</v>
      </c>
      <c r="LE16" s="1213">
        <v>0</v>
      </c>
      <c r="LF16" s="1213">
        <v>10</v>
      </c>
      <c r="LG16" s="1213">
        <v>20</v>
      </c>
      <c r="LH16" s="1213">
        <v>70</v>
      </c>
      <c r="LI16" s="1213">
        <v>100</v>
      </c>
      <c r="LJ16" s="1212">
        <v>1000</v>
      </c>
      <c r="LK16" s="1"/>
      <c r="LL16" s="4">
        <v>29</v>
      </c>
      <c r="LM16" s="8">
        <v>1.2</v>
      </c>
      <c r="LN16" s="8">
        <v>0.9</v>
      </c>
      <c r="LO16" s="8">
        <v>0.9</v>
      </c>
      <c r="LP16" s="214">
        <v>2</v>
      </c>
      <c r="LQ16" s="214">
        <v>1</v>
      </c>
      <c r="LR16" s="214">
        <v>0.5</v>
      </c>
      <c r="LS16" s="214">
        <v>0.7</v>
      </c>
      <c r="LT16" s="214">
        <v>0.2</v>
      </c>
      <c r="LU16" s="1212">
        <v>1500</v>
      </c>
      <c r="LV16" s="122">
        <v>0</v>
      </c>
      <c r="LW16" s="122">
        <v>0</v>
      </c>
      <c r="LX16" s="122">
        <v>0</v>
      </c>
      <c r="LY16" s="165">
        <v>0</v>
      </c>
      <c r="LZ16" s="165">
        <v>0</v>
      </c>
      <c r="MA16" s="165">
        <v>0</v>
      </c>
      <c r="MB16" s="165">
        <v>0</v>
      </c>
      <c r="MC16" s="165">
        <v>0</v>
      </c>
      <c r="MD16" s="165">
        <v>0</v>
      </c>
      <c r="ME16" s="165">
        <v>0</v>
      </c>
      <c r="MF16" s="165">
        <v>0</v>
      </c>
      <c r="MG16" s="165">
        <v>0</v>
      </c>
      <c r="MH16" s="165">
        <v>0</v>
      </c>
      <c r="MI16" s="165">
        <v>0</v>
      </c>
      <c r="MJ16" s="165">
        <v>0</v>
      </c>
      <c r="MK16" s="165">
        <v>0</v>
      </c>
      <c r="ML16" s="165">
        <v>0</v>
      </c>
      <c r="MM16" s="165">
        <v>0</v>
      </c>
      <c r="MN16" s="165">
        <v>0</v>
      </c>
      <c r="MO16" s="165">
        <v>0</v>
      </c>
      <c r="MP16" s="165">
        <v>0</v>
      </c>
      <c r="MQ16" s="165">
        <v>0</v>
      </c>
      <c r="MR16" s="165">
        <v>0</v>
      </c>
      <c r="MS16" s="165">
        <v>0</v>
      </c>
      <c r="MT16" s="165">
        <v>0</v>
      </c>
      <c r="MU16" s="165">
        <v>0</v>
      </c>
      <c r="MV16" s="165">
        <v>0</v>
      </c>
      <c r="MW16" s="166">
        <v>0.10937980844292</v>
      </c>
      <c r="MX16" s="166">
        <v>0</v>
      </c>
      <c r="MY16" s="166">
        <v>2.7031715756539999E-2</v>
      </c>
      <c r="MZ16" s="166">
        <v>0.3</v>
      </c>
      <c r="NA16" s="166">
        <v>0.16688524590164</v>
      </c>
      <c r="NB16" s="166">
        <v>0</v>
      </c>
      <c r="NC16" s="166">
        <v>0.42149925475508998</v>
      </c>
      <c r="ND16" s="166">
        <v>0</v>
      </c>
      <c r="NE16" s="166">
        <v>1.0180191992329999E-2</v>
      </c>
      <c r="NF16" s="166">
        <v>0.3</v>
      </c>
      <c r="NG16" s="166">
        <v>-5.5350978135789999E-2</v>
      </c>
      <c r="NH16" s="166">
        <v>-0.34</v>
      </c>
      <c r="NI16" s="166">
        <v>0.56684831312209005</v>
      </c>
      <c r="NJ16" s="166">
        <v>0</v>
      </c>
      <c r="NK16" s="166">
        <v>1.0076614454139999E-2</v>
      </c>
      <c r="NL16" s="166">
        <v>0.3</v>
      </c>
      <c r="NM16" s="166">
        <v>0</v>
      </c>
      <c r="NN16" s="166">
        <v>-0.34</v>
      </c>
      <c r="NO16" s="166">
        <v>0.16223105087069001</v>
      </c>
      <c r="NP16" s="166">
        <v>0</v>
      </c>
      <c r="NQ16" s="166">
        <v>1.9515924315900001E-2</v>
      </c>
      <c r="NR16" s="166">
        <v>0.3</v>
      </c>
      <c r="NS16" s="166">
        <v>0.17</v>
      </c>
      <c r="NT16" s="166">
        <v>-0.34</v>
      </c>
      <c r="NU16" s="166">
        <v>0.52774741333113995</v>
      </c>
      <c r="NV16" s="166">
        <v>0</v>
      </c>
      <c r="NW16" s="166">
        <v>1.842292601405E-2</v>
      </c>
      <c r="NX16" s="166">
        <v>0.3</v>
      </c>
      <c r="NY16" s="166">
        <v>0.17</v>
      </c>
      <c r="NZ16" s="166">
        <v>0</v>
      </c>
      <c r="OA16" s="166">
        <v>-54.46</v>
      </c>
      <c r="OB16" s="166">
        <v>-12.83</v>
      </c>
      <c r="OC16" s="166">
        <v>-1.55277814767107</v>
      </c>
      <c r="OD16" s="166">
        <v>0</v>
      </c>
      <c r="OE16" s="166">
        <v>-0.76925515055466998</v>
      </c>
      <c r="OF16" s="166">
        <v>0</v>
      </c>
      <c r="OG16" s="166">
        <v>-7.725532516177E-2</v>
      </c>
      <c r="OH16" s="166">
        <v>0</v>
      </c>
      <c r="OI16" s="166">
        <v>-1.6797767250400001E-3</v>
      </c>
      <c r="OJ16" s="166">
        <v>0</v>
      </c>
      <c r="OK16" s="166">
        <v>-0.42226697353280002</v>
      </c>
      <c r="OL16" s="166">
        <v>-6.1</v>
      </c>
      <c r="OM16" s="166">
        <v>0</v>
      </c>
      <c r="ON16" s="166">
        <v>0</v>
      </c>
      <c r="OO16" s="166">
        <v>0</v>
      </c>
      <c r="OP16" s="166">
        <v>0</v>
      </c>
      <c r="OQ16" s="166">
        <v>0</v>
      </c>
      <c r="OR16" s="166">
        <v>0</v>
      </c>
      <c r="OS16" s="166">
        <v>0</v>
      </c>
      <c r="OT16" s="166">
        <v>0</v>
      </c>
      <c r="OU16" s="166">
        <v>0</v>
      </c>
      <c r="OV16" s="166">
        <v>0</v>
      </c>
      <c r="OW16" s="166">
        <v>0</v>
      </c>
      <c r="OX16" s="166">
        <v>0</v>
      </c>
      <c r="OY16" s="166">
        <v>0</v>
      </c>
      <c r="OZ16" s="166">
        <v>0</v>
      </c>
      <c r="PA16" s="166">
        <v>0</v>
      </c>
      <c r="PB16" s="166">
        <v>0</v>
      </c>
      <c r="PC16" s="166">
        <v>0</v>
      </c>
      <c r="PD16" s="166">
        <v>0</v>
      </c>
      <c r="PE16" s="166">
        <v>-54.46</v>
      </c>
      <c r="PF16" s="166">
        <v>-12.83</v>
      </c>
      <c r="PG16" s="166">
        <v>-0.82619150886176995</v>
      </c>
      <c r="PH16" s="166">
        <v>0</v>
      </c>
      <c r="PI16" s="166">
        <v>7.9714738510300004E-2</v>
      </c>
      <c r="PJ16" s="166">
        <v>-1.42836315692079</v>
      </c>
      <c r="PK16" s="166">
        <v>0.17465237230144001</v>
      </c>
      <c r="PL16" s="166">
        <v>0</v>
      </c>
      <c r="PM16" s="166">
        <v>2.1597436643E-3</v>
      </c>
      <c r="PN16" s="166">
        <v>0</v>
      </c>
      <c r="PO16" s="166">
        <v>0.56300546448086997</v>
      </c>
      <c r="PP16" s="166">
        <v>-6.1</v>
      </c>
      <c r="PQ16" s="166">
        <v>0.16531753767629001</v>
      </c>
      <c r="PR16" s="166">
        <v>0</v>
      </c>
      <c r="PS16" s="166">
        <v>2.0443095040100002E-3</v>
      </c>
      <c r="PT16" s="166">
        <v>0</v>
      </c>
      <c r="PU16" s="166">
        <v>0</v>
      </c>
      <c r="PV16" s="166">
        <v>-1.42836315692077</v>
      </c>
      <c r="PW16" s="166">
        <v>0.17484326940113001</v>
      </c>
      <c r="PX16" s="166">
        <v>0</v>
      </c>
      <c r="PY16" s="166">
        <v>2.1621042895599999E-3</v>
      </c>
      <c r="PZ16" s="166">
        <v>0</v>
      </c>
      <c r="QA16" s="166">
        <v>0.11</v>
      </c>
      <c r="QB16" s="166">
        <v>0</v>
      </c>
      <c r="QC16" s="166">
        <v>0.17484326940113001</v>
      </c>
      <c r="QD16" s="166">
        <v>0</v>
      </c>
      <c r="QE16" s="166">
        <v>2.1621042895599999E-3</v>
      </c>
      <c r="QF16" s="166">
        <v>0</v>
      </c>
      <c r="QG16" s="166">
        <v>0.11</v>
      </c>
      <c r="QH16" s="166">
        <v>0</v>
      </c>
      <c r="QI16" s="162">
        <v>0</v>
      </c>
      <c r="QJ16" s="167">
        <v>0</v>
      </c>
      <c r="QK16" s="167">
        <v>0</v>
      </c>
      <c r="QL16" s="167">
        <v>0</v>
      </c>
      <c r="QM16" s="167">
        <v>0</v>
      </c>
      <c r="QN16" s="162">
        <v>-1.7410000000000001</v>
      </c>
      <c r="QO16" s="162">
        <v>0</v>
      </c>
      <c r="QP16" s="162">
        <v>0</v>
      </c>
      <c r="QQ16" s="162">
        <v>0</v>
      </c>
      <c r="QR16" s="162">
        <v>0</v>
      </c>
      <c r="QS16" s="162">
        <v>0</v>
      </c>
      <c r="QT16" s="162">
        <v>0</v>
      </c>
      <c r="QU16" s="162">
        <v>0</v>
      </c>
      <c r="QV16" s="162">
        <v>0</v>
      </c>
      <c r="QW16" s="162">
        <v>0</v>
      </c>
      <c r="QX16" s="162">
        <v>0</v>
      </c>
      <c r="QY16" s="162">
        <v>0</v>
      </c>
      <c r="QZ16" s="162">
        <v>0</v>
      </c>
      <c r="RA16" s="167">
        <v>0</v>
      </c>
      <c r="RB16" s="167">
        <v>0</v>
      </c>
      <c r="RC16" s="167">
        <v>0</v>
      </c>
      <c r="RD16" s="167">
        <v>0</v>
      </c>
      <c r="RE16" s="167">
        <v>0</v>
      </c>
      <c r="RF16" s="167">
        <v>0</v>
      </c>
      <c r="RG16" s="167">
        <v>0</v>
      </c>
      <c r="RH16" s="167">
        <v>0</v>
      </c>
      <c r="RI16" s="167">
        <v>0</v>
      </c>
      <c r="RJ16" s="167">
        <v>0</v>
      </c>
      <c r="RK16" s="167">
        <v>0</v>
      </c>
      <c r="RL16" s="167">
        <v>0</v>
      </c>
      <c r="RM16" s="166">
        <v>-54.46</v>
      </c>
      <c r="RN16" s="166">
        <v>-12.83</v>
      </c>
      <c r="RO16" s="166">
        <v>-0.57668302196677002</v>
      </c>
      <c r="RP16" s="166">
        <v>0</v>
      </c>
      <c r="RQ16" s="166">
        <v>-1.62013917282592</v>
      </c>
      <c r="RR16" s="166">
        <v>-2.25</v>
      </c>
      <c r="RS16" s="166">
        <v>0</v>
      </c>
      <c r="RT16" s="166">
        <v>0</v>
      </c>
      <c r="RU16" s="166">
        <v>0</v>
      </c>
      <c r="RV16" s="166">
        <v>0</v>
      </c>
      <c r="RW16" s="166">
        <v>-2.67</v>
      </c>
      <c r="RX16" s="166">
        <v>-6.1</v>
      </c>
      <c r="RY16" s="166">
        <v>-0.10990500217065</v>
      </c>
      <c r="RZ16" s="166">
        <v>0</v>
      </c>
      <c r="SA16" s="166">
        <v>-2.3896846492500001E-3</v>
      </c>
      <c r="SB16" s="166">
        <v>0</v>
      </c>
      <c r="SC16" s="166">
        <v>-0.55000000000000004</v>
      </c>
      <c r="SD16" s="166">
        <v>0</v>
      </c>
      <c r="SE16" s="166">
        <v>0</v>
      </c>
      <c r="SF16" s="166">
        <v>0</v>
      </c>
      <c r="SG16" s="166">
        <v>0</v>
      </c>
      <c r="SH16" s="166">
        <v>0</v>
      </c>
      <c r="SI16" s="166">
        <v>0</v>
      </c>
      <c r="SJ16" s="166">
        <v>0</v>
      </c>
      <c r="SK16" s="166">
        <v>0</v>
      </c>
      <c r="SL16" s="166">
        <v>0</v>
      </c>
      <c r="SM16" s="166">
        <v>0</v>
      </c>
      <c r="SN16" s="166">
        <v>0</v>
      </c>
      <c r="SO16" s="166">
        <v>-1.1299999999999999</v>
      </c>
      <c r="SP16" s="166">
        <v>0</v>
      </c>
      <c r="SQ16" s="166">
        <v>-54.46</v>
      </c>
      <c r="SR16" s="166">
        <v>-12.83</v>
      </c>
      <c r="SS16" s="166">
        <v>-0.61265961740119002</v>
      </c>
      <c r="ST16" s="166">
        <v>0</v>
      </c>
      <c r="SU16" s="166">
        <v>-1.62013917282592</v>
      </c>
      <c r="SV16" s="166">
        <v>0</v>
      </c>
      <c r="SW16" s="166">
        <v>0</v>
      </c>
      <c r="SX16" s="166">
        <v>0</v>
      </c>
      <c r="SY16" s="166">
        <v>0</v>
      </c>
      <c r="SZ16" s="166">
        <v>0</v>
      </c>
      <c r="TA16" s="166">
        <v>-2.67</v>
      </c>
      <c r="TB16" s="166">
        <v>0</v>
      </c>
      <c r="TC16" s="166">
        <v>0</v>
      </c>
      <c r="TD16" s="166">
        <v>0</v>
      </c>
      <c r="TE16" s="166">
        <v>0</v>
      </c>
      <c r="TF16" s="166">
        <v>0</v>
      </c>
      <c r="TG16" s="166">
        <v>-0.55000000000000004</v>
      </c>
      <c r="TH16" s="166">
        <v>0</v>
      </c>
      <c r="TI16" s="166">
        <v>0</v>
      </c>
      <c r="TJ16" s="166">
        <v>0</v>
      </c>
      <c r="TK16" s="166">
        <v>0</v>
      </c>
      <c r="TL16" s="166">
        <v>0</v>
      </c>
      <c r="TM16" s="166">
        <v>0</v>
      </c>
      <c r="TN16" s="166">
        <v>0</v>
      </c>
      <c r="TO16" s="166">
        <v>0</v>
      </c>
      <c r="TP16" s="166">
        <v>0</v>
      </c>
      <c r="TQ16" s="166">
        <v>0</v>
      </c>
      <c r="TR16" s="166">
        <v>0</v>
      </c>
      <c r="TS16" s="166">
        <v>0</v>
      </c>
      <c r="TT16" s="166">
        <v>0</v>
      </c>
      <c r="TU16" s="166">
        <v>0.12608244239512001</v>
      </c>
      <c r="TV16" s="166">
        <v>0</v>
      </c>
      <c r="TW16" s="166">
        <v>1.148239601457E-2</v>
      </c>
      <c r="TX16" s="166">
        <v>0</v>
      </c>
      <c r="TY16" s="166">
        <v>0.17313236406668001</v>
      </c>
      <c r="TZ16" s="166">
        <v>-0.18822821925666999</v>
      </c>
      <c r="UA16" s="166">
        <v>0</v>
      </c>
      <c r="UB16" s="166">
        <v>0</v>
      </c>
      <c r="UC16" s="166">
        <v>0</v>
      </c>
      <c r="UD16" s="166">
        <v>0</v>
      </c>
      <c r="UE16" s="166">
        <v>9.5296552333180004E-2</v>
      </c>
      <c r="UF16" s="166">
        <v>-6.1</v>
      </c>
      <c r="UG16" s="166">
        <v>7.86753677177E-3</v>
      </c>
      <c r="UH16" s="166">
        <v>0</v>
      </c>
      <c r="UI16" s="166">
        <v>0</v>
      </c>
      <c r="UJ16" s="166">
        <v>0</v>
      </c>
      <c r="UK16" s="166">
        <v>0</v>
      </c>
      <c r="UL16" s="166">
        <v>-0.28966451658914999</v>
      </c>
      <c r="UM16" s="166">
        <v>0</v>
      </c>
      <c r="UN16" s="166">
        <v>0</v>
      </c>
      <c r="UO16" s="166">
        <v>0</v>
      </c>
      <c r="UP16" s="166">
        <v>0</v>
      </c>
      <c r="UQ16" s="166">
        <v>0</v>
      </c>
      <c r="UR16" s="166">
        <v>-16.077291676661069</v>
      </c>
      <c r="US16" s="163">
        <v>0</v>
      </c>
      <c r="UT16" s="163">
        <v>0</v>
      </c>
      <c r="UU16" s="163">
        <v>0</v>
      </c>
      <c r="UV16" s="163">
        <v>0</v>
      </c>
      <c r="UW16" s="163">
        <v>0</v>
      </c>
      <c r="UX16" s="163">
        <v>-12.23508250885328</v>
      </c>
      <c r="UY16" s="166">
        <v>0</v>
      </c>
      <c r="UZ16" s="166">
        <v>0</v>
      </c>
      <c r="VA16" s="166">
        <v>0</v>
      </c>
      <c r="VB16" s="166">
        <v>0</v>
      </c>
      <c r="VC16" s="166">
        <v>0</v>
      </c>
      <c r="VD16" s="166">
        <v>0</v>
      </c>
      <c r="VE16" s="267">
        <v>202</v>
      </c>
      <c r="VF16" s="267">
        <v>279</v>
      </c>
      <c r="VG16" s="267">
        <v>354</v>
      </c>
      <c r="VH16" s="267">
        <v>0</v>
      </c>
      <c r="VI16" s="267">
        <v>403</v>
      </c>
      <c r="VJ16" s="267">
        <v>0</v>
      </c>
      <c r="VK16" s="267">
        <v>0</v>
      </c>
      <c r="VL16" s="257">
        <v>0</v>
      </c>
      <c r="VM16" s="257">
        <v>0</v>
      </c>
      <c r="VN16" s="257">
        <v>0</v>
      </c>
      <c r="VO16" s="257">
        <v>0</v>
      </c>
      <c r="VP16" s="257">
        <v>0</v>
      </c>
      <c r="VQ16" s="257">
        <v>0</v>
      </c>
      <c r="VR16" s="257">
        <v>0</v>
      </c>
      <c r="VS16" s="257">
        <v>0</v>
      </c>
      <c r="VT16" s="257">
        <v>0</v>
      </c>
      <c r="VU16" s="257">
        <v>0</v>
      </c>
      <c r="VV16" s="257">
        <v>0</v>
      </c>
      <c r="VW16" s="257">
        <v>0</v>
      </c>
      <c r="VX16" s="257">
        <v>0</v>
      </c>
      <c r="VY16" s="257">
        <v>0</v>
      </c>
      <c r="VZ16" s="257">
        <v>0</v>
      </c>
      <c r="WA16" s="257">
        <v>0</v>
      </c>
      <c r="WB16" s="257">
        <v>0</v>
      </c>
      <c r="WC16" s="257">
        <v>0</v>
      </c>
      <c r="WD16" s="257">
        <v>0</v>
      </c>
      <c r="WE16" s="257">
        <v>0</v>
      </c>
      <c r="WF16" s="257">
        <v>0</v>
      </c>
      <c r="WG16" s="257">
        <v>0</v>
      </c>
      <c r="WH16" s="257">
        <v>0</v>
      </c>
      <c r="WI16" s="257">
        <v>0</v>
      </c>
      <c r="WJ16" s="257">
        <v>0</v>
      </c>
      <c r="WK16" s="257">
        <v>0</v>
      </c>
      <c r="WL16" s="257">
        <v>0</v>
      </c>
      <c r="WM16" s="257">
        <v>0</v>
      </c>
      <c r="WN16" s="257">
        <v>0</v>
      </c>
      <c r="WO16" s="257">
        <v>0</v>
      </c>
      <c r="WP16" s="257">
        <v>0</v>
      </c>
      <c r="WQ16" s="257">
        <v>0</v>
      </c>
      <c r="WR16" s="257">
        <v>0</v>
      </c>
      <c r="WS16" s="572">
        <v>61.3</v>
      </c>
      <c r="WT16" s="572">
        <v>48.630480167014611</v>
      </c>
      <c r="WU16" s="572">
        <v>53.749478079331936</v>
      </c>
      <c r="WV16" s="572">
        <v>56.308977035490599</v>
      </c>
      <c r="WW16" s="572">
        <v>86.511064718162842</v>
      </c>
      <c r="WX16" s="247">
        <v>16264.43289</v>
      </c>
      <c r="WY16" s="4">
        <v>78</v>
      </c>
      <c r="WZ16" s="4">
        <v>15</v>
      </c>
      <c r="XA16" s="4">
        <v>7.0000000000000009</v>
      </c>
      <c r="XB16" s="4">
        <v>0</v>
      </c>
      <c r="XC16" s="1037">
        <v>681.09098848162398</v>
      </c>
      <c r="XD16" s="1037">
        <v>0</v>
      </c>
      <c r="XE16" s="1037">
        <v>0</v>
      </c>
      <c r="XF16" s="1037">
        <v>0</v>
      </c>
      <c r="XG16" s="1037">
        <v>0</v>
      </c>
      <c r="XH16" s="1037">
        <v>0</v>
      </c>
      <c r="XI16" s="1037">
        <v>1551.3739182081436</v>
      </c>
      <c r="XJ16" s="1037">
        <v>1286.50520046529</v>
      </c>
      <c r="XK16" s="1037">
        <v>730.64404801511682</v>
      </c>
      <c r="XL16" s="1037">
        <v>0</v>
      </c>
      <c r="XM16" s="1037">
        <v>0</v>
      </c>
      <c r="XN16" s="1037">
        <v>0</v>
      </c>
      <c r="XO16" s="1037">
        <v>0</v>
      </c>
      <c r="XP16" s="1037">
        <v>0</v>
      </c>
      <c r="XQ16" s="1037">
        <v>1664.2447760344328</v>
      </c>
      <c r="XR16" s="1037">
        <v>1380.1054240285544</v>
      </c>
      <c r="XS16" s="1037">
        <v>765.4366217301224</v>
      </c>
      <c r="XT16" s="1037">
        <v>0</v>
      </c>
      <c r="XU16" s="1037">
        <v>0</v>
      </c>
      <c r="XV16" s="1037">
        <v>0</v>
      </c>
      <c r="XW16" s="1037">
        <v>0</v>
      </c>
      <c r="XX16" s="1037">
        <v>0</v>
      </c>
      <c r="XY16" s="1037">
        <v>1743.4945272741677</v>
      </c>
      <c r="XZ16" s="1037">
        <v>1445.824729934676</v>
      </c>
      <c r="YA16" s="1037">
        <v>1175.9889915671884</v>
      </c>
      <c r="YB16" s="1037">
        <v>0</v>
      </c>
      <c r="YC16" s="1037">
        <v>0</v>
      </c>
      <c r="YD16" s="1037">
        <v>0</v>
      </c>
      <c r="YE16" s="1037">
        <v>0</v>
      </c>
      <c r="YF16" s="1037">
        <v>0</v>
      </c>
      <c r="YG16" s="1037">
        <v>2678.6415919030401</v>
      </c>
      <c r="YH16" s="1037">
        <v>2221.3125396269115</v>
      </c>
      <c r="YI16" s="1037">
        <v>872.7045865744542</v>
      </c>
      <c r="YJ16" s="1037">
        <v>290.90152885815138</v>
      </c>
      <c r="YK16" s="1037">
        <v>48.483588143025237</v>
      </c>
      <c r="YL16" s="1037">
        <v>0</v>
      </c>
      <c r="YM16" s="1037">
        <v>0</v>
      </c>
      <c r="YN16" s="1037">
        <v>0</v>
      </c>
      <c r="YO16" s="1037">
        <v>1987.8271138640346</v>
      </c>
      <c r="YP16" s="1037">
        <v>1648.4419968628581</v>
      </c>
      <c r="YQ16" s="1037">
        <v>936.19857352336965</v>
      </c>
      <c r="YR16" s="1037">
        <v>312.06619117445655</v>
      </c>
      <c r="YS16" s="1037">
        <v>52.011031862409425</v>
      </c>
      <c r="YT16" s="1037">
        <v>0</v>
      </c>
      <c r="YU16" s="1037">
        <v>0</v>
      </c>
      <c r="YV16" s="1037">
        <v>0</v>
      </c>
      <c r="YW16" s="1037">
        <v>2132.4523063587862</v>
      </c>
      <c r="YX16" s="1037">
        <v>1768.3750833219206</v>
      </c>
      <c r="YY16" s="1037">
        <v>980.77945797686345</v>
      </c>
      <c r="YZ16" s="1037">
        <v>326.92648599228778</v>
      </c>
      <c r="ZA16" s="1037">
        <v>54.487747665381306</v>
      </c>
      <c r="ZB16" s="1037">
        <v>0</v>
      </c>
      <c r="ZC16" s="1037">
        <v>0</v>
      </c>
      <c r="ZD16" s="1037">
        <v>0</v>
      </c>
      <c r="ZE16" s="1037">
        <v>2233.9976542806335</v>
      </c>
      <c r="ZF16" s="1037">
        <v>1852.5834206229645</v>
      </c>
      <c r="ZG16" s="1037">
        <v>1506.8338945280902</v>
      </c>
      <c r="ZH16" s="1037">
        <v>502.27796484269675</v>
      </c>
      <c r="ZI16" s="1037">
        <v>83.712994140449467</v>
      </c>
      <c r="ZJ16" s="1037">
        <v>0</v>
      </c>
      <c r="ZK16" s="1037">
        <v>0</v>
      </c>
      <c r="ZL16" s="1037">
        <v>0</v>
      </c>
      <c r="ZM16" s="1037">
        <v>3432.2327597584276</v>
      </c>
      <c r="ZN16" s="1037">
        <v>2846.2418007752822</v>
      </c>
      <c r="ZO16" s="1037">
        <v>2322.520270722338</v>
      </c>
      <c r="ZP16" s="1037">
        <v>774.17342357411269</v>
      </c>
      <c r="ZQ16" s="1037">
        <v>129.02890392901878</v>
      </c>
      <c r="ZR16" s="1037">
        <v>0</v>
      </c>
      <c r="ZS16" s="1037">
        <v>0</v>
      </c>
      <c r="ZT16" s="1037">
        <v>0</v>
      </c>
      <c r="ZU16" s="1037">
        <v>5290.18506108977</v>
      </c>
      <c r="ZV16" s="1037">
        <v>4386.9827335866385</v>
      </c>
      <c r="ZW16" s="1037">
        <v>2566.9960886931103</v>
      </c>
      <c r="ZX16" s="1037">
        <v>855.6653628977034</v>
      </c>
      <c r="ZY16" s="1037">
        <v>142.61089381628392</v>
      </c>
      <c r="ZZ16" s="1037">
        <v>0</v>
      </c>
      <c r="AAA16" s="1037">
        <v>0</v>
      </c>
      <c r="AAB16" s="1037">
        <v>0</v>
      </c>
      <c r="AAC16" s="1037">
        <v>5847.0466464676401</v>
      </c>
      <c r="AAD16" s="1037">
        <v>4848.770389753653</v>
      </c>
      <c r="AAE16" s="1037">
        <v>2689.233997678497</v>
      </c>
      <c r="AAF16" s="1037">
        <v>896.41133255949887</v>
      </c>
      <c r="AAG16" s="1037">
        <v>149.40188875991649</v>
      </c>
      <c r="AAH16" s="1037">
        <v>0</v>
      </c>
      <c r="AAI16" s="1037">
        <v>0</v>
      </c>
      <c r="AAJ16" s="1037">
        <v>0</v>
      </c>
      <c r="AAK16" s="1037">
        <v>6125.4774391565761</v>
      </c>
      <c r="AAL16" s="1037">
        <v>5079.6642178371612</v>
      </c>
      <c r="AAM16" s="1037">
        <v>4131.6413237060542</v>
      </c>
      <c r="AAN16" s="1037">
        <v>1377.2137745686848</v>
      </c>
      <c r="AAO16" s="1037">
        <v>229.53562909478083</v>
      </c>
      <c r="AAP16" s="1037">
        <v>0</v>
      </c>
      <c r="AAQ16" s="1037">
        <v>0</v>
      </c>
      <c r="AAR16" s="1037">
        <v>0</v>
      </c>
      <c r="AAS16" s="1037">
        <v>9410.9607928860132</v>
      </c>
      <c r="AAT16" s="1037">
        <v>7804.211389222548</v>
      </c>
      <c r="AAU16" s="1037">
        <v>3195.2248572967919</v>
      </c>
      <c r="AAV16" s="1037">
        <v>1065.0749524322639</v>
      </c>
      <c r="AAW16" s="1037">
        <v>177.51249207204401</v>
      </c>
      <c r="AAX16" s="1037">
        <v>0</v>
      </c>
      <c r="AAY16" s="1037">
        <v>0</v>
      </c>
      <c r="AAZ16" s="1037">
        <v>0</v>
      </c>
      <c r="ABA16" s="1037">
        <v>7278.0121749538039</v>
      </c>
      <c r="ABB16" s="1037">
        <v>6035.4247304494966</v>
      </c>
      <c r="ABC16" s="1037">
        <v>3382.3948462779804</v>
      </c>
      <c r="ABD16" s="1037">
        <v>1127.4649487593267</v>
      </c>
      <c r="ABE16" s="1037">
        <v>187.91082479322114</v>
      </c>
      <c r="ABF16" s="1037">
        <v>0</v>
      </c>
      <c r="ABG16" s="1037">
        <v>0</v>
      </c>
      <c r="ABH16" s="1037">
        <v>0</v>
      </c>
      <c r="ABI16" s="1037">
        <v>7704.3438165220668</v>
      </c>
      <c r="ABJ16" s="1037">
        <v>6388.968042969519</v>
      </c>
      <c r="ABK16" s="1037">
        <v>3543.4612675293133</v>
      </c>
      <c r="ABL16" s="1037">
        <v>1181.1537558431044</v>
      </c>
      <c r="ABM16" s="1037">
        <v>196.85895930718408</v>
      </c>
      <c r="ABN16" s="1037">
        <v>0</v>
      </c>
      <c r="ABO16" s="1037">
        <v>0</v>
      </c>
      <c r="ABP16" s="1037">
        <v>0</v>
      </c>
      <c r="ABQ16" s="1037">
        <v>8071.2173315945474</v>
      </c>
      <c r="ABR16" s="1037">
        <v>6693.204616444259</v>
      </c>
      <c r="ABS16" s="1037">
        <v>7121.0053402698477</v>
      </c>
      <c r="ABT16" s="1037">
        <v>2373.6684467566156</v>
      </c>
      <c r="ABU16" s="1037">
        <v>395.61140779276934</v>
      </c>
      <c r="ABV16" s="1037">
        <v>0</v>
      </c>
      <c r="ABW16" s="1037">
        <v>0</v>
      </c>
      <c r="ABX16" s="1037">
        <v>0</v>
      </c>
      <c r="ABY16" s="1037">
        <v>16220.067719503541</v>
      </c>
      <c r="ABZ16" s="1037">
        <v>13450.787864954158</v>
      </c>
      <c r="ACA16" s="1037">
        <v>4138.3088460143472</v>
      </c>
      <c r="ACB16" s="1037">
        <v>1379.4362820047825</v>
      </c>
      <c r="ACC16" s="1037">
        <v>229.90604700079709</v>
      </c>
      <c r="ACD16" s="1037">
        <v>0</v>
      </c>
      <c r="ACE16" s="1037">
        <v>0</v>
      </c>
      <c r="ACF16" s="1037">
        <v>0</v>
      </c>
      <c r="ACG16" s="1037">
        <v>9426.1479270326799</v>
      </c>
      <c r="ACH16" s="1037">
        <v>7816.805598027101</v>
      </c>
      <c r="ACI16" s="1037">
        <v>4424.2932587475379</v>
      </c>
      <c r="ACJ16" s="1037">
        <v>1474.7644195825126</v>
      </c>
      <c r="ACK16" s="1037">
        <v>245.79406993041877</v>
      </c>
      <c r="ACL16" s="1037">
        <v>0</v>
      </c>
      <c r="ACM16" s="1037">
        <v>0</v>
      </c>
      <c r="ACN16" s="1037">
        <v>0</v>
      </c>
      <c r="ACO16" s="1037">
        <v>10077.556867147168</v>
      </c>
      <c r="ACP16" s="1037">
        <v>8356.9983776342397</v>
      </c>
      <c r="ACQ16" s="1037">
        <v>4634.9738901164683</v>
      </c>
      <c r="ACR16" s="1037">
        <v>1544.9912967054893</v>
      </c>
      <c r="ACS16" s="1037">
        <v>257.49854945091494</v>
      </c>
      <c r="ACT16" s="1037">
        <v>0</v>
      </c>
      <c r="ACU16" s="1037">
        <v>0</v>
      </c>
      <c r="ACV16" s="1037">
        <v>0</v>
      </c>
      <c r="ACW16" s="1037">
        <v>10557.44052748751</v>
      </c>
      <c r="ACX16" s="1037">
        <v>8754.9506813311073</v>
      </c>
      <c r="ACY16" s="1037">
        <v>7121.0053402698477</v>
      </c>
      <c r="ACZ16" s="1037">
        <v>2373.6684467566156</v>
      </c>
      <c r="ADA16" s="1037">
        <v>395.61140779276934</v>
      </c>
      <c r="ADB16" s="1037">
        <v>0</v>
      </c>
      <c r="ADC16" s="1037">
        <v>0</v>
      </c>
      <c r="ADD16" s="1037">
        <v>0</v>
      </c>
      <c r="ADE16" s="1037">
        <v>16220.067719503541</v>
      </c>
      <c r="ADF16" s="1037">
        <v>13450.787864954158</v>
      </c>
      <c r="ADG16" s="1037">
        <v>5053.241073874663</v>
      </c>
      <c r="ADH16" s="1037">
        <v>1684.4136912915542</v>
      </c>
      <c r="ADI16" s="1037">
        <v>280.73561521525909</v>
      </c>
      <c r="ADJ16" s="1037">
        <v>0</v>
      </c>
      <c r="ADK16" s="1037">
        <v>0</v>
      </c>
      <c r="ADL16" s="1037">
        <v>0</v>
      </c>
      <c r="ADM16" s="1037">
        <v>11510.16022382562</v>
      </c>
      <c r="ADN16" s="1037">
        <v>9545.0109173188084</v>
      </c>
      <c r="ADO16" s="1037">
        <v>5435.9917172324695</v>
      </c>
      <c r="ADP16" s="1037">
        <v>1811.9972390774897</v>
      </c>
      <c r="ADQ16" s="1037">
        <v>301.9995398462483</v>
      </c>
      <c r="ADR16" s="1037">
        <v>0</v>
      </c>
      <c r="ADS16" s="1037">
        <v>0</v>
      </c>
      <c r="ADT16" s="1037">
        <v>0</v>
      </c>
      <c r="ADU16" s="1037">
        <v>12381.981133696179</v>
      </c>
      <c r="ADV16" s="1037">
        <v>10267.984354772443</v>
      </c>
      <c r="ADW16" s="1037">
        <v>5694.8484656721103</v>
      </c>
      <c r="ADX16" s="1037">
        <v>1898.2828218907036</v>
      </c>
      <c r="ADY16" s="1037">
        <v>316.38047031511729</v>
      </c>
      <c r="ADZ16" s="1037">
        <v>0</v>
      </c>
      <c r="AEA16" s="1037">
        <v>0</v>
      </c>
      <c r="AEB16" s="1037">
        <v>0</v>
      </c>
      <c r="AEC16" s="1037">
        <v>12971.599282919808</v>
      </c>
      <c r="AED16" s="1037">
        <v>10756.935990713988</v>
      </c>
      <c r="AEE16" s="1037">
        <v>8749.3580972598811</v>
      </c>
      <c r="AEF16" s="1037">
        <v>2916.452699086627</v>
      </c>
      <c r="AEG16" s="1037">
        <v>486.07544984777115</v>
      </c>
      <c r="AEH16" s="1037">
        <v>0</v>
      </c>
      <c r="AEI16" s="1037">
        <v>0</v>
      </c>
      <c r="AEJ16" s="1037">
        <v>0</v>
      </c>
      <c r="AEK16" s="1037">
        <v>19929.093443758615</v>
      </c>
      <c r="AEL16" s="1037">
        <v>16526.56529482422</v>
      </c>
      <c r="AEM16" s="1037">
        <v>5827.4144974487754</v>
      </c>
      <c r="AEN16" s="1037">
        <v>1942.4714991495919</v>
      </c>
      <c r="AEO16" s="1037">
        <v>323.74524985826531</v>
      </c>
      <c r="AEP16" s="1037">
        <v>0</v>
      </c>
      <c r="AEQ16" s="1037">
        <v>0</v>
      </c>
      <c r="AER16" s="1037">
        <v>0</v>
      </c>
      <c r="AES16" s="1037">
        <v>13273.555244188878</v>
      </c>
      <c r="AET16" s="1037">
        <v>11007.33849518102</v>
      </c>
      <c r="AEU16" s="1037">
        <v>6190.9905668480897</v>
      </c>
      <c r="AEV16" s="1037">
        <v>2063.6635222826962</v>
      </c>
      <c r="AEW16" s="1037">
        <v>343.94392038044941</v>
      </c>
      <c r="AEX16" s="1037">
        <v>0</v>
      </c>
      <c r="AEY16" s="1037">
        <v>0</v>
      </c>
      <c r="AEZ16" s="1037">
        <v>0</v>
      </c>
      <c r="AFA16" s="1037">
        <v>14101.700735598426</v>
      </c>
      <c r="AFB16" s="1037">
        <v>11694.09329293528</v>
      </c>
      <c r="AFC16" s="1037">
        <v>6485.7996414599038</v>
      </c>
      <c r="AFD16" s="1037">
        <v>2161.9332138199679</v>
      </c>
      <c r="AFE16" s="1037">
        <v>360.32220230332803</v>
      </c>
      <c r="AFF16" s="1037">
        <v>0</v>
      </c>
      <c r="AFG16" s="1037">
        <v>0</v>
      </c>
      <c r="AFH16" s="1037">
        <v>0</v>
      </c>
      <c r="AFI16" s="1037">
        <v>14773.210294436447</v>
      </c>
      <c r="AFJ16" s="1037">
        <v>12250.954878313154</v>
      </c>
      <c r="AFK16" s="1037">
        <v>9964.5467218793074</v>
      </c>
      <c r="AFL16" s="1037">
        <v>3321.515573959769</v>
      </c>
      <c r="AFM16" s="1037">
        <v>553.58592899329494</v>
      </c>
      <c r="AFN16" s="1037">
        <v>0</v>
      </c>
      <c r="AFO16" s="1037">
        <v>0</v>
      </c>
      <c r="AFP16" s="1037">
        <v>0</v>
      </c>
      <c r="AFQ16" s="1037">
        <v>22697.023088725087</v>
      </c>
      <c r="AFR16" s="1037">
        <v>18821.921585772026</v>
      </c>
      <c r="AFS16" s="247">
        <v>2322.520270722338</v>
      </c>
      <c r="AFT16" s="247">
        <v>774.17342357411269</v>
      </c>
      <c r="AFU16" s="247">
        <v>129.02890392901878</v>
      </c>
      <c r="AFV16" s="247">
        <v>0</v>
      </c>
      <c r="AFW16" s="247">
        <v>0</v>
      </c>
      <c r="AFX16" s="247">
        <v>0</v>
      </c>
      <c r="AFY16" s="247">
        <v>5290.18506108977</v>
      </c>
      <c r="AFZ16" s="247">
        <v>4386.9827335866385</v>
      </c>
      <c r="AGA16" s="247">
        <v>2566.9960886931103</v>
      </c>
      <c r="AGB16" s="247">
        <v>855.6653628977034</v>
      </c>
      <c r="AGC16" s="247">
        <v>142.61089381628392</v>
      </c>
      <c r="AGD16" s="247">
        <v>0</v>
      </c>
      <c r="AGE16" s="247">
        <v>0</v>
      </c>
      <c r="AGF16" s="247">
        <v>0</v>
      </c>
      <c r="AGG16" s="247">
        <v>5847.0466464676401</v>
      </c>
      <c r="AGH16" s="247">
        <v>4848.770389753653</v>
      </c>
      <c r="AGI16" s="247">
        <v>2689.233997678497</v>
      </c>
      <c r="AGJ16" s="247">
        <v>896.41133255949887</v>
      </c>
      <c r="AGK16" s="247">
        <v>149.40188875991649</v>
      </c>
      <c r="AGL16" s="247">
        <v>0</v>
      </c>
      <c r="AGM16" s="247">
        <v>0</v>
      </c>
      <c r="AGN16" s="247">
        <v>0</v>
      </c>
      <c r="AGO16" s="247">
        <v>6125.4774391565761</v>
      </c>
      <c r="AGP16" s="247">
        <v>5079.6642178371612</v>
      </c>
      <c r="AGQ16" s="247">
        <v>4131.6413237060542</v>
      </c>
      <c r="AGR16" s="247">
        <v>1377.2137745686848</v>
      </c>
      <c r="AGS16" s="247">
        <v>229.53562909478083</v>
      </c>
      <c r="AGT16" s="247">
        <v>0</v>
      </c>
      <c r="AGU16" s="247">
        <v>0</v>
      </c>
      <c r="AGV16" s="247">
        <v>0</v>
      </c>
      <c r="AGW16" s="247">
        <v>9410.9607928860132</v>
      </c>
      <c r="AGX16" s="247">
        <v>7804.211389222548</v>
      </c>
      <c r="AGY16" s="249">
        <v>0</v>
      </c>
      <c r="AGZ16" s="249">
        <v>0</v>
      </c>
      <c r="AHA16" s="249">
        <v>0</v>
      </c>
      <c r="AHB16" s="249">
        <v>0</v>
      </c>
      <c r="AHC16" s="249">
        <v>0</v>
      </c>
      <c r="AHD16" s="249">
        <v>0</v>
      </c>
      <c r="AHE16" s="249">
        <v>0</v>
      </c>
      <c r="AHF16" s="249">
        <v>0</v>
      </c>
      <c r="AHG16" s="249">
        <v>0</v>
      </c>
      <c r="AHH16" s="249">
        <v>0</v>
      </c>
      <c r="AHI16" s="249">
        <v>0</v>
      </c>
      <c r="AHJ16" s="249">
        <v>0</v>
      </c>
      <c r="AHK16" s="249">
        <v>0</v>
      </c>
      <c r="AHL16" s="249">
        <v>0</v>
      </c>
      <c r="AHM16" s="249">
        <v>0</v>
      </c>
      <c r="AHN16" s="249">
        <v>0</v>
      </c>
      <c r="AHO16" s="249">
        <v>0</v>
      </c>
      <c r="AHP16" s="249">
        <v>0</v>
      </c>
      <c r="AHQ16" s="249">
        <v>0</v>
      </c>
      <c r="AHR16" s="249">
        <v>0</v>
      </c>
      <c r="AHS16" s="249">
        <v>0</v>
      </c>
      <c r="AHT16" s="249">
        <v>0</v>
      </c>
      <c r="AHU16" s="249">
        <v>0</v>
      </c>
      <c r="AHV16" s="249">
        <v>0</v>
      </c>
      <c r="AHW16" s="249">
        <v>0</v>
      </c>
      <c r="AHX16" s="249">
        <v>0</v>
      </c>
      <c r="AHY16" s="249">
        <v>0</v>
      </c>
      <c r="AHZ16" s="249">
        <v>0</v>
      </c>
      <c r="AIA16" s="249">
        <v>0</v>
      </c>
      <c r="AIB16" s="249">
        <v>0</v>
      </c>
      <c r="AIC16" s="249">
        <v>0</v>
      </c>
      <c r="AID16" s="249">
        <v>0</v>
      </c>
      <c r="AIE16" s="249"/>
      <c r="AIF16" s="249"/>
      <c r="AIG16" s="249"/>
      <c r="AIH16" s="249"/>
      <c r="AII16" s="249"/>
      <c r="AIJ16" s="249"/>
      <c r="AIK16" s="249"/>
      <c r="AIL16" s="249"/>
      <c r="AIM16" s="249">
        <v>0</v>
      </c>
      <c r="AIN16" s="249">
        <v>0</v>
      </c>
      <c r="AIO16" s="249">
        <v>0</v>
      </c>
      <c r="AIP16" s="249">
        <v>0</v>
      </c>
      <c r="AIQ16" s="249">
        <v>0</v>
      </c>
      <c r="AIR16" s="249">
        <v>0</v>
      </c>
      <c r="AIS16" s="249">
        <v>0</v>
      </c>
      <c r="AIT16" s="249">
        <v>0</v>
      </c>
      <c r="AIU16" s="134" t="s">
        <v>1216</v>
      </c>
      <c r="AIV16" s="134" t="s">
        <v>1219</v>
      </c>
      <c r="AIW16" s="134" t="s">
        <v>1218</v>
      </c>
      <c r="AIX16" s="134" t="s">
        <v>1217</v>
      </c>
      <c r="AIY16" s="134" t="s">
        <v>1228</v>
      </c>
      <c r="AIZ16" s="134" t="s">
        <v>1229</v>
      </c>
      <c r="AJA16" s="134" t="s">
        <v>1230</v>
      </c>
      <c r="AJB16" s="134" t="s">
        <v>1231</v>
      </c>
      <c r="AJC16" s="134" t="s">
        <v>1232</v>
      </c>
      <c r="AJD16" s="134" t="s">
        <v>1233</v>
      </c>
    </row>
    <row r="17" spans="1:940" ht="18" customHeight="1">
      <c r="A17" s="664" t="s">
        <v>0</v>
      </c>
      <c r="B17" s="669">
        <v>0.5</v>
      </c>
      <c r="C17" s="6">
        <v>0.2</v>
      </c>
      <c r="D17" s="6">
        <v>0.2</v>
      </c>
      <c r="E17" s="74">
        <v>100.05590062111801</v>
      </c>
      <c r="F17" s="72">
        <v>-1</v>
      </c>
      <c r="G17" s="11">
        <v>-5.5</v>
      </c>
      <c r="H17" s="11">
        <v>-5.5</v>
      </c>
      <c r="I17" s="266">
        <v>350</v>
      </c>
      <c r="J17" s="125">
        <v>0</v>
      </c>
      <c r="K17" s="125">
        <v>0</v>
      </c>
      <c r="L17" s="125">
        <v>0</v>
      </c>
      <c r="M17" s="1">
        <v>1458.7130772690623</v>
      </c>
      <c r="N17" s="2">
        <v>12</v>
      </c>
      <c r="O17" s="8">
        <v>0.3</v>
      </c>
      <c r="P17" s="8">
        <v>0.3</v>
      </c>
      <c r="Q17" s="8">
        <v>0.3</v>
      </c>
      <c r="R17" s="7">
        <v>0.2</v>
      </c>
      <c r="S17" s="7">
        <v>0</v>
      </c>
      <c r="T17" s="7">
        <v>99.3</v>
      </c>
      <c r="U17" s="7">
        <v>0.5</v>
      </c>
      <c r="V17" s="71">
        <v>0</v>
      </c>
      <c r="W17" s="119">
        <v>2</v>
      </c>
      <c r="X17" s="120">
        <v>1.5</v>
      </c>
      <c r="Y17" s="119">
        <v>1</v>
      </c>
      <c r="Z17" s="120">
        <v>0.8</v>
      </c>
      <c r="AA17" s="120">
        <v>0.5</v>
      </c>
      <c r="AB17" s="559">
        <v>433.01922201480062</v>
      </c>
      <c r="AC17" s="559">
        <v>470.67306740739195</v>
      </c>
      <c r="AD17" s="559">
        <v>433.37222681535616</v>
      </c>
      <c r="AE17" s="559">
        <v>649.0581599547935</v>
      </c>
      <c r="AF17" s="622">
        <v>0.82209484106305364</v>
      </c>
      <c r="AG17" s="559">
        <v>261.91600618637949</v>
      </c>
      <c r="AH17" s="559">
        <v>284.69131107215162</v>
      </c>
      <c r="AI17" s="559">
        <v>262.12952466968363</v>
      </c>
      <c r="AJ17" s="559">
        <v>392.58931796849708</v>
      </c>
      <c r="AK17" s="622">
        <v>0.96717040125065135</v>
      </c>
      <c r="AL17" s="995">
        <v>0.2</v>
      </c>
      <c r="AM17" s="995">
        <v>0.5</v>
      </c>
      <c r="AN17" s="995">
        <v>1.4</v>
      </c>
      <c r="AO17" s="995">
        <v>1.7</v>
      </c>
      <c r="AP17" s="995">
        <v>2</v>
      </c>
      <c r="AQ17" s="995">
        <v>2.2000000000000002</v>
      </c>
      <c r="AR17" s="995">
        <v>2.5</v>
      </c>
      <c r="AS17" s="1005">
        <v>0</v>
      </c>
      <c r="AT17" s="1005">
        <v>10</v>
      </c>
      <c r="AU17" s="1005">
        <v>20</v>
      </c>
      <c r="AV17" s="1005">
        <v>70</v>
      </c>
      <c r="AW17" s="1005">
        <v>100</v>
      </c>
      <c r="AX17" s="1">
        <v>12289.839372885832</v>
      </c>
      <c r="AY17" s="5">
        <v>1.4</v>
      </c>
      <c r="AZ17" s="8">
        <v>0.4</v>
      </c>
      <c r="BA17" s="8">
        <v>0.2</v>
      </c>
      <c r="BB17" s="8">
        <v>0.2</v>
      </c>
      <c r="BC17" s="73">
        <v>0.19114158509188137</v>
      </c>
      <c r="BD17" s="73">
        <v>0.18505357455305277</v>
      </c>
      <c r="BE17" s="9">
        <v>5.6039534770990237E-5</v>
      </c>
      <c r="BF17" s="9">
        <v>8.8962761448946992E-2</v>
      </c>
      <c r="BG17" s="9">
        <v>0.53534567566726976</v>
      </c>
      <c r="BH17" s="9">
        <v>70.801132783155865</v>
      </c>
      <c r="BI17" s="9">
        <v>1.5043813109272328</v>
      </c>
      <c r="BJ17" s="9">
        <v>0.64453870916854428</v>
      </c>
      <c r="BK17" s="9">
        <v>25.859835596816843</v>
      </c>
      <c r="BL17" s="9">
        <v>5.5955475468833754E-2</v>
      </c>
      <c r="BM17" s="9">
        <v>5.884151150953975E-2</v>
      </c>
      <c r="BN17" s="9">
        <v>2.8019767385495118E-5</v>
      </c>
      <c r="BO17" s="9">
        <v>0.12541647881747614</v>
      </c>
      <c r="BP17" s="9"/>
      <c r="BQ17" s="9">
        <v>0.18554689962674867</v>
      </c>
      <c r="BR17" s="9">
        <v>4.6232616186066946E-3</v>
      </c>
      <c r="BS17" s="9">
        <v>0.13533547647194144</v>
      </c>
      <c r="BT17" s="262">
        <v>261.13475999999997</v>
      </c>
      <c r="BU17" s="262">
        <v>96.5</v>
      </c>
      <c r="BV17" s="262">
        <v>63.215999999999994</v>
      </c>
      <c r="BW17" s="262">
        <v>233.35949490734063</v>
      </c>
      <c r="BX17" s="262">
        <v>157.40783999999999</v>
      </c>
      <c r="BY17" s="68"/>
      <c r="BZ17" s="262">
        <v>256.20808011776955</v>
      </c>
      <c r="CA17" s="262">
        <v>165.17663999999999</v>
      </c>
      <c r="CB17" s="68"/>
      <c r="CC17" s="785">
        <v>0</v>
      </c>
      <c r="CD17" s="262">
        <v>6.585</v>
      </c>
      <c r="CE17" s="262">
        <v>1.3169999999999999</v>
      </c>
      <c r="CF17" s="262">
        <v>38</v>
      </c>
      <c r="CG17" s="262">
        <v>225.83915999999996</v>
      </c>
      <c r="CH17" s="68">
        <v>0.2</v>
      </c>
      <c r="CI17" s="262">
        <v>175.08124000000001</v>
      </c>
      <c r="CJ17" s="262">
        <v>60.4</v>
      </c>
      <c r="CK17" s="262">
        <v>42.384</v>
      </c>
      <c r="CL17" s="262">
        <v>156.45894761061641</v>
      </c>
      <c r="CM17" s="262">
        <v>105.53616</v>
      </c>
      <c r="CN17" s="68"/>
      <c r="CO17" s="262">
        <v>159.24945066654416</v>
      </c>
      <c r="CP17" s="262">
        <v>102.66767999999999</v>
      </c>
      <c r="CQ17" s="68"/>
      <c r="CR17" s="262">
        <v>0</v>
      </c>
      <c r="CS17" s="262">
        <v>4.415</v>
      </c>
      <c r="CT17" s="262">
        <v>0.88300000000000001</v>
      </c>
      <c r="CU17" s="262">
        <v>27</v>
      </c>
      <c r="CV17" s="262">
        <v>151.41683999999998</v>
      </c>
      <c r="CW17" s="68">
        <v>0.2</v>
      </c>
      <c r="CX17" s="120">
        <v>0.3</v>
      </c>
      <c r="CY17" s="120">
        <v>0.7</v>
      </c>
      <c r="CZ17" s="120">
        <v>1.2</v>
      </c>
      <c r="DA17" s="120">
        <v>1.2</v>
      </c>
      <c r="DB17" s="119">
        <v>3</v>
      </c>
      <c r="DC17" s="1005">
        <v>0</v>
      </c>
      <c r="DD17" s="1005">
        <v>10</v>
      </c>
      <c r="DE17" s="1005">
        <v>20</v>
      </c>
      <c r="DF17" s="1005">
        <v>70</v>
      </c>
      <c r="DG17" s="1005">
        <v>100</v>
      </c>
      <c r="DH17" s="2">
        <v>3.2864804877400982</v>
      </c>
      <c r="DI17" s="2">
        <v>18</v>
      </c>
      <c r="DJ17" s="63">
        <v>12</v>
      </c>
      <c r="DK17" s="8">
        <v>1.1000000000000001</v>
      </c>
      <c r="DL17" s="8">
        <v>0.9</v>
      </c>
      <c r="DM17" s="8">
        <v>0.9</v>
      </c>
      <c r="DN17" s="1030" t="s">
        <v>1003</v>
      </c>
      <c r="DO17" s="1030" t="s">
        <v>997</v>
      </c>
      <c r="DP17" s="1030" t="s">
        <v>997</v>
      </c>
      <c r="DQ17" s="1030" t="s">
        <v>997</v>
      </c>
      <c r="DR17" s="1030" t="s">
        <v>997</v>
      </c>
      <c r="DS17" s="1030" t="s">
        <v>997</v>
      </c>
      <c r="DT17" s="1030" t="s">
        <v>997</v>
      </c>
      <c r="DU17" s="1097">
        <v>327.36064891846928</v>
      </c>
      <c r="DV17" s="1097">
        <v>0</v>
      </c>
      <c r="DW17" s="1097">
        <v>0</v>
      </c>
      <c r="DX17" s="1097">
        <v>0</v>
      </c>
      <c r="DY17" s="1097">
        <v>0</v>
      </c>
      <c r="DZ17" s="1097">
        <v>0</v>
      </c>
      <c r="EA17" s="1097">
        <v>0</v>
      </c>
      <c r="EB17" s="207">
        <v>0.32736064891846928</v>
      </c>
      <c r="EC17" s="207">
        <v>18</v>
      </c>
      <c r="ED17" s="221">
        <v>5</v>
      </c>
      <c r="EE17" s="214">
        <v>1.1000000000000001</v>
      </c>
      <c r="EF17" s="214">
        <v>0.9</v>
      </c>
      <c r="EG17" s="214">
        <v>0.9</v>
      </c>
      <c r="EH17" s="208" t="s">
        <v>1003</v>
      </c>
      <c r="EI17" s="208" t="s">
        <v>1061</v>
      </c>
      <c r="EJ17" s="204" t="s">
        <v>997</v>
      </c>
      <c r="EK17" s="204" t="s">
        <v>997</v>
      </c>
      <c r="EL17" s="204" t="s">
        <v>997</v>
      </c>
      <c r="EM17" s="204" t="s">
        <v>997</v>
      </c>
      <c r="EN17" s="204" t="s">
        <v>997</v>
      </c>
      <c r="EO17" s="204" t="s">
        <v>997</v>
      </c>
      <c r="EP17" s="204" t="s">
        <v>997</v>
      </c>
      <c r="EQ17" s="204" t="s">
        <v>997</v>
      </c>
      <c r="ER17" s="204" t="s">
        <v>997</v>
      </c>
      <c r="ES17" s="204" t="s">
        <v>997</v>
      </c>
      <c r="ET17" s="204" t="s">
        <v>997</v>
      </c>
      <c r="EU17" s="204" t="s">
        <v>997</v>
      </c>
      <c r="EV17" s="204" t="s">
        <v>997</v>
      </c>
      <c r="EW17" s="204" t="s">
        <v>997</v>
      </c>
      <c r="EX17" s="204" t="s">
        <v>997</v>
      </c>
      <c r="EY17" s="204" t="s">
        <v>997</v>
      </c>
      <c r="EZ17" s="204" t="s">
        <v>997</v>
      </c>
      <c r="FA17" s="204" t="s">
        <v>997</v>
      </c>
      <c r="FB17" s="204" t="s">
        <v>997</v>
      </c>
      <c r="FC17" s="204" t="s">
        <v>997</v>
      </c>
      <c r="FD17" s="204" t="s">
        <v>997</v>
      </c>
      <c r="FE17" s="204" t="s">
        <v>997</v>
      </c>
      <c r="FF17" s="204" t="s">
        <v>997</v>
      </c>
      <c r="FG17" s="204" t="s">
        <v>997</v>
      </c>
      <c r="FH17" s="204" t="s">
        <v>997</v>
      </c>
      <c r="FI17" s="204" t="s">
        <v>997</v>
      </c>
      <c r="FJ17" s="204" t="s">
        <v>997</v>
      </c>
      <c r="FK17" s="204" t="s">
        <v>997</v>
      </c>
      <c r="FL17" s="204" t="s">
        <v>997</v>
      </c>
      <c r="FM17" s="204" t="s">
        <v>997</v>
      </c>
      <c r="FN17" s="204" t="s">
        <v>997</v>
      </c>
      <c r="FO17" s="204" t="s">
        <v>997</v>
      </c>
      <c r="FP17" s="204" t="s">
        <v>997</v>
      </c>
      <c r="FQ17" s="204" t="s">
        <v>997</v>
      </c>
      <c r="FR17" s="204" t="s">
        <v>997</v>
      </c>
      <c r="FS17" s="204" t="s">
        <v>997</v>
      </c>
      <c r="FT17" s="204" t="s">
        <v>997</v>
      </c>
      <c r="FU17" s="204" t="s">
        <v>997</v>
      </c>
      <c r="FV17" s="204" t="s">
        <v>997</v>
      </c>
      <c r="FW17" s="204" t="s">
        <v>997</v>
      </c>
      <c r="FX17" s="204" t="s">
        <v>997</v>
      </c>
      <c r="FY17" s="204" t="s">
        <v>997</v>
      </c>
      <c r="FZ17" s="204" t="s">
        <v>997</v>
      </c>
      <c r="GA17" s="204" t="s">
        <v>997</v>
      </c>
      <c r="GB17" s="204" t="s">
        <v>997</v>
      </c>
      <c r="GC17" s="204" t="s">
        <v>997</v>
      </c>
      <c r="GD17" s="204" t="s">
        <v>997</v>
      </c>
      <c r="GE17" s="204" t="s">
        <v>997</v>
      </c>
      <c r="GF17" s="204" t="s">
        <v>997</v>
      </c>
      <c r="GG17" s="204" t="s">
        <v>997</v>
      </c>
      <c r="GH17" s="204" t="s">
        <v>997</v>
      </c>
      <c r="GI17" s="204" t="s">
        <v>997</v>
      </c>
      <c r="GJ17" s="204" t="s">
        <v>997</v>
      </c>
      <c r="GK17" s="204" t="s">
        <v>997</v>
      </c>
      <c r="GL17" s="204" t="s">
        <v>997</v>
      </c>
      <c r="GM17" s="204" t="s">
        <v>997</v>
      </c>
      <c r="GN17" s="1051">
        <v>280.59484193011644</v>
      </c>
      <c r="GO17" s="1051">
        <v>46.76580698835275</v>
      </c>
      <c r="GP17" s="1051">
        <v>0</v>
      </c>
      <c r="GQ17" s="1051">
        <v>0</v>
      </c>
      <c r="GR17" s="1051">
        <v>0</v>
      </c>
      <c r="GS17" s="1051">
        <v>0</v>
      </c>
      <c r="GT17" s="1051">
        <v>0</v>
      </c>
      <c r="GU17" s="1051">
        <v>0</v>
      </c>
      <c r="GV17" s="1051">
        <v>0</v>
      </c>
      <c r="GW17" s="1051">
        <v>0</v>
      </c>
      <c r="GX17" s="1051">
        <v>0</v>
      </c>
      <c r="GY17" s="1051">
        <v>0</v>
      </c>
      <c r="GZ17" s="1051">
        <v>0</v>
      </c>
      <c r="HA17" s="1051">
        <v>0</v>
      </c>
      <c r="HB17" s="1051">
        <v>0</v>
      </c>
      <c r="HC17" s="1051">
        <v>0</v>
      </c>
      <c r="HD17" s="1051">
        <v>0</v>
      </c>
      <c r="HE17" s="1051">
        <v>0</v>
      </c>
      <c r="HF17" s="1051">
        <v>0</v>
      </c>
      <c r="HG17" s="1051">
        <v>0</v>
      </c>
      <c r="HH17" s="1051">
        <v>0</v>
      </c>
      <c r="HI17" s="1051">
        <v>0</v>
      </c>
      <c r="HJ17" s="1051">
        <v>0</v>
      </c>
      <c r="HK17" s="1051">
        <v>0</v>
      </c>
      <c r="HL17" s="1051">
        <v>0</v>
      </c>
      <c r="HM17" s="1051">
        <v>0</v>
      </c>
      <c r="HN17" s="1051">
        <v>0</v>
      </c>
      <c r="HO17" s="1051">
        <v>0</v>
      </c>
      <c r="HP17" s="1051">
        <v>0</v>
      </c>
      <c r="HQ17" s="1051">
        <v>0</v>
      </c>
      <c r="HR17" s="1051">
        <v>0</v>
      </c>
      <c r="HS17" s="1051">
        <v>0</v>
      </c>
      <c r="HT17" s="1051">
        <v>0</v>
      </c>
      <c r="HU17" s="1051">
        <v>0</v>
      </c>
      <c r="HV17" s="1051">
        <v>0</v>
      </c>
      <c r="HW17" s="1051">
        <v>0</v>
      </c>
      <c r="HX17" s="1051">
        <v>0</v>
      </c>
      <c r="HY17" s="1051">
        <v>0</v>
      </c>
      <c r="HZ17" s="1051">
        <v>0</v>
      </c>
      <c r="IA17" s="1051">
        <v>0</v>
      </c>
      <c r="IB17" s="1051">
        <v>0</v>
      </c>
      <c r="IC17" s="1051">
        <v>0</v>
      </c>
      <c r="ID17" s="1051">
        <v>0</v>
      </c>
      <c r="IE17" s="1051">
        <v>0</v>
      </c>
      <c r="IF17" s="1051">
        <v>0</v>
      </c>
      <c r="IG17" s="1051">
        <v>0</v>
      </c>
      <c r="IH17" s="1051">
        <v>0</v>
      </c>
      <c r="II17" s="1051">
        <v>0</v>
      </c>
      <c r="IJ17" s="1051">
        <v>0</v>
      </c>
      <c r="IK17" s="1051">
        <v>0</v>
      </c>
      <c r="IL17" s="1051">
        <v>0</v>
      </c>
      <c r="IM17" s="1051">
        <v>0</v>
      </c>
      <c r="IN17" s="1051">
        <v>0</v>
      </c>
      <c r="IO17" s="1051">
        <v>0</v>
      </c>
      <c r="IP17" s="1051">
        <v>0</v>
      </c>
      <c r="IQ17" s="1051">
        <v>0</v>
      </c>
      <c r="IR17" s="1051">
        <v>0</v>
      </c>
      <c r="IS17" s="1051">
        <v>0</v>
      </c>
      <c r="IT17" s="215">
        <v>819.51023466183142</v>
      </c>
      <c r="IU17" s="207">
        <v>179.9</v>
      </c>
      <c r="IV17" s="216">
        <v>2647.0800000000199</v>
      </c>
      <c r="IW17" s="272">
        <v>12.64</v>
      </c>
      <c r="IX17" s="207">
        <v>93.996028183574083</v>
      </c>
      <c r="IY17" s="204">
        <v>1.1000000000000001</v>
      </c>
      <c r="IZ17" s="204">
        <v>0.9</v>
      </c>
      <c r="JA17" s="204">
        <v>0.9</v>
      </c>
      <c r="JB17" s="52">
        <v>2</v>
      </c>
      <c r="JC17" s="24">
        <v>1.5</v>
      </c>
      <c r="JD17" s="24">
        <v>0.7</v>
      </c>
      <c r="JE17" s="24">
        <v>0.7</v>
      </c>
      <c r="JF17" s="24">
        <v>0.5</v>
      </c>
      <c r="JG17" s="1">
        <v>100.26078134111631</v>
      </c>
      <c r="JH17" s="216">
        <v>2647.0800000000199</v>
      </c>
      <c r="JI17" s="272">
        <v>12.64</v>
      </c>
      <c r="JJ17" s="207">
        <v>93.996028183574083</v>
      </c>
      <c r="JK17" s="8">
        <v>1.5</v>
      </c>
      <c r="JL17" s="8">
        <v>1.4</v>
      </c>
      <c r="JM17" s="8">
        <v>1.4</v>
      </c>
      <c r="JN17" s="216">
        <v>2</v>
      </c>
      <c r="JO17" s="216">
        <v>2</v>
      </c>
      <c r="JP17" s="216">
        <v>1</v>
      </c>
      <c r="JQ17" s="216">
        <v>1</v>
      </c>
      <c r="JR17" s="214">
        <v>0.5</v>
      </c>
      <c r="JS17" s="1212">
        <v>2000</v>
      </c>
      <c r="JT17" s="215">
        <v>269.20068727688226</v>
      </c>
      <c r="JU17" s="215">
        <v>500</v>
      </c>
      <c r="JV17" s="207">
        <v>1.3</v>
      </c>
      <c r="JW17" s="207">
        <v>0.7</v>
      </c>
      <c r="JX17" s="207">
        <v>0.7</v>
      </c>
      <c r="JY17" s="214">
        <v>2</v>
      </c>
      <c r="JZ17" s="214">
        <v>1.5</v>
      </c>
      <c r="KA17" s="214">
        <v>0.5</v>
      </c>
      <c r="KB17" s="214">
        <v>1</v>
      </c>
      <c r="KC17" s="214">
        <v>0.5</v>
      </c>
      <c r="KD17" s="1185">
        <v>5.5095053328162624</v>
      </c>
      <c r="KE17" s="1186">
        <v>0</v>
      </c>
      <c r="KF17" s="1186">
        <v>94.151633233306313</v>
      </c>
      <c r="KG17" s="1186"/>
      <c r="KH17" s="1186">
        <v>8.2123089238349822E-2</v>
      </c>
      <c r="KI17" s="1186">
        <v>0.25466452925427668</v>
      </c>
      <c r="KJ17" s="1186">
        <v>0</v>
      </c>
      <c r="KK17" s="1186">
        <v>0</v>
      </c>
      <c r="KL17" s="1186"/>
      <c r="KM17" s="1187">
        <v>580</v>
      </c>
      <c r="KN17" s="1187">
        <v>580</v>
      </c>
      <c r="KO17" s="1187">
        <v>580</v>
      </c>
      <c r="KP17" s="1187">
        <v>580</v>
      </c>
      <c r="KQ17" s="1187"/>
      <c r="KR17" s="1187">
        <v>580</v>
      </c>
      <c r="KS17" s="1187">
        <v>580</v>
      </c>
      <c r="KT17" s="1187">
        <v>580</v>
      </c>
      <c r="KU17" s="1187">
        <v>580</v>
      </c>
      <c r="KV17" s="262">
        <v>370</v>
      </c>
      <c r="KW17" s="262">
        <v>370</v>
      </c>
      <c r="KX17" s="262">
        <v>370</v>
      </c>
      <c r="KY17" s="262">
        <v>370</v>
      </c>
      <c r="KZ17" s="262"/>
      <c r="LA17" s="262">
        <v>370</v>
      </c>
      <c r="LB17" s="262">
        <v>370</v>
      </c>
      <c r="LC17" s="262">
        <v>370</v>
      </c>
      <c r="LD17" s="262">
        <v>370</v>
      </c>
      <c r="LE17" s="1213">
        <v>0</v>
      </c>
      <c r="LF17" s="1213">
        <v>10</v>
      </c>
      <c r="LG17" s="1213">
        <v>20</v>
      </c>
      <c r="LH17" s="1213">
        <v>70</v>
      </c>
      <c r="LI17" s="1213">
        <v>100</v>
      </c>
      <c r="LJ17" s="1212">
        <v>1000</v>
      </c>
      <c r="LK17" s="1">
        <v>22.949900728126259</v>
      </c>
      <c r="LL17" s="4">
        <v>29</v>
      </c>
      <c r="LM17" s="8">
        <v>0.9</v>
      </c>
      <c r="LN17" s="8">
        <v>1.1000000000000001</v>
      </c>
      <c r="LO17" s="8">
        <v>1.1000000000000001</v>
      </c>
      <c r="LP17" s="214">
        <v>2</v>
      </c>
      <c r="LQ17" s="214">
        <v>1</v>
      </c>
      <c r="LR17" s="214">
        <v>0.5</v>
      </c>
      <c r="LS17" s="214">
        <v>0.7</v>
      </c>
      <c r="LT17" s="214">
        <v>0.2</v>
      </c>
      <c r="LU17" s="1212">
        <v>1500</v>
      </c>
      <c r="LV17" s="122">
        <v>0</v>
      </c>
      <c r="LW17" s="122">
        <v>0</v>
      </c>
      <c r="LX17" s="122">
        <v>0</v>
      </c>
      <c r="LY17" s="165">
        <v>0</v>
      </c>
      <c r="LZ17" s="165">
        <v>0</v>
      </c>
      <c r="MA17" s="165">
        <v>0</v>
      </c>
      <c r="MB17" s="165">
        <v>0</v>
      </c>
      <c r="MC17" s="165">
        <v>0</v>
      </c>
      <c r="MD17" s="165">
        <v>0</v>
      </c>
      <c r="ME17" s="165">
        <v>0</v>
      </c>
      <c r="MF17" s="165">
        <v>0</v>
      </c>
      <c r="MG17" s="165">
        <v>0</v>
      </c>
      <c r="MH17" s="165">
        <v>0</v>
      </c>
      <c r="MI17" s="165">
        <v>0</v>
      </c>
      <c r="MJ17" s="165">
        <v>0</v>
      </c>
      <c r="MK17" s="165">
        <v>0</v>
      </c>
      <c r="ML17" s="165">
        <v>0</v>
      </c>
      <c r="MM17" s="165">
        <v>0</v>
      </c>
      <c r="MN17" s="165">
        <v>0</v>
      </c>
      <c r="MO17" s="165">
        <v>0</v>
      </c>
      <c r="MP17" s="165">
        <v>0</v>
      </c>
      <c r="MQ17" s="165">
        <v>0</v>
      </c>
      <c r="MR17" s="165">
        <v>0</v>
      </c>
      <c r="MS17" s="165">
        <v>0</v>
      </c>
      <c r="MT17" s="165">
        <v>0</v>
      </c>
      <c r="MU17" s="165">
        <v>0</v>
      </c>
      <c r="MV17" s="165">
        <v>0</v>
      </c>
      <c r="MW17" s="166">
        <v>1.0176591648410001</v>
      </c>
      <c r="MX17" s="166">
        <v>0</v>
      </c>
      <c r="MY17" s="166">
        <v>0</v>
      </c>
      <c r="MZ17" s="166">
        <v>0</v>
      </c>
      <c r="NA17" s="166">
        <v>0.12966616084977001</v>
      </c>
      <c r="NB17" s="166">
        <v>-4.7769516728624497</v>
      </c>
      <c r="NC17" s="166">
        <v>1.5619492800343899</v>
      </c>
      <c r="ND17" s="166">
        <v>0</v>
      </c>
      <c r="NE17" s="166">
        <v>0</v>
      </c>
      <c r="NF17" s="166">
        <v>0</v>
      </c>
      <c r="NG17" s="166">
        <v>-2.0938267493649999E-2</v>
      </c>
      <c r="NH17" s="166">
        <v>-1.53851980910537</v>
      </c>
      <c r="NI17" s="166">
        <v>0.61924886720112005</v>
      </c>
      <c r="NJ17" s="166">
        <v>0</v>
      </c>
      <c r="NK17" s="166">
        <v>0</v>
      </c>
      <c r="NL17" s="166">
        <v>0</v>
      </c>
      <c r="NM17" s="166">
        <v>-0.68065967016492002</v>
      </c>
      <c r="NN17" s="166">
        <v>-0.75337671079200996</v>
      </c>
      <c r="NO17" s="166">
        <v>0.94820231566117996</v>
      </c>
      <c r="NP17" s="166">
        <v>0</v>
      </c>
      <c r="NQ17" s="166">
        <v>0</v>
      </c>
      <c r="NR17" s="166">
        <v>0</v>
      </c>
      <c r="NS17" s="166">
        <v>0.20436773511799999</v>
      </c>
      <c r="NT17" s="166">
        <v>-0.4510158013544</v>
      </c>
      <c r="NU17" s="166">
        <v>1.39044481054366</v>
      </c>
      <c r="NV17" s="166">
        <v>0</v>
      </c>
      <c r="NW17" s="166">
        <v>0</v>
      </c>
      <c r="NX17" s="166">
        <v>0</v>
      </c>
      <c r="NY17" s="166">
        <v>0</v>
      </c>
      <c r="NZ17" s="166">
        <v>0</v>
      </c>
      <c r="OA17" s="166">
        <v>-29.88</v>
      </c>
      <c r="OB17" s="166">
        <v>-8.65</v>
      </c>
      <c r="OC17" s="166">
        <v>-8.7520079765100005E-3</v>
      </c>
      <c r="OD17" s="166">
        <v>0</v>
      </c>
      <c r="OE17" s="166">
        <v>-0.51641997423084995</v>
      </c>
      <c r="OF17" s="166">
        <v>-6.80000447667652</v>
      </c>
      <c r="OG17" s="166">
        <v>-1.8050541516199999E-3</v>
      </c>
      <c r="OH17" s="166">
        <v>0</v>
      </c>
      <c r="OI17" s="166">
        <v>0</v>
      </c>
      <c r="OJ17" s="166">
        <v>0</v>
      </c>
      <c r="OK17" s="166">
        <v>-0.27946498819826998</v>
      </c>
      <c r="OL17" s="166">
        <v>-6.8001427551748801</v>
      </c>
      <c r="OM17" s="166">
        <v>0.11775727200336999</v>
      </c>
      <c r="ON17" s="166">
        <v>0</v>
      </c>
      <c r="OO17" s="166">
        <v>0</v>
      </c>
      <c r="OP17" s="166">
        <v>0</v>
      </c>
      <c r="OQ17" s="166">
        <v>0</v>
      </c>
      <c r="OR17" s="166">
        <v>-6.7999906318797096</v>
      </c>
      <c r="OS17" s="166">
        <v>0.76589797344513999</v>
      </c>
      <c r="OT17" s="166">
        <v>0</v>
      </c>
      <c r="OU17" s="166">
        <v>0</v>
      </c>
      <c r="OV17" s="166">
        <v>0</v>
      </c>
      <c r="OW17" s="166">
        <v>-7.8266946191469997E-2</v>
      </c>
      <c r="OX17" s="166">
        <v>0</v>
      </c>
      <c r="OY17" s="166">
        <v>0</v>
      </c>
      <c r="OZ17" s="166">
        <v>0</v>
      </c>
      <c r="PA17" s="166">
        <v>0</v>
      </c>
      <c r="PB17" s="166">
        <v>0</v>
      </c>
      <c r="PC17" s="166">
        <v>0</v>
      </c>
      <c r="PD17" s="166">
        <v>0</v>
      </c>
      <c r="PE17" s="166">
        <v>-29.88</v>
      </c>
      <c r="PF17" s="166">
        <v>-8.65</v>
      </c>
      <c r="PG17" s="166">
        <v>-1.4071151716500601</v>
      </c>
      <c r="PH17" s="166">
        <v>0</v>
      </c>
      <c r="PI17" s="166">
        <v>-0.24143070044709</v>
      </c>
      <c r="PJ17" s="166">
        <v>-3.49983558040118</v>
      </c>
      <c r="PK17" s="166">
        <v>-0.24093340634346</v>
      </c>
      <c r="PL17" s="166">
        <v>0</v>
      </c>
      <c r="PM17" s="166">
        <v>6.02333515859E-3</v>
      </c>
      <c r="PN17" s="166">
        <v>0</v>
      </c>
      <c r="PO17" s="166">
        <v>0.27452644188774</v>
      </c>
      <c r="PP17" s="166">
        <v>-3.4999325509240502</v>
      </c>
      <c r="PQ17" s="166">
        <v>0</v>
      </c>
      <c r="PR17" s="166">
        <v>0</v>
      </c>
      <c r="PS17" s="166">
        <v>0</v>
      </c>
      <c r="PT17" s="166">
        <v>0</v>
      </c>
      <c r="PU17" s="166">
        <v>-0.28587830080366999</v>
      </c>
      <c r="PV17" s="166">
        <v>-3.5</v>
      </c>
      <c r="PW17" s="166">
        <v>0</v>
      </c>
      <c r="PX17" s="166">
        <v>0</v>
      </c>
      <c r="PY17" s="166">
        <v>0</v>
      </c>
      <c r="PZ17" s="166">
        <v>0</v>
      </c>
      <c r="QA17" s="166">
        <v>0</v>
      </c>
      <c r="QB17" s="166">
        <v>0</v>
      </c>
      <c r="QC17" s="166">
        <v>0</v>
      </c>
      <c r="QD17" s="166">
        <v>0</v>
      </c>
      <c r="QE17" s="166">
        <v>0</v>
      </c>
      <c r="QF17" s="166">
        <v>0</v>
      </c>
      <c r="QG17" s="166">
        <v>0</v>
      </c>
      <c r="QH17" s="166">
        <v>0</v>
      </c>
      <c r="QI17" s="162">
        <v>-1.26470588235294</v>
      </c>
      <c r="QJ17" s="167">
        <v>0</v>
      </c>
      <c r="QK17" s="167">
        <v>-1.26470588235294</v>
      </c>
      <c r="QL17" s="167">
        <v>-4.2483660130719997E-2</v>
      </c>
      <c r="QM17" s="167">
        <v>0</v>
      </c>
      <c r="QN17" s="162">
        <v>-4.0631808278867103</v>
      </c>
      <c r="QO17" s="162">
        <v>0</v>
      </c>
      <c r="QP17" s="162">
        <v>0</v>
      </c>
      <c r="QQ17" s="162">
        <v>0</v>
      </c>
      <c r="QR17" s="162">
        <v>0</v>
      </c>
      <c r="QS17" s="162">
        <v>0</v>
      </c>
      <c r="QT17" s="162">
        <v>0</v>
      </c>
      <c r="QU17" s="162">
        <v>0</v>
      </c>
      <c r="QV17" s="162">
        <v>0</v>
      </c>
      <c r="QW17" s="162">
        <v>0</v>
      </c>
      <c r="QX17" s="162">
        <v>0</v>
      </c>
      <c r="QY17" s="162">
        <v>0</v>
      </c>
      <c r="QZ17" s="162">
        <v>-0.18019480519480999</v>
      </c>
      <c r="RA17" s="167">
        <v>0</v>
      </c>
      <c r="RB17" s="167">
        <v>0</v>
      </c>
      <c r="RC17" s="167">
        <v>0</v>
      </c>
      <c r="RD17" s="167">
        <v>0</v>
      </c>
      <c r="RE17" s="167">
        <v>0</v>
      </c>
      <c r="RF17" s="167">
        <v>0</v>
      </c>
      <c r="RG17" s="167">
        <v>0</v>
      </c>
      <c r="RH17" s="167">
        <v>0</v>
      </c>
      <c r="RI17" s="167">
        <v>0</v>
      </c>
      <c r="RJ17" s="167">
        <v>0</v>
      </c>
      <c r="RK17" s="167">
        <v>0</v>
      </c>
      <c r="RL17" s="167">
        <v>0</v>
      </c>
      <c r="RM17" s="166">
        <v>-29.88</v>
      </c>
      <c r="RN17" s="166">
        <v>-8.65</v>
      </c>
      <c r="RO17" s="166">
        <v>-0.56358653697700001</v>
      </c>
      <c r="RP17" s="166">
        <v>-1.0611908805519999E-2</v>
      </c>
      <c r="RQ17" s="166">
        <v>-0.34433562800363998</v>
      </c>
      <c r="RR17" s="166">
        <v>0</v>
      </c>
      <c r="RS17" s="166">
        <v>-0.13878908135356999</v>
      </c>
      <c r="RT17" s="166">
        <v>0</v>
      </c>
      <c r="RU17" s="166">
        <v>-0.13878908135356999</v>
      </c>
      <c r="RV17" s="166">
        <v>0</v>
      </c>
      <c r="RW17" s="166">
        <v>0</v>
      </c>
      <c r="RX17" s="166">
        <v>0</v>
      </c>
      <c r="RY17" s="166">
        <v>0</v>
      </c>
      <c r="RZ17" s="166">
        <v>0</v>
      </c>
      <c r="SA17" s="166">
        <v>0</v>
      </c>
      <c r="SB17" s="166">
        <v>0</v>
      </c>
      <c r="SC17" s="166">
        <v>0</v>
      </c>
      <c r="SD17" s="166">
        <v>0</v>
      </c>
      <c r="SE17" s="166">
        <v>0</v>
      </c>
      <c r="SF17" s="166">
        <v>0</v>
      </c>
      <c r="SG17" s="166">
        <v>0</v>
      </c>
      <c r="SH17" s="166">
        <v>0</v>
      </c>
      <c r="SI17" s="166">
        <v>0</v>
      </c>
      <c r="SJ17" s="166">
        <v>0</v>
      </c>
      <c r="SK17" s="166">
        <v>0</v>
      </c>
      <c r="SL17" s="166">
        <v>0</v>
      </c>
      <c r="SM17" s="166">
        <v>0</v>
      </c>
      <c r="SN17" s="166">
        <v>0</v>
      </c>
      <c r="SO17" s="166">
        <v>0</v>
      </c>
      <c r="SP17" s="166">
        <v>0</v>
      </c>
      <c r="SQ17" s="166">
        <v>-29.88</v>
      </c>
      <c r="SR17" s="166">
        <v>-8.65</v>
      </c>
      <c r="SS17" s="166">
        <v>0</v>
      </c>
      <c r="ST17" s="166">
        <v>0</v>
      </c>
      <c r="SU17" s="166">
        <v>0</v>
      </c>
      <c r="SV17" s="166">
        <v>0</v>
      </c>
      <c r="SW17" s="166">
        <v>0</v>
      </c>
      <c r="SX17" s="166">
        <v>0</v>
      </c>
      <c r="SY17" s="166">
        <v>0</v>
      </c>
      <c r="SZ17" s="166">
        <v>0</v>
      </c>
      <c r="TA17" s="166">
        <v>0</v>
      </c>
      <c r="TB17" s="166">
        <v>0</v>
      </c>
      <c r="TC17" s="166">
        <v>0</v>
      </c>
      <c r="TD17" s="166">
        <v>0</v>
      </c>
      <c r="TE17" s="166">
        <v>0</v>
      </c>
      <c r="TF17" s="166">
        <v>0</v>
      </c>
      <c r="TG17" s="166">
        <v>0</v>
      </c>
      <c r="TH17" s="166">
        <v>0</v>
      </c>
      <c r="TI17" s="166">
        <v>0</v>
      </c>
      <c r="TJ17" s="166">
        <v>0</v>
      </c>
      <c r="TK17" s="166">
        <v>0</v>
      </c>
      <c r="TL17" s="166">
        <v>0</v>
      </c>
      <c r="TM17" s="166">
        <v>0</v>
      </c>
      <c r="TN17" s="166">
        <v>0</v>
      </c>
      <c r="TO17" s="166">
        <v>0</v>
      </c>
      <c r="TP17" s="166">
        <v>0</v>
      </c>
      <c r="TQ17" s="166">
        <v>0</v>
      </c>
      <c r="TR17" s="166">
        <v>0</v>
      </c>
      <c r="TS17" s="166">
        <v>0</v>
      </c>
      <c r="TT17" s="166">
        <v>0</v>
      </c>
      <c r="TU17" s="166">
        <v>0.26682003338162003</v>
      </c>
      <c r="TV17" s="166">
        <v>0</v>
      </c>
      <c r="TW17" s="166">
        <v>0</v>
      </c>
      <c r="TX17" s="166">
        <v>0</v>
      </c>
      <c r="TY17" s="166">
        <v>0.13644287601555999</v>
      </c>
      <c r="TZ17" s="166">
        <v>-0.18277741810789999</v>
      </c>
      <c r="UA17" s="166">
        <v>4.6105681688E-4</v>
      </c>
      <c r="UB17" s="166">
        <v>0</v>
      </c>
      <c r="UC17" s="166">
        <v>0</v>
      </c>
      <c r="UD17" s="166">
        <v>0</v>
      </c>
      <c r="UE17" s="166">
        <v>-8.3326178474809998E-2</v>
      </c>
      <c r="UF17" s="166">
        <v>-6.5019367810993796</v>
      </c>
      <c r="UG17" s="166">
        <v>-6.7697632871819999E-2</v>
      </c>
      <c r="UH17" s="166">
        <v>0</v>
      </c>
      <c r="UI17" s="166">
        <v>0.30528137561411001</v>
      </c>
      <c r="UJ17" s="166">
        <v>0</v>
      </c>
      <c r="UK17" s="166">
        <v>0</v>
      </c>
      <c r="UL17" s="166">
        <v>-3.5000095542009801</v>
      </c>
      <c r="UM17" s="166">
        <v>-6.8451035355799996E-3</v>
      </c>
      <c r="UN17" s="166">
        <v>0</v>
      </c>
      <c r="UO17" s="166">
        <v>-6.8451035355799996E-3</v>
      </c>
      <c r="UP17" s="166">
        <v>0</v>
      </c>
      <c r="UQ17" s="166">
        <v>0</v>
      </c>
      <c r="UR17" s="166">
        <v>-4.3057690568767502</v>
      </c>
      <c r="US17" s="163">
        <v>-1.9553784203E-4</v>
      </c>
      <c r="UT17" s="163">
        <v>0</v>
      </c>
      <c r="UU17" s="163">
        <v>-1.9553784203E-4</v>
      </c>
      <c r="UV17" s="163">
        <v>0</v>
      </c>
      <c r="UW17" s="163">
        <v>0</v>
      </c>
      <c r="UX17" s="163">
        <v>-8.115069735338E-2</v>
      </c>
      <c r="UY17" s="166">
        <v>0</v>
      </c>
      <c r="UZ17" s="166">
        <v>0</v>
      </c>
      <c r="VA17" s="166">
        <v>0</v>
      </c>
      <c r="VB17" s="166">
        <v>0</v>
      </c>
      <c r="VC17" s="166">
        <v>0</v>
      </c>
      <c r="VD17" s="166">
        <v>0</v>
      </c>
      <c r="VE17" s="267">
        <v>202</v>
      </c>
      <c r="VF17" s="267">
        <v>279</v>
      </c>
      <c r="VG17" s="267">
        <v>354</v>
      </c>
      <c r="VH17" s="267">
        <v>0</v>
      </c>
      <c r="VI17" s="267">
        <v>403</v>
      </c>
      <c r="VJ17" s="267">
        <v>0</v>
      </c>
      <c r="VK17" s="267">
        <v>0</v>
      </c>
      <c r="VL17" s="257">
        <v>0</v>
      </c>
      <c r="VM17" s="257">
        <v>0</v>
      </c>
      <c r="VN17" s="257">
        <v>0</v>
      </c>
      <c r="VO17" s="257">
        <v>0</v>
      </c>
      <c r="VP17" s="257">
        <v>0</v>
      </c>
      <c r="VQ17" s="257">
        <v>0</v>
      </c>
      <c r="VR17" s="257">
        <v>0</v>
      </c>
      <c r="VS17" s="257">
        <v>0</v>
      </c>
      <c r="VT17" s="257">
        <v>0</v>
      </c>
      <c r="VU17" s="257">
        <v>0</v>
      </c>
      <c r="VV17" s="257">
        <v>0</v>
      </c>
      <c r="VW17" s="257">
        <v>0</v>
      </c>
      <c r="VX17" s="257">
        <v>0</v>
      </c>
      <c r="VY17" s="257">
        <v>0</v>
      </c>
      <c r="VZ17" s="257">
        <v>0</v>
      </c>
      <c r="WA17" s="257">
        <v>0</v>
      </c>
      <c r="WB17" s="257">
        <v>0</v>
      </c>
      <c r="WC17" s="257">
        <v>0</v>
      </c>
      <c r="WD17" s="257">
        <v>0</v>
      </c>
      <c r="WE17" s="257">
        <v>0</v>
      </c>
      <c r="WF17" s="257">
        <v>0</v>
      </c>
      <c r="WG17" s="257">
        <v>0</v>
      </c>
      <c r="WH17" s="257">
        <v>0</v>
      </c>
      <c r="WI17" s="257">
        <v>0</v>
      </c>
      <c r="WJ17" s="257">
        <v>0</v>
      </c>
      <c r="WK17" s="257">
        <v>0</v>
      </c>
      <c r="WL17" s="257">
        <v>0</v>
      </c>
      <c r="WM17" s="257">
        <v>0</v>
      </c>
      <c r="WN17" s="257">
        <v>0</v>
      </c>
      <c r="WO17" s="257">
        <v>0</v>
      </c>
      <c r="WP17" s="257">
        <v>0</v>
      </c>
      <c r="WQ17" s="257">
        <v>0</v>
      </c>
      <c r="WR17" s="257">
        <v>0</v>
      </c>
      <c r="WS17" s="572">
        <v>98.438500000000005</v>
      </c>
      <c r="WT17" s="572">
        <v>78.093173277661805</v>
      </c>
      <c r="WU17" s="572">
        <v>86.313507306889349</v>
      </c>
      <c r="WV17" s="572">
        <v>90.423674321503128</v>
      </c>
      <c r="WW17" s="572">
        <v>138.92364509394574</v>
      </c>
      <c r="WX17" s="247"/>
      <c r="WY17" s="4">
        <v>0</v>
      </c>
      <c r="WZ17" s="4">
        <v>0</v>
      </c>
      <c r="XA17" s="4">
        <v>0</v>
      </c>
      <c r="XB17" s="4">
        <v>0</v>
      </c>
      <c r="XC17" s="1037">
        <v>0</v>
      </c>
      <c r="XD17" s="1037">
        <v>0</v>
      </c>
      <c r="XE17" s="1037">
        <v>0</v>
      </c>
      <c r="XF17" s="1037">
        <v>0</v>
      </c>
      <c r="XG17" s="1037">
        <v>0</v>
      </c>
      <c r="XH17" s="1037">
        <v>0</v>
      </c>
      <c r="XI17" s="1037">
        <v>0</v>
      </c>
      <c r="XJ17" s="1037">
        <v>0</v>
      </c>
      <c r="XK17" s="1037">
        <v>1891.6286897665766</v>
      </c>
      <c r="XL17" s="1037">
        <v>0</v>
      </c>
      <c r="XM17" s="1037">
        <v>0</v>
      </c>
      <c r="XN17" s="1037">
        <v>0</v>
      </c>
      <c r="XO17" s="1037">
        <v>0</v>
      </c>
      <c r="XP17" s="1037">
        <v>0</v>
      </c>
      <c r="XQ17" s="1037">
        <v>1313.6310345601225</v>
      </c>
      <c r="XR17" s="1037">
        <v>1576.3572414721468</v>
      </c>
      <c r="XS17" s="1037">
        <v>1981.7062464221278</v>
      </c>
      <c r="XT17" s="1037">
        <v>0</v>
      </c>
      <c r="XU17" s="1037">
        <v>0</v>
      </c>
      <c r="XV17" s="1037">
        <v>0</v>
      </c>
      <c r="XW17" s="1037">
        <v>0</v>
      </c>
      <c r="XX17" s="1037">
        <v>0</v>
      </c>
      <c r="XY17" s="1037">
        <v>1376.1848933486999</v>
      </c>
      <c r="XZ17" s="1037">
        <v>1651.4218720184397</v>
      </c>
      <c r="YA17" s="1037">
        <v>3044.6214149576331</v>
      </c>
      <c r="YB17" s="1037">
        <v>0</v>
      </c>
      <c r="YC17" s="1037">
        <v>0</v>
      </c>
      <c r="YD17" s="1037">
        <v>0</v>
      </c>
      <c r="YE17" s="1037">
        <v>0</v>
      </c>
      <c r="YF17" s="1037">
        <v>0</v>
      </c>
      <c r="YG17" s="1037">
        <v>2114.3204270539118</v>
      </c>
      <c r="YH17" s="1037">
        <v>2537.1845124646939</v>
      </c>
      <c r="YI17" s="1128">
        <v>2210.8320082444488</v>
      </c>
      <c r="YJ17" s="1128">
        <v>61.412000229012463</v>
      </c>
      <c r="YK17" s="1128">
        <v>491.29600183209971</v>
      </c>
      <c r="YL17" s="1128">
        <v>0</v>
      </c>
      <c r="YM17" s="1128">
        <v>0</v>
      </c>
      <c r="YN17" s="1128">
        <v>0</v>
      </c>
      <c r="YO17" s="1128">
        <v>1535.3000057253116</v>
      </c>
      <c r="YP17" s="1128">
        <v>1842.3600068703738</v>
      </c>
      <c r="YQ17" s="1128">
        <v>2371.6820150362273</v>
      </c>
      <c r="YR17" s="1128">
        <v>65.880055973228536</v>
      </c>
      <c r="YS17" s="1128">
        <v>527.04044778582829</v>
      </c>
      <c r="YT17" s="1128">
        <v>0</v>
      </c>
      <c r="YU17" s="1128">
        <v>0</v>
      </c>
      <c r="YV17" s="1128">
        <v>0</v>
      </c>
      <c r="YW17" s="1128">
        <v>1647.0013993307134</v>
      </c>
      <c r="YX17" s="1128">
        <v>1976.4016791968561</v>
      </c>
      <c r="YY17" s="1128">
        <v>2484.6192538474761</v>
      </c>
      <c r="YZ17" s="1128">
        <v>69.017201495763231</v>
      </c>
      <c r="ZA17" s="1128">
        <v>552.13761196610585</v>
      </c>
      <c r="ZB17" s="1128">
        <v>0</v>
      </c>
      <c r="ZC17" s="1128">
        <v>0</v>
      </c>
      <c r="ZD17" s="1128">
        <v>0</v>
      </c>
      <c r="ZE17" s="1128">
        <v>1725.4300373940807</v>
      </c>
      <c r="ZF17" s="1128">
        <v>2070.5160448728966</v>
      </c>
      <c r="ZG17" s="1128">
        <v>3817.2786718202137</v>
      </c>
      <c r="ZH17" s="1128">
        <v>106.03551866167261</v>
      </c>
      <c r="ZI17" s="1128">
        <v>848.28414929338089</v>
      </c>
      <c r="ZJ17" s="1128">
        <v>0</v>
      </c>
      <c r="ZK17" s="1128">
        <v>0</v>
      </c>
      <c r="ZL17" s="1128">
        <v>0</v>
      </c>
      <c r="ZM17" s="1128">
        <v>2650.8879665418153</v>
      </c>
      <c r="ZN17" s="1128">
        <v>3181.0655598501785</v>
      </c>
      <c r="ZO17" s="1037">
        <v>5883.6658283924844</v>
      </c>
      <c r="ZP17" s="1037">
        <v>163.43516189979124</v>
      </c>
      <c r="ZQ17" s="1037">
        <v>1307.4812951983299</v>
      </c>
      <c r="ZR17" s="1037">
        <v>0</v>
      </c>
      <c r="ZS17" s="1037">
        <v>0</v>
      </c>
      <c r="ZT17" s="1037">
        <v>0</v>
      </c>
      <c r="ZU17" s="1037">
        <v>4085.8790474947809</v>
      </c>
      <c r="ZV17" s="1037">
        <v>4903.0548569937373</v>
      </c>
      <c r="ZW17" s="1037">
        <v>6502.9990734864305</v>
      </c>
      <c r="ZX17" s="1037">
        <v>180.63886315240086</v>
      </c>
      <c r="ZY17" s="1037">
        <v>1445.1109052192069</v>
      </c>
      <c r="ZZ17" s="1037">
        <v>0</v>
      </c>
      <c r="AAA17" s="1037">
        <v>0</v>
      </c>
      <c r="AAB17" s="1037">
        <v>0</v>
      </c>
      <c r="AAC17" s="1037">
        <v>4515.9715788100211</v>
      </c>
      <c r="AAD17" s="1037">
        <v>5419.1658945720255</v>
      </c>
      <c r="AAE17" s="1037">
        <v>6812.665696033403</v>
      </c>
      <c r="AAF17" s="1037">
        <v>189.24071377870564</v>
      </c>
      <c r="AAG17" s="1037">
        <v>1513.9257102296451</v>
      </c>
      <c r="AAH17" s="1037">
        <v>0</v>
      </c>
      <c r="AAI17" s="1037">
        <v>0</v>
      </c>
      <c r="AAJ17" s="1037">
        <v>0</v>
      </c>
      <c r="AAK17" s="1037">
        <v>4731.0178444676412</v>
      </c>
      <c r="AAL17" s="1037">
        <v>5677.2214133611697</v>
      </c>
      <c r="AAM17" s="1037">
        <v>10466.731842087684</v>
      </c>
      <c r="AAN17" s="1037">
        <v>290.74255116910234</v>
      </c>
      <c r="AAO17" s="1037">
        <v>2325.9404093528187</v>
      </c>
      <c r="AAP17" s="1037">
        <v>0</v>
      </c>
      <c r="AAQ17" s="1037">
        <v>0</v>
      </c>
      <c r="AAR17" s="1037">
        <v>0</v>
      </c>
      <c r="AAS17" s="1037">
        <v>7268.5637792275584</v>
      </c>
      <c r="AAT17" s="1037">
        <v>8722.2765350730697</v>
      </c>
      <c r="AAU17" s="1037">
        <v>8094.4978366369323</v>
      </c>
      <c r="AAV17" s="1037">
        <v>224.84716212880369</v>
      </c>
      <c r="AAW17" s="1037">
        <v>1798.7772970304295</v>
      </c>
      <c r="AAX17" s="1037">
        <v>0</v>
      </c>
      <c r="AAY17" s="1037">
        <v>0</v>
      </c>
      <c r="AAZ17" s="1037">
        <v>0</v>
      </c>
      <c r="ABA17" s="1037">
        <v>5621.1790532200921</v>
      </c>
      <c r="ABB17" s="1037">
        <v>6745.41486386411</v>
      </c>
      <c r="ABC17" s="1037">
        <v>8568.6576027115316</v>
      </c>
      <c r="ABD17" s="1037">
        <v>238.01826674198699</v>
      </c>
      <c r="ABE17" s="1037">
        <v>1904.1461339358959</v>
      </c>
      <c r="ABF17" s="1037">
        <v>0</v>
      </c>
      <c r="ABG17" s="1037">
        <v>0</v>
      </c>
      <c r="ABH17" s="1037">
        <v>0</v>
      </c>
      <c r="ABI17" s="1037">
        <v>5950.4566685496748</v>
      </c>
      <c r="ABJ17" s="1037">
        <v>7140.5480022596093</v>
      </c>
      <c r="ABK17" s="1037">
        <v>8976.6889171263665</v>
      </c>
      <c r="ABL17" s="1037">
        <v>249.35246992017684</v>
      </c>
      <c r="ABM17" s="1037">
        <v>1994.8197593614148</v>
      </c>
      <c r="ABN17" s="1037">
        <v>0</v>
      </c>
      <c r="ABO17" s="1037">
        <v>0</v>
      </c>
      <c r="ABP17" s="1037">
        <v>0</v>
      </c>
      <c r="ABQ17" s="1037">
        <v>6233.8117480044211</v>
      </c>
      <c r="ABR17" s="1037">
        <v>7480.5740976053048</v>
      </c>
      <c r="ABS17" s="1037">
        <v>18039.720174892303</v>
      </c>
      <c r="ABT17" s="1037">
        <v>501.10333819145285</v>
      </c>
      <c r="ABU17" s="1037">
        <v>4008.8267055316228</v>
      </c>
      <c r="ABV17" s="1037">
        <v>0</v>
      </c>
      <c r="ABW17" s="1037">
        <v>0</v>
      </c>
      <c r="ABX17" s="1037">
        <v>0</v>
      </c>
      <c r="ABY17" s="1037">
        <v>12527.583454786321</v>
      </c>
      <c r="ABZ17" s="1037">
        <v>15033.100145743585</v>
      </c>
      <c r="ACA17" s="1037">
        <v>10483.622748772063</v>
      </c>
      <c r="ACB17" s="1037">
        <v>291.21174302144618</v>
      </c>
      <c r="ACC17" s="1037">
        <v>2329.6939441715695</v>
      </c>
      <c r="ACD17" s="1037">
        <v>0</v>
      </c>
      <c r="ACE17" s="1037">
        <v>0</v>
      </c>
      <c r="ACF17" s="1037">
        <v>0</v>
      </c>
      <c r="ACG17" s="1037">
        <v>7280.293575536155</v>
      </c>
      <c r="ACH17" s="1037">
        <v>8736.3522906433864</v>
      </c>
      <c r="ACI17" s="1037">
        <v>11208.110167832496</v>
      </c>
      <c r="ACJ17" s="1037">
        <v>311.33639355090264</v>
      </c>
      <c r="ACK17" s="1037">
        <v>2490.6911484072211</v>
      </c>
      <c r="ACL17" s="1037">
        <v>0</v>
      </c>
      <c r="ACM17" s="1037">
        <v>0</v>
      </c>
      <c r="ACN17" s="1037">
        <v>0</v>
      </c>
      <c r="ACO17" s="1037">
        <v>7783.4098387725662</v>
      </c>
      <c r="ACP17" s="1037">
        <v>9340.0918065270798</v>
      </c>
      <c r="ACQ17" s="1037">
        <v>11741.829699634043</v>
      </c>
      <c r="ACR17" s="1037">
        <v>326.16193610094564</v>
      </c>
      <c r="ACS17" s="1037">
        <v>2609.2954888075651</v>
      </c>
      <c r="ACT17" s="1037">
        <v>0</v>
      </c>
      <c r="ACU17" s="1037">
        <v>0</v>
      </c>
      <c r="ACV17" s="1037">
        <v>0</v>
      </c>
      <c r="ACW17" s="1037">
        <v>8154.048402523641</v>
      </c>
      <c r="ACX17" s="1037">
        <v>9784.8580830283681</v>
      </c>
      <c r="ACY17" s="1037">
        <v>18039.720174892303</v>
      </c>
      <c r="ACZ17" s="1037">
        <v>501.10333819145285</v>
      </c>
      <c r="ADA17" s="1037">
        <v>4008.8267055316228</v>
      </c>
      <c r="ADB17" s="1037">
        <v>0</v>
      </c>
      <c r="ADC17" s="1037">
        <v>0</v>
      </c>
      <c r="ADD17" s="1037">
        <v>0</v>
      </c>
      <c r="ADE17" s="1037">
        <v>12527.583454786321</v>
      </c>
      <c r="ADF17" s="1037">
        <v>15033.100145743585</v>
      </c>
      <c r="ADG17" s="1037">
        <v>12801.430499350921</v>
      </c>
      <c r="ADH17" s="1037">
        <v>355.5952916486367</v>
      </c>
      <c r="ADI17" s="1037">
        <v>2844.7623331890936</v>
      </c>
      <c r="ADJ17" s="1037">
        <v>0</v>
      </c>
      <c r="ADK17" s="1037">
        <v>0</v>
      </c>
      <c r="ADL17" s="1037">
        <v>0</v>
      </c>
      <c r="ADM17" s="1037">
        <v>8889.8822912159176</v>
      </c>
      <c r="ADN17" s="1037">
        <v>10667.858749459101</v>
      </c>
      <c r="ADO17" s="1037">
        <v>13771.056861500676</v>
      </c>
      <c r="ADP17" s="1037">
        <v>382.52935726390768</v>
      </c>
      <c r="ADQ17" s="1037">
        <v>3060.2348581112615</v>
      </c>
      <c r="ADR17" s="1037">
        <v>0</v>
      </c>
      <c r="ADS17" s="1037">
        <v>0</v>
      </c>
      <c r="ADT17" s="1037">
        <v>0</v>
      </c>
      <c r="ADU17" s="1037">
        <v>9563.2339315976915</v>
      </c>
      <c r="ADV17" s="1037">
        <v>11475.880717917229</v>
      </c>
      <c r="ADW17" s="1037">
        <v>14426.821473953089</v>
      </c>
      <c r="ADX17" s="1037">
        <v>400.74504094314136</v>
      </c>
      <c r="ADY17" s="1037">
        <v>3205.9603275451309</v>
      </c>
      <c r="ADZ17" s="1037">
        <v>0</v>
      </c>
      <c r="AEA17" s="1037">
        <v>0</v>
      </c>
      <c r="AEB17" s="1037">
        <v>0</v>
      </c>
      <c r="AEC17" s="1037">
        <v>10018.626023578534</v>
      </c>
      <c r="AED17" s="1037">
        <v>12022.351228294241</v>
      </c>
      <c r="AEE17" s="1037">
        <v>22164.843900891567</v>
      </c>
      <c r="AEF17" s="1037">
        <v>615.69010835809911</v>
      </c>
      <c r="AEG17" s="1037">
        <v>4925.5208668647929</v>
      </c>
      <c r="AEH17" s="1037">
        <v>0</v>
      </c>
      <c r="AEI17" s="1037">
        <v>0</v>
      </c>
      <c r="AEJ17" s="1037">
        <v>0</v>
      </c>
      <c r="AEK17" s="1037">
        <v>15392.252708952477</v>
      </c>
      <c r="AEL17" s="1037">
        <v>18470.703250742972</v>
      </c>
      <c r="AEM17" s="1037">
        <v>14762.652442148416</v>
      </c>
      <c r="AEN17" s="1037">
        <v>410.07367894856714</v>
      </c>
      <c r="AEO17" s="1037">
        <v>3280.5894315885371</v>
      </c>
      <c r="AEP17" s="1037">
        <v>0</v>
      </c>
      <c r="AEQ17" s="1037">
        <v>0</v>
      </c>
      <c r="AER17" s="1037">
        <v>0</v>
      </c>
      <c r="AES17" s="1037">
        <v>10251.841973714178</v>
      </c>
      <c r="AET17" s="1037">
        <v>12302.210368457012</v>
      </c>
      <c r="AEU17" s="1037">
        <v>15683.703647820212</v>
      </c>
      <c r="AEV17" s="1037">
        <v>435.65843466167257</v>
      </c>
      <c r="AEW17" s="1037">
        <v>3485.2674772933806</v>
      </c>
      <c r="AEX17" s="1037">
        <v>0</v>
      </c>
      <c r="AEY17" s="1037">
        <v>0</v>
      </c>
      <c r="AEZ17" s="1037">
        <v>0</v>
      </c>
      <c r="AFA17" s="1037">
        <v>10891.460866541815</v>
      </c>
      <c r="AFB17" s="1037">
        <v>13069.753039850177</v>
      </c>
      <c r="AFC17" s="1037">
        <v>16430.546678668794</v>
      </c>
      <c r="AFD17" s="1037">
        <v>456.40407440746657</v>
      </c>
      <c r="AFE17" s="1037">
        <v>3651.2325952597325</v>
      </c>
      <c r="AFF17" s="1037">
        <v>0</v>
      </c>
      <c r="AFG17" s="1037">
        <v>0</v>
      </c>
      <c r="AFH17" s="1037">
        <v>0</v>
      </c>
      <c r="AFI17" s="1037">
        <v>11410.101860186664</v>
      </c>
      <c r="AFJ17" s="1037">
        <v>13692.122232223996</v>
      </c>
      <c r="AFK17" s="1037">
        <v>25243.294442682061</v>
      </c>
      <c r="AFL17" s="1037">
        <v>701.20262340783506</v>
      </c>
      <c r="AFM17" s="1037">
        <v>5609.6209872626805</v>
      </c>
      <c r="AFN17" s="1037">
        <v>0</v>
      </c>
      <c r="AFO17" s="1037">
        <v>0</v>
      </c>
      <c r="AFP17" s="1037">
        <v>0</v>
      </c>
      <c r="AFQ17" s="1037">
        <v>17530.065585195876</v>
      </c>
      <c r="AFR17" s="1037">
        <v>21036.078702235052</v>
      </c>
      <c r="AFS17" s="247">
        <v>5883.6658283924844</v>
      </c>
      <c r="AFT17" s="247">
        <v>163.43516189979124</v>
      </c>
      <c r="AFU17" s="247">
        <v>1307.4812951983299</v>
      </c>
      <c r="AFV17" s="247">
        <v>0</v>
      </c>
      <c r="AFW17" s="247">
        <v>0</v>
      </c>
      <c r="AFX17" s="247">
        <v>0</v>
      </c>
      <c r="AFY17" s="247">
        <v>4085.8790474947809</v>
      </c>
      <c r="AFZ17" s="247">
        <v>4903.0548569937373</v>
      </c>
      <c r="AGA17" s="247">
        <v>6502.9990734864305</v>
      </c>
      <c r="AGB17" s="247">
        <v>180.63886315240086</v>
      </c>
      <c r="AGC17" s="247">
        <v>1445.1109052192069</v>
      </c>
      <c r="AGD17" s="247">
        <v>0</v>
      </c>
      <c r="AGE17" s="247">
        <v>0</v>
      </c>
      <c r="AGF17" s="247">
        <v>0</v>
      </c>
      <c r="AGG17" s="247">
        <v>4515.9715788100211</v>
      </c>
      <c r="AGH17" s="247">
        <v>5419.1658945720255</v>
      </c>
      <c r="AGI17" s="247">
        <v>6812.665696033403</v>
      </c>
      <c r="AGJ17" s="247">
        <v>189.24071377870564</v>
      </c>
      <c r="AGK17" s="247">
        <v>1513.9257102296451</v>
      </c>
      <c r="AGL17" s="247">
        <v>0</v>
      </c>
      <c r="AGM17" s="247">
        <v>0</v>
      </c>
      <c r="AGN17" s="247">
        <v>0</v>
      </c>
      <c r="AGO17" s="247">
        <v>4731.0178444676412</v>
      </c>
      <c r="AGP17" s="247">
        <v>5677.2214133611697</v>
      </c>
      <c r="AGQ17" s="247">
        <v>10466.731842087684</v>
      </c>
      <c r="AGR17" s="247">
        <v>290.74255116910234</v>
      </c>
      <c r="AGS17" s="247">
        <v>2325.9404093528187</v>
      </c>
      <c r="AGT17" s="247">
        <v>0</v>
      </c>
      <c r="AGU17" s="247">
        <v>0</v>
      </c>
      <c r="AGV17" s="247">
        <v>0</v>
      </c>
      <c r="AGW17" s="247">
        <v>7268.5637792275584</v>
      </c>
      <c r="AGX17" s="247">
        <v>8722.2765350730697</v>
      </c>
      <c r="AGY17" s="249">
        <v>0</v>
      </c>
      <c r="AGZ17" s="249">
        <v>0</v>
      </c>
      <c r="AHA17" s="249">
        <v>0</v>
      </c>
      <c r="AHB17" s="249">
        <v>0</v>
      </c>
      <c r="AHC17" s="249">
        <v>0</v>
      </c>
      <c r="AHD17" s="249">
        <v>0</v>
      </c>
      <c r="AHE17" s="249">
        <v>0</v>
      </c>
      <c r="AHF17" s="249">
        <v>0</v>
      </c>
      <c r="AHG17" s="249">
        <v>0</v>
      </c>
      <c r="AHH17" s="249">
        <v>0</v>
      </c>
      <c r="AHI17" s="249">
        <v>0</v>
      </c>
      <c r="AHJ17" s="249">
        <v>0</v>
      </c>
      <c r="AHK17" s="249">
        <v>0</v>
      </c>
      <c r="AHL17" s="249">
        <v>0</v>
      </c>
      <c r="AHM17" s="249">
        <v>0</v>
      </c>
      <c r="AHN17" s="249">
        <v>0</v>
      </c>
      <c r="AHO17" s="249">
        <v>0</v>
      </c>
      <c r="AHP17" s="249">
        <v>0</v>
      </c>
      <c r="AHQ17" s="249">
        <v>0</v>
      </c>
      <c r="AHR17" s="249">
        <v>0</v>
      </c>
      <c r="AHS17" s="249">
        <v>0</v>
      </c>
      <c r="AHT17" s="249">
        <v>0</v>
      </c>
      <c r="AHU17" s="249">
        <v>0</v>
      </c>
      <c r="AHV17" s="249">
        <v>0</v>
      </c>
      <c r="AHW17" s="249">
        <v>0</v>
      </c>
      <c r="AHX17" s="249">
        <v>0</v>
      </c>
      <c r="AHY17" s="249">
        <v>0</v>
      </c>
      <c r="AHZ17" s="249">
        <v>0</v>
      </c>
      <c r="AIA17" s="249">
        <v>0</v>
      </c>
      <c r="AIB17" s="249">
        <v>0</v>
      </c>
      <c r="AIC17" s="249">
        <v>0</v>
      </c>
      <c r="AID17" s="249">
        <v>0</v>
      </c>
      <c r="AIE17" s="249"/>
      <c r="AIF17" s="249"/>
      <c r="AIG17" s="249"/>
      <c r="AIH17" s="249"/>
      <c r="AII17" s="249"/>
      <c r="AIJ17" s="249"/>
      <c r="AIK17" s="249"/>
      <c r="AIL17" s="249"/>
      <c r="AIM17" s="249">
        <v>0</v>
      </c>
      <c r="AIN17" s="249">
        <v>0</v>
      </c>
      <c r="AIO17" s="249">
        <v>0</v>
      </c>
      <c r="AIP17" s="249">
        <v>0</v>
      </c>
      <c r="AIQ17" s="249">
        <v>0</v>
      </c>
      <c r="AIR17" s="249">
        <v>0</v>
      </c>
      <c r="AIS17" s="249">
        <v>0</v>
      </c>
      <c r="AIT17" s="249">
        <v>0</v>
      </c>
      <c r="AIU17" s="134" t="s">
        <v>1216</v>
      </c>
      <c r="AIV17" s="134" t="s">
        <v>1219</v>
      </c>
      <c r="AIW17" s="134" t="s">
        <v>1218</v>
      </c>
      <c r="AIX17" s="134" t="s">
        <v>1217</v>
      </c>
      <c r="AIY17" s="134" t="s">
        <v>1228</v>
      </c>
      <c r="AIZ17" s="134" t="s">
        <v>1229</v>
      </c>
      <c r="AJA17" s="134" t="s">
        <v>1230</v>
      </c>
      <c r="AJB17" s="134" t="s">
        <v>1231</v>
      </c>
      <c r="AJC17" s="134" t="s">
        <v>1232</v>
      </c>
      <c r="AJD17" s="134" t="s">
        <v>1233</v>
      </c>
    </row>
    <row r="18" spans="1:940" ht="18" customHeight="1">
      <c r="A18" s="664" t="s">
        <v>9</v>
      </c>
      <c r="B18" s="669">
        <v>0.4</v>
      </c>
      <c r="C18" s="6">
        <v>0.3</v>
      </c>
      <c r="D18" s="6">
        <v>0.3</v>
      </c>
      <c r="E18" s="74">
        <v>87.843137254901961</v>
      </c>
      <c r="F18" s="72">
        <v>-8</v>
      </c>
      <c r="G18" s="7">
        <v>1.7</v>
      </c>
      <c r="H18" s="7">
        <v>1.7</v>
      </c>
      <c r="I18" s="266">
        <v>350</v>
      </c>
      <c r="J18" s="125">
        <v>0</v>
      </c>
      <c r="K18" s="125">
        <v>0</v>
      </c>
      <c r="L18" s="125">
        <v>0</v>
      </c>
      <c r="M18" s="1">
        <v>895.19880529538739</v>
      </c>
      <c r="N18" s="2">
        <v>12</v>
      </c>
      <c r="O18" s="8">
        <v>0.8</v>
      </c>
      <c r="P18" s="8">
        <v>0.7</v>
      </c>
      <c r="Q18" s="8">
        <v>0.7</v>
      </c>
      <c r="R18" s="7">
        <v>0</v>
      </c>
      <c r="S18" s="7">
        <v>0</v>
      </c>
      <c r="T18" s="7">
        <v>100</v>
      </c>
      <c r="U18" s="7">
        <v>0</v>
      </c>
      <c r="V18" s="71">
        <v>0</v>
      </c>
      <c r="W18" s="119">
        <v>2</v>
      </c>
      <c r="X18" s="120">
        <v>1.5</v>
      </c>
      <c r="Y18" s="119">
        <v>1</v>
      </c>
      <c r="Z18" s="120">
        <v>0.8</v>
      </c>
      <c r="AA18" s="120">
        <v>0.5</v>
      </c>
      <c r="AB18" s="559">
        <v>433.01922201480062</v>
      </c>
      <c r="AC18" s="559">
        <v>470.67306740739195</v>
      </c>
      <c r="AD18" s="559">
        <v>433.37222681535616</v>
      </c>
      <c r="AE18" s="559">
        <v>649.0581599547935</v>
      </c>
      <c r="AF18" s="622">
        <v>0.82209484106305364</v>
      </c>
      <c r="AG18" s="559">
        <v>261.91600618637949</v>
      </c>
      <c r="AH18" s="559">
        <v>284.69131107215162</v>
      </c>
      <c r="AI18" s="559">
        <v>262.12952466968363</v>
      </c>
      <c r="AJ18" s="559">
        <v>392.58931796849708</v>
      </c>
      <c r="AK18" s="622">
        <v>0.96717040125065135</v>
      </c>
      <c r="AL18" s="995">
        <v>0.3</v>
      </c>
      <c r="AM18" s="995">
        <v>0.6</v>
      </c>
      <c r="AN18" s="995">
        <v>1.3</v>
      </c>
      <c r="AO18" s="995">
        <v>1.7</v>
      </c>
      <c r="AP18" s="995">
        <v>2.1</v>
      </c>
      <c r="AQ18" s="995">
        <v>2.5</v>
      </c>
      <c r="AR18" s="995">
        <v>3</v>
      </c>
      <c r="AS18" s="1005">
        <v>0</v>
      </c>
      <c r="AT18" s="1005">
        <v>10</v>
      </c>
      <c r="AU18" s="1005">
        <v>20</v>
      </c>
      <c r="AV18" s="1005">
        <v>70</v>
      </c>
      <c r="AW18" s="1005">
        <v>100</v>
      </c>
      <c r="AX18" s="1">
        <v>11452.017290637184</v>
      </c>
      <c r="AY18" s="5">
        <v>1.83</v>
      </c>
      <c r="AZ18" s="8">
        <v>0.6</v>
      </c>
      <c r="BA18" s="8">
        <v>0.4</v>
      </c>
      <c r="BB18" s="8">
        <v>0.4</v>
      </c>
      <c r="BC18" s="73">
        <v>0.16481681552762376</v>
      </c>
      <c r="BD18" s="73">
        <v>0.17073463250837553</v>
      </c>
      <c r="BE18" s="9">
        <v>4.2128321585382765E-4</v>
      </c>
      <c r="BF18" s="9">
        <v>1.9720938945041499E-3</v>
      </c>
      <c r="BG18" s="9">
        <v>1.0406336514744103</v>
      </c>
      <c r="BH18" s="9">
        <v>33.827219725237256</v>
      </c>
      <c r="BI18" s="9">
        <v>1.3576309547428567</v>
      </c>
      <c r="BJ18" s="9">
        <v>0.23152260210401657</v>
      </c>
      <c r="BK18" s="9">
        <v>62.279146471656908</v>
      </c>
      <c r="BL18" s="9">
        <v>0.21675326733372083</v>
      </c>
      <c r="BM18" s="9">
        <v>6.4596759764253579E-3</v>
      </c>
      <c r="BN18" s="9">
        <v>6.105553852954025E-4</v>
      </c>
      <c r="BO18" s="9">
        <v>0.128283792004417</v>
      </c>
      <c r="BP18" s="9"/>
      <c r="BQ18" s="9">
        <v>0.42297445427109592</v>
      </c>
      <c r="BR18" s="9">
        <v>1.2809451983497542E-2</v>
      </c>
      <c r="BS18" s="9">
        <v>0.47356202071974651</v>
      </c>
      <c r="BT18" s="262">
        <v>261.13475999999997</v>
      </c>
      <c r="BU18" s="262">
        <v>96.5</v>
      </c>
      <c r="BV18" s="262">
        <v>63.215999999999994</v>
      </c>
      <c r="BW18" s="262">
        <v>233.35949490734063</v>
      </c>
      <c r="BX18" s="262">
        <v>157.40783999999999</v>
      </c>
      <c r="BY18" s="68"/>
      <c r="BZ18" s="262">
        <v>256.20808011776955</v>
      </c>
      <c r="CA18" s="262">
        <v>165.17663999999999</v>
      </c>
      <c r="CB18" s="68"/>
      <c r="CC18" s="785">
        <v>0</v>
      </c>
      <c r="CD18" s="262">
        <v>6.585</v>
      </c>
      <c r="CE18" s="262">
        <v>1.3169999999999999</v>
      </c>
      <c r="CF18" s="262">
        <v>38</v>
      </c>
      <c r="CG18" s="262">
        <v>225.83915999999996</v>
      </c>
      <c r="CH18" s="68">
        <v>0.2</v>
      </c>
      <c r="CI18" s="262">
        <v>175.08124000000001</v>
      </c>
      <c r="CJ18" s="262">
        <v>60.4</v>
      </c>
      <c r="CK18" s="262">
        <v>42.384</v>
      </c>
      <c r="CL18" s="262">
        <v>156.45894761061641</v>
      </c>
      <c r="CM18" s="262">
        <v>105.53616</v>
      </c>
      <c r="CN18" s="68"/>
      <c r="CO18" s="262">
        <v>159.24945066654416</v>
      </c>
      <c r="CP18" s="262">
        <v>102.66767999999999</v>
      </c>
      <c r="CQ18" s="68"/>
      <c r="CR18" s="262">
        <v>0</v>
      </c>
      <c r="CS18" s="262">
        <v>4.415</v>
      </c>
      <c r="CT18" s="262">
        <v>0.88300000000000001</v>
      </c>
      <c r="CU18" s="262">
        <v>27</v>
      </c>
      <c r="CV18" s="262">
        <v>151.41683999999998</v>
      </c>
      <c r="CW18" s="68">
        <v>0.2</v>
      </c>
      <c r="CX18" s="120">
        <v>0.3</v>
      </c>
      <c r="CY18" s="120">
        <v>0.7</v>
      </c>
      <c r="CZ18" s="120">
        <v>1.2</v>
      </c>
      <c r="DA18" s="120">
        <v>1.2</v>
      </c>
      <c r="DB18" s="119">
        <v>3</v>
      </c>
      <c r="DC18" s="1005">
        <v>0</v>
      </c>
      <c r="DD18" s="1005">
        <v>10</v>
      </c>
      <c r="DE18" s="1005">
        <v>20</v>
      </c>
      <c r="DF18" s="1005">
        <v>70</v>
      </c>
      <c r="DG18" s="1005">
        <v>100</v>
      </c>
      <c r="DH18" s="2">
        <v>4.4481834076484992</v>
      </c>
      <c r="DI18" s="2">
        <v>18</v>
      </c>
      <c r="DJ18" s="63">
        <v>12</v>
      </c>
      <c r="DK18" s="8">
        <v>1.4</v>
      </c>
      <c r="DL18" s="8">
        <v>1.5</v>
      </c>
      <c r="DM18" s="8">
        <v>1.5</v>
      </c>
      <c r="DN18" s="1030" t="s">
        <v>1004</v>
      </c>
      <c r="DO18" s="1030" t="s">
        <v>1005</v>
      </c>
      <c r="DP18" s="1030" t="s">
        <v>1006</v>
      </c>
      <c r="DQ18" s="1030" t="s">
        <v>1007</v>
      </c>
      <c r="DR18" s="1030" t="s">
        <v>1008</v>
      </c>
      <c r="DS18" s="1030" t="s">
        <v>1009</v>
      </c>
      <c r="DT18" s="1030" t="s">
        <v>997</v>
      </c>
      <c r="DU18" s="1097">
        <v>599.12359428473121</v>
      </c>
      <c r="DV18" s="1097">
        <v>687.01418028951286</v>
      </c>
      <c r="DW18" s="1097">
        <v>323.9910154637542</v>
      </c>
      <c r="DX18" s="1097">
        <v>3190.1049666385361</v>
      </c>
      <c r="DY18" s="1097">
        <v>146.52407276967594</v>
      </c>
      <c r="DZ18" s="1097">
        <v>452.9488657786186</v>
      </c>
      <c r="EA18" s="1097">
        <v>0</v>
      </c>
      <c r="EB18" s="207">
        <v>5.3997066952248289</v>
      </c>
      <c r="EC18" s="207">
        <v>18</v>
      </c>
      <c r="ED18" s="221">
        <v>5</v>
      </c>
      <c r="EE18" s="214">
        <v>1.4</v>
      </c>
      <c r="EF18" s="214">
        <v>1.5</v>
      </c>
      <c r="EG18" s="214">
        <v>1.5</v>
      </c>
      <c r="EH18" s="208" t="s">
        <v>1043</v>
      </c>
      <c r="EI18" s="208" t="s">
        <v>1062</v>
      </c>
      <c r="EJ18" s="210" t="s">
        <v>1075</v>
      </c>
      <c r="EK18" s="208" t="s">
        <v>1090</v>
      </c>
      <c r="EL18" s="208" t="s">
        <v>1102</v>
      </c>
      <c r="EM18" s="208" t="s">
        <v>1112</v>
      </c>
      <c r="EN18" s="204" t="s">
        <v>997</v>
      </c>
      <c r="EO18" s="204" t="s">
        <v>997</v>
      </c>
      <c r="EP18" s="204" t="s">
        <v>997</v>
      </c>
      <c r="EQ18" s="204" t="s">
        <v>997</v>
      </c>
      <c r="ER18" s="204" t="s">
        <v>997</v>
      </c>
      <c r="ES18" s="204" t="s">
        <v>997</v>
      </c>
      <c r="ET18" s="204" t="s">
        <v>997</v>
      </c>
      <c r="EU18" s="204" t="s">
        <v>997</v>
      </c>
      <c r="EV18" s="204" t="s">
        <v>997</v>
      </c>
      <c r="EW18" s="204" t="s">
        <v>997</v>
      </c>
      <c r="EX18" s="204" t="s">
        <v>997</v>
      </c>
      <c r="EY18" s="204" t="s">
        <v>997</v>
      </c>
      <c r="EZ18" s="204" t="s">
        <v>997</v>
      </c>
      <c r="FA18" s="204" t="s">
        <v>997</v>
      </c>
      <c r="FB18" s="204" t="s">
        <v>997</v>
      </c>
      <c r="FC18" s="204" t="s">
        <v>997</v>
      </c>
      <c r="FD18" s="204" t="s">
        <v>997</v>
      </c>
      <c r="FE18" s="204" t="s">
        <v>997</v>
      </c>
      <c r="FF18" s="204" t="s">
        <v>997</v>
      </c>
      <c r="FG18" s="204" t="s">
        <v>997</v>
      </c>
      <c r="FH18" s="204" t="s">
        <v>997</v>
      </c>
      <c r="FI18" s="204" t="s">
        <v>997</v>
      </c>
      <c r="FJ18" s="204" t="s">
        <v>997</v>
      </c>
      <c r="FK18" s="204" t="s">
        <v>997</v>
      </c>
      <c r="FL18" s="204" t="s">
        <v>997</v>
      </c>
      <c r="FM18" s="204" t="s">
        <v>997</v>
      </c>
      <c r="FN18" s="204" t="s">
        <v>997</v>
      </c>
      <c r="FO18" s="204" t="s">
        <v>997</v>
      </c>
      <c r="FP18" s="204" t="s">
        <v>997</v>
      </c>
      <c r="FQ18" s="204" t="s">
        <v>997</v>
      </c>
      <c r="FR18" s="204" t="s">
        <v>997</v>
      </c>
      <c r="FS18" s="204" t="s">
        <v>997</v>
      </c>
      <c r="FT18" s="204" t="s">
        <v>997</v>
      </c>
      <c r="FU18" s="204" t="s">
        <v>997</v>
      </c>
      <c r="FV18" s="204" t="s">
        <v>997</v>
      </c>
      <c r="FW18" s="204" t="s">
        <v>997</v>
      </c>
      <c r="FX18" s="204" t="s">
        <v>997</v>
      </c>
      <c r="FY18" s="204" t="s">
        <v>997</v>
      </c>
      <c r="FZ18" s="204" t="s">
        <v>997</v>
      </c>
      <c r="GA18" s="204" t="s">
        <v>997</v>
      </c>
      <c r="GB18" s="204" t="s">
        <v>997</v>
      </c>
      <c r="GC18" s="204" t="s">
        <v>997</v>
      </c>
      <c r="GD18" s="204" t="s">
        <v>997</v>
      </c>
      <c r="GE18" s="204" t="s">
        <v>997</v>
      </c>
      <c r="GF18" s="204" t="s">
        <v>997</v>
      </c>
      <c r="GG18" s="204" t="s">
        <v>997</v>
      </c>
      <c r="GH18" s="204" t="s">
        <v>997</v>
      </c>
      <c r="GI18" s="204" t="s">
        <v>997</v>
      </c>
      <c r="GJ18" s="204" t="s">
        <v>997</v>
      </c>
      <c r="GK18" s="204" t="s">
        <v>997</v>
      </c>
      <c r="GL18" s="204" t="s">
        <v>997</v>
      </c>
      <c r="GM18" s="204" t="s">
        <v>997</v>
      </c>
      <c r="GN18" s="1051">
        <v>89.018083837642934</v>
      </c>
      <c r="GO18" s="1051">
        <v>19.540554988750891</v>
      </c>
      <c r="GP18" s="1051">
        <v>37.633661459816523</v>
      </c>
      <c r="GQ18" s="1051">
        <v>104.9400175321807</v>
      </c>
      <c r="GR18" s="1051">
        <v>478.3817350949754</v>
      </c>
      <c r="GS18" s="1051">
        <v>103.49256901449546</v>
      </c>
      <c r="GT18" s="1051">
        <v>117.24332993250532</v>
      </c>
      <c r="GU18" s="1051">
        <v>102.76884475565281</v>
      </c>
      <c r="GV18" s="1051">
        <v>137.50760918009883</v>
      </c>
      <c r="GW18" s="1051">
        <v>214.22238061741717</v>
      </c>
      <c r="GX18" s="1051">
        <v>94.084153649541307</v>
      </c>
      <c r="GY18" s="1051">
        <v>111.45353586176432</v>
      </c>
      <c r="GZ18" s="1051">
        <v>159.21933694537759</v>
      </c>
      <c r="HA18" s="1051">
        <v>385.74502996311935</v>
      </c>
      <c r="HB18" s="1051">
        <v>159.21933694537759</v>
      </c>
      <c r="HC18" s="1051">
        <v>83.228289766901923</v>
      </c>
      <c r="HD18" s="1051">
        <v>405.28558495187036</v>
      </c>
      <c r="HE18" s="1051">
        <v>117.24332993250532</v>
      </c>
      <c r="HF18" s="1051">
        <v>80.333392731531418</v>
      </c>
      <c r="HG18" s="1051">
        <v>303.96418871390267</v>
      </c>
      <c r="HH18" s="1051">
        <v>125.92802103861683</v>
      </c>
      <c r="HI18" s="1051">
        <v>212.05120784088928</v>
      </c>
      <c r="HJ18" s="1051">
        <v>759.91047178475674</v>
      </c>
      <c r="HK18" s="1051">
        <v>81.057116990374041</v>
      </c>
      <c r="HL18" s="1051">
        <v>109.28236308523644</v>
      </c>
      <c r="HM18" s="1051">
        <v>84.675738284587183</v>
      </c>
      <c r="HN18" s="1051">
        <v>401.66696365765716</v>
      </c>
      <c r="HO18" s="1051">
        <v>79.609668472688796</v>
      </c>
      <c r="HP18" s="1051">
        <v>108.55863882639383</v>
      </c>
      <c r="HQ18" s="1051">
        <v>132.44153936820047</v>
      </c>
      <c r="HR18" s="1051">
        <v>0</v>
      </c>
      <c r="HS18" s="1051">
        <v>0</v>
      </c>
      <c r="HT18" s="1051">
        <v>0</v>
      </c>
      <c r="HU18" s="1051">
        <v>0</v>
      </c>
      <c r="HV18" s="1051">
        <v>0</v>
      </c>
      <c r="HW18" s="1051">
        <v>0</v>
      </c>
      <c r="HX18" s="1051">
        <v>0</v>
      </c>
      <c r="HY18" s="1051">
        <v>0</v>
      </c>
      <c r="HZ18" s="1051">
        <v>0</v>
      </c>
      <c r="IA18" s="1051">
        <v>0</v>
      </c>
      <c r="IB18" s="1051">
        <v>0</v>
      </c>
      <c r="IC18" s="1051">
        <v>0</v>
      </c>
      <c r="ID18" s="1051">
        <v>0</v>
      </c>
      <c r="IE18" s="1051">
        <v>0</v>
      </c>
      <c r="IF18" s="1051">
        <v>0</v>
      </c>
      <c r="IG18" s="1051">
        <v>0</v>
      </c>
      <c r="IH18" s="1051">
        <v>0</v>
      </c>
      <c r="II18" s="1051">
        <v>0</v>
      </c>
      <c r="IJ18" s="1051">
        <v>0</v>
      </c>
      <c r="IK18" s="1051">
        <v>0</v>
      </c>
      <c r="IL18" s="1051">
        <v>0</v>
      </c>
      <c r="IM18" s="1051">
        <v>0</v>
      </c>
      <c r="IN18" s="1051">
        <v>0</v>
      </c>
      <c r="IO18" s="1051">
        <v>0</v>
      </c>
      <c r="IP18" s="1051">
        <v>0</v>
      </c>
      <c r="IQ18" s="1051">
        <v>0</v>
      </c>
      <c r="IR18" s="1051">
        <v>0</v>
      </c>
      <c r="IS18" s="1051">
        <v>0</v>
      </c>
      <c r="IT18" s="215">
        <v>1439.8069003939363</v>
      </c>
      <c r="IU18" s="207">
        <v>179.9</v>
      </c>
      <c r="IV18" s="216">
        <v>2647.0800000000199</v>
      </c>
      <c r="IW18" s="272">
        <v>12.64</v>
      </c>
      <c r="IX18" s="207">
        <v>50</v>
      </c>
      <c r="IY18" s="204">
        <v>1.4</v>
      </c>
      <c r="IZ18" s="204">
        <v>1.5</v>
      </c>
      <c r="JA18" s="204">
        <v>1.5</v>
      </c>
      <c r="JB18" s="52">
        <v>2</v>
      </c>
      <c r="JC18" s="24">
        <v>1.5</v>
      </c>
      <c r="JD18" s="24">
        <v>0.7</v>
      </c>
      <c r="JE18" s="24">
        <v>0.7</v>
      </c>
      <c r="JF18" s="24">
        <v>0.5</v>
      </c>
      <c r="JG18" s="1">
        <v>26.35122266081386</v>
      </c>
      <c r="JH18" s="216">
        <v>2647.0800000000199</v>
      </c>
      <c r="JI18" s="272">
        <v>12.64</v>
      </c>
      <c r="JJ18" s="207">
        <v>50</v>
      </c>
      <c r="JK18" s="8">
        <v>3.1</v>
      </c>
      <c r="JL18" s="8">
        <v>1.6</v>
      </c>
      <c r="JM18" s="8">
        <v>1.6</v>
      </c>
      <c r="JN18" s="216">
        <v>2</v>
      </c>
      <c r="JO18" s="216">
        <v>2</v>
      </c>
      <c r="JP18" s="216">
        <v>1</v>
      </c>
      <c r="JQ18" s="216">
        <v>1</v>
      </c>
      <c r="JR18" s="214">
        <v>0.5</v>
      </c>
      <c r="JS18" s="1212">
        <v>2000</v>
      </c>
      <c r="JT18" s="215">
        <v>232.81921603432133</v>
      </c>
      <c r="JU18" s="215">
        <v>500</v>
      </c>
      <c r="JV18" s="207">
        <v>2.1</v>
      </c>
      <c r="JW18" s="207">
        <v>0.8</v>
      </c>
      <c r="JX18" s="207">
        <v>0.8</v>
      </c>
      <c r="JY18" s="214">
        <v>2</v>
      </c>
      <c r="JZ18" s="214">
        <v>1.5</v>
      </c>
      <c r="KA18" s="214">
        <v>0.5</v>
      </c>
      <c r="KB18" s="214">
        <v>1</v>
      </c>
      <c r="KC18" s="214">
        <v>0.5</v>
      </c>
      <c r="KD18" s="1186">
        <v>1.6285807680961835</v>
      </c>
      <c r="KE18" s="1186">
        <v>2.3918295103924994E-3</v>
      </c>
      <c r="KF18" s="1186">
        <v>96.654500227223807</v>
      </c>
      <c r="KG18" s="1186"/>
      <c r="KH18" s="1186">
        <v>0.66862796686518855</v>
      </c>
      <c r="KI18" s="1186">
        <v>1.0363637813230007</v>
      </c>
      <c r="KJ18" s="1186">
        <v>9.5354269814314305E-3</v>
      </c>
      <c r="KK18" s="1186"/>
      <c r="KL18" s="1186"/>
      <c r="KM18" s="1187">
        <v>580</v>
      </c>
      <c r="KN18" s="1187">
        <v>580</v>
      </c>
      <c r="KO18" s="1187">
        <v>580</v>
      </c>
      <c r="KP18" s="1187">
        <v>580</v>
      </c>
      <c r="KQ18" s="1187"/>
      <c r="KR18" s="1187">
        <v>580</v>
      </c>
      <c r="KS18" s="1187">
        <v>580</v>
      </c>
      <c r="KT18" s="1187">
        <v>580</v>
      </c>
      <c r="KU18" s="1187">
        <v>580</v>
      </c>
      <c r="KV18" s="262">
        <v>370</v>
      </c>
      <c r="KW18" s="262">
        <v>370</v>
      </c>
      <c r="KX18" s="262">
        <v>370</v>
      </c>
      <c r="KY18" s="262">
        <v>370</v>
      </c>
      <c r="KZ18" s="262"/>
      <c r="LA18" s="262">
        <v>370</v>
      </c>
      <c r="LB18" s="262">
        <v>370</v>
      </c>
      <c r="LC18" s="262">
        <v>370</v>
      </c>
      <c r="LD18" s="262">
        <v>370</v>
      </c>
      <c r="LE18" s="1213">
        <v>0</v>
      </c>
      <c r="LF18" s="1213">
        <v>10</v>
      </c>
      <c r="LG18" s="1213">
        <v>20</v>
      </c>
      <c r="LH18" s="1213">
        <v>70</v>
      </c>
      <c r="LI18" s="1213">
        <v>100</v>
      </c>
      <c r="LJ18" s="1212">
        <v>1000</v>
      </c>
      <c r="LK18" s="1">
        <v>103.61864696140913</v>
      </c>
      <c r="LL18" s="4">
        <v>29</v>
      </c>
      <c r="LM18" s="8">
        <v>1.1000000000000001</v>
      </c>
      <c r="LN18" s="8">
        <v>0.4</v>
      </c>
      <c r="LO18" s="8">
        <v>0.4</v>
      </c>
      <c r="LP18" s="214">
        <v>2</v>
      </c>
      <c r="LQ18" s="214">
        <v>1</v>
      </c>
      <c r="LR18" s="214">
        <v>0.5</v>
      </c>
      <c r="LS18" s="214">
        <v>0.7</v>
      </c>
      <c r="LT18" s="214">
        <v>0.2</v>
      </c>
      <c r="LU18" s="1212">
        <v>1500</v>
      </c>
      <c r="LV18" s="122">
        <v>0</v>
      </c>
      <c r="LW18" s="122">
        <v>0</v>
      </c>
      <c r="LX18" s="122">
        <v>0</v>
      </c>
      <c r="LY18" s="165">
        <v>0</v>
      </c>
      <c r="LZ18" s="165">
        <v>0</v>
      </c>
      <c r="MA18" s="165">
        <v>0</v>
      </c>
      <c r="MB18" s="165">
        <v>0</v>
      </c>
      <c r="MC18" s="165">
        <v>0</v>
      </c>
      <c r="MD18" s="165">
        <v>0</v>
      </c>
      <c r="ME18" s="165">
        <v>0</v>
      </c>
      <c r="MF18" s="165">
        <v>0</v>
      </c>
      <c r="MG18" s="165">
        <v>0</v>
      </c>
      <c r="MH18" s="165">
        <v>0</v>
      </c>
      <c r="MI18" s="165">
        <v>0</v>
      </c>
      <c r="MJ18" s="165">
        <v>0</v>
      </c>
      <c r="MK18" s="165">
        <v>0</v>
      </c>
      <c r="ML18" s="165">
        <v>0</v>
      </c>
      <c r="MM18" s="165">
        <v>0</v>
      </c>
      <c r="MN18" s="165">
        <v>0</v>
      </c>
      <c r="MO18" s="165">
        <v>0</v>
      </c>
      <c r="MP18" s="165">
        <v>0</v>
      </c>
      <c r="MQ18" s="165">
        <v>0</v>
      </c>
      <c r="MR18" s="165">
        <v>0</v>
      </c>
      <c r="MS18" s="165">
        <v>0</v>
      </c>
      <c r="MT18" s="165">
        <v>0</v>
      </c>
      <c r="MU18" s="165">
        <v>0</v>
      </c>
      <c r="MV18" s="165">
        <v>0</v>
      </c>
      <c r="MW18" s="166">
        <v>1.45209651534145</v>
      </c>
      <c r="MX18" s="166">
        <v>0</v>
      </c>
      <c r="MY18" s="166">
        <v>9.2339740341160007E-2</v>
      </c>
      <c r="MZ18" s="166">
        <v>0.42718249509931999</v>
      </c>
      <c r="NA18" s="166">
        <v>1.0550435108851399</v>
      </c>
      <c r="NB18" s="166">
        <v>0</v>
      </c>
      <c r="NC18" s="166">
        <v>1.22237807948984</v>
      </c>
      <c r="ND18" s="166">
        <v>0</v>
      </c>
      <c r="NE18" s="166">
        <v>3.8082232145640001E-2</v>
      </c>
      <c r="NF18" s="166">
        <v>0.25811924099877998</v>
      </c>
      <c r="NG18" s="166">
        <v>-5.4587120771889999E-2</v>
      </c>
      <c r="NH18" s="166">
        <v>0</v>
      </c>
      <c r="NI18" s="166">
        <v>1.1929076523597799</v>
      </c>
      <c r="NJ18" s="166">
        <v>0</v>
      </c>
      <c r="NK18" s="166">
        <v>0.15977164547573999</v>
      </c>
      <c r="NL18" s="166">
        <v>0.34889046219742997</v>
      </c>
      <c r="NM18" s="166">
        <v>0</v>
      </c>
      <c r="NN18" s="166">
        <v>0</v>
      </c>
      <c r="NO18" s="166">
        <v>1.1766390099489501</v>
      </c>
      <c r="NP18" s="166">
        <v>0</v>
      </c>
      <c r="NQ18" s="166">
        <v>6.2428732656630001E-2</v>
      </c>
      <c r="NR18" s="166">
        <v>0.27483464532584001</v>
      </c>
      <c r="NS18" s="166">
        <v>0.45783039953347998</v>
      </c>
      <c r="NT18" s="166">
        <v>0</v>
      </c>
      <c r="NU18" s="166">
        <v>0.94569320959915004</v>
      </c>
      <c r="NV18" s="166">
        <v>0</v>
      </c>
      <c r="NW18" s="166">
        <v>0.22004347615552</v>
      </c>
      <c r="NX18" s="166">
        <v>0.29847790368624999</v>
      </c>
      <c r="NY18" s="166">
        <v>0</v>
      </c>
      <c r="NZ18" s="166">
        <v>0</v>
      </c>
      <c r="OA18" s="166">
        <v>-64.3</v>
      </c>
      <c r="OB18" s="166">
        <v>-18.3</v>
      </c>
      <c r="OC18" s="166">
        <v>-0.46874513985337002</v>
      </c>
      <c r="OD18" s="166">
        <v>0</v>
      </c>
      <c r="OE18" s="166">
        <v>-1.2449880109042399</v>
      </c>
      <c r="OF18" s="166">
        <v>0</v>
      </c>
      <c r="OG18" s="166">
        <v>-9.522607641993E-2</v>
      </c>
      <c r="OH18" s="166">
        <v>0</v>
      </c>
      <c r="OI18" s="166">
        <v>0</v>
      </c>
      <c r="OJ18" s="166">
        <v>0</v>
      </c>
      <c r="OK18" s="166">
        <v>-1.17033815566563</v>
      </c>
      <c r="OL18" s="166">
        <v>0</v>
      </c>
      <c r="OM18" s="166">
        <v>0</v>
      </c>
      <c r="ON18" s="166">
        <v>0</v>
      </c>
      <c r="OO18" s="166">
        <v>0</v>
      </c>
      <c r="OP18" s="166">
        <v>0</v>
      </c>
      <c r="OQ18" s="166">
        <v>0</v>
      </c>
      <c r="OR18" s="166">
        <v>0</v>
      </c>
      <c r="OS18" s="166">
        <v>-3.2216189399199999E-2</v>
      </c>
      <c r="OT18" s="166">
        <v>0</v>
      </c>
      <c r="OU18" s="166">
        <v>0</v>
      </c>
      <c r="OV18" s="166">
        <v>0</v>
      </c>
      <c r="OW18" s="166">
        <v>6.3237341989370005E-2</v>
      </c>
      <c r="OX18" s="166">
        <v>0</v>
      </c>
      <c r="OY18" s="166">
        <v>0</v>
      </c>
      <c r="OZ18" s="166">
        <v>0</v>
      </c>
      <c r="PA18" s="166">
        <v>0</v>
      </c>
      <c r="PB18" s="166">
        <v>0</v>
      </c>
      <c r="PC18" s="166">
        <v>0</v>
      </c>
      <c r="PD18" s="166">
        <v>0</v>
      </c>
      <c r="PE18" s="166">
        <v>-64.3</v>
      </c>
      <c r="PF18" s="166">
        <v>-18.3</v>
      </c>
      <c r="PG18" s="166">
        <v>-0.15628680225793001</v>
      </c>
      <c r="PH18" s="166">
        <v>0</v>
      </c>
      <c r="PI18" s="166">
        <v>3.3292577501759998E-2</v>
      </c>
      <c r="PJ18" s="166">
        <v>0</v>
      </c>
      <c r="PK18" s="166">
        <v>4.73204347219E-2</v>
      </c>
      <c r="PL18" s="166">
        <v>0</v>
      </c>
      <c r="PM18" s="166">
        <v>0</v>
      </c>
      <c r="PN18" s="166">
        <v>0</v>
      </c>
      <c r="PO18" s="166">
        <v>1.01331104917075</v>
      </c>
      <c r="PP18" s="166">
        <v>0</v>
      </c>
      <c r="PQ18" s="166">
        <v>0</v>
      </c>
      <c r="PR18" s="166">
        <v>0</v>
      </c>
      <c r="PS18" s="166">
        <v>0</v>
      </c>
      <c r="PT18" s="166">
        <v>0</v>
      </c>
      <c r="PU18" s="166">
        <v>0</v>
      </c>
      <c r="PV18" s="166">
        <v>0</v>
      </c>
      <c r="PW18" s="166">
        <v>0.48250400565308998</v>
      </c>
      <c r="PX18" s="166">
        <v>0</v>
      </c>
      <c r="PY18" s="166">
        <v>0</v>
      </c>
      <c r="PZ18" s="166">
        <v>0</v>
      </c>
      <c r="QA18" s="166">
        <v>1.8710287900995</v>
      </c>
      <c r="QB18" s="166">
        <v>0</v>
      </c>
      <c r="QC18" s="166">
        <v>0</v>
      </c>
      <c r="QD18" s="166">
        <v>0</v>
      </c>
      <c r="QE18" s="166">
        <v>0</v>
      </c>
      <c r="QF18" s="166">
        <v>0</v>
      </c>
      <c r="QG18" s="166">
        <v>0</v>
      </c>
      <c r="QH18" s="166">
        <v>0</v>
      </c>
      <c r="QI18" s="162">
        <v>0</v>
      </c>
      <c r="QJ18" s="167">
        <v>0</v>
      </c>
      <c r="QK18" s="167">
        <v>0</v>
      </c>
      <c r="QL18" s="167">
        <v>0</v>
      </c>
      <c r="QM18" s="167">
        <v>0</v>
      </c>
      <c r="QN18" s="162">
        <v>0</v>
      </c>
      <c r="QO18" s="162">
        <v>0</v>
      </c>
      <c r="QP18" s="162">
        <v>0</v>
      </c>
      <c r="QQ18" s="162">
        <v>0</v>
      </c>
      <c r="QR18" s="162">
        <v>0</v>
      </c>
      <c r="QS18" s="162">
        <v>0</v>
      </c>
      <c r="QT18" s="162">
        <v>0</v>
      </c>
      <c r="QU18" s="162">
        <v>0</v>
      </c>
      <c r="QV18" s="162">
        <v>0</v>
      </c>
      <c r="QW18" s="162">
        <v>0</v>
      </c>
      <c r="QX18" s="162">
        <v>0</v>
      </c>
      <c r="QY18" s="162">
        <v>0</v>
      </c>
      <c r="QZ18" s="162">
        <v>0</v>
      </c>
      <c r="RA18" s="167">
        <v>0</v>
      </c>
      <c r="RB18" s="167">
        <v>0</v>
      </c>
      <c r="RC18" s="167">
        <v>0</v>
      </c>
      <c r="RD18" s="167">
        <v>0</v>
      </c>
      <c r="RE18" s="167">
        <v>0</v>
      </c>
      <c r="RF18" s="167">
        <v>0</v>
      </c>
      <c r="RG18" s="167">
        <v>0</v>
      </c>
      <c r="RH18" s="167">
        <v>0</v>
      </c>
      <c r="RI18" s="167">
        <v>0</v>
      </c>
      <c r="RJ18" s="167">
        <v>0</v>
      </c>
      <c r="RK18" s="167">
        <v>0</v>
      </c>
      <c r="RL18" s="167">
        <v>0</v>
      </c>
      <c r="RM18" s="166">
        <v>-64.3</v>
      </c>
      <c r="RN18" s="166">
        <v>-18.3</v>
      </c>
      <c r="RO18" s="166">
        <v>-0.45635288235843002</v>
      </c>
      <c r="RP18" s="166">
        <v>0</v>
      </c>
      <c r="RQ18" s="166">
        <v>-1.5542292241404501</v>
      </c>
      <c r="RR18" s="166">
        <v>0</v>
      </c>
      <c r="RS18" s="166">
        <v>-3.245622328456E-2</v>
      </c>
      <c r="RT18" s="166">
        <v>0</v>
      </c>
      <c r="RU18" s="166">
        <v>0</v>
      </c>
      <c r="RV18" s="166">
        <v>0</v>
      </c>
      <c r="RW18" s="166">
        <v>-0.15731441802044999</v>
      </c>
      <c r="RX18" s="166">
        <v>0</v>
      </c>
      <c r="RY18" s="166">
        <v>-0.33770277650898001</v>
      </c>
      <c r="RZ18" s="166">
        <v>0</v>
      </c>
      <c r="SA18" s="166">
        <v>0</v>
      </c>
      <c r="SB18" s="166">
        <v>0</v>
      </c>
      <c r="SC18" s="166">
        <v>-1.65090020760176</v>
      </c>
      <c r="SD18" s="166">
        <v>0</v>
      </c>
      <c r="SE18" s="166">
        <v>0</v>
      </c>
      <c r="SF18" s="166">
        <v>0</v>
      </c>
      <c r="SG18" s="166">
        <v>0</v>
      </c>
      <c r="SH18" s="166">
        <v>0</v>
      </c>
      <c r="SI18" s="166">
        <v>0</v>
      </c>
      <c r="SJ18" s="166">
        <v>0</v>
      </c>
      <c r="SK18" s="166">
        <v>0</v>
      </c>
      <c r="SL18" s="166">
        <v>0</v>
      </c>
      <c r="SM18" s="166">
        <v>0</v>
      </c>
      <c r="SN18" s="166">
        <v>0</v>
      </c>
      <c r="SO18" s="166">
        <v>0</v>
      </c>
      <c r="SP18" s="166">
        <v>0</v>
      </c>
      <c r="SQ18" s="166">
        <v>-64.3</v>
      </c>
      <c r="SR18" s="166">
        <v>-18.3</v>
      </c>
      <c r="SS18" s="166">
        <v>0</v>
      </c>
      <c r="ST18" s="166">
        <v>0</v>
      </c>
      <c r="SU18" s="166">
        <v>0</v>
      </c>
      <c r="SV18" s="166">
        <v>0</v>
      </c>
      <c r="SW18" s="166">
        <v>0</v>
      </c>
      <c r="SX18" s="166">
        <v>0</v>
      </c>
      <c r="SY18" s="166">
        <v>0</v>
      </c>
      <c r="SZ18" s="166">
        <v>0</v>
      </c>
      <c r="TA18" s="166">
        <v>0</v>
      </c>
      <c r="TB18" s="166">
        <v>0</v>
      </c>
      <c r="TC18" s="166">
        <v>0</v>
      </c>
      <c r="TD18" s="166">
        <v>0</v>
      </c>
      <c r="TE18" s="166">
        <v>0</v>
      </c>
      <c r="TF18" s="166">
        <v>0</v>
      </c>
      <c r="TG18" s="166">
        <v>0</v>
      </c>
      <c r="TH18" s="166">
        <v>0</v>
      </c>
      <c r="TI18" s="166">
        <v>0</v>
      </c>
      <c r="TJ18" s="166">
        <v>0</v>
      </c>
      <c r="TK18" s="166">
        <v>0</v>
      </c>
      <c r="TL18" s="166">
        <v>0</v>
      </c>
      <c r="TM18" s="166">
        <v>0</v>
      </c>
      <c r="TN18" s="166">
        <v>0</v>
      </c>
      <c r="TO18" s="166">
        <v>0</v>
      </c>
      <c r="TP18" s="166">
        <v>0</v>
      </c>
      <c r="TQ18" s="166">
        <v>0</v>
      </c>
      <c r="TR18" s="166">
        <v>0</v>
      </c>
      <c r="TS18" s="166">
        <v>0</v>
      </c>
      <c r="TT18" s="166">
        <v>0</v>
      </c>
      <c r="TU18" s="166">
        <v>0.53969021984191001</v>
      </c>
      <c r="TV18" s="166">
        <v>0</v>
      </c>
      <c r="TW18" s="166">
        <v>-1.913233535772E-2</v>
      </c>
      <c r="TX18" s="166">
        <v>0</v>
      </c>
      <c r="TY18" s="166">
        <v>0</v>
      </c>
      <c r="TZ18" s="166">
        <v>0</v>
      </c>
      <c r="UA18" s="166">
        <v>-2.28026132635E-3</v>
      </c>
      <c r="UB18" s="166">
        <v>0</v>
      </c>
      <c r="UC18" s="166">
        <v>0</v>
      </c>
      <c r="UD18" s="166">
        <v>0</v>
      </c>
      <c r="UE18" s="166">
        <v>0.12654728415607999</v>
      </c>
      <c r="UF18" s="166">
        <v>0</v>
      </c>
      <c r="UG18" s="166">
        <v>2.4082336498319999E-2</v>
      </c>
      <c r="UH18" s="166">
        <v>0</v>
      </c>
      <c r="UI18" s="166">
        <v>0</v>
      </c>
      <c r="UJ18" s="166">
        <v>0</v>
      </c>
      <c r="UK18" s="166">
        <v>-8.5576434740000003E-5</v>
      </c>
      <c r="UL18" s="166">
        <v>0</v>
      </c>
      <c r="UM18" s="166">
        <v>0</v>
      </c>
      <c r="UN18" s="166">
        <v>0</v>
      </c>
      <c r="UO18" s="166">
        <v>0</v>
      </c>
      <c r="UP18" s="166">
        <v>0</v>
      </c>
      <c r="UQ18" s="166">
        <v>0</v>
      </c>
      <c r="UR18" s="166">
        <v>0</v>
      </c>
      <c r="US18" s="163">
        <v>0</v>
      </c>
      <c r="UT18" s="163">
        <v>0</v>
      </c>
      <c r="UU18" s="163">
        <v>0</v>
      </c>
      <c r="UV18" s="163">
        <v>0</v>
      </c>
      <c r="UW18" s="163">
        <v>0</v>
      </c>
      <c r="UX18" s="163">
        <v>0</v>
      </c>
      <c r="UY18" s="166">
        <v>-3.030870802351E-2</v>
      </c>
      <c r="UZ18" s="166">
        <v>0</v>
      </c>
      <c r="VA18" s="166">
        <v>0</v>
      </c>
      <c r="VB18" s="166">
        <v>0</v>
      </c>
      <c r="VC18" s="166">
        <v>0</v>
      </c>
      <c r="VD18" s="166">
        <v>0</v>
      </c>
      <c r="VE18" s="267">
        <v>202</v>
      </c>
      <c r="VF18" s="267">
        <v>279</v>
      </c>
      <c r="VG18" s="267">
        <v>354</v>
      </c>
      <c r="VH18" s="267">
        <v>0</v>
      </c>
      <c r="VI18" s="267">
        <v>403</v>
      </c>
      <c r="VJ18" s="267">
        <v>0</v>
      </c>
      <c r="VK18" s="267">
        <v>0</v>
      </c>
      <c r="VL18" s="257">
        <v>0</v>
      </c>
      <c r="VM18" s="257">
        <v>0</v>
      </c>
      <c r="VN18" s="257">
        <v>0</v>
      </c>
      <c r="VO18" s="257">
        <v>0</v>
      </c>
      <c r="VP18" s="257">
        <v>0</v>
      </c>
      <c r="VQ18" s="257">
        <v>0</v>
      </c>
      <c r="VR18" s="257">
        <v>0</v>
      </c>
      <c r="VS18" s="257">
        <v>0</v>
      </c>
      <c r="VT18" s="257">
        <v>0</v>
      </c>
      <c r="VU18" s="257">
        <v>0</v>
      </c>
      <c r="VV18" s="257">
        <v>0</v>
      </c>
      <c r="VW18" s="257">
        <v>0</v>
      </c>
      <c r="VX18" s="257">
        <v>0</v>
      </c>
      <c r="VY18" s="257">
        <v>0</v>
      </c>
      <c r="VZ18" s="257">
        <v>0</v>
      </c>
      <c r="WA18" s="257">
        <v>0</v>
      </c>
      <c r="WB18" s="257">
        <v>0</v>
      </c>
      <c r="WC18" s="257">
        <v>0</v>
      </c>
      <c r="WD18" s="257">
        <v>0</v>
      </c>
      <c r="WE18" s="257">
        <v>0</v>
      </c>
      <c r="WF18" s="257">
        <v>0</v>
      </c>
      <c r="WG18" s="257">
        <v>0</v>
      </c>
      <c r="WH18" s="257">
        <v>0</v>
      </c>
      <c r="WI18" s="257">
        <v>0</v>
      </c>
      <c r="WJ18" s="257">
        <v>0</v>
      </c>
      <c r="WK18" s="257">
        <v>0</v>
      </c>
      <c r="WL18" s="257">
        <v>0</v>
      </c>
      <c r="WM18" s="257">
        <v>0</v>
      </c>
      <c r="WN18" s="257">
        <v>0</v>
      </c>
      <c r="WO18" s="257">
        <v>0</v>
      </c>
      <c r="WP18" s="257">
        <v>0</v>
      </c>
      <c r="WQ18" s="257">
        <v>0</v>
      </c>
      <c r="WR18" s="257">
        <v>0</v>
      </c>
      <c r="WS18" s="572">
        <v>91.661299999999997</v>
      </c>
      <c r="WT18" s="572">
        <v>72.716688935281837</v>
      </c>
      <c r="WU18" s="572">
        <v>80.371077244258871</v>
      </c>
      <c r="WV18" s="572">
        <v>84.19827139874738</v>
      </c>
      <c r="WW18" s="572">
        <v>129.35916242171189</v>
      </c>
      <c r="WX18" s="247">
        <v>15470.29919</v>
      </c>
      <c r="WY18" s="4">
        <v>80</v>
      </c>
      <c r="WZ18" s="4">
        <v>12</v>
      </c>
      <c r="XA18" s="4">
        <v>8</v>
      </c>
      <c r="XB18" s="4">
        <v>0</v>
      </c>
      <c r="XC18" s="1037">
        <v>1928.8669467541197</v>
      </c>
      <c r="XD18" s="1037">
        <v>0</v>
      </c>
      <c r="XE18" s="1037">
        <v>0</v>
      </c>
      <c r="XF18" s="1037">
        <v>0</v>
      </c>
      <c r="XG18" s="1037">
        <v>0</v>
      </c>
      <c r="XH18" s="1037">
        <v>0</v>
      </c>
      <c r="XI18" s="1037">
        <v>1248.090377311489</v>
      </c>
      <c r="XJ18" s="1037">
        <v>170.19414236065757</v>
      </c>
      <c r="XK18" s="1037">
        <v>2069.2024676479955</v>
      </c>
      <c r="XL18" s="1037">
        <v>0</v>
      </c>
      <c r="XM18" s="1037">
        <v>0</v>
      </c>
      <c r="XN18" s="1037">
        <v>0</v>
      </c>
      <c r="XO18" s="1037">
        <v>0</v>
      </c>
      <c r="XP18" s="1037">
        <v>0</v>
      </c>
      <c r="XQ18" s="1037">
        <v>1338.8957143604673</v>
      </c>
      <c r="XR18" s="1037">
        <v>182.5766883218819</v>
      </c>
      <c r="XS18" s="1037">
        <v>2167.7359184883762</v>
      </c>
      <c r="XT18" s="1037">
        <v>0</v>
      </c>
      <c r="XU18" s="1037">
        <v>0</v>
      </c>
      <c r="XV18" s="1037">
        <v>0</v>
      </c>
      <c r="XW18" s="1037">
        <v>0</v>
      </c>
      <c r="XX18" s="1037">
        <v>0</v>
      </c>
      <c r="XY18" s="1037">
        <v>1402.6526531395373</v>
      </c>
      <c r="XZ18" s="1037">
        <v>191.27081633720962</v>
      </c>
      <c r="YA18" s="1037">
        <v>3330.4306384048691</v>
      </c>
      <c r="YB18" s="1037">
        <v>0</v>
      </c>
      <c r="YC18" s="1037">
        <v>0</v>
      </c>
      <c r="YD18" s="1037">
        <v>0</v>
      </c>
      <c r="YE18" s="1037">
        <v>0</v>
      </c>
      <c r="YF18" s="1037">
        <v>0</v>
      </c>
      <c r="YG18" s="1037">
        <v>2154.9845307325622</v>
      </c>
      <c r="YH18" s="1037">
        <v>293.86152691807661</v>
      </c>
      <c r="YI18" s="1037">
        <v>1567.9545091614602</v>
      </c>
      <c r="YJ18" s="1037">
        <v>1291.2566546035555</v>
      </c>
      <c r="YK18" s="1037">
        <v>599.51201820879362</v>
      </c>
      <c r="YL18" s="1037">
        <v>0</v>
      </c>
      <c r="YM18" s="1037">
        <v>0</v>
      </c>
      <c r="YN18" s="1037">
        <v>0</v>
      </c>
      <c r="YO18" s="1037">
        <v>1014.5588000456506</v>
      </c>
      <c r="YP18" s="1037">
        <v>138.34892727895235</v>
      </c>
      <c r="YQ18" s="1037">
        <v>1682.031694812526</v>
      </c>
      <c r="YR18" s="1037">
        <v>1385.2025721985508</v>
      </c>
      <c r="YS18" s="1037">
        <v>643.12976566361283</v>
      </c>
      <c r="YT18" s="1037">
        <v>0</v>
      </c>
      <c r="YU18" s="1037">
        <v>0</v>
      </c>
      <c r="YV18" s="1037">
        <v>0</v>
      </c>
      <c r="YW18" s="1037">
        <v>1088.3734495845756</v>
      </c>
      <c r="YX18" s="1037">
        <v>148.41456130698757</v>
      </c>
      <c r="YY18" s="1037">
        <v>1762.1284421845512</v>
      </c>
      <c r="YZ18" s="1037">
        <v>1451.1645994461012</v>
      </c>
      <c r="ZA18" s="1037">
        <v>673.75499259997548</v>
      </c>
      <c r="ZB18" s="1037">
        <v>0</v>
      </c>
      <c r="ZC18" s="1037">
        <v>0</v>
      </c>
      <c r="ZD18" s="1037">
        <v>0</v>
      </c>
      <c r="ZE18" s="1037">
        <v>1140.2007567076507</v>
      </c>
      <c r="ZF18" s="1037">
        <v>155.48192136922509</v>
      </c>
      <c r="ZG18" s="1037">
        <v>2707.2700611744467</v>
      </c>
      <c r="ZH18" s="1037">
        <v>2229.5165209671914</v>
      </c>
      <c r="ZI18" s="1037">
        <v>1035.1326704490532</v>
      </c>
      <c r="ZJ18" s="1037">
        <v>0</v>
      </c>
      <c r="ZK18" s="1037">
        <v>0</v>
      </c>
      <c r="ZL18" s="1037">
        <v>0</v>
      </c>
      <c r="ZM18" s="1037">
        <v>1751.762980759936</v>
      </c>
      <c r="ZN18" s="1037">
        <v>238.87677010362762</v>
      </c>
      <c r="ZO18" s="1037">
        <v>4172.7821614780796</v>
      </c>
      <c r="ZP18" s="1037">
        <v>3436.4088388643008</v>
      </c>
      <c r="ZQ18" s="1037">
        <v>1595.4755323298539</v>
      </c>
      <c r="ZR18" s="1037">
        <v>0</v>
      </c>
      <c r="ZS18" s="1037">
        <v>0</v>
      </c>
      <c r="ZT18" s="1037">
        <v>0</v>
      </c>
      <c r="ZU18" s="1037">
        <v>2700.0355162505221</v>
      </c>
      <c r="ZV18" s="1037">
        <v>368.18666130688933</v>
      </c>
      <c r="ZW18" s="1037">
        <v>4612.0223890020879</v>
      </c>
      <c r="ZX18" s="1037">
        <v>3798.1360850605429</v>
      </c>
      <c r="ZY18" s="1037">
        <v>1763.4203252066804</v>
      </c>
      <c r="ZZ18" s="1037">
        <v>0</v>
      </c>
      <c r="AAA18" s="1037">
        <v>0</v>
      </c>
      <c r="AAB18" s="1037">
        <v>0</v>
      </c>
      <c r="AAC18" s="1037">
        <v>2984.2497811189978</v>
      </c>
      <c r="AAD18" s="1037">
        <v>406.94315197077242</v>
      </c>
      <c r="AAE18" s="1037">
        <v>4831.6425027640917</v>
      </c>
      <c r="AAF18" s="1037">
        <v>3978.9997081586644</v>
      </c>
      <c r="AAG18" s="1037">
        <v>1847.3927216450941</v>
      </c>
      <c r="AAH18" s="1037">
        <v>0</v>
      </c>
      <c r="AAI18" s="1037">
        <v>0</v>
      </c>
      <c r="AAJ18" s="1037">
        <v>0</v>
      </c>
      <c r="AAK18" s="1037">
        <v>3126.3569135532357</v>
      </c>
      <c r="AAL18" s="1037">
        <v>426.32139730271393</v>
      </c>
      <c r="AAM18" s="1037">
        <v>7423.159845155742</v>
      </c>
      <c r="AAN18" s="1037">
        <v>6113.1904607164934</v>
      </c>
      <c r="AAO18" s="1037">
        <v>2838.2669996183718</v>
      </c>
      <c r="AAP18" s="1037">
        <v>0</v>
      </c>
      <c r="AAQ18" s="1037">
        <v>0</v>
      </c>
      <c r="AAR18" s="1037">
        <v>0</v>
      </c>
      <c r="AAS18" s="1037">
        <v>4803.2210762772447</v>
      </c>
      <c r="AAT18" s="1037">
        <v>654.98469221962421</v>
      </c>
      <c r="AAU18" s="1037">
        <v>5740.7366706395387</v>
      </c>
      <c r="AAV18" s="1037">
        <v>4727.6654934678554</v>
      </c>
      <c r="AAW18" s="1037">
        <v>2194.9875505386472</v>
      </c>
      <c r="AAX18" s="1037">
        <v>0</v>
      </c>
      <c r="AAY18" s="1037">
        <v>0</v>
      </c>
      <c r="AAZ18" s="1037">
        <v>0</v>
      </c>
      <c r="ABA18" s="1037">
        <v>3714.5943162961721</v>
      </c>
      <c r="ABB18" s="1037">
        <v>506.53558858584165</v>
      </c>
      <c r="ABC18" s="1037">
        <v>6077.0177360968682</v>
      </c>
      <c r="ABD18" s="1037">
        <v>5004.6028414915381</v>
      </c>
      <c r="ABE18" s="1037">
        <v>2323.5656049782142</v>
      </c>
      <c r="ABF18" s="1037">
        <v>0</v>
      </c>
      <c r="ABG18" s="1037">
        <v>0</v>
      </c>
      <c r="ABH18" s="1037">
        <v>0</v>
      </c>
      <c r="ABI18" s="1037">
        <v>3932.1879468862085</v>
      </c>
      <c r="ABJ18" s="1037">
        <v>536.20744730266472</v>
      </c>
      <c r="ABK18" s="1037">
        <v>6366.3995330538628</v>
      </c>
      <c r="ABL18" s="1037">
        <v>5242.9172625149458</v>
      </c>
      <c r="ABM18" s="1037">
        <v>2434.2115861676534</v>
      </c>
      <c r="ABN18" s="1037">
        <v>0</v>
      </c>
      <c r="ABO18" s="1037">
        <v>0</v>
      </c>
      <c r="ABP18" s="1037">
        <v>0</v>
      </c>
      <c r="ABQ18" s="1037">
        <v>4119.4349919760289</v>
      </c>
      <c r="ABR18" s="1037">
        <v>561.74113526945837</v>
      </c>
      <c r="ABS18" s="1037">
        <v>12794.034321356661</v>
      </c>
      <c r="ABT18" s="1037">
        <v>10536.263558764309</v>
      </c>
      <c r="ABU18" s="1037">
        <v>4891.8366522834285</v>
      </c>
      <c r="ABV18" s="1037">
        <v>0</v>
      </c>
      <c r="ABW18" s="1037">
        <v>0</v>
      </c>
      <c r="ABX18" s="1037">
        <v>0</v>
      </c>
      <c r="ABY18" s="1037">
        <v>8278.4927961719568</v>
      </c>
      <c r="ABZ18" s="1037">
        <v>1128.8853812961759</v>
      </c>
      <c r="ACA18" s="1037">
        <v>7435.1391240882149</v>
      </c>
      <c r="ACB18" s="1037">
        <v>6123.055749249118</v>
      </c>
      <c r="ACC18" s="1037">
        <v>2842.8473121513762</v>
      </c>
      <c r="ACD18" s="1037">
        <v>0</v>
      </c>
      <c r="ACE18" s="1037">
        <v>0</v>
      </c>
      <c r="ACF18" s="1037">
        <v>0</v>
      </c>
      <c r="ACG18" s="1037">
        <v>4810.9723744100211</v>
      </c>
      <c r="ACH18" s="1037">
        <v>656.04168741954823</v>
      </c>
      <c r="ACI18" s="1037">
        <v>7948.9562351624227</v>
      </c>
      <c r="ACJ18" s="1037">
        <v>6546.199252486701</v>
      </c>
      <c r="ACK18" s="1037">
        <v>3039.3067957973967</v>
      </c>
      <c r="ACL18" s="1037">
        <v>0</v>
      </c>
      <c r="ACM18" s="1037">
        <v>0</v>
      </c>
      <c r="ACN18" s="1037">
        <v>0</v>
      </c>
      <c r="ACO18" s="1037">
        <v>5143.4422698109793</v>
      </c>
      <c r="ACP18" s="1037">
        <v>701.37849133786074</v>
      </c>
      <c r="ACQ18" s="1037">
        <v>8327.4779606463471</v>
      </c>
      <c r="ACR18" s="1037">
        <v>6857.923026414639</v>
      </c>
      <c r="ACS18" s="1037">
        <v>3184.0356908353679</v>
      </c>
      <c r="ACT18" s="1037">
        <v>0</v>
      </c>
      <c r="ACU18" s="1037">
        <v>0</v>
      </c>
      <c r="ACV18" s="1037">
        <v>0</v>
      </c>
      <c r="ACW18" s="1037">
        <v>5388.36809218293</v>
      </c>
      <c r="ACX18" s="1037">
        <v>734.77746711585405</v>
      </c>
      <c r="ACY18" s="1037">
        <v>12794.034321356661</v>
      </c>
      <c r="ACZ18" s="1037">
        <v>10536.263558764309</v>
      </c>
      <c r="ADA18" s="1037">
        <v>4891.8366522834285</v>
      </c>
      <c r="ADB18" s="1037">
        <v>0</v>
      </c>
      <c r="ADC18" s="1037">
        <v>0</v>
      </c>
      <c r="ADD18" s="1037">
        <v>0</v>
      </c>
      <c r="ADE18" s="1037">
        <v>8278.4927961719568</v>
      </c>
      <c r="ADF18" s="1037">
        <v>1128.8853812961759</v>
      </c>
      <c r="ADG18" s="1037">
        <v>9078.9623998220031</v>
      </c>
      <c r="ADH18" s="1037">
        <v>7476.7925645592977</v>
      </c>
      <c r="ADI18" s="1037">
        <v>3471.367976402531</v>
      </c>
      <c r="ADJ18" s="1037">
        <v>0</v>
      </c>
      <c r="ADK18" s="1037">
        <v>0</v>
      </c>
      <c r="ADL18" s="1037">
        <v>0</v>
      </c>
      <c r="ADM18" s="1037">
        <v>5874.6227292965905</v>
      </c>
      <c r="ADN18" s="1037">
        <v>801.08491763135316</v>
      </c>
      <c r="ADO18" s="1037">
        <v>9766.635647298539</v>
      </c>
      <c r="ADP18" s="1037">
        <v>8043.1117095399732</v>
      </c>
      <c r="ADQ18" s="1037">
        <v>3734.3018651435586</v>
      </c>
      <c r="ADR18" s="1037">
        <v>0</v>
      </c>
      <c r="ADS18" s="1037">
        <v>0</v>
      </c>
      <c r="ADT18" s="1037">
        <v>0</v>
      </c>
      <c r="ADU18" s="1037">
        <v>6319.5877717814064</v>
      </c>
      <c r="ADV18" s="1037">
        <v>861.76196887928268</v>
      </c>
      <c r="ADW18" s="1037">
        <v>10231.713535265137</v>
      </c>
      <c r="ADX18" s="1037">
        <v>8426.1170290418759</v>
      </c>
      <c r="ADY18" s="1037">
        <v>3912.1257634837284</v>
      </c>
      <c r="ADZ18" s="1037">
        <v>0</v>
      </c>
      <c r="AEA18" s="1037">
        <v>0</v>
      </c>
      <c r="AEB18" s="1037">
        <v>0</v>
      </c>
      <c r="AEC18" s="1037">
        <v>6620.5205228186169</v>
      </c>
      <c r="AED18" s="1037">
        <v>902.79825311162949</v>
      </c>
      <c r="AEE18" s="1037">
        <v>15719.632613270984</v>
      </c>
      <c r="AEF18" s="1037">
        <v>12945.579799164339</v>
      </c>
      <c r="AEG18" s="1037">
        <v>6010.4477638977287</v>
      </c>
      <c r="AEH18" s="1037">
        <v>0</v>
      </c>
      <c r="AEI18" s="1037">
        <v>0</v>
      </c>
      <c r="AEJ18" s="1037">
        <v>0</v>
      </c>
      <c r="AEK18" s="1037">
        <v>10171.526985057695</v>
      </c>
      <c r="AEL18" s="1037">
        <v>1387.0264070533219</v>
      </c>
      <c r="AEM18" s="1037">
        <v>10469.889786981365</v>
      </c>
      <c r="AEN18" s="1037">
        <v>8622.2621775140651</v>
      </c>
      <c r="AEO18" s="1037">
        <v>4003.1931538458157</v>
      </c>
      <c r="AEP18" s="1037">
        <v>0</v>
      </c>
      <c r="AEQ18" s="1037">
        <v>0</v>
      </c>
      <c r="AER18" s="1037">
        <v>0</v>
      </c>
      <c r="AES18" s="1037">
        <v>6774.6345680467648</v>
      </c>
      <c r="AET18" s="1037">
        <v>923.8138047336497</v>
      </c>
      <c r="AEU18" s="1037">
        <v>11123.112820534447</v>
      </c>
      <c r="AEV18" s="1037">
        <v>9160.2105580871921</v>
      </c>
      <c r="AEW18" s="1037">
        <v>4252.954901969053</v>
      </c>
      <c r="AEX18" s="1037">
        <v>0</v>
      </c>
      <c r="AEY18" s="1037">
        <v>0</v>
      </c>
      <c r="AEZ18" s="1037">
        <v>0</v>
      </c>
      <c r="AFA18" s="1037">
        <v>7197.3082956399357</v>
      </c>
      <c r="AFB18" s="1037">
        <v>981.4511312236275</v>
      </c>
      <c r="AFC18" s="1037">
        <v>11652.784859607515</v>
      </c>
      <c r="AFD18" s="1037">
        <v>9596.4110608532483</v>
      </c>
      <c r="AFE18" s="1037">
        <v>4455.4765639675788</v>
      </c>
      <c r="AFF18" s="1037">
        <v>0</v>
      </c>
      <c r="AFG18" s="1037">
        <v>0</v>
      </c>
      <c r="AFH18" s="1037">
        <v>0</v>
      </c>
      <c r="AFI18" s="1037">
        <v>7540.0372620989801</v>
      </c>
      <c r="AFJ18" s="1037">
        <v>1028.1868993771336</v>
      </c>
      <c r="AFK18" s="1037">
        <v>17902.914920669729</v>
      </c>
      <c r="AFL18" s="1037">
        <v>14743.576993492719</v>
      </c>
      <c r="AFM18" s="1037">
        <v>6845.2321755501907</v>
      </c>
      <c r="AFN18" s="1037">
        <v>0</v>
      </c>
      <c r="AFO18" s="1037">
        <v>0</v>
      </c>
      <c r="AFP18" s="1037">
        <v>0</v>
      </c>
      <c r="AFQ18" s="1037">
        <v>11584.239066315708</v>
      </c>
      <c r="AFR18" s="1037">
        <v>1579.6689635885054</v>
      </c>
      <c r="AFS18" s="247">
        <v>4172.7821614780796</v>
      </c>
      <c r="AFT18" s="247">
        <v>3436.4088388643008</v>
      </c>
      <c r="AFU18" s="247">
        <v>1595.4755323298539</v>
      </c>
      <c r="AFV18" s="247">
        <v>0</v>
      </c>
      <c r="AFW18" s="247">
        <v>0</v>
      </c>
      <c r="AFX18" s="247">
        <v>0</v>
      </c>
      <c r="AFY18" s="247">
        <v>2700.0355162505221</v>
      </c>
      <c r="AFZ18" s="247">
        <v>368.18666130688933</v>
      </c>
      <c r="AGA18" s="247">
        <v>4612.0223890020879</v>
      </c>
      <c r="AGB18" s="247">
        <v>3798.1360850605429</v>
      </c>
      <c r="AGC18" s="247">
        <v>1763.4203252066804</v>
      </c>
      <c r="AGD18" s="247">
        <v>0</v>
      </c>
      <c r="AGE18" s="247">
        <v>0</v>
      </c>
      <c r="AGF18" s="247">
        <v>0</v>
      </c>
      <c r="AGG18" s="247">
        <v>2984.2497811189978</v>
      </c>
      <c r="AGH18" s="247">
        <v>406.94315197077242</v>
      </c>
      <c r="AGI18" s="247">
        <v>4831.6425027640917</v>
      </c>
      <c r="AGJ18" s="247">
        <v>3978.9997081586644</v>
      </c>
      <c r="AGK18" s="247">
        <v>1847.3927216450941</v>
      </c>
      <c r="AGL18" s="247">
        <v>0</v>
      </c>
      <c r="AGM18" s="247">
        <v>0</v>
      </c>
      <c r="AGN18" s="247">
        <v>0</v>
      </c>
      <c r="AGO18" s="247">
        <v>3126.3569135532357</v>
      </c>
      <c r="AGP18" s="247">
        <v>426.32139730271393</v>
      </c>
      <c r="AGQ18" s="247">
        <v>7423.159845155742</v>
      </c>
      <c r="AGR18" s="247">
        <v>6113.1904607164934</v>
      </c>
      <c r="AGS18" s="247">
        <v>2838.2669996183718</v>
      </c>
      <c r="AGT18" s="247">
        <v>0</v>
      </c>
      <c r="AGU18" s="247">
        <v>0</v>
      </c>
      <c r="AGV18" s="247">
        <v>0</v>
      </c>
      <c r="AGW18" s="247">
        <v>4803.2210762772447</v>
      </c>
      <c r="AGX18" s="247">
        <v>654.98469221962421</v>
      </c>
      <c r="AGY18" s="249">
        <v>0</v>
      </c>
      <c r="AGZ18" s="249">
        <v>0</v>
      </c>
      <c r="AHA18" s="249">
        <v>0</v>
      </c>
      <c r="AHB18" s="249">
        <v>0</v>
      </c>
      <c r="AHC18" s="249">
        <v>0</v>
      </c>
      <c r="AHD18" s="249">
        <v>0</v>
      </c>
      <c r="AHE18" s="249">
        <v>0</v>
      </c>
      <c r="AHF18" s="249">
        <v>0</v>
      </c>
      <c r="AHG18" s="249">
        <v>111.91763379913995</v>
      </c>
      <c r="AHH18" s="249">
        <v>70.222829050440751</v>
      </c>
      <c r="AHI18" s="249">
        <v>26.33356089391528</v>
      </c>
      <c r="AHJ18" s="249">
        <v>0</v>
      </c>
      <c r="AHK18" s="249">
        <v>0</v>
      </c>
      <c r="AHL18" s="249">
        <v>0</v>
      </c>
      <c r="AHM18" s="249">
        <v>4.3889268156525469</v>
      </c>
      <c r="AHN18" s="249">
        <v>6.58339022347882</v>
      </c>
      <c r="AHO18" s="249">
        <v>180.05346481194982</v>
      </c>
      <c r="AHP18" s="249">
        <v>112.97472301926264</v>
      </c>
      <c r="AHQ18" s="249">
        <v>42.365521132223485</v>
      </c>
      <c r="AHR18" s="249">
        <v>0</v>
      </c>
      <c r="AHS18" s="249">
        <v>0</v>
      </c>
      <c r="AHT18" s="249">
        <v>0</v>
      </c>
      <c r="AHU18" s="249">
        <v>7.060920188703915</v>
      </c>
      <c r="AHV18" s="249">
        <v>10.591380283055871</v>
      </c>
      <c r="AHW18" s="249">
        <v>0</v>
      </c>
      <c r="AHX18" s="249">
        <v>0</v>
      </c>
      <c r="AHY18" s="249">
        <v>0</v>
      </c>
      <c r="AHZ18" s="249">
        <v>0</v>
      </c>
      <c r="AIA18" s="249">
        <v>0</v>
      </c>
      <c r="AIB18" s="249">
        <v>0</v>
      </c>
      <c r="AIC18" s="249">
        <v>0</v>
      </c>
      <c r="AID18" s="249">
        <v>0</v>
      </c>
      <c r="AIE18" s="249"/>
      <c r="AIF18" s="249"/>
      <c r="AIG18" s="249"/>
      <c r="AIH18" s="249"/>
      <c r="AII18" s="249"/>
      <c r="AIJ18" s="249"/>
      <c r="AIK18" s="249"/>
      <c r="AIL18" s="249"/>
      <c r="AIM18" s="249">
        <v>125.13204797077609</v>
      </c>
      <c r="AIN18" s="249">
        <v>78.514226177741861</v>
      </c>
      <c r="AIO18" s="249">
        <v>29.442834816653196</v>
      </c>
      <c r="AIP18" s="249">
        <v>0</v>
      </c>
      <c r="AIQ18" s="249">
        <v>0</v>
      </c>
      <c r="AIR18" s="249">
        <v>0</v>
      </c>
      <c r="AIS18" s="249">
        <v>4.9071391361088663</v>
      </c>
      <c r="AIT18" s="249">
        <v>7.360708704163299</v>
      </c>
      <c r="AIU18" s="134" t="s">
        <v>1216</v>
      </c>
      <c r="AIV18" s="134" t="s">
        <v>1219</v>
      </c>
      <c r="AIW18" s="134" t="s">
        <v>1218</v>
      </c>
      <c r="AIX18" s="134" t="s">
        <v>1217</v>
      </c>
      <c r="AIY18" s="134" t="s">
        <v>1228</v>
      </c>
      <c r="AIZ18" s="134" t="s">
        <v>1229</v>
      </c>
      <c r="AJA18" s="134" t="s">
        <v>1230</v>
      </c>
      <c r="AJB18" s="134" t="s">
        <v>1231</v>
      </c>
      <c r="AJC18" s="134" t="s">
        <v>1232</v>
      </c>
      <c r="AJD18" s="134" t="s">
        <v>1233</v>
      </c>
    </row>
    <row r="19" spans="1:940" ht="18" customHeight="1">
      <c r="A19" s="664" t="s">
        <v>27</v>
      </c>
      <c r="B19" s="669">
        <v>-0.1</v>
      </c>
      <c r="C19" s="6">
        <v>-0.3</v>
      </c>
      <c r="D19" s="6">
        <v>-0.3</v>
      </c>
      <c r="E19" s="74">
        <v>389.82035928143716</v>
      </c>
      <c r="F19" s="75">
        <v>-1.2</v>
      </c>
      <c r="G19" s="7">
        <v>-4.7</v>
      </c>
      <c r="H19" s="7">
        <v>-4.7</v>
      </c>
      <c r="I19" s="266">
        <v>350</v>
      </c>
      <c r="J19" s="125">
        <v>0</v>
      </c>
      <c r="K19" s="125">
        <v>0</v>
      </c>
      <c r="L19" s="125">
        <v>0</v>
      </c>
      <c r="M19" s="1">
        <v>765.97304136655305</v>
      </c>
      <c r="N19" s="2">
        <v>12</v>
      </c>
      <c r="O19" s="8">
        <v>0.3</v>
      </c>
      <c r="P19" s="8">
        <v>0.3</v>
      </c>
      <c r="Q19" s="8">
        <v>0.3</v>
      </c>
      <c r="R19" s="7">
        <v>0.1</v>
      </c>
      <c r="S19" s="7">
        <v>0</v>
      </c>
      <c r="T19" s="7">
        <v>98.5</v>
      </c>
      <c r="U19" s="7">
        <v>1.3</v>
      </c>
      <c r="V19" s="71">
        <v>0</v>
      </c>
      <c r="W19" s="119">
        <v>2</v>
      </c>
      <c r="X19" s="120">
        <v>1.5</v>
      </c>
      <c r="Y19" s="119">
        <v>1</v>
      </c>
      <c r="Z19" s="120">
        <v>0.8</v>
      </c>
      <c r="AA19" s="120">
        <v>0.5</v>
      </c>
      <c r="AB19" s="559">
        <v>433.01922201480062</v>
      </c>
      <c r="AC19" s="559">
        <v>470.67306740739195</v>
      </c>
      <c r="AD19" s="559">
        <v>433.37222681535616</v>
      </c>
      <c r="AE19" s="559">
        <v>649.0581599547935</v>
      </c>
      <c r="AF19" s="622">
        <v>0.82209484106305364</v>
      </c>
      <c r="AG19" s="559">
        <v>261.91600618637949</v>
      </c>
      <c r="AH19" s="559">
        <v>284.69131107215162</v>
      </c>
      <c r="AI19" s="559">
        <v>262.12952466968363</v>
      </c>
      <c r="AJ19" s="559">
        <v>392.58931796849708</v>
      </c>
      <c r="AK19" s="622">
        <v>0.96717040125065135</v>
      </c>
      <c r="AL19" s="995">
        <v>0.3</v>
      </c>
      <c r="AM19" s="995">
        <v>0.6</v>
      </c>
      <c r="AN19" s="995">
        <v>1.4</v>
      </c>
      <c r="AO19" s="995">
        <v>1.9</v>
      </c>
      <c r="AP19" s="995">
        <v>2.2999999999999998</v>
      </c>
      <c r="AQ19" s="995">
        <v>2.8</v>
      </c>
      <c r="AR19" s="995">
        <v>3.3</v>
      </c>
      <c r="AS19" s="1005">
        <v>0</v>
      </c>
      <c r="AT19" s="1005">
        <v>10</v>
      </c>
      <c r="AU19" s="1005">
        <v>20</v>
      </c>
      <c r="AV19" s="1005">
        <v>70</v>
      </c>
      <c r="AW19" s="1005">
        <v>100</v>
      </c>
      <c r="AX19" s="1">
        <v>11266.430787082507</v>
      </c>
      <c r="AY19" s="5">
        <v>1.49</v>
      </c>
      <c r="AZ19" s="8">
        <v>0.4</v>
      </c>
      <c r="BA19" s="8">
        <v>0.2</v>
      </c>
      <c r="BB19" s="8">
        <v>0.2</v>
      </c>
      <c r="BC19" s="73">
        <v>0.17869986518280181</v>
      </c>
      <c r="BD19" s="73">
        <v>0.18051752683176164</v>
      </c>
      <c r="BE19" s="9">
        <v>0.76263477223833032</v>
      </c>
      <c r="BF19" s="9">
        <v>0.16875310389059275</v>
      </c>
      <c r="BG19" s="9">
        <v>2.0387451772289449</v>
      </c>
      <c r="BH19" s="9">
        <v>64.597221500818222</v>
      </c>
      <c r="BI19" s="9"/>
      <c r="BJ19" s="9"/>
      <c r="BK19" s="9">
        <v>31.023779369041016</v>
      </c>
      <c r="BL19" s="9"/>
      <c r="BM19" s="9"/>
      <c r="BN19" s="9"/>
      <c r="BO19" s="9"/>
      <c r="BP19" s="9"/>
      <c r="BQ19" s="9"/>
      <c r="BR19" s="9">
        <v>1.1283903621156077</v>
      </c>
      <c r="BS19" s="9">
        <v>0.28047571466728038</v>
      </c>
      <c r="BT19" s="262">
        <v>261.13475999999997</v>
      </c>
      <c r="BU19" s="262">
        <v>96.5</v>
      </c>
      <c r="BV19" s="262">
        <v>63.215999999999994</v>
      </c>
      <c r="BW19" s="262">
        <v>233.35949490734063</v>
      </c>
      <c r="BX19" s="262">
        <v>157.40783999999999</v>
      </c>
      <c r="BY19" s="68"/>
      <c r="BZ19" s="262">
        <v>256.20808011776955</v>
      </c>
      <c r="CA19" s="262">
        <v>165.17663999999999</v>
      </c>
      <c r="CB19" s="68"/>
      <c r="CC19" s="785">
        <v>0</v>
      </c>
      <c r="CD19" s="262">
        <v>6.585</v>
      </c>
      <c r="CE19" s="262">
        <v>1.3169999999999999</v>
      </c>
      <c r="CF19" s="262">
        <v>38</v>
      </c>
      <c r="CG19" s="262">
        <v>225.83915999999996</v>
      </c>
      <c r="CH19" s="68">
        <v>0.2</v>
      </c>
      <c r="CI19" s="262">
        <v>175.08124000000001</v>
      </c>
      <c r="CJ19" s="262">
        <v>60.4</v>
      </c>
      <c r="CK19" s="262">
        <v>42.384</v>
      </c>
      <c r="CL19" s="262">
        <v>156.45894761061641</v>
      </c>
      <c r="CM19" s="262">
        <v>105.53616</v>
      </c>
      <c r="CN19" s="68"/>
      <c r="CO19" s="262">
        <v>159.24945066654416</v>
      </c>
      <c r="CP19" s="262">
        <v>102.66767999999999</v>
      </c>
      <c r="CQ19" s="68"/>
      <c r="CR19" s="262">
        <v>0</v>
      </c>
      <c r="CS19" s="262">
        <v>4.415</v>
      </c>
      <c r="CT19" s="262">
        <v>0.88300000000000001</v>
      </c>
      <c r="CU19" s="262">
        <v>27</v>
      </c>
      <c r="CV19" s="262">
        <v>151.41683999999998</v>
      </c>
      <c r="CW19" s="68">
        <v>0.2</v>
      </c>
      <c r="CX19" s="120">
        <v>0.3</v>
      </c>
      <c r="CY19" s="120">
        <v>0.7</v>
      </c>
      <c r="CZ19" s="120">
        <v>1.2</v>
      </c>
      <c r="DA19" s="120">
        <v>1.2</v>
      </c>
      <c r="DB19" s="119">
        <v>3</v>
      </c>
      <c r="DC19" s="1005">
        <v>0</v>
      </c>
      <c r="DD19" s="1005">
        <v>10</v>
      </c>
      <c r="DE19" s="1005">
        <v>20</v>
      </c>
      <c r="DF19" s="1005">
        <v>70</v>
      </c>
      <c r="DG19" s="1005">
        <v>100</v>
      </c>
      <c r="DH19" s="2">
        <v>5.8792460661687311</v>
      </c>
      <c r="DI19" s="2">
        <v>18</v>
      </c>
      <c r="DJ19" s="63">
        <v>12</v>
      </c>
      <c r="DK19" s="8">
        <v>1.2</v>
      </c>
      <c r="DL19" s="8">
        <v>1.2</v>
      </c>
      <c r="DM19" s="8">
        <v>1.2</v>
      </c>
      <c r="DN19" s="1030" t="s">
        <v>1010</v>
      </c>
      <c r="DO19" s="1030" t="s">
        <v>1011</v>
      </c>
      <c r="DP19" s="1030" t="s">
        <v>1012</v>
      </c>
      <c r="DQ19" s="1030" t="s">
        <v>1013</v>
      </c>
      <c r="DR19" s="1030" t="s">
        <v>997</v>
      </c>
      <c r="DS19" s="1030" t="s">
        <v>997</v>
      </c>
      <c r="DT19" s="1030" t="s">
        <v>997</v>
      </c>
      <c r="DU19" s="1097">
        <v>3569.1233646032856</v>
      </c>
      <c r="DV19" s="1097">
        <v>1993.8119039825283</v>
      </c>
      <c r="DW19" s="1097">
        <v>2439.5272931957988</v>
      </c>
      <c r="DX19" s="1097">
        <v>797.53743821838771</v>
      </c>
      <c r="DY19" s="1097">
        <v>0</v>
      </c>
      <c r="DZ19" s="1097">
        <v>0</v>
      </c>
      <c r="EA19" s="1097">
        <v>0</v>
      </c>
      <c r="EB19" s="207">
        <v>8.8000000000000007</v>
      </c>
      <c r="EC19" s="207">
        <v>18</v>
      </c>
      <c r="ED19" s="221">
        <v>5</v>
      </c>
      <c r="EE19" s="214">
        <v>1.2</v>
      </c>
      <c r="EF19" s="214">
        <v>1.2</v>
      </c>
      <c r="EG19" s="214">
        <v>1.2</v>
      </c>
      <c r="EH19" s="208" t="s">
        <v>1044</v>
      </c>
      <c r="EI19" s="208" t="s">
        <v>1063</v>
      </c>
      <c r="EJ19" s="210" t="s">
        <v>1010</v>
      </c>
      <c r="EK19" s="208" t="s">
        <v>1091</v>
      </c>
      <c r="EL19" s="212" t="s">
        <v>1103</v>
      </c>
      <c r="EM19" s="212" t="s">
        <v>1113</v>
      </c>
      <c r="EN19" s="208" t="s">
        <v>1119</v>
      </c>
      <c r="EO19" s="208" t="s">
        <v>1124</v>
      </c>
      <c r="EP19" s="208" t="s">
        <v>1130</v>
      </c>
      <c r="EQ19" s="208" t="s">
        <v>1136</v>
      </c>
      <c r="ER19" s="208" t="s">
        <v>1140</v>
      </c>
      <c r="ES19" s="208" t="s">
        <v>1145</v>
      </c>
      <c r="ET19" s="208" t="s">
        <v>1148</v>
      </c>
      <c r="EU19" s="208" t="s">
        <v>1152</v>
      </c>
      <c r="EV19" s="208" t="s">
        <v>1154</v>
      </c>
      <c r="EW19" s="208" t="s">
        <v>1156</v>
      </c>
      <c r="EX19" s="208" t="s">
        <v>1157</v>
      </c>
      <c r="EY19" s="208" t="s">
        <v>1159</v>
      </c>
      <c r="EZ19" s="208" t="s">
        <v>1160</v>
      </c>
      <c r="FA19" s="208" t="s">
        <v>1161</v>
      </c>
      <c r="FB19" s="208" t="s">
        <v>1162</v>
      </c>
      <c r="FC19" s="208" t="s">
        <v>1163</v>
      </c>
      <c r="FD19" s="212" t="s">
        <v>1164</v>
      </c>
      <c r="FE19" s="208" t="s">
        <v>1165</v>
      </c>
      <c r="FF19" s="208" t="s">
        <v>1166</v>
      </c>
      <c r="FG19" s="208" t="s">
        <v>1167</v>
      </c>
      <c r="FH19" s="208" t="s">
        <v>1168</v>
      </c>
      <c r="FI19" s="208" t="s">
        <v>1169</v>
      </c>
      <c r="FJ19" s="208" t="s">
        <v>1170</v>
      </c>
      <c r="FK19" s="208" t="s">
        <v>1171</v>
      </c>
      <c r="FL19" s="208" t="s">
        <v>1172</v>
      </c>
      <c r="FM19" s="208" t="s">
        <v>1173</v>
      </c>
      <c r="FN19" s="208" t="s">
        <v>1174</v>
      </c>
      <c r="FO19" s="208" t="s">
        <v>1175</v>
      </c>
      <c r="FP19" s="208" t="s">
        <v>1176</v>
      </c>
      <c r="FQ19" s="208" t="s">
        <v>1177</v>
      </c>
      <c r="FR19" s="212" t="s">
        <v>1178</v>
      </c>
      <c r="FS19" s="208" t="s">
        <v>1179</v>
      </c>
      <c r="FT19" s="212" t="s">
        <v>1180</v>
      </c>
      <c r="FU19" s="208" t="s">
        <v>1181</v>
      </c>
      <c r="FV19" s="208" t="s">
        <v>1182</v>
      </c>
      <c r="FW19" s="208" t="s">
        <v>1183</v>
      </c>
      <c r="FX19" s="208" t="s">
        <v>1184</v>
      </c>
      <c r="FY19" s="208" t="s">
        <v>1185</v>
      </c>
      <c r="FZ19" s="212" t="s">
        <v>1186</v>
      </c>
      <c r="GA19" s="208" t="s">
        <v>1187</v>
      </c>
      <c r="GB19" s="208" t="s">
        <v>1012</v>
      </c>
      <c r="GC19" s="208" t="s">
        <v>1188</v>
      </c>
      <c r="GD19" s="208" t="s">
        <v>1189</v>
      </c>
      <c r="GE19" s="208" t="s">
        <v>1013</v>
      </c>
      <c r="GF19" s="208" t="s">
        <v>1190</v>
      </c>
      <c r="GG19" s="208" t="s">
        <v>1191</v>
      </c>
      <c r="GH19" s="208" t="s">
        <v>1192</v>
      </c>
      <c r="GI19" s="208" t="s">
        <v>1193</v>
      </c>
      <c r="GJ19" s="208" t="s">
        <v>1194</v>
      </c>
      <c r="GK19" s="208" t="s">
        <v>1195</v>
      </c>
      <c r="GL19" s="208" t="s">
        <v>1196</v>
      </c>
      <c r="GM19" s="208" t="s">
        <v>1197</v>
      </c>
      <c r="GN19" s="1051">
        <v>114.54949465988102</v>
      </c>
      <c r="GO19" s="1051">
        <v>19.932621317468286</v>
      </c>
      <c r="GP19" s="1051">
        <v>479.39215826822448</v>
      </c>
      <c r="GQ19" s="1051">
        <v>93.103003368934125</v>
      </c>
      <c r="GR19" s="1051">
        <v>37.846749336965097</v>
      </c>
      <c r="GS19" s="1051">
        <v>211.94179628700454</v>
      </c>
      <c r="GT19" s="1051">
        <v>241.71457243208371</v>
      </c>
      <c r="GU19" s="1051">
        <v>74.431940362698029</v>
      </c>
      <c r="GV19" s="1051">
        <v>44.533008386495588</v>
      </c>
      <c r="GW19" s="1051">
        <v>99.663106587341431</v>
      </c>
      <c r="GX19" s="1051">
        <v>289.14916493441336</v>
      </c>
      <c r="GY19" s="1051">
        <v>77.207368647408785</v>
      </c>
      <c r="GZ19" s="1051">
        <v>619.92975413948818</v>
      </c>
      <c r="HA19" s="1051">
        <v>50.714644111533232</v>
      </c>
      <c r="HB19" s="1051">
        <v>105.97089814350227</v>
      </c>
      <c r="HC19" s="1051">
        <v>31.538957780804246</v>
      </c>
      <c r="HD19" s="1051">
        <v>189.23374668482549</v>
      </c>
      <c r="HE19" s="1051">
        <v>334.81757580101782</v>
      </c>
      <c r="HF19" s="1051">
        <v>110.26019640169166</v>
      </c>
      <c r="HG19" s="1051">
        <v>172.83348863880727</v>
      </c>
      <c r="HH19" s="1051">
        <v>196.80309655221851</v>
      </c>
      <c r="HI19" s="1051">
        <v>114.04487133538815</v>
      </c>
      <c r="HJ19" s="1051">
        <v>49.453085800301061</v>
      </c>
      <c r="HK19" s="1051">
        <v>132.21131101713138</v>
      </c>
      <c r="HL19" s="1051">
        <v>163.75026879793566</v>
      </c>
      <c r="HM19" s="1051">
        <v>169.80574869185006</v>
      </c>
      <c r="HN19" s="1051">
        <v>49.200774138054626</v>
      </c>
      <c r="HO19" s="1051">
        <v>70.647265429001521</v>
      </c>
      <c r="HP19" s="1051">
        <v>53.490072396243995</v>
      </c>
      <c r="HQ19" s="1051">
        <v>29.772776145079209</v>
      </c>
      <c r="HR19" s="1051">
        <v>63.077915561608492</v>
      </c>
      <c r="HS19" s="1051">
        <v>29.520464482832775</v>
      </c>
      <c r="HT19" s="1051">
        <v>221.02501612787611</v>
      </c>
      <c r="HU19" s="1051">
        <v>103.44778152103792</v>
      </c>
      <c r="HV19" s="1051">
        <v>305.2971113181851</v>
      </c>
      <c r="HW19" s="1051">
        <v>59.797863952404846</v>
      </c>
      <c r="HX19" s="1051">
        <v>662.0658017346426</v>
      </c>
      <c r="HY19" s="1051">
        <v>180.40283850620028</v>
      </c>
      <c r="HZ19" s="1051">
        <v>464.25345853343845</v>
      </c>
      <c r="IA19" s="1051">
        <v>235.40678087592286</v>
      </c>
      <c r="IB19" s="1051">
        <v>92.598380044441271</v>
      </c>
      <c r="IC19" s="1051">
        <v>374.1781951114616</v>
      </c>
      <c r="ID19" s="1051">
        <v>161.47946383771776</v>
      </c>
      <c r="IE19" s="1051">
        <v>105.97089814350227</v>
      </c>
      <c r="IF19" s="1051">
        <v>153.91011397032472</v>
      </c>
      <c r="IG19" s="1051">
        <v>80.73973191885888</v>
      </c>
      <c r="IH19" s="1051">
        <v>199.32621317468286</v>
      </c>
      <c r="II19" s="1051">
        <v>7.06472654290015</v>
      </c>
      <c r="IJ19" s="1051">
        <v>48.443839151315309</v>
      </c>
      <c r="IK19" s="1051">
        <v>83.262848541323208</v>
      </c>
      <c r="IL19" s="1051">
        <v>75.945810336176635</v>
      </c>
      <c r="IM19" s="1051">
        <v>72.918070389219423</v>
      </c>
      <c r="IN19" s="1051">
        <v>89.822951759730486</v>
      </c>
      <c r="IO19" s="1051">
        <v>84.776718514801814</v>
      </c>
      <c r="IP19" s="1051">
        <v>52.985449071751134</v>
      </c>
      <c r="IQ19" s="1051">
        <v>15.643323059278906</v>
      </c>
      <c r="IR19" s="1051">
        <v>322.95892767543552</v>
      </c>
      <c r="IS19" s="1051">
        <v>25.735789549136264</v>
      </c>
      <c r="IT19" s="215">
        <v>1179.7241708682666</v>
      </c>
      <c r="IU19" s="207">
        <v>179.9</v>
      </c>
      <c r="IV19" s="216">
        <v>2647.0800000000199</v>
      </c>
      <c r="IW19" s="272">
        <v>12.64</v>
      </c>
      <c r="IX19" s="207">
        <v>50</v>
      </c>
      <c r="IY19" s="204">
        <v>1.2</v>
      </c>
      <c r="IZ19" s="204">
        <v>1.2</v>
      </c>
      <c r="JA19" s="204">
        <v>1.2</v>
      </c>
      <c r="JB19" s="52">
        <v>2</v>
      </c>
      <c r="JC19" s="24">
        <v>1.5</v>
      </c>
      <c r="JD19" s="24">
        <v>0.7</v>
      </c>
      <c r="JE19" s="24">
        <v>0.7</v>
      </c>
      <c r="JF19" s="24">
        <v>0.5</v>
      </c>
      <c r="JG19" s="1">
        <v>69.551851532831478</v>
      </c>
      <c r="JH19" s="216">
        <v>2647.0800000000199</v>
      </c>
      <c r="JI19" s="272">
        <v>12.64</v>
      </c>
      <c r="JJ19" s="207">
        <v>50</v>
      </c>
      <c r="JK19" s="8">
        <v>1.1000000000000001</v>
      </c>
      <c r="JL19" s="8">
        <v>0.8</v>
      </c>
      <c r="JM19" s="8">
        <v>0.8</v>
      </c>
      <c r="JN19" s="216">
        <v>2</v>
      </c>
      <c r="JO19" s="216">
        <v>2</v>
      </c>
      <c r="JP19" s="216">
        <v>1</v>
      </c>
      <c r="JQ19" s="216">
        <v>1</v>
      </c>
      <c r="JR19" s="214">
        <v>0.5</v>
      </c>
      <c r="JS19" s="1212">
        <v>2000</v>
      </c>
      <c r="JT19" s="215">
        <v>273.00191030750739</v>
      </c>
      <c r="JU19" s="215">
        <v>500</v>
      </c>
      <c r="JV19" s="207">
        <v>1.3</v>
      </c>
      <c r="JW19" s="207">
        <v>0.4</v>
      </c>
      <c r="JX19" s="207">
        <v>0.4</v>
      </c>
      <c r="JY19" s="214">
        <v>2</v>
      </c>
      <c r="JZ19" s="214">
        <v>1.5</v>
      </c>
      <c r="KA19" s="214">
        <v>0.5</v>
      </c>
      <c r="KB19" s="214">
        <v>1</v>
      </c>
      <c r="KC19" s="214">
        <v>0.5</v>
      </c>
      <c r="KD19" s="1186"/>
      <c r="KE19" s="1186"/>
      <c r="KF19" s="1186"/>
      <c r="KG19" s="1186"/>
      <c r="KH19" s="1186"/>
      <c r="KI19" s="1186"/>
      <c r="KJ19" s="1186"/>
      <c r="KK19" s="1186"/>
      <c r="KL19" s="1186"/>
      <c r="KM19" s="1187">
        <v>580</v>
      </c>
      <c r="KN19" s="1187">
        <v>580</v>
      </c>
      <c r="KO19" s="1187">
        <v>580</v>
      </c>
      <c r="KP19" s="1187">
        <v>580</v>
      </c>
      <c r="KQ19" s="1187"/>
      <c r="KR19" s="1187">
        <v>580</v>
      </c>
      <c r="KS19" s="1187">
        <v>580</v>
      </c>
      <c r="KT19" s="1187">
        <v>580</v>
      </c>
      <c r="KU19" s="1187">
        <v>580</v>
      </c>
      <c r="KV19" s="262">
        <v>370</v>
      </c>
      <c r="KW19" s="262">
        <v>370</v>
      </c>
      <c r="KX19" s="262">
        <v>370</v>
      </c>
      <c r="KY19" s="262">
        <v>370</v>
      </c>
      <c r="KZ19" s="262"/>
      <c r="LA19" s="262">
        <v>370</v>
      </c>
      <c r="LB19" s="262">
        <v>370</v>
      </c>
      <c r="LC19" s="262">
        <v>370</v>
      </c>
      <c r="LD19" s="262">
        <v>370</v>
      </c>
      <c r="LE19" s="1213">
        <v>0</v>
      </c>
      <c r="LF19" s="1213">
        <v>10</v>
      </c>
      <c r="LG19" s="1213">
        <v>20</v>
      </c>
      <c r="LH19" s="1213">
        <v>70</v>
      </c>
      <c r="LI19" s="1213">
        <v>100</v>
      </c>
      <c r="LJ19" s="1212">
        <v>1000</v>
      </c>
      <c r="LK19" s="1">
        <v>557.24830407435002</v>
      </c>
      <c r="LL19" s="4">
        <v>29</v>
      </c>
      <c r="LM19" s="8">
        <v>0.7</v>
      </c>
      <c r="LN19" s="8">
        <v>0.5</v>
      </c>
      <c r="LO19" s="8">
        <v>0.5</v>
      </c>
      <c r="LP19" s="214">
        <v>2</v>
      </c>
      <c r="LQ19" s="214">
        <v>1</v>
      </c>
      <c r="LR19" s="214">
        <v>0.5</v>
      </c>
      <c r="LS19" s="214">
        <v>0.7</v>
      </c>
      <c r="LT19" s="214">
        <v>0.2</v>
      </c>
      <c r="LU19" s="1212">
        <v>1500</v>
      </c>
      <c r="LV19" s="122">
        <v>0</v>
      </c>
      <c r="LW19" s="122">
        <v>0</v>
      </c>
      <c r="LX19" s="122">
        <v>0</v>
      </c>
      <c r="LY19" s="165">
        <v>0</v>
      </c>
      <c r="LZ19" s="165">
        <v>0</v>
      </c>
      <c r="MA19" s="165">
        <v>0</v>
      </c>
      <c r="MB19" s="165">
        <v>0</v>
      </c>
      <c r="MC19" s="165">
        <v>0</v>
      </c>
      <c r="MD19" s="165">
        <v>0</v>
      </c>
      <c r="ME19" s="165">
        <v>0</v>
      </c>
      <c r="MF19" s="165">
        <v>0</v>
      </c>
      <c r="MG19" s="165">
        <v>0</v>
      </c>
      <c r="MH19" s="165">
        <v>0</v>
      </c>
      <c r="MI19" s="165">
        <v>0</v>
      </c>
      <c r="MJ19" s="165">
        <v>0</v>
      </c>
      <c r="MK19" s="165">
        <v>0</v>
      </c>
      <c r="ML19" s="165">
        <v>0</v>
      </c>
      <c r="MM19" s="165">
        <v>0</v>
      </c>
      <c r="MN19" s="165">
        <v>0</v>
      </c>
      <c r="MO19" s="165">
        <v>0</v>
      </c>
      <c r="MP19" s="165">
        <v>0</v>
      </c>
      <c r="MQ19" s="165">
        <v>0</v>
      </c>
      <c r="MR19" s="165">
        <v>0</v>
      </c>
      <c r="MS19" s="165">
        <v>0</v>
      </c>
      <c r="MT19" s="165">
        <v>0</v>
      </c>
      <c r="MU19" s="165">
        <v>0</v>
      </c>
      <c r="MV19" s="165">
        <v>0</v>
      </c>
      <c r="MW19" s="166">
        <v>1.0318501487541301</v>
      </c>
      <c r="MX19" s="166">
        <v>0</v>
      </c>
      <c r="MY19" s="166">
        <v>2.6673364378799998E-3</v>
      </c>
      <c r="MZ19" s="166">
        <v>0.46648142919201002</v>
      </c>
      <c r="NA19" s="166">
        <v>0.32992284395366001</v>
      </c>
      <c r="NB19" s="166">
        <v>-2.5878394329004299</v>
      </c>
      <c r="NC19" s="166">
        <v>-1.65789874596956</v>
      </c>
      <c r="ND19" s="166">
        <v>0</v>
      </c>
      <c r="NE19" s="166">
        <v>2.6648459528300001E-3</v>
      </c>
      <c r="NF19" s="166">
        <v>0.46604587670247</v>
      </c>
      <c r="NG19" s="166">
        <v>3.3252624129770002E-2</v>
      </c>
      <c r="NH19" s="166">
        <v>-2.56759863841731</v>
      </c>
      <c r="NI19" s="166">
        <v>0.76029120322385002</v>
      </c>
      <c r="NJ19" s="166">
        <v>0</v>
      </c>
      <c r="NK19" s="166">
        <v>2.6601586108099999E-3</v>
      </c>
      <c r="NL19" s="166">
        <v>0.46522612334406999</v>
      </c>
      <c r="NM19" s="166">
        <v>7.5899416616860005E-2</v>
      </c>
      <c r="NN19" s="166">
        <v>-2.58052597482143</v>
      </c>
      <c r="NO19" s="166">
        <v>0.56455225778889995</v>
      </c>
      <c r="NP19" s="166">
        <v>0</v>
      </c>
      <c r="NQ19" s="166">
        <v>2.6678000000000001E-3</v>
      </c>
      <c r="NR19" s="166">
        <v>0.46656249999999999</v>
      </c>
      <c r="NS19" s="166">
        <v>1.8115871996939601</v>
      </c>
      <c r="NT19" s="166">
        <v>-2.59909090857143</v>
      </c>
      <c r="NU19" s="166">
        <v>1.0377544442489</v>
      </c>
      <c r="NV19" s="166">
        <v>0</v>
      </c>
      <c r="NW19" s="166">
        <v>2.6661231929599998E-3</v>
      </c>
      <c r="NX19" s="166">
        <v>0.46626924890006</v>
      </c>
      <c r="NY19" s="166">
        <v>0.93609930749682002</v>
      </c>
      <c r="NZ19" s="166">
        <v>-2.44620320588235</v>
      </c>
      <c r="OA19" s="166">
        <v>-92.57</v>
      </c>
      <c r="OB19" s="166">
        <v>-14.44</v>
      </c>
      <c r="OC19" s="166">
        <v>0</v>
      </c>
      <c r="OD19" s="166">
        <v>0</v>
      </c>
      <c r="OE19" s="166">
        <v>-8.4339999999999998E-2</v>
      </c>
      <c r="OF19" s="166">
        <v>-9.5113605555555605</v>
      </c>
      <c r="OG19" s="166">
        <v>-0.15255116915148001</v>
      </c>
      <c r="OH19" s="166">
        <v>0</v>
      </c>
      <c r="OI19" s="166">
        <v>0</v>
      </c>
      <c r="OJ19" s="166">
        <v>0</v>
      </c>
      <c r="OK19" s="166">
        <v>-1.09954804211572</v>
      </c>
      <c r="OL19" s="166">
        <v>-8.9168626909797002</v>
      </c>
      <c r="OM19" s="166">
        <v>0.25615086158529998</v>
      </c>
      <c r="ON19" s="166">
        <v>0</v>
      </c>
      <c r="OO19" s="166">
        <v>0</v>
      </c>
      <c r="OP19" s="166">
        <v>0</v>
      </c>
      <c r="OQ19" s="166">
        <v>-0.29040636871508002</v>
      </c>
      <c r="OR19" s="166">
        <v>-9.09151782540307</v>
      </c>
      <c r="OS19" s="166">
        <v>-0.42498342813038997</v>
      </c>
      <c r="OT19" s="166">
        <v>0</v>
      </c>
      <c r="OU19" s="166">
        <v>0</v>
      </c>
      <c r="OV19" s="166">
        <v>0</v>
      </c>
      <c r="OW19" s="166">
        <v>1.2354940414825899</v>
      </c>
      <c r="OX19" s="166">
        <v>-9.3818554622871009</v>
      </c>
      <c r="OY19" s="166">
        <v>0.13777834397649</v>
      </c>
      <c r="OZ19" s="166">
        <v>0</v>
      </c>
      <c r="PA19" s="166">
        <v>0</v>
      </c>
      <c r="PB19" s="166">
        <v>0</v>
      </c>
      <c r="PC19" s="166">
        <v>0.27692599574014998</v>
      </c>
      <c r="PD19" s="166">
        <v>-9.1039409756097598</v>
      </c>
      <c r="PE19" s="166">
        <v>-92.57</v>
      </c>
      <c r="PF19" s="166">
        <v>-14.44</v>
      </c>
      <c r="PG19" s="166">
        <v>-2.4649456929716398</v>
      </c>
      <c r="PH19" s="166">
        <v>0</v>
      </c>
      <c r="PI19" s="166">
        <v>0.95904519206938998</v>
      </c>
      <c r="PJ19" s="166">
        <v>-9.7424300000000006</v>
      </c>
      <c r="PK19" s="166">
        <v>0.12758062444660001</v>
      </c>
      <c r="PL19" s="166">
        <v>0</v>
      </c>
      <c r="PM19" s="166">
        <v>0</v>
      </c>
      <c r="PN19" s="166">
        <v>0</v>
      </c>
      <c r="PO19" s="166">
        <v>1.2709802591091199</v>
      </c>
      <c r="PP19" s="166">
        <v>-8.0729801126682705</v>
      </c>
      <c r="PQ19" s="166">
        <v>0.45864868483226001</v>
      </c>
      <c r="PR19" s="166">
        <v>0</v>
      </c>
      <c r="PS19" s="166">
        <v>0</v>
      </c>
      <c r="PT19" s="166">
        <v>0</v>
      </c>
      <c r="PU19" s="166">
        <v>2.619810533917E-2</v>
      </c>
      <c r="PV19" s="166">
        <v>-5.6519755479166696</v>
      </c>
      <c r="PW19" s="166">
        <v>0.11442541736549</v>
      </c>
      <c r="PX19" s="166">
        <v>0</v>
      </c>
      <c r="PY19" s="166">
        <v>0</v>
      </c>
      <c r="PZ19" s="166">
        <v>0</v>
      </c>
      <c r="QA19" s="166">
        <v>2.3122581504322302</v>
      </c>
      <c r="QB19" s="166">
        <v>-7.3322960820895497</v>
      </c>
      <c r="QC19" s="166">
        <v>0.53917305149881001</v>
      </c>
      <c r="QD19" s="166">
        <v>0</v>
      </c>
      <c r="QE19" s="166">
        <v>0</v>
      </c>
      <c r="QF19" s="166">
        <v>0</v>
      </c>
      <c r="QG19" s="166">
        <v>1.380224965434</v>
      </c>
      <c r="QH19" s="166">
        <v>-6.6997860330578503</v>
      </c>
      <c r="QI19" s="162">
        <v>-1.1358912963213901</v>
      </c>
      <c r="QJ19" s="167">
        <v>0</v>
      </c>
      <c r="QK19" s="167">
        <v>-5.27469297989E-2</v>
      </c>
      <c r="QL19" s="167">
        <v>0</v>
      </c>
      <c r="QM19" s="167">
        <v>0</v>
      </c>
      <c r="QN19" s="162">
        <v>-1.28996908592322</v>
      </c>
      <c r="QO19" s="162">
        <v>2.9562297464841998</v>
      </c>
      <c r="QP19" s="162">
        <v>0</v>
      </c>
      <c r="QQ19" s="162">
        <v>0</v>
      </c>
      <c r="QR19" s="162">
        <v>0</v>
      </c>
      <c r="QS19" s="162">
        <v>0</v>
      </c>
      <c r="QT19" s="162">
        <v>-7.05994588323804</v>
      </c>
      <c r="QU19" s="162">
        <v>-0.67322812760635997</v>
      </c>
      <c r="QV19" s="162">
        <v>0</v>
      </c>
      <c r="QW19" s="162">
        <v>-0.80170835936577001</v>
      </c>
      <c r="QX19" s="162">
        <v>0</v>
      </c>
      <c r="QY19" s="162">
        <v>2.3651176179104501</v>
      </c>
      <c r="QZ19" s="162">
        <v>-5.1088999646184696</v>
      </c>
      <c r="RA19" s="167">
        <v>0.35180826708467</v>
      </c>
      <c r="RB19" s="167">
        <v>0</v>
      </c>
      <c r="RC19" s="167">
        <v>0</v>
      </c>
      <c r="RD19" s="167">
        <v>0</v>
      </c>
      <c r="RE19" s="167">
        <v>2.3234945994832001</v>
      </c>
      <c r="RF19" s="167">
        <v>-5.1753468290043303</v>
      </c>
      <c r="RG19" s="167">
        <v>0.70179992994795004</v>
      </c>
      <c r="RH19" s="167">
        <v>0</v>
      </c>
      <c r="RI19" s="167">
        <v>0</v>
      </c>
      <c r="RJ19" s="167">
        <v>0</v>
      </c>
      <c r="RK19" s="167">
        <v>1.12635326346719</v>
      </c>
      <c r="RL19" s="167">
        <v>-4.6368878080132703</v>
      </c>
      <c r="RM19" s="166">
        <v>-92.57</v>
      </c>
      <c r="RN19" s="166">
        <v>-14.44</v>
      </c>
      <c r="RO19" s="166">
        <v>-1.23847669503799</v>
      </c>
      <c r="RP19" s="166">
        <v>0</v>
      </c>
      <c r="RQ19" s="166">
        <v>-0.43760209081332002</v>
      </c>
      <c r="RR19" s="166">
        <v>-6.6780445482728101</v>
      </c>
      <c r="RS19" s="166">
        <v>0.20070167333795999</v>
      </c>
      <c r="RT19" s="166">
        <v>0</v>
      </c>
      <c r="RU19" s="166">
        <v>0</v>
      </c>
      <c r="RV19" s="166">
        <v>0</v>
      </c>
      <c r="RW19" s="166">
        <v>-0.22015753480263001</v>
      </c>
      <c r="RX19" s="166">
        <v>-7.5451879649122802</v>
      </c>
      <c r="RY19" s="166">
        <v>6.3679290410120007E-2</v>
      </c>
      <c r="RZ19" s="166">
        <v>0</v>
      </c>
      <c r="SA19" s="166">
        <v>0</v>
      </c>
      <c r="SB19" s="166">
        <v>0</v>
      </c>
      <c r="SC19" s="166">
        <v>-0.4848539887419</v>
      </c>
      <c r="SD19" s="166">
        <v>-7.1321261451869704</v>
      </c>
      <c r="SE19" s="166">
        <v>0.72026659531981996</v>
      </c>
      <c r="SF19" s="166">
        <v>0</v>
      </c>
      <c r="SG19" s="166">
        <v>0</v>
      </c>
      <c r="SH19" s="166">
        <v>0</v>
      </c>
      <c r="SI19" s="166">
        <v>-3.1444745539629997E-2</v>
      </c>
      <c r="SJ19" s="166">
        <v>-5.3389379124315903</v>
      </c>
      <c r="SK19" s="166">
        <v>0.16605130097278001</v>
      </c>
      <c r="SL19" s="166">
        <v>0</v>
      </c>
      <c r="SM19" s="166">
        <v>0</v>
      </c>
      <c r="SN19" s="166">
        <v>0</v>
      </c>
      <c r="SO19" s="166">
        <v>-8.0530618828179995E-2</v>
      </c>
      <c r="SP19" s="166">
        <v>-6.7757613114754101</v>
      </c>
      <c r="SQ19" s="166">
        <v>-92.57</v>
      </c>
      <c r="SR19" s="166">
        <v>-14.44</v>
      </c>
      <c r="SS19" s="166">
        <v>0</v>
      </c>
      <c r="ST19" s="166">
        <v>0</v>
      </c>
      <c r="SU19" s="166">
        <v>0</v>
      </c>
      <c r="SV19" s="166">
        <v>0</v>
      </c>
      <c r="SW19" s="166">
        <v>0</v>
      </c>
      <c r="SX19" s="166">
        <v>0</v>
      </c>
      <c r="SY19" s="166">
        <v>0</v>
      </c>
      <c r="SZ19" s="166">
        <v>0</v>
      </c>
      <c r="TA19" s="166">
        <v>0</v>
      </c>
      <c r="TB19" s="166">
        <v>0</v>
      </c>
      <c r="TC19" s="166">
        <v>0</v>
      </c>
      <c r="TD19" s="166">
        <v>0</v>
      </c>
      <c r="TE19" s="166">
        <v>0</v>
      </c>
      <c r="TF19" s="166">
        <v>0</v>
      </c>
      <c r="TG19" s="166">
        <v>0</v>
      </c>
      <c r="TH19" s="166">
        <v>0</v>
      </c>
      <c r="TI19" s="166">
        <v>0</v>
      </c>
      <c r="TJ19" s="166">
        <v>0</v>
      </c>
      <c r="TK19" s="166">
        <v>0</v>
      </c>
      <c r="TL19" s="166">
        <v>0</v>
      </c>
      <c r="TM19" s="166">
        <v>0</v>
      </c>
      <c r="TN19" s="166">
        <v>0</v>
      </c>
      <c r="TO19" s="166">
        <v>0</v>
      </c>
      <c r="TP19" s="166">
        <v>0</v>
      </c>
      <c r="TQ19" s="166">
        <v>0</v>
      </c>
      <c r="TR19" s="166">
        <v>0</v>
      </c>
      <c r="TS19" s="166">
        <v>0</v>
      </c>
      <c r="TT19" s="166">
        <v>0</v>
      </c>
      <c r="TU19" s="166">
        <v>1.0438727934272101</v>
      </c>
      <c r="TV19" s="166">
        <v>0</v>
      </c>
      <c r="TW19" s="166">
        <v>9.4871062897980002E-2</v>
      </c>
      <c r="TX19" s="166">
        <v>-1.249663487646E-2</v>
      </c>
      <c r="TY19" s="166">
        <v>0.40955787679660999</v>
      </c>
      <c r="TZ19" s="166">
        <v>-2.5697875774167498</v>
      </c>
      <c r="UA19" s="166">
        <v>5.0910557149E-4</v>
      </c>
      <c r="UB19" s="166">
        <v>0</v>
      </c>
      <c r="UC19" s="166">
        <v>0</v>
      </c>
      <c r="UD19" s="166">
        <v>0</v>
      </c>
      <c r="UE19" s="166">
        <v>-9.0095390484000004E-4</v>
      </c>
      <c r="UF19" s="166">
        <v>-9.3365789106511592</v>
      </c>
      <c r="UG19" s="166">
        <v>7.4269135648500004E-3</v>
      </c>
      <c r="UH19" s="166">
        <v>0</v>
      </c>
      <c r="UI19" s="166">
        <v>0</v>
      </c>
      <c r="UJ19" s="166">
        <v>0</v>
      </c>
      <c r="UK19" s="166">
        <v>7.9460364238000004E-3</v>
      </c>
      <c r="UL19" s="166">
        <v>-7.3122757210931404</v>
      </c>
      <c r="UM19" s="166">
        <v>-0.18911563314650001</v>
      </c>
      <c r="UN19" s="166">
        <v>0</v>
      </c>
      <c r="UO19" s="166">
        <v>0</v>
      </c>
      <c r="UP19" s="166">
        <v>0</v>
      </c>
      <c r="UQ19" s="166">
        <v>0</v>
      </c>
      <c r="UR19" s="166">
        <v>-39.143432806734729</v>
      </c>
      <c r="US19" s="163">
        <v>1.293936503152E-2</v>
      </c>
      <c r="UT19" s="163">
        <v>0</v>
      </c>
      <c r="UU19" s="163">
        <v>0</v>
      </c>
      <c r="UV19" s="163">
        <v>0</v>
      </c>
      <c r="UW19" s="163">
        <v>2.0956289774000001E-4</v>
      </c>
      <c r="UX19" s="163">
        <v>-9.6945242190118002</v>
      </c>
      <c r="UY19" s="166">
        <v>0</v>
      </c>
      <c r="UZ19" s="166">
        <v>0</v>
      </c>
      <c r="VA19" s="166">
        <v>0</v>
      </c>
      <c r="VB19" s="166">
        <v>0</v>
      </c>
      <c r="VC19" s="166">
        <v>0</v>
      </c>
      <c r="VD19" s="166">
        <v>-7.2152634663089197</v>
      </c>
      <c r="VE19" s="267">
        <v>202</v>
      </c>
      <c r="VF19" s="267">
        <v>279</v>
      </c>
      <c r="VG19" s="267">
        <v>354</v>
      </c>
      <c r="VH19" s="267">
        <v>0</v>
      </c>
      <c r="VI19" s="267">
        <v>403</v>
      </c>
      <c r="VJ19" s="267">
        <v>0</v>
      </c>
      <c r="VK19" s="267">
        <v>0</v>
      </c>
      <c r="VL19" s="257">
        <v>0</v>
      </c>
      <c r="VM19" s="257">
        <v>0</v>
      </c>
      <c r="VN19" s="257">
        <v>0</v>
      </c>
      <c r="VO19" s="257">
        <v>0</v>
      </c>
      <c r="VP19" s="257">
        <v>0</v>
      </c>
      <c r="VQ19" s="257">
        <v>0</v>
      </c>
      <c r="VR19" s="257">
        <v>0</v>
      </c>
      <c r="VS19" s="257">
        <v>0</v>
      </c>
      <c r="VT19" s="257">
        <v>0</v>
      </c>
      <c r="VU19" s="257">
        <v>0</v>
      </c>
      <c r="VV19" s="257">
        <v>0</v>
      </c>
      <c r="VW19" s="257">
        <v>0</v>
      </c>
      <c r="VX19" s="257">
        <v>0</v>
      </c>
      <c r="VY19" s="257">
        <v>0</v>
      </c>
      <c r="VZ19" s="257">
        <v>0</v>
      </c>
      <c r="WA19" s="257">
        <v>0</v>
      </c>
      <c r="WB19" s="257">
        <v>0</v>
      </c>
      <c r="WC19" s="257">
        <v>0</v>
      </c>
      <c r="WD19" s="257">
        <v>0</v>
      </c>
      <c r="WE19" s="257">
        <v>0</v>
      </c>
      <c r="WF19" s="257">
        <v>0</v>
      </c>
      <c r="WG19" s="257">
        <v>0</v>
      </c>
      <c r="WH19" s="257">
        <v>0</v>
      </c>
      <c r="WI19" s="257">
        <v>0</v>
      </c>
      <c r="WJ19" s="257">
        <v>0</v>
      </c>
      <c r="WK19" s="257">
        <v>0</v>
      </c>
      <c r="WL19" s="257">
        <v>0</v>
      </c>
      <c r="WM19" s="257">
        <v>0</v>
      </c>
      <c r="WN19" s="257">
        <v>0</v>
      </c>
      <c r="WO19" s="257">
        <v>0</v>
      </c>
      <c r="WP19" s="257">
        <v>0</v>
      </c>
      <c r="WQ19" s="257">
        <v>0</v>
      </c>
      <c r="WR19" s="257">
        <v>0</v>
      </c>
      <c r="WS19" s="572">
        <v>87</v>
      </c>
      <c r="WT19" s="572">
        <v>69.018789144050103</v>
      </c>
      <c r="WU19" s="572">
        <v>76.283924843423804</v>
      </c>
      <c r="WV19" s="572">
        <v>79.916492693110641</v>
      </c>
      <c r="WW19" s="572">
        <v>122.78079331941545</v>
      </c>
      <c r="WX19" s="247">
        <v>15766.69037</v>
      </c>
      <c r="WY19" s="4">
        <v>77</v>
      </c>
      <c r="WZ19" s="4">
        <v>18</v>
      </c>
      <c r="XA19" s="4">
        <v>5</v>
      </c>
      <c r="XB19" s="4">
        <v>0</v>
      </c>
      <c r="XC19" s="1037">
        <v>1580.8364312856143</v>
      </c>
      <c r="XD19" s="1037">
        <v>0</v>
      </c>
      <c r="XE19" s="1037">
        <v>0</v>
      </c>
      <c r="XF19" s="1037">
        <v>0</v>
      </c>
      <c r="XG19" s="1037">
        <v>0</v>
      </c>
      <c r="XH19" s="1037">
        <v>0</v>
      </c>
      <c r="XI19" s="1037">
        <v>1164.8268441051896</v>
      </c>
      <c r="XJ19" s="1037">
        <v>665.61533948867964</v>
      </c>
      <c r="XK19" s="1037">
        <v>1695.8508465649081</v>
      </c>
      <c r="XL19" s="1037">
        <v>0</v>
      </c>
      <c r="XM19" s="1037">
        <v>0</v>
      </c>
      <c r="XN19" s="1037">
        <v>0</v>
      </c>
      <c r="XO19" s="1037">
        <v>0</v>
      </c>
      <c r="XP19" s="1037">
        <v>0</v>
      </c>
      <c r="XQ19" s="1037">
        <v>1249.5743079951956</v>
      </c>
      <c r="XR19" s="1037">
        <v>714.04246171154023</v>
      </c>
      <c r="XS19" s="1037">
        <v>1776.6056487822848</v>
      </c>
      <c r="XT19" s="1037">
        <v>0</v>
      </c>
      <c r="XU19" s="1037">
        <v>0</v>
      </c>
      <c r="XV19" s="1037">
        <v>0</v>
      </c>
      <c r="XW19" s="1037">
        <v>0</v>
      </c>
      <c r="XX19" s="1037">
        <v>0</v>
      </c>
      <c r="XY19" s="1037">
        <v>1309.0778464711573</v>
      </c>
      <c r="XZ19" s="1037">
        <v>748.04448369780403</v>
      </c>
      <c r="YA19" s="1037">
        <v>2729.5123149473284</v>
      </c>
      <c r="YB19" s="1037">
        <v>0</v>
      </c>
      <c r="YC19" s="1037">
        <v>0</v>
      </c>
      <c r="YD19" s="1037">
        <v>0</v>
      </c>
      <c r="YE19" s="1037">
        <v>0</v>
      </c>
      <c r="YF19" s="1037">
        <v>0</v>
      </c>
      <c r="YG19" s="1037">
        <v>2011.2196004875057</v>
      </c>
      <c r="YH19" s="1037">
        <v>1149.2683431357173</v>
      </c>
      <c r="YI19" s="1037">
        <v>892.99693518400704</v>
      </c>
      <c r="YJ19" s="1037">
        <v>1785.9938703680141</v>
      </c>
      <c r="YK19" s="1037">
        <v>939.99677387790223</v>
      </c>
      <c r="YL19" s="1037">
        <v>46.999838693895107</v>
      </c>
      <c r="YM19" s="1037">
        <v>0</v>
      </c>
      <c r="YN19" s="1037">
        <v>0</v>
      </c>
      <c r="YO19" s="1037">
        <v>657.99774171453157</v>
      </c>
      <c r="YP19" s="1037">
        <v>375.99870955116086</v>
      </c>
      <c r="YQ19" s="1037">
        <v>957.96730043733271</v>
      </c>
      <c r="YR19" s="1037">
        <v>1915.9346008746654</v>
      </c>
      <c r="YS19" s="1037">
        <v>1008.3866320392976</v>
      </c>
      <c r="YT19" s="1037">
        <v>50.419331601964878</v>
      </c>
      <c r="YU19" s="1037">
        <v>0</v>
      </c>
      <c r="YV19" s="1037">
        <v>0</v>
      </c>
      <c r="YW19" s="1037">
        <v>705.8706424275083</v>
      </c>
      <c r="YX19" s="1037">
        <v>403.35465281571902</v>
      </c>
      <c r="YY19" s="1037">
        <v>1003.5847909343485</v>
      </c>
      <c r="YZ19" s="1037">
        <v>2007.1695818686969</v>
      </c>
      <c r="ZA19" s="1037">
        <v>1056.405043088788</v>
      </c>
      <c r="ZB19" s="1037">
        <v>52.820252154439395</v>
      </c>
      <c r="ZC19" s="1037">
        <v>0</v>
      </c>
      <c r="ZD19" s="1037">
        <v>0</v>
      </c>
      <c r="ZE19" s="1037">
        <v>739.48353016215162</v>
      </c>
      <c r="ZF19" s="1037">
        <v>422.56201723551516</v>
      </c>
      <c r="ZG19" s="1037">
        <v>1541.8711787991354</v>
      </c>
      <c r="ZH19" s="1037">
        <v>3083.7423575982707</v>
      </c>
      <c r="ZI19" s="1037">
        <v>1623.0222934727742</v>
      </c>
      <c r="ZJ19" s="1037">
        <v>81.151114673638702</v>
      </c>
      <c r="ZK19" s="1037">
        <v>0</v>
      </c>
      <c r="ZL19" s="1037">
        <v>0</v>
      </c>
      <c r="ZM19" s="1037">
        <v>1136.115605430942</v>
      </c>
      <c r="ZN19" s="1037">
        <v>649.20891738910962</v>
      </c>
      <c r="ZO19" s="1037">
        <v>2376.5241016993737</v>
      </c>
      <c r="ZP19" s="1037">
        <v>4753.0482033987473</v>
      </c>
      <c r="ZQ19" s="1037">
        <v>2501.6043175782884</v>
      </c>
      <c r="ZR19" s="1037">
        <v>125.0802158789144</v>
      </c>
      <c r="ZS19" s="1037">
        <v>0</v>
      </c>
      <c r="ZT19" s="1037">
        <v>0</v>
      </c>
      <c r="ZU19" s="1037">
        <v>1751.1230223048019</v>
      </c>
      <c r="ZV19" s="1037">
        <v>1000.6417270313152</v>
      </c>
      <c r="ZW19" s="1037">
        <v>2626.6845334572026</v>
      </c>
      <c r="ZX19" s="1037">
        <v>5253.3690669144053</v>
      </c>
      <c r="ZY19" s="1037">
        <v>2764.9310878496872</v>
      </c>
      <c r="ZZ19" s="1037">
        <v>138.24655439248434</v>
      </c>
      <c r="AAA19" s="1037">
        <v>0</v>
      </c>
      <c r="AAB19" s="1037">
        <v>0</v>
      </c>
      <c r="AAC19" s="1037">
        <v>1935.4517614947808</v>
      </c>
      <c r="AAD19" s="1037">
        <v>1105.9724351398747</v>
      </c>
      <c r="AAE19" s="1037">
        <v>2751.7647493361169</v>
      </c>
      <c r="AAF19" s="1037">
        <v>5503.5294986722338</v>
      </c>
      <c r="AAG19" s="1037">
        <v>2896.5944729853863</v>
      </c>
      <c r="AAH19" s="1037">
        <v>144.82972364926931</v>
      </c>
      <c r="AAI19" s="1037">
        <v>0</v>
      </c>
      <c r="AAJ19" s="1037">
        <v>0</v>
      </c>
      <c r="AAK19" s="1037">
        <v>2027.6161310897705</v>
      </c>
      <c r="AAL19" s="1037">
        <v>1158.6377891941545</v>
      </c>
      <c r="AAM19" s="1037">
        <v>4227.7112967073072</v>
      </c>
      <c r="AAN19" s="1037">
        <v>8455.4225934146143</v>
      </c>
      <c r="AAO19" s="1037">
        <v>4450.2224175866386</v>
      </c>
      <c r="AAP19" s="1037">
        <v>222.51112087933194</v>
      </c>
      <c r="AAQ19" s="1037">
        <v>0</v>
      </c>
      <c r="AAR19" s="1037">
        <v>0</v>
      </c>
      <c r="AAS19" s="1037">
        <v>3115.1556923106473</v>
      </c>
      <c r="AAT19" s="1037">
        <v>1780.0889670346555</v>
      </c>
      <c r="AAU19" s="1037">
        <v>3269.5210368833805</v>
      </c>
      <c r="AAV19" s="1037">
        <v>6539.042073766761</v>
      </c>
      <c r="AAW19" s="1037">
        <v>3441.6010914561903</v>
      </c>
      <c r="AAX19" s="1037">
        <v>172.0800545728095</v>
      </c>
      <c r="AAY19" s="1037">
        <v>0</v>
      </c>
      <c r="AAZ19" s="1037">
        <v>0</v>
      </c>
      <c r="ABA19" s="1037">
        <v>2409.1207640193334</v>
      </c>
      <c r="ABB19" s="1037">
        <v>1376.640436582476</v>
      </c>
      <c r="ABC19" s="1037">
        <v>3461.0431499671377</v>
      </c>
      <c r="ABD19" s="1037">
        <v>6922.0862999342753</v>
      </c>
      <c r="ABE19" s="1037">
        <v>3643.2033157548817</v>
      </c>
      <c r="ABF19" s="1037">
        <v>182.16016578774409</v>
      </c>
      <c r="ABG19" s="1037">
        <v>0</v>
      </c>
      <c r="ABH19" s="1037">
        <v>0</v>
      </c>
      <c r="ABI19" s="1037">
        <v>2550.2423210284173</v>
      </c>
      <c r="ABJ19" s="1037">
        <v>1457.2813263019527</v>
      </c>
      <c r="ABK19" s="1037">
        <v>3625.8547285370009</v>
      </c>
      <c r="ABL19" s="1037">
        <v>7251.7094570740019</v>
      </c>
      <c r="ABM19" s="1037">
        <v>3816.6891879336854</v>
      </c>
      <c r="ABN19" s="1037">
        <v>190.83445939668425</v>
      </c>
      <c r="ABO19" s="1037">
        <v>0</v>
      </c>
      <c r="ABP19" s="1037">
        <v>0</v>
      </c>
      <c r="ABQ19" s="1037">
        <v>2671.6824315535796</v>
      </c>
      <c r="ABR19" s="1037">
        <v>1526.675675173474</v>
      </c>
      <c r="ABS19" s="1037">
        <v>0</v>
      </c>
      <c r="ABT19" s="1037">
        <v>0</v>
      </c>
      <c r="ABU19" s="1037">
        <v>0</v>
      </c>
      <c r="ABV19" s="1037">
        <v>0</v>
      </c>
      <c r="ABW19" s="1037">
        <v>0</v>
      </c>
      <c r="ABX19" s="1037">
        <v>0</v>
      </c>
      <c r="ABY19" s="1037">
        <v>0</v>
      </c>
      <c r="ABZ19" s="1037">
        <v>0</v>
      </c>
      <c r="ACA19" s="1037">
        <v>4234.5338539370659</v>
      </c>
      <c r="ACB19" s="1037">
        <v>8469.0677078741319</v>
      </c>
      <c r="ACC19" s="1037">
        <v>4457.4040567758593</v>
      </c>
      <c r="ACD19" s="1037">
        <v>222.87020283879295</v>
      </c>
      <c r="ACE19" s="1037">
        <v>0</v>
      </c>
      <c r="ACF19" s="1037">
        <v>0</v>
      </c>
      <c r="ACG19" s="1037">
        <v>3120.1828397431013</v>
      </c>
      <c r="ACH19" s="1037">
        <v>1782.9616227103436</v>
      </c>
      <c r="ACI19" s="1037">
        <v>4527.1680488409438</v>
      </c>
      <c r="ACJ19" s="1037">
        <v>9054.3360976818876</v>
      </c>
      <c r="ACK19" s="1037">
        <v>4765.4400514115196</v>
      </c>
      <c r="ACL19" s="1037">
        <v>238.27200257057598</v>
      </c>
      <c r="ACM19" s="1037">
        <v>0</v>
      </c>
      <c r="ACN19" s="1037">
        <v>0</v>
      </c>
      <c r="ACO19" s="1037">
        <v>3335.8080359880637</v>
      </c>
      <c r="ACP19" s="1037">
        <v>1906.1760205646078</v>
      </c>
      <c r="ACQ19" s="1037">
        <v>4742.747479738131</v>
      </c>
      <c r="ACR19" s="1037">
        <v>9485.494959476262</v>
      </c>
      <c r="ACS19" s="1037">
        <v>4992.3657681454015</v>
      </c>
      <c r="ACT19" s="1037">
        <v>249.61828840727006</v>
      </c>
      <c r="ACU19" s="1037">
        <v>0</v>
      </c>
      <c r="ACV19" s="1037">
        <v>0</v>
      </c>
      <c r="ACW19" s="1037">
        <v>3494.6560377017809</v>
      </c>
      <c r="ACX19" s="1037">
        <v>1996.9463072581605</v>
      </c>
      <c r="ACY19" s="1037">
        <v>7286.5847643249472</v>
      </c>
      <c r="ACZ19" s="1037">
        <v>14573.169528649894</v>
      </c>
      <c r="ADA19" s="1037">
        <v>7670.0892256052075</v>
      </c>
      <c r="ADB19" s="1037">
        <v>383.50446128026039</v>
      </c>
      <c r="ADC19" s="1037">
        <v>0</v>
      </c>
      <c r="ADD19" s="1037">
        <v>0</v>
      </c>
      <c r="ADE19" s="1037">
        <v>5369.0624579236455</v>
      </c>
      <c r="ADF19" s="1037">
        <v>3068.0356902420831</v>
      </c>
      <c r="ADG19" s="1037">
        <v>5170.7403182428798</v>
      </c>
      <c r="ADH19" s="1037">
        <v>10341.48063648576</v>
      </c>
      <c r="ADI19" s="1037">
        <v>5442.8845455188211</v>
      </c>
      <c r="ADJ19" s="1037">
        <v>272.14422727594103</v>
      </c>
      <c r="ADK19" s="1037">
        <v>0</v>
      </c>
      <c r="ADL19" s="1037">
        <v>0</v>
      </c>
      <c r="ADM19" s="1037">
        <v>3810.0191818631752</v>
      </c>
      <c r="ADN19" s="1037">
        <v>2177.1538182075283</v>
      </c>
      <c r="ADO19" s="1037">
        <v>5562.3907767328992</v>
      </c>
      <c r="ADP19" s="1037">
        <v>11124.781553465798</v>
      </c>
      <c r="ADQ19" s="1037">
        <v>5855.1481860346312</v>
      </c>
      <c r="ADR19" s="1037">
        <v>292.75740930173151</v>
      </c>
      <c r="ADS19" s="1037">
        <v>0</v>
      </c>
      <c r="ADT19" s="1037">
        <v>0</v>
      </c>
      <c r="ADU19" s="1037">
        <v>4098.6037302242421</v>
      </c>
      <c r="ADV19" s="1037">
        <v>2342.0592744138521</v>
      </c>
      <c r="ADW19" s="1037">
        <v>5827.2665280058945</v>
      </c>
      <c r="ADX19" s="1037">
        <v>11654.533056011789</v>
      </c>
      <c r="ADY19" s="1037">
        <v>6133.9647663219948</v>
      </c>
      <c r="ADZ19" s="1037">
        <v>306.69823831609972</v>
      </c>
      <c r="AEA19" s="1037">
        <v>0</v>
      </c>
      <c r="AEB19" s="1037">
        <v>0</v>
      </c>
      <c r="AEC19" s="1037">
        <v>4293.7753364253958</v>
      </c>
      <c r="AED19" s="1037">
        <v>2453.5859065287978</v>
      </c>
      <c r="AEE19" s="1037">
        <v>8952.8003930272389</v>
      </c>
      <c r="AEF19" s="1037">
        <v>17905.600786054478</v>
      </c>
      <c r="AEG19" s="1037">
        <v>9424.0004137128835</v>
      </c>
      <c r="AEH19" s="1037">
        <v>471.20002068564412</v>
      </c>
      <c r="AEI19" s="1037">
        <v>0</v>
      </c>
      <c r="AEJ19" s="1037">
        <v>0</v>
      </c>
      <c r="AEK19" s="1037">
        <v>6596.8002895990185</v>
      </c>
      <c r="AEL19" s="1037">
        <v>3769.600165485153</v>
      </c>
      <c r="AEM19" s="1037">
        <v>5962.9150188093381</v>
      </c>
      <c r="AEN19" s="1037">
        <v>11925.830037618676</v>
      </c>
      <c r="AEO19" s="1037">
        <v>6276.7526513782504</v>
      </c>
      <c r="AEP19" s="1037">
        <v>313.83763256891251</v>
      </c>
      <c r="AEQ19" s="1037">
        <v>0</v>
      </c>
      <c r="AER19" s="1037">
        <v>0</v>
      </c>
      <c r="AES19" s="1037">
        <v>4393.7268559647755</v>
      </c>
      <c r="AET19" s="1037">
        <v>2510.7010605513001</v>
      </c>
      <c r="AEU19" s="1037">
        <v>6334.9450512791345</v>
      </c>
      <c r="AEV19" s="1037">
        <v>12669.890102558269</v>
      </c>
      <c r="AEW19" s="1037">
        <v>6668.3632118727737</v>
      </c>
      <c r="AEX19" s="1037">
        <v>333.41816059363867</v>
      </c>
      <c r="AEY19" s="1037">
        <v>0</v>
      </c>
      <c r="AEZ19" s="1037">
        <v>0</v>
      </c>
      <c r="AFA19" s="1037">
        <v>4667.8542483109422</v>
      </c>
      <c r="AFB19" s="1037">
        <v>2667.3452847491094</v>
      </c>
      <c r="AFC19" s="1037">
        <v>6636.6091013400464</v>
      </c>
      <c r="AFD19" s="1037">
        <v>13273.218202680093</v>
      </c>
      <c r="AFE19" s="1037">
        <v>6985.9043172000493</v>
      </c>
      <c r="AFF19" s="1037">
        <v>349.29521586000243</v>
      </c>
      <c r="AFG19" s="1037">
        <v>0</v>
      </c>
      <c r="AFH19" s="1037">
        <v>0</v>
      </c>
      <c r="AFI19" s="1037">
        <v>4890.1330220400341</v>
      </c>
      <c r="AFJ19" s="1037">
        <v>2794.3617268800194</v>
      </c>
      <c r="AFK19" s="1037">
        <v>10196.244892058799</v>
      </c>
      <c r="AFL19" s="1037">
        <v>20392.489784117599</v>
      </c>
      <c r="AFM19" s="1037">
        <v>10732.889360061894</v>
      </c>
      <c r="AFN19" s="1037">
        <v>536.64446800309463</v>
      </c>
      <c r="AFO19" s="1037">
        <v>0</v>
      </c>
      <c r="AFP19" s="1037">
        <v>0</v>
      </c>
      <c r="AFQ19" s="1037">
        <v>7513.022552043326</v>
      </c>
      <c r="AFR19" s="1037">
        <v>4293.155744024757</v>
      </c>
      <c r="AFS19" s="247">
        <v>2376.5241016993737</v>
      </c>
      <c r="AFT19" s="247">
        <v>4753.0482033987473</v>
      </c>
      <c r="AFU19" s="247">
        <v>2501.6043175782884</v>
      </c>
      <c r="AFV19" s="247">
        <v>125.0802158789144</v>
      </c>
      <c r="AFW19" s="247">
        <v>0</v>
      </c>
      <c r="AFX19" s="247">
        <v>0</v>
      </c>
      <c r="AFY19" s="247">
        <v>1751.1230223048019</v>
      </c>
      <c r="AFZ19" s="247">
        <v>1000.6417270313152</v>
      </c>
      <c r="AGA19" s="247">
        <v>2626.6845334572026</v>
      </c>
      <c r="AGB19" s="247">
        <v>5253.3690669144053</v>
      </c>
      <c r="AGC19" s="247">
        <v>2764.9310878496872</v>
      </c>
      <c r="AGD19" s="247">
        <v>138.24655439248434</v>
      </c>
      <c r="AGE19" s="247">
        <v>0</v>
      </c>
      <c r="AGF19" s="247">
        <v>0</v>
      </c>
      <c r="AGG19" s="247">
        <v>1935.4517614947808</v>
      </c>
      <c r="AGH19" s="247">
        <v>1105.9724351398747</v>
      </c>
      <c r="AGI19" s="247">
        <v>2751.7647493361169</v>
      </c>
      <c r="AGJ19" s="247">
        <v>5503.5294986722338</v>
      </c>
      <c r="AGK19" s="247">
        <v>2896.5944729853863</v>
      </c>
      <c r="AGL19" s="247">
        <v>144.82972364926931</v>
      </c>
      <c r="AGM19" s="247">
        <v>0</v>
      </c>
      <c r="AGN19" s="247">
        <v>0</v>
      </c>
      <c r="AGO19" s="247">
        <v>2027.6161310897705</v>
      </c>
      <c r="AGP19" s="247">
        <v>1158.6377891941545</v>
      </c>
      <c r="AGQ19" s="247">
        <v>4227.7112967073072</v>
      </c>
      <c r="AGR19" s="247">
        <v>8455.4225934146143</v>
      </c>
      <c r="AGS19" s="247">
        <v>4450.2224175866386</v>
      </c>
      <c r="AGT19" s="247">
        <v>222.51112087933194</v>
      </c>
      <c r="AGU19" s="247">
        <v>0</v>
      </c>
      <c r="AGV19" s="247">
        <v>0</v>
      </c>
      <c r="AGW19" s="247">
        <v>3115.1556923106473</v>
      </c>
      <c r="AGX19" s="247">
        <v>1780.0889670346555</v>
      </c>
      <c r="AGY19" s="249">
        <v>0</v>
      </c>
      <c r="AGZ19" s="249">
        <v>0</v>
      </c>
      <c r="AHA19" s="249">
        <v>0</v>
      </c>
      <c r="AHB19" s="249">
        <v>0</v>
      </c>
      <c r="AHC19" s="249">
        <v>0</v>
      </c>
      <c r="AHD19" s="249">
        <v>0</v>
      </c>
      <c r="AHE19" s="249">
        <v>0</v>
      </c>
      <c r="AHF19" s="249">
        <v>0</v>
      </c>
      <c r="AHG19" s="249">
        <v>120.05500951881852</v>
      </c>
      <c r="AHH19" s="249">
        <v>97.939613028509839</v>
      </c>
      <c r="AHI19" s="249">
        <v>72.664874182442787</v>
      </c>
      <c r="AHJ19" s="249">
        <v>0</v>
      </c>
      <c r="AHK19" s="249">
        <v>0</v>
      </c>
      <c r="AHL19" s="249">
        <v>0</v>
      </c>
      <c r="AHM19" s="249">
        <v>12.63736942303353</v>
      </c>
      <c r="AHN19" s="249">
        <v>12.63736942303353</v>
      </c>
      <c r="AHO19" s="249">
        <v>80.892917679909317</v>
      </c>
      <c r="AHP19" s="249">
        <v>65.991590738873384</v>
      </c>
      <c r="AHQ19" s="249">
        <v>48.961502806260903</v>
      </c>
      <c r="AHR19" s="249">
        <v>0</v>
      </c>
      <c r="AHS19" s="249">
        <v>0</v>
      </c>
      <c r="AHT19" s="249">
        <v>0</v>
      </c>
      <c r="AHU19" s="249">
        <v>8.5150439663062443</v>
      </c>
      <c r="AHV19" s="249">
        <v>8.5150439663062443</v>
      </c>
      <c r="AHW19" s="249">
        <v>44.072282925797928</v>
      </c>
      <c r="AHX19" s="249">
        <v>35.953704492098311</v>
      </c>
      <c r="AHY19" s="249">
        <v>26.675329139298746</v>
      </c>
      <c r="AHZ19" s="249">
        <v>0</v>
      </c>
      <c r="AIA19" s="249">
        <v>0</v>
      </c>
      <c r="AIB19" s="249">
        <v>0</v>
      </c>
      <c r="AIC19" s="249">
        <v>4.6391876763997821</v>
      </c>
      <c r="AID19" s="249">
        <v>4.6391876763997821</v>
      </c>
      <c r="AIE19" s="249"/>
      <c r="AIF19" s="249"/>
      <c r="AIG19" s="249"/>
      <c r="AIH19" s="249"/>
      <c r="AII19" s="249"/>
      <c r="AIJ19" s="249"/>
      <c r="AIK19" s="249"/>
      <c r="AIL19" s="249"/>
      <c r="AIM19" s="249">
        <v>54.312866076332796</v>
      </c>
      <c r="AIN19" s="249">
        <v>44.307864430692547</v>
      </c>
      <c r="AIO19" s="249">
        <v>32.873576835675117</v>
      </c>
      <c r="AIP19" s="249">
        <v>0</v>
      </c>
      <c r="AIQ19" s="249">
        <v>0</v>
      </c>
      <c r="AIR19" s="249">
        <v>0</v>
      </c>
      <c r="AIS19" s="249">
        <v>5.717143797508716</v>
      </c>
      <c r="AIT19" s="249">
        <v>5.717143797508716</v>
      </c>
      <c r="AIU19" s="134" t="s">
        <v>1216</v>
      </c>
      <c r="AIV19" s="134" t="s">
        <v>1219</v>
      </c>
      <c r="AIW19" s="134" t="s">
        <v>1218</v>
      </c>
      <c r="AIX19" s="134" t="s">
        <v>1217</v>
      </c>
      <c r="AIY19" s="134" t="s">
        <v>1228</v>
      </c>
      <c r="AIZ19" s="134" t="s">
        <v>1229</v>
      </c>
      <c r="AJA19" s="134" t="s">
        <v>1230</v>
      </c>
      <c r="AJB19" s="134" t="s">
        <v>1231</v>
      </c>
      <c r="AJC19" s="134" t="s">
        <v>1232</v>
      </c>
      <c r="AJD19" s="134" t="s">
        <v>1233</v>
      </c>
    </row>
    <row r="20" spans="1:940" ht="18" customHeight="1">
      <c r="A20" s="664" t="s">
        <v>10</v>
      </c>
      <c r="B20" s="669">
        <v>-0.6</v>
      </c>
      <c r="C20" s="6">
        <v>-0.5</v>
      </c>
      <c r="D20" s="6">
        <v>-0.5</v>
      </c>
      <c r="E20" s="74">
        <v>542.25</v>
      </c>
      <c r="F20" s="72">
        <v>-6</v>
      </c>
      <c r="G20" s="11">
        <v>-7.5</v>
      </c>
      <c r="H20" s="11">
        <v>-7.5</v>
      </c>
      <c r="I20" s="266">
        <v>350</v>
      </c>
      <c r="J20" s="125">
        <v>0</v>
      </c>
      <c r="K20" s="125">
        <v>0</v>
      </c>
      <c r="L20" s="125">
        <v>0</v>
      </c>
      <c r="M20" s="1">
        <v>1950.6284309645287</v>
      </c>
      <c r="N20" s="2">
        <v>12</v>
      </c>
      <c r="O20" s="8">
        <v>0.2</v>
      </c>
      <c r="P20" s="8">
        <v>0.2</v>
      </c>
      <c r="Q20" s="8">
        <v>0.2</v>
      </c>
      <c r="R20" s="7">
        <v>0</v>
      </c>
      <c r="S20" s="7">
        <v>0</v>
      </c>
      <c r="T20" s="7">
        <v>96.1</v>
      </c>
      <c r="U20" s="7">
        <v>3.9</v>
      </c>
      <c r="V20" s="71">
        <v>0</v>
      </c>
      <c r="W20" s="119">
        <v>2</v>
      </c>
      <c r="X20" s="120">
        <v>1.5</v>
      </c>
      <c r="Y20" s="119">
        <v>1</v>
      </c>
      <c r="Z20" s="120">
        <v>0.8</v>
      </c>
      <c r="AA20" s="120">
        <v>0.5</v>
      </c>
      <c r="AB20" s="559">
        <v>433.01922201480062</v>
      </c>
      <c r="AC20" s="559">
        <v>470.67306740739195</v>
      </c>
      <c r="AD20" s="559">
        <v>433.37222681535616</v>
      </c>
      <c r="AE20" s="559">
        <v>649.0581599547935</v>
      </c>
      <c r="AF20" s="622">
        <v>0.82209484106305364</v>
      </c>
      <c r="AG20" s="559">
        <v>261.91600618637949</v>
      </c>
      <c r="AH20" s="559">
        <v>284.69131107215162</v>
      </c>
      <c r="AI20" s="559">
        <v>262.12952466968363</v>
      </c>
      <c r="AJ20" s="559">
        <v>392.58931796849708</v>
      </c>
      <c r="AK20" s="622">
        <v>0.96717040125065135</v>
      </c>
      <c r="AL20" s="995">
        <v>0.2</v>
      </c>
      <c r="AM20" s="995">
        <v>0.5</v>
      </c>
      <c r="AN20" s="995">
        <v>1</v>
      </c>
      <c r="AO20" s="995">
        <v>1.4</v>
      </c>
      <c r="AP20" s="995">
        <v>1.7</v>
      </c>
      <c r="AQ20" s="995">
        <v>2.1</v>
      </c>
      <c r="AR20" s="995">
        <v>2.2999999999999998</v>
      </c>
      <c r="AS20" s="1005">
        <v>0</v>
      </c>
      <c r="AT20" s="1005">
        <v>10</v>
      </c>
      <c r="AU20" s="1005">
        <v>20</v>
      </c>
      <c r="AV20" s="1005">
        <v>70</v>
      </c>
      <c r="AW20" s="1005">
        <v>100</v>
      </c>
      <c r="AX20" s="1">
        <v>9834.5134190144236</v>
      </c>
      <c r="AY20" s="5">
        <v>1.5</v>
      </c>
      <c r="AZ20" s="8">
        <v>0.2</v>
      </c>
      <c r="BA20" s="8">
        <v>0.2</v>
      </c>
      <c r="BB20" s="8">
        <v>0.2</v>
      </c>
      <c r="BC20" s="73">
        <v>0.17719020114452594</v>
      </c>
      <c r="BD20" s="73">
        <v>0.18538934885511546</v>
      </c>
      <c r="BE20" s="9"/>
      <c r="BF20" s="9">
        <v>0.1</v>
      </c>
      <c r="BG20" s="9"/>
      <c r="BH20" s="9">
        <v>91.1</v>
      </c>
      <c r="BI20" s="9">
        <v>0.5</v>
      </c>
      <c r="BJ20" s="9"/>
      <c r="BK20" s="9">
        <v>8.1</v>
      </c>
      <c r="BL20" s="9"/>
      <c r="BM20" s="9"/>
      <c r="BN20" s="9"/>
      <c r="BO20" s="9"/>
      <c r="BP20" s="9"/>
      <c r="BQ20" s="9"/>
      <c r="BR20" s="9"/>
      <c r="BS20" s="9"/>
      <c r="BT20" s="262">
        <v>261.13475999999997</v>
      </c>
      <c r="BU20" s="262">
        <v>96.5</v>
      </c>
      <c r="BV20" s="262">
        <v>63.215999999999994</v>
      </c>
      <c r="BW20" s="262">
        <v>233.35949490734063</v>
      </c>
      <c r="BX20" s="262">
        <v>157.40783999999999</v>
      </c>
      <c r="BY20" s="68"/>
      <c r="BZ20" s="262">
        <v>256.20808011776955</v>
      </c>
      <c r="CA20" s="262">
        <v>165.17663999999999</v>
      </c>
      <c r="CB20" s="68"/>
      <c r="CC20" s="785">
        <v>0</v>
      </c>
      <c r="CD20" s="262">
        <v>6.585</v>
      </c>
      <c r="CE20" s="262">
        <v>1.3169999999999999</v>
      </c>
      <c r="CF20" s="262">
        <v>38</v>
      </c>
      <c r="CG20" s="262">
        <v>225.83915999999996</v>
      </c>
      <c r="CH20" s="68">
        <v>0.2</v>
      </c>
      <c r="CI20" s="262">
        <v>175.08124000000001</v>
      </c>
      <c r="CJ20" s="262">
        <v>60.4</v>
      </c>
      <c r="CK20" s="262">
        <v>42.384</v>
      </c>
      <c r="CL20" s="262">
        <v>156.45894761061641</v>
      </c>
      <c r="CM20" s="262">
        <v>105.53616</v>
      </c>
      <c r="CN20" s="68"/>
      <c r="CO20" s="262">
        <v>159.24945066654416</v>
      </c>
      <c r="CP20" s="262">
        <v>102.66767999999999</v>
      </c>
      <c r="CQ20" s="68"/>
      <c r="CR20" s="262">
        <v>0</v>
      </c>
      <c r="CS20" s="262">
        <v>4.415</v>
      </c>
      <c r="CT20" s="262">
        <v>0.88300000000000001</v>
      </c>
      <c r="CU20" s="262">
        <v>27</v>
      </c>
      <c r="CV20" s="262">
        <v>151.41683999999998</v>
      </c>
      <c r="CW20" s="68">
        <v>0.2</v>
      </c>
      <c r="CX20" s="120">
        <v>0.3</v>
      </c>
      <c r="CY20" s="120">
        <v>0.7</v>
      </c>
      <c r="CZ20" s="120">
        <v>1.2</v>
      </c>
      <c r="DA20" s="120">
        <v>1.2</v>
      </c>
      <c r="DB20" s="119">
        <v>3</v>
      </c>
      <c r="DC20" s="1005">
        <v>0</v>
      </c>
      <c r="DD20" s="1005">
        <v>10</v>
      </c>
      <c r="DE20" s="1005">
        <v>20</v>
      </c>
      <c r="DF20" s="1005">
        <v>70</v>
      </c>
      <c r="DG20" s="1005">
        <v>100</v>
      </c>
      <c r="DH20" s="2">
        <v>4.3907240591433698</v>
      </c>
      <c r="DI20" s="2">
        <v>18</v>
      </c>
      <c r="DJ20" s="63">
        <v>12</v>
      </c>
      <c r="DK20" s="8">
        <v>1.4</v>
      </c>
      <c r="DL20" s="8">
        <v>1.3</v>
      </c>
      <c r="DM20" s="8">
        <v>1.3</v>
      </c>
      <c r="DN20" s="1030" t="s">
        <v>1014</v>
      </c>
      <c r="DO20" s="1030" t="s">
        <v>997</v>
      </c>
      <c r="DP20" s="1030" t="s">
        <v>997</v>
      </c>
      <c r="DQ20" s="1030" t="s">
        <v>997</v>
      </c>
      <c r="DR20" s="1030" t="s">
        <v>997</v>
      </c>
      <c r="DS20" s="1030" t="s">
        <v>997</v>
      </c>
      <c r="DT20" s="1030" t="s">
        <v>997</v>
      </c>
      <c r="DU20" s="1097">
        <v>844.27409026493683</v>
      </c>
      <c r="DV20" s="1097">
        <v>0</v>
      </c>
      <c r="DW20" s="1097">
        <v>0</v>
      </c>
      <c r="DX20" s="1097">
        <v>0</v>
      </c>
      <c r="DY20" s="1097">
        <v>0</v>
      </c>
      <c r="DZ20" s="1097">
        <v>0</v>
      </c>
      <c r="EA20" s="1097">
        <v>0</v>
      </c>
      <c r="EB20" s="207">
        <v>0.84427409026493683</v>
      </c>
      <c r="EC20" s="207">
        <v>18</v>
      </c>
      <c r="ED20" s="221">
        <v>5</v>
      </c>
      <c r="EE20" s="214">
        <v>1.4</v>
      </c>
      <c r="EF20" s="214">
        <v>1.3</v>
      </c>
      <c r="EG20" s="214">
        <v>1.3</v>
      </c>
      <c r="EH20" s="208" t="s">
        <v>1014</v>
      </c>
      <c r="EI20" s="204" t="s">
        <v>997</v>
      </c>
      <c r="EJ20" s="204" t="s">
        <v>997</v>
      </c>
      <c r="EK20" s="204" t="s">
        <v>997</v>
      </c>
      <c r="EL20" s="204" t="s">
        <v>997</v>
      </c>
      <c r="EM20" s="204" t="s">
        <v>997</v>
      </c>
      <c r="EN20" s="204" t="s">
        <v>997</v>
      </c>
      <c r="EO20" s="204" t="s">
        <v>997</v>
      </c>
      <c r="EP20" s="204" t="s">
        <v>997</v>
      </c>
      <c r="EQ20" s="204" t="s">
        <v>997</v>
      </c>
      <c r="ER20" s="204" t="s">
        <v>997</v>
      </c>
      <c r="ES20" s="204" t="s">
        <v>997</v>
      </c>
      <c r="ET20" s="204" t="s">
        <v>997</v>
      </c>
      <c r="EU20" s="204" t="s">
        <v>997</v>
      </c>
      <c r="EV20" s="204" t="s">
        <v>997</v>
      </c>
      <c r="EW20" s="204" t="s">
        <v>997</v>
      </c>
      <c r="EX20" s="204" t="s">
        <v>997</v>
      </c>
      <c r="EY20" s="204" t="s">
        <v>997</v>
      </c>
      <c r="EZ20" s="204" t="s">
        <v>997</v>
      </c>
      <c r="FA20" s="204" t="s">
        <v>997</v>
      </c>
      <c r="FB20" s="204" t="s">
        <v>997</v>
      </c>
      <c r="FC20" s="204" t="s">
        <v>997</v>
      </c>
      <c r="FD20" s="204" t="s">
        <v>997</v>
      </c>
      <c r="FE20" s="204" t="s">
        <v>997</v>
      </c>
      <c r="FF20" s="204" t="s">
        <v>997</v>
      </c>
      <c r="FG20" s="204" t="s">
        <v>997</v>
      </c>
      <c r="FH20" s="204" t="s">
        <v>997</v>
      </c>
      <c r="FI20" s="204" t="s">
        <v>997</v>
      </c>
      <c r="FJ20" s="204" t="s">
        <v>997</v>
      </c>
      <c r="FK20" s="204" t="s">
        <v>997</v>
      </c>
      <c r="FL20" s="204" t="s">
        <v>997</v>
      </c>
      <c r="FM20" s="204" t="s">
        <v>997</v>
      </c>
      <c r="FN20" s="204" t="s">
        <v>997</v>
      </c>
      <c r="FO20" s="204" t="s">
        <v>997</v>
      </c>
      <c r="FP20" s="204" t="s">
        <v>997</v>
      </c>
      <c r="FQ20" s="204" t="s">
        <v>997</v>
      </c>
      <c r="FR20" s="204" t="s">
        <v>997</v>
      </c>
      <c r="FS20" s="204" t="s">
        <v>997</v>
      </c>
      <c r="FT20" s="204" t="s">
        <v>997</v>
      </c>
      <c r="FU20" s="204" t="s">
        <v>997</v>
      </c>
      <c r="FV20" s="204" t="s">
        <v>997</v>
      </c>
      <c r="FW20" s="204" t="s">
        <v>997</v>
      </c>
      <c r="FX20" s="204" t="s">
        <v>997</v>
      </c>
      <c r="FY20" s="204" t="s">
        <v>997</v>
      </c>
      <c r="FZ20" s="204" t="s">
        <v>997</v>
      </c>
      <c r="GA20" s="204" t="s">
        <v>997</v>
      </c>
      <c r="GB20" s="204" t="s">
        <v>997</v>
      </c>
      <c r="GC20" s="204" t="s">
        <v>997</v>
      </c>
      <c r="GD20" s="204" t="s">
        <v>997</v>
      </c>
      <c r="GE20" s="204" t="s">
        <v>997</v>
      </c>
      <c r="GF20" s="204" t="s">
        <v>997</v>
      </c>
      <c r="GG20" s="204" t="s">
        <v>997</v>
      </c>
      <c r="GH20" s="204" t="s">
        <v>997</v>
      </c>
      <c r="GI20" s="204" t="s">
        <v>997</v>
      </c>
      <c r="GJ20" s="204" t="s">
        <v>997</v>
      </c>
      <c r="GK20" s="204" t="s">
        <v>997</v>
      </c>
      <c r="GL20" s="204" t="s">
        <v>997</v>
      </c>
      <c r="GM20" s="204" t="s">
        <v>997</v>
      </c>
      <c r="GN20" s="1051">
        <v>844.27409026493683</v>
      </c>
      <c r="GO20" s="1051">
        <v>0</v>
      </c>
      <c r="GP20" s="1051">
        <v>0</v>
      </c>
      <c r="GQ20" s="1051">
        <v>0</v>
      </c>
      <c r="GR20" s="1051">
        <v>0</v>
      </c>
      <c r="GS20" s="1051">
        <v>0</v>
      </c>
      <c r="GT20" s="1051">
        <v>0</v>
      </c>
      <c r="GU20" s="1051">
        <v>0</v>
      </c>
      <c r="GV20" s="1051">
        <v>0</v>
      </c>
      <c r="GW20" s="1051">
        <v>0</v>
      </c>
      <c r="GX20" s="1051">
        <v>0</v>
      </c>
      <c r="GY20" s="1051">
        <v>0</v>
      </c>
      <c r="GZ20" s="1051">
        <v>0</v>
      </c>
      <c r="HA20" s="1051">
        <v>0</v>
      </c>
      <c r="HB20" s="1051">
        <v>0</v>
      </c>
      <c r="HC20" s="1051">
        <v>0</v>
      </c>
      <c r="HD20" s="1051">
        <v>0</v>
      </c>
      <c r="HE20" s="1051">
        <v>0</v>
      </c>
      <c r="HF20" s="1051">
        <v>0</v>
      </c>
      <c r="HG20" s="1051">
        <v>0</v>
      </c>
      <c r="HH20" s="1051">
        <v>0</v>
      </c>
      <c r="HI20" s="1051">
        <v>0</v>
      </c>
      <c r="HJ20" s="1051">
        <v>0</v>
      </c>
      <c r="HK20" s="1051">
        <v>0</v>
      </c>
      <c r="HL20" s="1051">
        <v>0</v>
      </c>
      <c r="HM20" s="1051">
        <v>0</v>
      </c>
      <c r="HN20" s="1051">
        <v>0</v>
      </c>
      <c r="HO20" s="1051">
        <v>0</v>
      </c>
      <c r="HP20" s="1051">
        <v>0</v>
      </c>
      <c r="HQ20" s="1051">
        <v>0</v>
      </c>
      <c r="HR20" s="1051">
        <v>0</v>
      </c>
      <c r="HS20" s="1051">
        <v>0</v>
      </c>
      <c r="HT20" s="1051">
        <v>0</v>
      </c>
      <c r="HU20" s="1051">
        <v>0</v>
      </c>
      <c r="HV20" s="1051">
        <v>0</v>
      </c>
      <c r="HW20" s="1051">
        <v>0</v>
      </c>
      <c r="HX20" s="1051">
        <v>0</v>
      </c>
      <c r="HY20" s="1051">
        <v>0</v>
      </c>
      <c r="HZ20" s="1051">
        <v>0</v>
      </c>
      <c r="IA20" s="1051">
        <v>0</v>
      </c>
      <c r="IB20" s="1051">
        <v>0</v>
      </c>
      <c r="IC20" s="1051">
        <v>0</v>
      </c>
      <c r="ID20" s="1051">
        <v>0</v>
      </c>
      <c r="IE20" s="1051">
        <v>0</v>
      </c>
      <c r="IF20" s="1051">
        <v>0</v>
      </c>
      <c r="IG20" s="1051">
        <v>0</v>
      </c>
      <c r="IH20" s="1051">
        <v>0</v>
      </c>
      <c r="II20" s="1051">
        <v>0</v>
      </c>
      <c r="IJ20" s="1051">
        <v>0</v>
      </c>
      <c r="IK20" s="1051">
        <v>0</v>
      </c>
      <c r="IL20" s="1051">
        <v>0</v>
      </c>
      <c r="IM20" s="1051">
        <v>0</v>
      </c>
      <c r="IN20" s="1051">
        <v>0</v>
      </c>
      <c r="IO20" s="1051">
        <v>0</v>
      </c>
      <c r="IP20" s="1051">
        <v>0</v>
      </c>
      <c r="IQ20" s="1051">
        <v>0</v>
      </c>
      <c r="IR20" s="1051">
        <v>0</v>
      </c>
      <c r="IS20" s="1051">
        <v>0</v>
      </c>
      <c r="IT20" s="215">
        <v>103.3461402042041</v>
      </c>
      <c r="IU20" s="207">
        <v>179.9</v>
      </c>
      <c r="IV20" s="216">
        <v>2647.0800000000199</v>
      </c>
      <c r="IW20" s="272">
        <v>12.64</v>
      </c>
      <c r="IX20" s="207">
        <v>50</v>
      </c>
      <c r="IY20" s="204">
        <v>1.4</v>
      </c>
      <c r="IZ20" s="204">
        <v>1.3</v>
      </c>
      <c r="JA20" s="204">
        <v>1.3</v>
      </c>
      <c r="JB20" s="52">
        <v>2</v>
      </c>
      <c r="JC20" s="24">
        <v>1.5</v>
      </c>
      <c r="JD20" s="24">
        <v>0.7</v>
      </c>
      <c r="JE20" s="24">
        <v>0.7</v>
      </c>
      <c r="JF20" s="24">
        <v>0.5</v>
      </c>
      <c r="JG20" s="1">
        <v>6.0124328776648497</v>
      </c>
      <c r="JH20" s="216">
        <v>2647.0800000000199</v>
      </c>
      <c r="JI20" s="272">
        <v>12.64</v>
      </c>
      <c r="JJ20" s="207">
        <v>50</v>
      </c>
      <c r="JK20" s="8">
        <v>0.9</v>
      </c>
      <c r="JL20" s="8">
        <v>0.8</v>
      </c>
      <c r="JM20" s="8">
        <v>0.8</v>
      </c>
      <c r="JN20" s="216">
        <v>2</v>
      </c>
      <c r="JO20" s="216">
        <v>2</v>
      </c>
      <c r="JP20" s="216">
        <v>1</v>
      </c>
      <c r="JQ20" s="216">
        <v>1</v>
      </c>
      <c r="JR20" s="214">
        <v>0.5</v>
      </c>
      <c r="JS20" s="1212">
        <v>2000</v>
      </c>
      <c r="JT20" s="215">
        <v>233.32360716503285</v>
      </c>
      <c r="JU20" s="215">
        <v>500</v>
      </c>
      <c r="JV20" s="207">
        <v>0.7</v>
      </c>
      <c r="JW20" s="207">
        <v>0.5</v>
      </c>
      <c r="JX20" s="207">
        <v>0.5</v>
      </c>
      <c r="JY20" s="214">
        <v>2</v>
      </c>
      <c r="JZ20" s="214">
        <v>1.5</v>
      </c>
      <c r="KA20" s="214">
        <v>0.5</v>
      </c>
      <c r="KB20" s="214">
        <v>1</v>
      </c>
      <c r="KC20" s="214">
        <v>0.5</v>
      </c>
      <c r="KD20" s="1186"/>
      <c r="KE20" s="1186"/>
      <c r="KF20" s="1186"/>
      <c r="KG20" s="1186"/>
      <c r="KH20" s="1186"/>
      <c r="KI20" s="1186"/>
      <c r="KJ20" s="1186"/>
      <c r="KK20" s="1186"/>
      <c r="KL20" s="1186"/>
      <c r="KM20" s="1187">
        <v>580</v>
      </c>
      <c r="KN20" s="1187">
        <v>580</v>
      </c>
      <c r="KO20" s="1187">
        <v>580</v>
      </c>
      <c r="KP20" s="1187">
        <v>580</v>
      </c>
      <c r="KQ20" s="1187"/>
      <c r="KR20" s="1187">
        <v>580</v>
      </c>
      <c r="KS20" s="1187">
        <v>580</v>
      </c>
      <c r="KT20" s="1187">
        <v>580</v>
      </c>
      <c r="KU20" s="1187">
        <v>580</v>
      </c>
      <c r="KV20" s="262">
        <v>370</v>
      </c>
      <c r="KW20" s="262">
        <v>370</v>
      </c>
      <c r="KX20" s="262">
        <v>370</v>
      </c>
      <c r="KY20" s="262">
        <v>370</v>
      </c>
      <c r="KZ20" s="262"/>
      <c r="LA20" s="262">
        <v>370</v>
      </c>
      <c r="LB20" s="262">
        <v>370</v>
      </c>
      <c r="LC20" s="262">
        <v>370</v>
      </c>
      <c r="LD20" s="262">
        <v>370</v>
      </c>
      <c r="LE20" s="1213">
        <v>0</v>
      </c>
      <c r="LF20" s="1213">
        <v>10</v>
      </c>
      <c r="LG20" s="1213">
        <v>20</v>
      </c>
      <c r="LH20" s="1213">
        <v>70</v>
      </c>
      <c r="LI20" s="1213">
        <v>100</v>
      </c>
      <c r="LJ20" s="1212">
        <v>1000</v>
      </c>
      <c r="LK20" s="1"/>
      <c r="LL20" s="4">
        <v>29</v>
      </c>
      <c r="LM20" s="8">
        <v>0.7</v>
      </c>
      <c r="LN20" s="8">
        <v>1.2</v>
      </c>
      <c r="LO20" s="8">
        <v>1.2</v>
      </c>
      <c r="LP20" s="214">
        <v>2</v>
      </c>
      <c r="LQ20" s="214">
        <v>1</v>
      </c>
      <c r="LR20" s="214">
        <v>0.5</v>
      </c>
      <c r="LS20" s="214">
        <v>0.7</v>
      </c>
      <c r="LT20" s="214">
        <v>0.2</v>
      </c>
      <c r="LU20" s="1212">
        <v>1500</v>
      </c>
      <c r="LV20" s="122">
        <v>0</v>
      </c>
      <c r="LW20" s="122">
        <v>0</v>
      </c>
      <c r="LX20" s="122">
        <v>0</v>
      </c>
      <c r="LY20" s="165">
        <v>0</v>
      </c>
      <c r="LZ20" s="165">
        <v>0</v>
      </c>
      <c r="MA20" s="165">
        <v>0</v>
      </c>
      <c r="MB20" s="165">
        <v>0</v>
      </c>
      <c r="MC20" s="165">
        <v>0</v>
      </c>
      <c r="MD20" s="165">
        <v>0</v>
      </c>
      <c r="ME20" s="165">
        <v>0</v>
      </c>
      <c r="MF20" s="165">
        <v>0</v>
      </c>
      <c r="MG20" s="165">
        <v>0</v>
      </c>
      <c r="MH20" s="165">
        <v>0</v>
      </c>
      <c r="MI20" s="165">
        <v>0</v>
      </c>
      <c r="MJ20" s="165">
        <v>0</v>
      </c>
      <c r="MK20" s="165">
        <v>0</v>
      </c>
      <c r="ML20" s="165">
        <v>0</v>
      </c>
      <c r="MM20" s="165">
        <v>0</v>
      </c>
      <c r="MN20" s="165">
        <v>0</v>
      </c>
      <c r="MO20" s="165">
        <v>0</v>
      </c>
      <c r="MP20" s="165">
        <v>0</v>
      </c>
      <c r="MQ20" s="165">
        <v>0</v>
      </c>
      <c r="MR20" s="165">
        <v>0</v>
      </c>
      <c r="MS20" s="165">
        <v>0</v>
      </c>
      <c r="MT20" s="165">
        <v>0</v>
      </c>
      <c r="MU20" s="165">
        <v>0</v>
      </c>
      <c r="MV20" s="165">
        <v>0</v>
      </c>
      <c r="MW20" s="166">
        <v>2.0938059744611999</v>
      </c>
      <c r="MX20" s="166">
        <v>0</v>
      </c>
      <c r="MY20" s="166">
        <v>0</v>
      </c>
      <c r="MZ20" s="166">
        <v>0</v>
      </c>
      <c r="NA20" s="166">
        <v>0</v>
      </c>
      <c r="NB20" s="166">
        <v>0</v>
      </c>
      <c r="NC20" s="166">
        <v>0</v>
      </c>
      <c r="ND20" s="166">
        <v>0</v>
      </c>
      <c r="NE20" s="166">
        <v>0</v>
      </c>
      <c r="NF20" s="166">
        <v>0</v>
      </c>
      <c r="NG20" s="166">
        <v>0</v>
      </c>
      <c r="NH20" s="166">
        <v>0</v>
      </c>
      <c r="NI20" s="166">
        <v>0</v>
      </c>
      <c r="NJ20" s="166">
        <v>0</v>
      </c>
      <c r="NK20" s="166">
        <v>0</v>
      </c>
      <c r="NL20" s="166">
        <v>0</v>
      </c>
      <c r="NM20" s="166">
        <v>0</v>
      </c>
      <c r="NN20" s="166">
        <v>0</v>
      </c>
      <c r="NO20" s="166">
        <v>0</v>
      </c>
      <c r="NP20" s="166">
        <v>0</v>
      </c>
      <c r="NQ20" s="166">
        <v>0</v>
      </c>
      <c r="NR20" s="166">
        <v>0</v>
      </c>
      <c r="NS20" s="166">
        <v>0</v>
      </c>
      <c r="NT20" s="166">
        <v>0</v>
      </c>
      <c r="NU20" s="166">
        <v>0</v>
      </c>
      <c r="NV20" s="166">
        <v>0</v>
      </c>
      <c r="NW20" s="166">
        <v>0</v>
      </c>
      <c r="NX20" s="166">
        <v>0</v>
      </c>
      <c r="NY20" s="166">
        <v>0</v>
      </c>
      <c r="NZ20" s="166">
        <v>0</v>
      </c>
      <c r="OA20" s="166">
        <v>-16.09</v>
      </c>
      <c r="OB20" s="166">
        <v>-5.5</v>
      </c>
      <c r="OC20" s="166">
        <v>0</v>
      </c>
      <c r="OD20" s="166">
        <v>0</v>
      </c>
      <c r="OE20" s="166">
        <v>-1.35135135135135</v>
      </c>
      <c r="OF20" s="166">
        <v>0</v>
      </c>
      <c r="OG20" s="166">
        <v>-4.9390033091300002E-3</v>
      </c>
      <c r="OH20" s="166">
        <v>0</v>
      </c>
      <c r="OI20" s="166">
        <v>0</v>
      </c>
      <c r="OJ20" s="166">
        <v>0</v>
      </c>
      <c r="OK20" s="166">
        <v>-0.71253025139527004</v>
      </c>
      <c r="OL20" s="166">
        <v>0</v>
      </c>
      <c r="OM20" s="166">
        <v>0</v>
      </c>
      <c r="ON20" s="166">
        <v>0</v>
      </c>
      <c r="OO20" s="166">
        <v>0</v>
      </c>
      <c r="OP20" s="166">
        <v>0</v>
      </c>
      <c r="OQ20" s="166">
        <v>0</v>
      </c>
      <c r="OR20" s="166">
        <v>0</v>
      </c>
      <c r="OS20" s="166">
        <v>0</v>
      </c>
      <c r="OT20" s="166">
        <v>0</v>
      </c>
      <c r="OU20" s="166">
        <v>0</v>
      </c>
      <c r="OV20" s="166">
        <v>0</v>
      </c>
      <c r="OW20" s="166">
        <v>0</v>
      </c>
      <c r="OX20" s="166">
        <v>0</v>
      </c>
      <c r="OY20" s="166">
        <v>0</v>
      </c>
      <c r="OZ20" s="166">
        <v>0</v>
      </c>
      <c r="PA20" s="166">
        <v>0</v>
      </c>
      <c r="PB20" s="166">
        <v>0</v>
      </c>
      <c r="PC20" s="166">
        <v>0</v>
      </c>
      <c r="PD20" s="166">
        <v>0</v>
      </c>
      <c r="PE20" s="166">
        <v>-16.09</v>
      </c>
      <c r="PF20" s="166">
        <v>-5.5</v>
      </c>
      <c r="PG20" s="166">
        <v>-1.5468894120760499</v>
      </c>
      <c r="PH20" s="166">
        <v>0</v>
      </c>
      <c r="PI20" s="166">
        <v>-1.4622132914346799</v>
      </c>
      <c r="PJ20" s="166">
        <v>0</v>
      </c>
      <c r="PK20" s="166">
        <v>-0.11202243200312</v>
      </c>
      <c r="PL20" s="166">
        <v>0</v>
      </c>
      <c r="PM20" s="166">
        <v>0</v>
      </c>
      <c r="PN20" s="166">
        <v>0</v>
      </c>
      <c r="PO20" s="166">
        <v>0.71253096005358996</v>
      </c>
      <c r="PP20" s="166">
        <v>0</v>
      </c>
      <c r="PQ20" s="166">
        <v>0</v>
      </c>
      <c r="PR20" s="166">
        <v>0</v>
      </c>
      <c r="PS20" s="166">
        <v>0</v>
      </c>
      <c r="PT20" s="166">
        <v>0</v>
      </c>
      <c r="PU20" s="166">
        <v>0</v>
      </c>
      <c r="PV20" s="166">
        <v>0</v>
      </c>
      <c r="PW20" s="166">
        <v>0</v>
      </c>
      <c r="PX20" s="166">
        <v>0</v>
      </c>
      <c r="PY20" s="166">
        <v>0</v>
      </c>
      <c r="PZ20" s="166">
        <v>0</v>
      </c>
      <c r="QA20" s="166">
        <v>0</v>
      </c>
      <c r="QB20" s="166">
        <v>0</v>
      </c>
      <c r="QC20" s="166">
        <v>0</v>
      </c>
      <c r="QD20" s="166">
        <v>0</v>
      </c>
      <c r="QE20" s="166">
        <v>0</v>
      </c>
      <c r="QF20" s="166">
        <v>0</v>
      </c>
      <c r="QG20" s="166">
        <v>0</v>
      </c>
      <c r="QH20" s="166">
        <v>0</v>
      </c>
      <c r="QI20" s="162">
        <v>0</v>
      </c>
      <c r="QJ20" s="167">
        <v>0</v>
      </c>
      <c r="QK20" s="167">
        <v>0</v>
      </c>
      <c r="QL20" s="167">
        <v>0</v>
      </c>
      <c r="QM20" s="167">
        <v>0</v>
      </c>
      <c r="QN20" s="162">
        <v>0</v>
      </c>
      <c r="QO20" s="162">
        <v>0</v>
      </c>
      <c r="QP20" s="162">
        <v>0</v>
      </c>
      <c r="QQ20" s="162">
        <v>0</v>
      </c>
      <c r="QR20" s="162">
        <v>0</v>
      </c>
      <c r="QS20" s="162">
        <v>0</v>
      </c>
      <c r="QT20" s="162">
        <v>0</v>
      </c>
      <c r="QU20" s="162">
        <v>0</v>
      </c>
      <c r="QV20" s="162">
        <v>0</v>
      </c>
      <c r="QW20" s="162">
        <v>0</v>
      </c>
      <c r="QX20" s="162">
        <v>0</v>
      </c>
      <c r="QY20" s="162">
        <v>-0.10256974158001</v>
      </c>
      <c r="QZ20" s="162">
        <v>0</v>
      </c>
      <c r="RA20" s="167">
        <v>0</v>
      </c>
      <c r="RB20" s="167">
        <v>0</v>
      </c>
      <c r="RC20" s="167">
        <v>0</v>
      </c>
      <c r="RD20" s="167">
        <v>0</v>
      </c>
      <c r="RE20" s="167">
        <v>0</v>
      </c>
      <c r="RF20" s="167">
        <v>0</v>
      </c>
      <c r="RG20" s="167">
        <v>0</v>
      </c>
      <c r="RH20" s="167">
        <v>0</v>
      </c>
      <c r="RI20" s="167">
        <v>0</v>
      </c>
      <c r="RJ20" s="167">
        <v>0</v>
      </c>
      <c r="RK20" s="167">
        <v>-4.6009932904509998E-2</v>
      </c>
      <c r="RL20" s="167">
        <v>0</v>
      </c>
      <c r="RM20" s="166">
        <v>-16.09</v>
      </c>
      <c r="RN20" s="166">
        <v>-5.5</v>
      </c>
      <c r="RO20" s="166">
        <v>-0.13747089403073001</v>
      </c>
      <c r="RP20" s="166">
        <v>0</v>
      </c>
      <c r="RQ20" s="166">
        <v>-0.79289189597232002</v>
      </c>
      <c r="RR20" s="166">
        <v>0</v>
      </c>
      <c r="RS20" s="166">
        <v>-0.23515221741628001</v>
      </c>
      <c r="RT20" s="166">
        <v>0</v>
      </c>
      <c r="RU20" s="166">
        <v>0</v>
      </c>
      <c r="RV20" s="166">
        <v>0</v>
      </c>
      <c r="RW20" s="166">
        <v>-0.38539008000000002</v>
      </c>
      <c r="RX20" s="166">
        <v>0</v>
      </c>
      <c r="RY20" s="166">
        <v>-0.33509555438549998</v>
      </c>
      <c r="RZ20" s="166">
        <v>0</v>
      </c>
      <c r="SA20" s="166">
        <v>0</v>
      </c>
      <c r="SB20" s="166">
        <v>0</v>
      </c>
      <c r="SC20" s="166">
        <v>-0.72299999993676001</v>
      </c>
      <c r="SD20" s="166">
        <v>0</v>
      </c>
      <c r="SE20" s="166">
        <v>0</v>
      </c>
      <c r="SF20" s="166">
        <v>0</v>
      </c>
      <c r="SG20" s="166">
        <v>0</v>
      </c>
      <c r="SH20" s="166">
        <v>0</v>
      </c>
      <c r="SI20" s="166">
        <v>0</v>
      </c>
      <c r="SJ20" s="166">
        <v>0</v>
      </c>
      <c r="SK20" s="166">
        <v>0</v>
      </c>
      <c r="SL20" s="166">
        <v>0</v>
      </c>
      <c r="SM20" s="166">
        <v>0</v>
      </c>
      <c r="SN20" s="166">
        <v>0</v>
      </c>
      <c r="SO20" s="166">
        <v>0</v>
      </c>
      <c r="SP20" s="166">
        <v>0</v>
      </c>
      <c r="SQ20" s="166">
        <v>-16.09</v>
      </c>
      <c r="SR20" s="166">
        <v>-5.5</v>
      </c>
      <c r="SS20" s="166">
        <v>-0.11100793658508</v>
      </c>
      <c r="ST20" s="166">
        <v>0</v>
      </c>
      <c r="SU20" s="166">
        <v>-4.2320992572563902</v>
      </c>
      <c r="SV20" s="166">
        <v>0</v>
      </c>
      <c r="SW20" s="166">
        <v>0</v>
      </c>
      <c r="SX20" s="166">
        <v>0</v>
      </c>
      <c r="SY20" s="166">
        <v>0</v>
      </c>
      <c r="SZ20" s="166">
        <v>0</v>
      </c>
      <c r="TA20" s="166">
        <v>0</v>
      </c>
      <c r="TB20" s="166">
        <v>0</v>
      </c>
      <c r="TC20" s="166">
        <v>-0.13848596914003</v>
      </c>
      <c r="TD20" s="166">
        <v>0</v>
      </c>
      <c r="TE20" s="166">
        <v>0</v>
      </c>
      <c r="TF20" s="166">
        <v>0</v>
      </c>
      <c r="TG20" s="166">
        <v>-3.6150000000214302</v>
      </c>
      <c r="TH20" s="166">
        <v>0</v>
      </c>
      <c r="TI20" s="166">
        <v>0</v>
      </c>
      <c r="TJ20" s="166">
        <v>0</v>
      </c>
      <c r="TK20" s="166">
        <v>0</v>
      </c>
      <c r="TL20" s="166">
        <v>0</v>
      </c>
      <c r="TM20" s="166">
        <v>0</v>
      </c>
      <c r="TN20" s="166">
        <v>0</v>
      </c>
      <c r="TO20" s="166">
        <v>0</v>
      </c>
      <c r="TP20" s="166">
        <v>0</v>
      </c>
      <c r="TQ20" s="166">
        <v>0</v>
      </c>
      <c r="TR20" s="166">
        <v>0</v>
      </c>
      <c r="TS20" s="166">
        <v>0</v>
      </c>
      <c r="TT20" s="166">
        <v>0</v>
      </c>
      <c r="TU20" s="166">
        <v>0.17628695307277001</v>
      </c>
      <c r="TV20" s="166">
        <v>0</v>
      </c>
      <c r="TW20" s="166">
        <v>0</v>
      </c>
      <c r="TX20" s="166">
        <v>0</v>
      </c>
      <c r="TY20" s="166">
        <v>0</v>
      </c>
      <c r="TZ20" s="166">
        <v>0</v>
      </c>
      <c r="UA20" s="166">
        <v>5.6395371658720002E-2</v>
      </c>
      <c r="UB20" s="166">
        <v>0</v>
      </c>
      <c r="UC20" s="166">
        <v>0</v>
      </c>
      <c r="UD20" s="166">
        <v>0</v>
      </c>
      <c r="UE20" s="166">
        <v>0</v>
      </c>
      <c r="UF20" s="166">
        <v>-10</v>
      </c>
      <c r="UG20" s="166">
        <v>-1.5819254740000001E-5</v>
      </c>
      <c r="UH20" s="166">
        <v>0</v>
      </c>
      <c r="UI20" s="166">
        <v>0</v>
      </c>
      <c r="UJ20" s="166">
        <v>0</v>
      </c>
      <c r="UK20" s="166">
        <v>0</v>
      </c>
      <c r="UL20" s="166">
        <v>0</v>
      </c>
      <c r="UM20" s="166">
        <v>0</v>
      </c>
      <c r="UN20" s="166">
        <v>0</v>
      </c>
      <c r="UO20" s="166">
        <v>0</v>
      </c>
      <c r="UP20" s="166">
        <v>0</v>
      </c>
      <c r="UQ20" s="166">
        <v>0</v>
      </c>
      <c r="UR20" s="166">
        <v>0</v>
      </c>
      <c r="US20" s="163">
        <v>0</v>
      </c>
      <c r="UT20" s="163">
        <v>0</v>
      </c>
      <c r="UU20" s="163">
        <v>0</v>
      </c>
      <c r="UV20" s="163">
        <v>0</v>
      </c>
      <c r="UW20" s="163">
        <v>0</v>
      </c>
      <c r="UX20" s="163">
        <v>0</v>
      </c>
      <c r="UY20" s="166">
        <v>0</v>
      </c>
      <c r="UZ20" s="166">
        <v>0</v>
      </c>
      <c r="VA20" s="166">
        <v>0</v>
      </c>
      <c r="VB20" s="166">
        <v>0</v>
      </c>
      <c r="VC20" s="166">
        <v>0</v>
      </c>
      <c r="VD20" s="166">
        <v>0</v>
      </c>
      <c r="VE20" s="267">
        <v>202</v>
      </c>
      <c r="VF20" s="267">
        <v>279</v>
      </c>
      <c r="VG20" s="267">
        <v>354</v>
      </c>
      <c r="VH20" s="267">
        <v>0</v>
      </c>
      <c r="VI20" s="267">
        <v>403</v>
      </c>
      <c r="VJ20" s="267">
        <v>0</v>
      </c>
      <c r="VK20" s="267">
        <v>0</v>
      </c>
      <c r="VL20" s="257">
        <v>0</v>
      </c>
      <c r="VM20" s="257">
        <v>0</v>
      </c>
      <c r="VN20" s="257">
        <v>0</v>
      </c>
      <c r="VO20" s="257">
        <v>0</v>
      </c>
      <c r="VP20" s="257">
        <v>0</v>
      </c>
      <c r="VQ20" s="257">
        <v>0</v>
      </c>
      <c r="VR20" s="257">
        <v>0</v>
      </c>
      <c r="VS20" s="257">
        <v>0</v>
      </c>
      <c r="VT20" s="257">
        <v>0</v>
      </c>
      <c r="VU20" s="257">
        <v>0</v>
      </c>
      <c r="VV20" s="257">
        <v>0</v>
      </c>
      <c r="VW20" s="257">
        <v>0</v>
      </c>
      <c r="VX20" s="257">
        <v>0</v>
      </c>
      <c r="VY20" s="257">
        <v>0</v>
      </c>
      <c r="VZ20" s="257">
        <v>0</v>
      </c>
      <c r="WA20" s="257">
        <v>0</v>
      </c>
      <c r="WB20" s="257">
        <v>0</v>
      </c>
      <c r="WC20" s="257">
        <v>0</v>
      </c>
      <c r="WD20" s="257">
        <v>0</v>
      </c>
      <c r="WE20" s="257">
        <v>0</v>
      </c>
      <c r="WF20" s="257">
        <v>0</v>
      </c>
      <c r="WG20" s="257">
        <v>0</v>
      </c>
      <c r="WH20" s="257">
        <v>0</v>
      </c>
      <c r="WI20" s="257">
        <v>0</v>
      </c>
      <c r="WJ20" s="257">
        <v>0</v>
      </c>
      <c r="WK20" s="257">
        <v>0</v>
      </c>
      <c r="WL20" s="257">
        <v>0</v>
      </c>
      <c r="WM20" s="257">
        <v>0</v>
      </c>
      <c r="WN20" s="257">
        <v>0</v>
      </c>
      <c r="WO20" s="257">
        <v>0</v>
      </c>
      <c r="WP20" s="257">
        <v>0</v>
      </c>
      <c r="WQ20" s="257">
        <v>0</v>
      </c>
      <c r="WR20" s="257">
        <v>0</v>
      </c>
      <c r="WS20" s="572">
        <v>85</v>
      </c>
      <c r="WT20" s="572">
        <v>67.432150313152405</v>
      </c>
      <c r="WU20" s="572">
        <v>74.530271398747388</v>
      </c>
      <c r="WV20" s="572">
        <v>78.079331941544879</v>
      </c>
      <c r="WW20" s="572">
        <v>119.95824634655533</v>
      </c>
      <c r="WX20" s="247">
        <v>9523.7462469999991</v>
      </c>
      <c r="WY20" s="4">
        <v>78</v>
      </c>
      <c r="WZ20" s="4">
        <v>15</v>
      </c>
      <c r="XA20" s="4">
        <v>7.0000000000000009</v>
      </c>
      <c r="XB20" s="4">
        <v>0</v>
      </c>
      <c r="XC20" s="1037">
        <v>1223.4552554446998</v>
      </c>
      <c r="XD20" s="1037">
        <v>0</v>
      </c>
      <c r="XE20" s="1037">
        <v>0</v>
      </c>
      <c r="XF20" s="1037">
        <v>0</v>
      </c>
      <c r="XG20" s="1037">
        <v>0</v>
      </c>
      <c r="XH20" s="1037">
        <v>0</v>
      </c>
      <c r="XI20" s="1037">
        <v>804.90477331888144</v>
      </c>
      <c r="XJ20" s="1037">
        <v>32.196190932755258</v>
      </c>
      <c r="XK20" s="1037">
        <v>1312.468253905847</v>
      </c>
      <c r="XL20" s="1037">
        <v>0</v>
      </c>
      <c r="XM20" s="1037">
        <v>0</v>
      </c>
      <c r="XN20" s="1037">
        <v>0</v>
      </c>
      <c r="XO20" s="1037">
        <v>0</v>
      </c>
      <c r="XP20" s="1037">
        <v>0</v>
      </c>
      <c r="XQ20" s="1037">
        <v>863.46595651700454</v>
      </c>
      <c r="XR20" s="1037">
        <v>34.53863826068018</v>
      </c>
      <c r="XS20" s="1037">
        <v>1374.9667421870777</v>
      </c>
      <c r="XT20" s="1037">
        <v>0</v>
      </c>
      <c r="XU20" s="1037">
        <v>0</v>
      </c>
      <c r="XV20" s="1037">
        <v>0</v>
      </c>
      <c r="XW20" s="1037">
        <v>0</v>
      </c>
      <c r="XX20" s="1037">
        <v>0</v>
      </c>
      <c r="XY20" s="1037">
        <v>904.5833830178143</v>
      </c>
      <c r="XZ20" s="1037">
        <v>36.183335320712573</v>
      </c>
      <c r="YA20" s="1037">
        <v>2112.4489039056016</v>
      </c>
      <c r="YB20" s="1037">
        <v>0</v>
      </c>
      <c r="YC20" s="1037">
        <v>0</v>
      </c>
      <c r="YD20" s="1037">
        <v>0</v>
      </c>
      <c r="YE20" s="1037">
        <v>0</v>
      </c>
      <c r="YF20" s="1037">
        <v>0</v>
      </c>
      <c r="YG20" s="1037">
        <v>1389.7690157273694</v>
      </c>
      <c r="YH20" s="1037">
        <v>55.590760629094774</v>
      </c>
      <c r="YI20" s="1037">
        <v>1078.8156563565708</v>
      </c>
      <c r="YJ20" s="1037">
        <v>227.11908554875177</v>
      </c>
      <c r="YK20" s="1037">
        <v>794.91679942063126</v>
      </c>
      <c r="YL20" s="1037">
        <v>0</v>
      </c>
      <c r="YM20" s="1037">
        <v>0</v>
      </c>
      <c r="YN20" s="1037">
        <v>0</v>
      </c>
      <c r="YO20" s="1037">
        <v>709.74714233984923</v>
      </c>
      <c r="YP20" s="1037">
        <v>28.389885693593971</v>
      </c>
      <c r="YQ20" s="1037">
        <v>1157.3053403329777</v>
      </c>
      <c r="YR20" s="1037">
        <v>243.6432295437848</v>
      </c>
      <c r="YS20" s="1037">
        <v>852.75130340324688</v>
      </c>
      <c r="YT20" s="1037">
        <v>0</v>
      </c>
      <c r="YU20" s="1037">
        <v>0</v>
      </c>
      <c r="YV20" s="1037">
        <v>0</v>
      </c>
      <c r="YW20" s="1037">
        <v>761.3850923243275</v>
      </c>
      <c r="YX20" s="1037">
        <v>30.4554036929731</v>
      </c>
      <c r="YY20" s="1037">
        <v>1212.415118444072</v>
      </c>
      <c r="YZ20" s="1037">
        <v>255.24528809348885</v>
      </c>
      <c r="ZA20" s="1037">
        <v>893.3585083272111</v>
      </c>
      <c r="ZB20" s="1037">
        <v>0</v>
      </c>
      <c r="ZC20" s="1037">
        <v>0</v>
      </c>
      <c r="ZD20" s="1037">
        <v>0</v>
      </c>
      <c r="ZE20" s="1037">
        <v>797.64152529215266</v>
      </c>
      <c r="ZF20" s="1037">
        <v>31.905661011686107</v>
      </c>
      <c r="ZG20" s="1037">
        <v>1862.7105001549835</v>
      </c>
      <c r="ZH20" s="1037">
        <v>392.14957897999653</v>
      </c>
      <c r="ZI20" s="1037">
        <v>1372.5235264299879</v>
      </c>
      <c r="ZJ20" s="1037">
        <v>0</v>
      </c>
      <c r="ZK20" s="1037">
        <v>0</v>
      </c>
      <c r="ZL20" s="1037">
        <v>0</v>
      </c>
      <c r="ZM20" s="1037">
        <v>1225.4674343124891</v>
      </c>
      <c r="ZN20" s="1037">
        <v>49.018697372499567</v>
      </c>
      <c r="ZO20" s="1037">
        <v>2871.041666110229</v>
      </c>
      <c r="ZP20" s="1037">
        <v>604.42982444425877</v>
      </c>
      <c r="ZQ20" s="1037">
        <v>2115.5043855549061</v>
      </c>
      <c r="ZR20" s="1037">
        <v>0</v>
      </c>
      <c r="ZS20" s="1037">
        <v>0</v>
      </c>
      <c r="ZT20" s="1037">
        <v>0</v>
      </c>
      <c r="ZU20" s="1037">
        <v>1888.8432013883087</v>
      </c>
      <c r="ZV20" s="1037">
        <v>75.553728055532346</v>
      </c>
      <c r="ZW20" s="1037">
        <v>3173.2565783323589</v>
      </c>
      <c r="ZX20" s="1037">
        <v>668.05401649102294</v>
      </c>
      <c r="ZY20" s="1037">
        <v>2338.1890577185804</v>
      </c>
      <c r="ZZ20" s="1037">
        <v>0</v>
      </c>
      <c r="AAA20" s="1037">
        <v>0</v>
      </c>
      <c r="AAB20" s="1037">
        <v>0</v>
      </c>
      <c r="AAC20" s="1037">
        <v>2087.6688015344466</v>
      </c>
      <c r="AAD20" s="1037">
        <v>83.506752061377867</v>
      </c>
      <c r="AAE20" s="1037">
        <v>3324.3640344434234</v>
      </c>
      <c r="AAF20" s="1037">
        <v>699.86611251440502</v>
      </c>
      <c r="AAG20" s="1037">
        <v>2449.5313938004174</v>
      </c>
      <c r="AAH20" s="1037">
        <v>0</v>
      </c>
      <c r="AAI20" s="1037">
        <v>0</v>
      </c>
      <c r="AAJ20" s="1037">
        <v>0</v>
      </c>
      <c r="AAK20" s="1037">
        <v>2187.0816016075155</v>
      </c>
      <c r="AAL20" s="1037">
        <v>87.483264064300627</v>
      </c>
      <c r="AAM20" s="1037">
        <v>5107.4320165539875</v>
      </c>
      <c r="AAN20" s="1037">
        <v>1075.2488455903131</v>
      </c>
      <c r="AAO20" s="1037">
        <v>3763.3709595660962</v>
      </c>
      <c r="AAP20" s="1037">
        <v>0</v>
      </c>
      <c r="AAQ20" s="1037">
        <v>0</v>
      </c>
      <c r="AAR20" s="1037">
        <v>0</v>
      </c>
      <c r="AAS20" s="1037">
        <v>3360.1526424697286</v>
      </c>
      <c r="AAT20" s="1037">
        <v>134.40610569878913</v>
      </c>
      <c r="AAU20" s="1037">
        <v>3949.8573224668003</v>
      </c>
      <c r="AAV20" s="1037">
        <v>831.54890999301062</v>
      </c>
      <c r="AAW20" s="1037">
        <v>2910.4211849755375</v>
      </c>
      <c r="AAX20" s="1037">
        <v>0</v>
      </c>
      <c r="AAY20" s="1037">
        <v>0</v>
      </c>
      <c r="AAZ20" s="1037">
        <v>0</v>
      </c>
      <c r="ABA20" s="1037">
        <v>2598.5903437281581</v>
      </c>
      <c r="ABB20" s="1037">
        <v>103.94361374912633</v>
      </c>
      <c r="ABC20" s="1037">
        <v>4181.2321973320495</v>
      </c>
      <c r="ABD20" s="1037">
        <v>880.25940996464203</v>
      </c>
      <c r="ABE20" s="1037">
        <v>3080.9079348762471</v>
      </c>
      <c r="ABF20" s="1037">
        <v>0</v>
      </c>
      <c r="ABG20" s="1037">
        <v>0</v>
      </c>
      <c r="ABH20" s="1037">
        <v>0</v>
      </c>
      <c r="ABI20" s="1037">
        <v>2750.8106561395061</v>
      </c>
      <c r="ABJ20" s="1037">
        <v>110.03242624558025</v>
      </c>
      <c r="ABK20" s="1037">
        <v>4380.3384924430993</v>
      </c>
      <c r="ABL20" s="1037">
        <v>922.17652472486304</v>
      </c>
      <c r="ABM20" s="1037">
        <v>3227.6178365370206</v>
      </c>
      <c r="ABN20" s="1037">
        <v>0</v>
      </c>
      <c r="ABO20" s="1037">
        <v>0</v>
      </c>
      <c r="ABP20" s="1037">
        <v>0</v>
      </c>
      <c r="ABQ20" s="1037">
        <v>2881.8016397651968</v>
      </c>
      <c r="ABR20" s="1037">
        <v>115.27206559060788</v>
      </c>
      <c r="ABS20" s="1037">
        <v>0</v>
      </c>
      <c r="ABT20" s="1037">
        <v>0</v>
      </c>
      <c r="ABU20" s="1037">
        <v>0</v>
      </c>
      <c r="ABV20" s="1037">
        <v>0</v>
      </c>
      <c r="ABW20" s="1037">
        <v>0</v>
      </c>
      <c r="ABX20" s="1037">
        <v>0</v>
      </c>
      <c r="ABY20" s="1037">
        <v>0</v>
      </c>
      <c r="ABZ20" s="1037">
        <v>0</v>
      </c>
      <c r="ACA20" s="1037">
        <v>5115.6742414327719</v>
      </c>
      <c r="ACB20" s="1037">
        <v>1076.9840508279519</v>
      </c>
      <c r="ACC20" s="1037">
        <v>3769.4441778978326</v>
      </c>
      <c r="ACD20" s="1037">
        <v>0</v>
      </c>
      <c r="ACE20" s="1037">
        <v>0</v>
      </c>
      <c r="ACF20" s="1037">
        <v>0</v>
      </c>
      <c r="ACG20" s="1037">
        <v>3365.57515883735</v>
      </c>
      <c r="ACH20" s="1037">
        <v>134.62300635349399</v>
      </c>
      <c r="ACI20" s="1037">
        <v>5469.2010438316538</v>
      </c>
      <c r="ACJ20" s="1037">
        <v>1151.4107460698219</v>
      </c>
      <c r="ACK20" s="1037">
        <v>4029.937611244377</v>
      </c>
      <c r="ACL20" s="1037">
        <v>0</v>
      </c>
      <c r="ACM20" s="1037">
        <v>0</v>
      </c>
      <c r="ACN20" s="1037">
        <v>0</v>
      </c>
      <c r="ACO20" s="1037">
        <v>3598.1585814681935</v>
      </c>
      <c r="ACP20" s="1037">
        <v>143.92634325872774</v>
      </c>
      <c r="ACQ20" s="1037">
        <v>5729.6391887760183</v>
      </c>
      <c r="ACR20" s="1037">
        <v>1206.239829216004</v>
      </c>
      <c r="ACS20" s="1037">
        <v>4221.8394022560142</v>
      </c>
      <c r="ACT20" s="1037">
        <v>0</v>
      </c>
      <c r="ACU20" s="1037">
        <v>0</v>
      </c>
      <c r="ACV20" s="1037">
        <v>0</v>
      </c>
      <c r="ACW20" s="1037">
        <v>3769.499466300012</v>
      </c>
      <c r="ACX20" s="1037">
        <v>150.77997865200049</v>
      </c>
      <c r="ACY20" s="1037">
        <v>8802.809299119519</v>
      </c>
      <c r="ACZ20" s="1037">
        <v>1853.2230103409515</v>
      </c>
      <c r="ADA20" s="1037">
        <v>6486.2805361933306</v>
      </c>
      <c r="ADB20" s="1037">
        <v>0</v>
      </c>
      <c r="ADC20" s="1037">
        <v>0</v>
      </c>
      <c r="ADD20" s="1037">
        <v>0</v>
      </c>
      <c r="ADE20" s="1037">
        <v>5791.3219073154733</v>
      </c>
      <c r="ADF20" s="1037">
        <v>231.65287629261894</v>
      </c>
      <c r="ADG20" s="1037">
        <v>6246.6906553549843</v>
      </c>
      <c r="ADH20" s="1037">
        <v>1315.0927695484177</v>
      </c>
      <c r="ADI20" s="1037">
        <v>4602.8246934194622</v>
      </c>
      <c r="ADJ20" s="1037">
        <v>0</v>
      </c>
      <c r="ADK20" s="1037">
        <v>0</v>
      </c>
      <c r="ADL20" s="1037">
        <v>0</v>
      </c>
      <c r="ADM20" s="1037">
        <v>4109.6649048388053</v>
      </c>
      <c r="ADN20" s="1037">
        <v>164.38659619355221</v>
      </c>
      <c r="ADO20" s="1037">
        <v>6719.8374599979361</v>
      </c>
      <c r="ADP20" s="1037">
        <v>1414.7026231574603</v>
      </c>
      <c r="ADQ20" s="1037">
        <v>4951.459181051111</v>
      </c>
      <c r="ADR20" s="1037">
        <v>0</v>
      </c>
      <c r="ADS20" s="1037">
        <v>0</v>
      </c>
      <c r="ADT20" s="1037">
        <v>0</v>
      </c>
      <c r="ADU20" s="1037">
        <v>4420.9456973670631</v>
      </c>
      <c r="ADV20" s="1037">
        <v>176.83782789468253</v>
      </c>
      <c r="ADW20" s="1037">
        <v>7039.8297199978379</v>
      </c>
      <c r="ADX20" s="1037">
        <v>1482.069414736387</v>
      </c>
      <c r="ADY20" s="1037">
        <v>5187.2429515773547</v>
      </c>
      <c r="ADZ20" s="1037">
        <v>0</v>
      </c>
      <c r="AEA20" s="1037">
        <v>0</v>
      </c>
      <c r="AEB20" s="1037">
        <v>0</v>
      </c>
      <c r="AEC20" s="1037">
        <v>4631.4669210512093</v>
      </c>
      <c r="AED20" s="1037">
        <v>185.25867684204837</v>
      </c>
      <c r="AEE20" s="1037">
        <v>10815.73838799668</v>
      </c>
      <c r="AEF20" s="1037">
        <v>2276.9975553677218</v>
      </c>
      <c r="AEG20" s="1037">
        <v>7969.4914437870275</v>
      </c>
      <c r="AEH20" s="1037">
        <v>0</v>
      </c>
      <c r="AEI20" s="1037">
        <v>0</v>
      </c>
      <c r="AEJ20" s="1037">
        <v>0</v>
      </c>
      <c r="AEK20" s="1037">
        <v>7115.6173605241311</v>
      </c>
      <c r="AEL20" s="1037">
        <v>284.62469442096523</v>
      </c>
      <c r="AEM20" s="1037">
        <v>7203.7045440583934</v>
      </c>
      <c r="AEN20" s="1037">
        <v>1516.569377696504</v>
      </c>
      <c r="AEO20" s="1037">
        <v>5307.9928219377643</v>
      </c>
      <c r="AEP20" s="1037">
        <v>0</v>
      </c>
      <c r="AEQ20" s="1037">
        <v>0</v>
      </c>
      <c r="AER20" s="1037">
        <v>0</v>
      </c>
      <c r="AES20" s="1037">
        <v>4739.2793053015748</v>
      </c>
      <c r="AET20" s="1037">
        <v>189.571172212063</v>
      </c>
      <c r="AEU20" s="1037">
        <v>7653.1482183309827</v>
      </c>
      <c r="AEV20" s="1037">
        <v>1611.1890985959963</v>
      </c>
      <c r="AEW20" s="1037">
        <v>5639.1618450859878</v>
      </c>
      <c r="AEX20" s="1037">
        <v>0</v>
      </c>
      <c r="AEY20" s="1037">
        <v>0</v>
      </c>
      <c r="AEZ20" s="1037">
        <v>0</v>
      </c>
      <c r="AFA20" s="1037">
        <v>5034.9659331124885</v>
      </c>
      <c r="AFB20" s="1037">
        <v>201.39863732449953</v>
      </c>
      <c r="AFC20" s="1037">
        <v>8017.583847775315</v>
      </c>
      <c r="AFD20" s="1037">
        <v>1687.9123890053295</v>
      </c>
      <c r="AFE20" s="1037">
        <v>5907.6933615186535</v>
      </c>
      <c r="AFF20" s="1037">
        <v>0</v>
      </c>
      <c r="AFG20" s="1037">
        <v>0</v>
      </c>
      <c r="AFH20" s="1037">
        <v>0</v>
      </c>
      <c r="AFI20" s="1037">
        <v>5274.7262156416546</v>
      </c>
      <c r="AFJ20" s="1037">
        <v>210.98904862566619</v>
      </c>
      <c r="AFK20" s="1037">
        <v>12317.92427521844</v>
      </c>
      <c r="AFL20" s="1037">
        <v>2593.2472158354612</v>
      </c>
      <c r="AFM20" s="1037">
        <v>9076.3652554241144</v>
      </c>
      <c r="AFN20" s="1037">
        <v>0</v>
      </c>
      <c r="AFO20" s="1037">
        <v>0</v>
      </c>
      <c r="AFP20" s="1037">
        <v>0</v>
      </c>
      <c r="AFQ20" s="1037">
        <v>8103.8975494858159</v>
      </c>
      <c r="AFR20" s="1037">
        <v>324.15590197943266</v>
      </c>
      <c r="AFS20" s="247">
        <v>2871.041666110229</v>
      </c>
      <c r="AFT20" s="247">
        <v>604.42982444425877</v>
      </c>
      <c r="AFU20" s="247">
        <v>2115.5043855549061</v>
      </c>
      <c r="AFV20" s="247">
        <v>0</v>
      </c>
      <c r="AFW20" s="247">
        <v>0</v>
      </c>
      <c r="AFX20" s="247">
        <v>0</v>
      </c>
      <c r="AFY20" s="247">
        <v>1888.8432013883087</v>
      </c>
      <c r="AFZ20" s="247">
        <v>75.553728055532346</v>
      </c>
      <c r="AGA20" s="247">
        <v>3173.2565783323589</v>
      </c>
      <c r="AGB20" s="247">
        <v>668.05401649102294</v>
      </c>
      <c r="AGC20" s="247">
        <v>2338.1890577185804</v>
      </c>
      <c r="AGD20" s="247">
        <v>0</v>
      </c>
      <c r="AGE20" s="247">
        <v>0</v>
      </c>
      <c r="AGF20" s="247">
        <v>0</v>
      </c>
      <c r="AGG20" s="247">
        <v>2087.6688015344466</v>
      </c>
      <c r="AGH20" s="247">
        <v>83.506752061377867</v>
      </c>
      <c r="AGI20" s="247">
        <v>3324.3640344434234</v>
      </c>
      <c r="AGJ20" s="247">
        <v>699.86611251440502</v>
      </c>
      <c r="AGK20" s="247">
        <v>2449.5313938004174</v>
      </c>
      <c r="AGL20" s="247">
        <v>0</v>
      </c>
      <c r="AGM20" s="247">
        <v>0</v>
      </c>
      <c r="AGN20" s="247">
        <v>0</v>
      </c>
      <c r="AGO20" s="247">
        <v>2187.0816016075155</v>
      </c>
      <c r="AGP20" s="247">
        <v>87.483264064300627</v>
      </c>
      <c r="AGQ20" s="247">
        <v>5107.4320165539875</v>
      </c>
      <c r="AGR20" s="247">
        <v>1075.2488455903131</v>
      </c>
      <c r="AGS20" s="247">
        <v>3763.3709595660962</v>
      </c>
      <c r="AGT20" s="247">
        <v>0</v>
      </c>
      <c r="AGU20" s="247">
        <v>0</v>
      </c>
      <c r="AGV20" s="247">
        <v>0</v>
      </c>
      <c r="AGW20" s="247">
        <v>3360.1526424697286</v>
      </c>
      <c r="AGX20" s="247">
        <v>134.40610569878913</v>
      </c>
      <c r="AGY20" s="249">
        <v>0</v>
      </c>
      <c r="AGZ20" s="249">
        <v>0</v>
      </c>
      <c r="AHA20" s="249">
        <v>0</v>
      </c>
      <c r="AHB20" s="249">
        <v>0</v>
      </c>
      <c r="AHC20" s="249">
        <v>0</v>
      </c>
      <c r="AHD20" s="249">
        <v>0</v>
      </c>
      <c r="AHE20" s="249">
        <v>0</v>
      </c>
      <c r="AHF20" s="249">
        <v>0</v>
      </c>
      <c r="AHG20" s="249">
        <v>0</v>
      </c>
      <c r="AHH20" s="249">
        <v>0</v>
      </c>
      <c r="AHI20" s="249">
        <v>0</v>
      </c>
      <c r="AHJ20" s="249">
        <v>0</v>
      </c>
      <c r="AHK20" s="249">
        <v>0</v>
      </c>
      <c r="AHL20" s="249">
        <v>0</v>
      </c>
      <c r="AHM20" s="249">
        <v>0</v>
      </c>
      <c r="AHN20" s="249">
        <v>0</v>
      </c>
      <c r="AHO20" s="249">
        <v>0</v>
      </c>
      <c r="AHP20" s="249">
        <v>0</v>
      </c>
      <c r="AHQ20" s="249">
        <v>0</v>
      </c>
      <c r="AHR20" s="249">
        <v>0</v>
      </c>
      <c r="AHS20" s="249">
        <v>0</v>
      </c>
      <c r="AHT20" s="249">
        <v>0</v>
      </c>
      <c r="AHU20" s="249">
        <v>0</v>
      </c>
      <c r="AHV20" s="249">
        <v>0</v>
      </c>
      <c r="AHW20" s="249">
        <v>0</v>
      </c>
      <c r="AHX20" s="249">
        <v>0</v>
      </c>
      <c r="AHY20" s="249">
        <v>0</v>
      </c>
      <c r="AHZ20" s="249">
        <v>0</v>
      </c>
      <c r="AIA20" s="249">
        <v>0</v>
      </c>
      <c r="AIB20" s="249">
        <v>0</v>
      </c>
      <c r="AIC20" s="249">
        <v>0</v>
      </c>
      <c r="AID20" s="249">
        <v>0</v>
      </c>
      <c r="AIE20" s="249"/>
      <c r="AIF20" s="249"/>
      <c r="AIG20" s="249"/>
      <c r="AIH20" s="249"/>
      <c r="AII20" s="249"/>
      <c r="AIJ20" s="249"/>
      <c r="AIK20" s="249"/>
      <c r="AIL20" s="249"/>
      <c r="AIM20" s="249">
        <v>0</v>
      </c>
      <c r="AIN20" s="249">
        <v>0</v>
      </c>
      <c r="AIO20" s="249">
        <v>0</v>
      </c>
      <c r="AIP20" s="249">
        <v>0</v>
      </c>
      <c r="AIQ20" s="249">
        <v>0</v>
      </c>
      <c r="AIR20" s="249">
        <v>0</v>
      </c>
      <c r="AIS20" s="249">
        <v>0</v>
      </c>
      <c r="AIT20" s="249">
        <v>0</v>
      </c>
      <c r="AIU20" s="134" t="s">
        <v>1216</v>
      </c>
      <c r="AIV20" s="134" t="s">
        <v>1219</v>
      </c>
      <c r="AIW20" s="134" t="s">
        <v>1218</v>
      </c>
      <c r="AIX20" s="134" t="s">
        <v>1217</v>
      </c>
      <c r="AIY20" s="134" t="s">
        <v>1228</v>
      </c>
      <c r="AIZ20" s="134" t="s">
        <v>1229</v>
      </c>
      <c r="AJA20" s="134" t="s">
        <v>1230</v>
      </c>
      <c r="AJB20" s="134" t="s">
        <v>1231</v>
      </c>
      <c r="AJC20" s="134" t="s">
        <v>1232</v>
      </c>
      <c r="AJD20" s="134" t="s">
        <v>1233</v>
      </c>
    </row>
    <row r="21" spans="1:940" ht="18" customHeight="1">
      <c r="A21" s="664" t="s">
        <v>11</v>
      </c>
      <c r="B21" s="669">
        <v>-0.1</v>
      </c>
      <c r="C21" s="6">
        <v>-0.2</v>
      </c>
      <c r="D21" s="6">
        <v>-0.2</v>
      </c>
      <c r="E21" s="74">
        <v>286.42361111111109</v>
      </c>
      <c r="F21" s="75">
        <v>-9.4</v>
      </c>
      <c r="G21" s="7">
        <v>-0.9</v>
      </c>
      <c r="H21" s="7">
        <v>-0.9</v>
      </c>
      <c r="I21" s="266">
        <v>350</v>
      </c>
      <c r="J21" s="125">
        <v>0</v>
      </c>
      <c r="K21" s="125">
        <v>0</v>
      </c>
      <c r="L21" s="125">
        <v>0</v>
      </c>
      <c r="M21" s="1">
        <v>1985.8601373210677</v>
      </c>
      <c r="N21" s="2">
        <v>12</v>
      </c>
      <c r="O21" s="8">
        <v>0.8</v>
      </c>
      <c r="P21" s="8">
        <v>0.7</v>
      </c>
      <c r="Q21" s="8">
        <v>0.7</v>
      </c>
      <c r="R21" s="7">
        <v>0.4</v>
      </c>
      <c r="S21" s="7">
        <v>0</v>
      </c>
      <c r="T21" s="7">
        <v>98.3</v>
      </c>
      <c r="U21" s="7">
        <v>1.3</v>
      </c>
      <c r="V21" s="71">
        <v>0</v>
      </c>
      <c r="W21" s="119">
        <v>2</v>
      </c>
      <c r="X21" s="120">
        <v>1.5</v>
      </c>
      <c r="Y21" s="119">
        <v>1</v>
      </c>
      <c r="Z21" s="120">
        <v>0.8</v>
      </c>
      <c r="AA21" s="120">
        <v>0.5</v>
      </c>
      <c r="AB21" s="559">
        <v>433.01922201480062</v>
      </c>
      <c r="AC21" s="559">
        <v>470.67306740739195</v>
      </c>
      <c r="AD21" s="559">
        <v>433.37222681535616</v>
      </c>
      <c r="AE21" s="559">
        <v>649.0581599547935</v>
      </c>
      <c r="AF21" s="622">
        <v>0.82209484106305364</v>
      </c>
      <c r="AG21" s="559">
        <v>261.91600618637949</v>
      </c>
      <c r="AH21" s="559">
        <v>284.69131107215162</v>
      </c>
      <c r="AI21" s="559">
        <v>262.12952466968363</v>
      </c>
      <c r="AJ21" s="559">
        <v>392.58931796849708</v>
      </c>
      <c r="AK21" s="622">
        <v>0.96717040125065135</v>
      </c>
      <c r="AL21" s="995">
        <v>0.1</v>
      </c>
      <c r="AM21" s="995">
        <v>0.2</v>
      </c>
      <c r="AN21" s="995">
        <v>0.4</v>
      </c>
      <c r="AO21" s="995">
        <v>0.6</v>
      </c>
      <c r="AP21" s="995">
        <v>0.8</v>
      </c>
      <c r="AQ21" s="995">
        <v>1.1000000000000001</v>
      </c>
      <c r="AR21" s="995">
        <v>1.3</v>
      </c>
      <c r="AS21" s="1005">
        <v>0</v>
      </c>
      <c r="AT21" s="1005">
        <v>10</v>
      </c>
      <c r="AU21" s="1005">
        <v>20</v>
      </c>
      <c r="AV21" s="1005">
        <v>70</v>
      </c>
      <c r="AW21" s="1005">
        <v>100</v>
      </c>
      <c r="AX21" s="1">
        <v>6743.9187866940065</v>
      </c>
      <c r="AY21" s="5">
        <v>1.84</v>
      </c>
      <c r="AZ21" s="8">
        <v>1.2</v>
      </c>
      <c r="BA21" s="8">
        <v>1.1000000000000001</v>
      </c>
      <c r="BB21" s="8">
        <v>1.1000000000000001</v>
      </c>
      <c r="BC21" s="73">
        <v>0.16992019951201232</v>
      </c>
      <c r="BD21" s="73">
        <v>0.17709225342845586</v>
      </c>
      <c r="BE21" s="9">
        <v>4.9365677032073144E-4</v>
      </c>
      <c r="BF21" s="9">
        <v>2.8268345584681883E-2</v>
      </c>
      <c r="BG21" s="9">
        <v>2.1639314617332861</v>
      </c>
      <c r="BH21" s="9">
        <v>65.723175990197532</v>
      </c>
      <c r="BI21" s="9">
        <v>0</v>
      </c>
      <c r="BJ21" s="9">
        <v>0</v>
      </c>
      <c r="BK21" s="9">
        <v>31.156367600734562</v>
      </c>
      <c r="BL21" s="9">
        <v>0</v>
      </c>
      <c r="BM21" s="9">
        <v>0</v>
      </c>
      <c r="BN21" s="9">
        <v>0</v>
      </c>
      <c r="BO21" s="9">
        <v>0</v>
      </c>
      <c r="BP21" s="9">
        <v>0</v>
      </c>
      <c r="BQ21" s="9">
        <v>0.75194318893959411</v>
      </c>
      <c r="BR21" s="9">
        <v>4.4688928681666214E-3</v>
      </c>
      <c r="BS21" s="9">
        <v>0.17135086317185386</v>
      </c>
      <c r="BT21" s="262">
        <v>261.13475999999997</v>
      </c>
      <c r="BU21" s="262">
        <v>96.5</v>
      </c>
      <c r="BV21" s="262">
        <v>63.215999999999994</v>
      </c>
      <c r="BW21" s="262">
        <v>233.35949490734063</v>
      </c>
      <c r="BX21" s="262">
        <v>157.40783999999999</v>
      </c>
      <c r="BY21" s="68"/>
      <c r="BZ21" s="262">
        <v>256.20808011776955</v>
      </c>
      <c r="CA21" s="262">
        <v>165.17663999999999</v>
      </c>
      <c r="CB21" s="68"/>
      <c r="CC21" s="785">
        <v>0</v>
      </c>
      <c r="CD21" s="262">
        <v>6.585</v>
      </c>
      <c r="CE21" s="262">
        <v>1.3169999999999999</v>
      </c>
      <c r="CF21" s="262">
        <v>38</v>
      </c>
      <c r="CG21" s="262">
        <v>225.83915999999996</v>
      </c>
      <c r="CH21" s="68">
        <v>0.2</v>
      </c>
      <c r="CI21" s="262">
        <v>175.08124000000001</v>
      </c>
      <c r="CJ21" s="262">
        <v>60.4</v>
      </c>
      <c r="CK21" s="262">
        <v>42.384</v>
      </c>
      <c r="CL21" s="262">
        <v>156.45894761061641</v>
      </c>
      <c r="CM21" s="262">
        <v>105.53616</v>
      </c>
      <c r="CN21" s="68"/>
      <c r="CO21" s="262">
        <v>159.24945066654416</v>
      </c>
      <c r="CP21" s="262">
        <v>102.66767999999999</v>
      </c>
      <c r="CQ21" s="68"/>
      <c r="CR21" s="262">
        <v>0</v>
      </c>
      <c r="CS21" s="262">
        <v>4.415</v>
      </c>
      <c r="CT21" s="262">
        <v>0.88300000000000001</v>
      </c>
      <c r="CU21" s="262">
        <v>27</v>
      </c>
      <c r="CV21" s="262">
        <v>151.41683999999998</v>
      </c>
      <c r="CW21" s="68">
        <v>0.2</v>
      </c>
      <c r="CX21" s="120">
        <v>0.3</v>
      </c>
      <c r="CY21" s="120">
        <v>0.7</v>
      </c>
      <c r="CZ21" s="120">
        <v>1.2</v>
      </c>
      <c r="DA21" s="120">
        <v>1.2</v>
      </c>
      <c r="DB21" s="119">
        <v>3</v>
      </c>
      <c r="DC21" s="1005">
        <v>0</v>
      </c>
      <c r="DD21" s="1005">
        <v>10</v>
      </c>
      <c r="DE21" s="1005">
        <v>20</v>
      </c>
      <c r="DF21" s="1005">
        <v>70</v>
      </c>
      <c r="DG21" s="1005">
        <v>100</v>
      </c>
      <c r="DH21" s="2">
        <v>7.7294883580551366</v>
      </c>
      <c r="DI21" s="2">
        <v>18</v>
      </c>
      <c r="DJ21" s="63">
        <v>12</v>
      </c>
      <c r="DK21" s="8">
        <v>2.1</v>
      </c>
      <c r="DL21" s="8">
        <v>1.6</v>
      </c>
      <c r="DM21" s="8">
        <v>1.6</v>
      </c>
      <c r="DN21" s="1030" t="s">
        <v>1015</v>
      </c>
      <c r="DO21" s="1030" t="s">
        <v>997</v>
      </c>
      <c r="DP21" s="1030" t="s">
        <v>997</v>
      </c>
      <c r="DQ21" s="1030" t="s">
        <v>997</v>
      </c>
      <c r="DR21" s="1030" t="s">
        <v>997</v>
      </c>
      <c r="DS21" s="1030" t="s">
        <v>997</v>
      </c>
      <c r="DT21" s="1030" t="s">
        <v>997</v>
      </c>
      <c r="DU21" s="1097">
        <v>1353.85</v>
      </c>
      <c r="DV21" s="1097">
        <v>0</v>
      </c>
      <c r="DW21" s="1097">
        <v>0</v>
      </c>
      <c r="DX21" s="1097">
        <v>0</v>
      </c>
      <c r="DY21" s="1097">
        <v>0</v>
      </c>
      <c r="DZ21" s="1097">
        <v>0</v>
      </c>
      <c r="EA21" s="1097">
        <v>0</v>
      </c>
      <c r="EB21" s="207">
        <v>1.35385</v>
      </c>
      <c r="EC21" s="207">
        <v>18</v>
      </c>
      <c r="ED21" s="221">
        <v>5</v>
      </c>
      <c r="EE21" s="214">
        <v>2.1</v>
      </c>
      <c r="EF21" s="214">
        <v>1.6</v>
      </c>
      <c r="EG21" s="214">
        <v>1.6</v>
      </c>
      <c r="EH21" s="208" t="s">
        <v>1015</v>
      </c>
      <c r="EI21" s="208" t="s">
        <v>1064</v>
      </c>
      <c r="EJ21" s="208" t="s">
        <v>1076</v>
      </c>
      <c r="EK21" s="208" t="s">
        <v>1092</v>
      </c>
      <c r="EL21" s="204" t="s">
        <v>997</v>
      </c>
      <c r="EM21" s="204" t="s">
        <v>997</v>
      </c>
      <c r="EN21" s="204" t="s">
        <v>997</v>
      </c>
      <c r="EO21" s="204" t="s">
        <v>997</v>
      </c>
      <c r="EP21" s="204" t="s">
        <v>997</v>
      </c>
      <c r="EQ21" s="204" t="s">
        <v>997</v>
      </c>
      <c r="ER21" s="204" t="s">
        <v>997</v>
      </c>
      <c r="ES21" s="204" t="s">
        <v>997</v>
      </c>
      <c r="ET21" s="204" t="s">
        <v>997</v>
      </c>
      <c r="EU21" s="204" t="s">
        <v>997</v>
      </c>
      <c r="EV21" s="204" t="s">
        <v>997</v>
      </c>
      <c r="EW21" s="204" t="s">
        <v>997</v>
      </c>
      <c r="EX21" s="204" t="s">
        <v>997</v>
      </c>
      <c r="EY21" s="204" t="s">
        <v>997</v>
      </c>
      <c r="EZ21" s="204" t="s">
        <v>997</v>
      </c>
      <c r="FA21" s="204" t="s">
        <v>997</v>
      </c>
      <c r="FB21" s="204" t="s">
        <v>997</v>
      </c>
      <c r="FC21" s="204" t="s">
        <v>997</v>
      </c>
      <c r="FD21" s="204" t="s">
        <v>997</v>
      </c>
      <c r="FE21" s="204" t="s">
        <v>997</v>
      </c>
      <c r="FF21" s="204" t="s">
        <v>997</v>
      </c>
      <c r="FG21" s="204" t="s">
        <v>997</v>
      </c>
      <c r="FH21" s="204" t="s">
        <v>997</v>
      </c>
      <c r="FI21" s="204" t="s">
        <v>997</v>
      </c>
      <c r="FJ21" s="204" t="s">
        <v>997</v>
      </c>
      <c r="FK21" s="204" t="s">
        <v>997</v>
      </c>
      <c r="FL21" s="204" t="s">
        <v>997</v>
      </c>
      <c r="FM21" s="204" t="s">
        <v>997</v>
      </c>
      <c r="FN21" s="204" t="s">
        <v>997</v>
      </c>
      <c r="FO21" s="204" t="s">
        <v>997</v>
      </c>
      <c r="FP21" s="204" t="s">
        <v>997</v>
      </c>
      <c r="FQ21" s="204" t="s">
        <v>997</v>
      </c>
      <c r="FR21" s="204" t="s">
        <v>997</v>
      </c>
      <c r="FS21" s="204" t="s">
        <v>997</v>
      </c>
      <c r="FT21" s="204" t="s">
        <v>997</v>
      </c>
      <c r="FU21" s="204" t="s">
        <v>997</v>
      </c>
      <c r="FV21" s="204" t="s">
        <v>997</v>
      </c>
      <c r="FW21" s="204" t="s">
        <v>997</v>
      </c>
      <c r="FX21" s="204" t="s">
        <v>997</v>
      </c>
      <c r="FY21" s="204" t="s">
        <v>997</v>
      </c>
      <c r="FZ21" s="204" t="s">
        <v>997</v>
      </c>
      <c r="GA21" s="204" t="s">
        <v>997</v>
      </c>
      <c r="GB21" s="204" t="s">
        <v>997</v>
      </c>
      <c r="GC21" s="204" t="s">
        <v>997</v>
      </c>
      <c r="GD21" s="204" t="s">
        <v>997</v>
      </c>
      <c r="GE21" s="204" t="s">
        <v>997</v>
      </c>
      <c r="GF21" s="204" t="s">
        <v>997</v>
      </c>
      <c r="GG21" s="204" t="s">
        <v>997</v>
      </c>
      <c r="GH21" s="204" t="s">
        <v>997</v>
      </c>
      <c r="GI21" s="204" t="s">
        <v>997</v>
      </c>
      <c r="GJ21" s="204" t="s">
        <v>997</v>
      </c>
      <c r="GK21" s="204" t="s">
        <v>997</v>
      </c>
      <c r="GL21" s="204" t="s">
        <v>997</v>
      </c>
      <c r="GM21" s="204" t="s">
        <v>997</v>
      </c>
      <c r="GN21" s="1051">
        <v>1124.0713724463067</v>
      </c>
      <c r="GO21" s="1051">
        <v>31.204504976427451</v>
      </c>
      <c r="GP21" s="1051">
        <v>81.557228915662648</v>
      </c>
      <c r="GQ21" s="1051">
        <v>117.01689366160291</v>
      </c>
      <c r="GR21" s="1051">
        <v>0</v>
      </c>
      <c r="GS21" s="1051">
        <v>0</v>
      </c>
      <c r="GT21" s="1051">
        <v>0</v>
      </c>
      <c r="GU21" s="1051">
        <v>0</v>
      </c>
      <c r="GV21" s="1051">
        <v>0</v>
      </c>
      <c r="GW21" s="1051">
        <v>0</v>
      </c>
      <c r="GX21" s="1051">
        <v>0</v>
      </c>
      <c r="GY21" s="1051">
        <v>0</v>
      </c>
      <c r="GZ21" s="1051">
        <v>0</v>
      </c>
      <c r="HA21" s="1051">
        <v>0</v>
      </c>
      <c r="HB21" s="1051">
        <v>0</v>
      </c>
      <c r="HC21" s="1051">
        <v>0</v>
      </c>
      <c r="HD21" s="1051">
        <v>0</v>
      </c>
      <c r="HE21" s="1051">
        <v>0</v>
      </c>
      <c r="HF21" s="1051">
        <v>0</v>
      </c>
      <c r="HG21" s="1051">
        <v>0</v>
      </c>
      <c r="HH21" s="1051">
        <v>0</v>
      </c>
      <c r="HI21" s="1051">
        <v>0</v>
      </c>
      <c r="HJ21" s="1051">
        <v>0</v>
      </c>
      <c r="HK21" s="1051">
        <v>0</v>
      </c>
      <c r="HL21" s="1051">
        <v>0</v>
      </c>
      <c r="HM21" s="1051">
        <v>0</v>
      </c>
      <c r="HN21" s="1051">
        <v>0</v>
      </c>
      <c r="HO21" s="1051">
        <v>0</v>
      </c>
      <c r="HP21" s="1051">
        <v>0</v>
      </c>
      <c r="HQ21" s="1051">
        <v>0</v>
      </c>
      <c r="HR21" s="1051">
        <v>0</v>
      </c>
      <c r="HS21" s="1051">
        <v>0</v>
      </c>
      <c r="HT21" s="1051">
        <v>0</v>
      </c>
      <c r="HU21" s="1051">
        <v>0</v>
      </c>
      <c r="HV21" s="1051">
        <v>0</v>
      </c>
      <c r="HW21" s="1051">
        <v>0</v>
      </c>
      <c r="HX21" s="1051">
        <v>0</v>
      </c>
      <c r="HY21" s="1051">
        <v>0</v>
      </c>
      <c r="HZ21" s="1051">
        <v>0</v>
      </c>
      <c r="IA21" s="1051">
        <v>0</v>
      </c>
      <c r="IB21" s="1051">
        <v>0</v>
      </c>
      <c r="IC21" s="1051">
        <v>0</v>
      </c>
      <c r="ID21" s="1051">
        <v>0</v>
      </c>
      <c r="IE21" s="1051">
        <v>0</v>
      </c>
      <c r="IF21" s="1051">
        <v>0</v>
      </c>
      <c r="IG21" s="1051">
        <v>0</v>
      </c>
      <c r="IH21" s="1051">
        <v>0</v>
      </c>
      <c r="II21" s="1051">
        <v>0</v>
      </c>
      <c r="IJ21" s="1051">
        <v>0</v>
      </c>
      <c r="IK21" s="1051">
        <v>0</v>
      </c>
      <c r="IL21" s="1051">
        <v>0</v>
      </c>
      <c r="IM21" s="1051">
        <v>0</v>
      </c>
      <c r="IN21" s="1051">
        <v>0</v>
      </c>
      <c r="IO21" s="1051">
        <v>0</v>
      </c>
      <c r="IP21" s="1051">
        <v>0</v>
      </c>
      <c r="IQ21" s="1051">
        <v>0</v>
      </c>
      <c r="IR21" s="1051">
        <v>0</v>
      </c>
      <c r="IS21" s="1051">
        <v>0</v>
      </c>
      <c r="IT21" s="215">
        <v>798.4977964749354</v>
      </c>
      <c r="IU21" s="207">
        <v>179.9</v>
      </c>
      <c r="IV21" s="216">
        <v>2647.0800000000199</v>
      </c>
      <c r="IW21" s="272">
        <v>12.64</v>
      </c>
      <c r="IX21" s="207">
        <v>70.244000141381065</v>
      </c>
      <c r="IY21" s="204">
        <v>2.1</v>
      </c>
      <c r="IZ21" s="204">
        <v>1.6</v>
      </c>
      <c r="JA21" s="204">
        <v>1.6</v>
      </c>
      <c r="JB21" s="52">
        <v>2</v>
      </c>
      <c r="JC21" s="24">
        <v>1.5</v>
      </c>
      <c r="JD21" s="24">
        <v>0.7</v>
      </c>
      <c r="JE21" s="24">
        <v>0.7</v>
      </c>
      <c r="JF21" s="24">
        <v>0.5</v>
      </c>
      <c r="JG21" s="1">
        <v>92.622139891881119</v>
      </c>
      <c r="JH21" s="216">
        <v>2647.0800000000199</v>
      </c>
      <c r="JI21" s="272">
        <v>12.64</v>
      </c>
      <c r="JJ21" s="207">
        <v>70.244000141381065</v>
      </c>
      <c r="JK21" s="8">
        <v>2.4</v>
      </c>
      <c r="JL21" s="8">
        <v>1.4</v>
      </c>
      <c r="JM21" s="8">
        <v>1.4</v>
      </c>
      <c r="JN21" s="216">
        <v>2</v>
      </c>
      <c r="JO21" s="216">
        <v>2</v>
      </c>
      <c r="JP21" s="216">
        <v>1</v>
      </c>
      <c r="JQ21" s="216">
        <v>1</v>
      </c>
      <c r="JR21" s="214">
        <v>0.5</v>
      </c>
      <c r="JS21" s="1212">
        <v>2000</v>
      </c>
      <c r="JT21" s="215">
        <v>236.30672398860028</v>
      </c>
      <c r="JU21" s="215">
        <v>500</v>
      </c>
      <c r="JV21" s="207">
        <v>1.5</v>
      </c>
      <c r="JW21" s="207">
        <v>0.9</v>
      </c>
      <c r="JX21" s="207">
        <v>0.9</v>
      </c>
      <c r="JY21" s="214">
        <v>2</v>
      </c>
      <c r="JZ21" s="214">
        <v>1.5</v>
      </c>
      <c r="KA21" s="214">
        <v>0.5</v>
      </c>
      <c r="KB21" s="214">
        <v>1</v>
      </c>
      <c r="KC21" s="214">
        <v>0.5</v>
      </c>
      <c r="KD21" s="1186">
        <v>3.8673714929346716</v>
      </c>
      <c r="KE21" s="1186">
        <v>2.1332514164789407E-4</v>
      </c>
      <c r="KF21" s="1186">
        <v>95.596969076387467</v>
      </c>
      <c r="KG21" s="1186"/>
      <c r="KH21" s="1186">
        <v>0.10836917195713018</v>
      </c>
      <c r="KI21" s="1186">
        <v>0.42686360843743598</v>
      </c>
      <c r="KJ21" s="1186">
        <v>0</v>
      </c>
      <c r="KK21" s="1186">
        <v>2.1332514164789407E-4</v>
      </c>
      <c r="KL21" s="1186"/>
      <c r="KM21" s="1187">
        <v>580</v>
      </c>
      <c r="KN21" s="1187">
        <v>580</v>
      </c>
      <c r="KO21" s="1187">
        <v>580</v>
      </c>
      <c r="KP21" s="1187">
        <v>580</v>
      </c>
      <c r="KQ21" s="1187"/>
      <c r="KR21" s="1187">
        <v>580</v>
      </c>
      <c r="KS21" s="1187">
        <v>580</v>
      </c>
      <c r="KT21" s="1187">
        <v>580</v>
      </c>
      <c r="KU21" s="1187">
        <v>580</v>
      </c>
      <c r="KV21" s="262">
        <v>370</v>
      </c>
      <c r="KW21" s="262">
        <v>370</v>
      </c>
      <c r="KX21" s="262">
        <v>370</v>
      </c>
      <c r="KY21" s="262">
        <v>370</v>
      </c>
      <c r="KZ21" s="262"/>
      <c r="LA21" s="262">
        <v>370</v>
      </c>
      <c r="LB21" s="262">
        <v>370</v>
      </c>
      <c r="LC21" s="262">
        <v>370</v>
      </c>
      <c r="LD21" s="262">
        <v>370</v>
      </c>
      <c r="LE21" s="1213">
        <v>0</v>
      </c>
      <c r="LF21" s="1213">
        <v>10</v>
      </c>
      <c r="LG21" s="1213">
        <v>20</v>
      </c>
      <c r="LH21" s="1213">
        <v>70</v>
      </c>
      <c r="LI21" s="1213">
        <v>100</v>
      </c>
      <c r="LJ21" s="1212">
        <v>1000</v>
      </c>
      <c r="LK21" s="1">
        <v>205.32800480784053</v>
      </c>
      <c r="LL21" s="4">
        <v>29</v>
      </c>
      <c r="LM21" s="8">
        <v>1.7</v>
      </c>
      <c r="LN21" s="10">
        <v>1</v>
      </c>
      <c r="LO21" s="10">
        <v>1</v>
      </c>
      <c r="LP21" s="214">
        <v>2</v>
      </c>
      <c r="LQ21" s="214">
        <v>1</v>
      </c>
      <c r="LR21" s="214">
        <v>0.5</v>
      </c>
      <c r="LS21" s="214">
        <v>0.7</v>
      </c>
      <c r="LT21" s="214">
        <v>0.2</v>
      </c>
      <c r="LU21" s="1212">
        <v>1500</v>
      </c>
      <c r="LV21" s="122">
        <v>0</v>
      </c>
      <c r="LW21" s="122">
        <v>0</v>
      </c>
      <c r="LX21" s="122">
        <v>0</v>
      </c>
      <c r="LY21" s="165">
        <v>0</v>
      </c>
      <c r="LZ21" s="165">
        <v>0</v>
      </c>
      <c r="MA21" s="165">
        <v>0</v>
      </c>
      <c r="MB21" s="165">
        <v>0</v>
      </c>
      <c r="MC21" s="165">
        <v>0</v>
      </c>
      <c r="MD21" s="165">
        <v>0</v>
      </c>
      <c r="ME21" s="165">
        <v>0</v>
      </c>
      <c r="MF21" s="165">
        <v>0</v>
      </c>
      <c r="MG21" s="165">
        <v>0</v>
      </c>
      <c r="MH21" s="165">
        <v>0</v>
      </c>
      <c r="MI21" s="165">
        <v>0</v>
      </c>
      <c r="MJ21" s="165">
        <v>0</v>
      </c>
      <c r="MK21" s="165">
        <v>0</v>
      </c>
      <c r="ML21" s="165">
        <v>0</v>
      </c>
      <c r="MM21" s="165">
        <v>0</v>
      </c>
      <c r="MN21" s="165">
        <v>0</v>
      </c>
      <c r="MO21" s="165">
        <v>0</v>
      </c>
      <c r="MP21" s="165">
        <v>0</v>
      </c>
      <c r="MQ21" s="165">
        <v>0</v>
      </c>
      <c r="MR21" s="165">
        <v>0</v>
      </c>
      <c r="MS21" s="165">
        <v>0</v>
      </c>
      <c r="MT21" s="165">
        <v>0</v>
      </c>
      <c r="MU21" s="165">
        <v>0</v>
      </c>
      <c r="MV21" s="165">
        <v>0</v>
      </c>
      <c r="MW21" s="166">
        <v>2.08518558685559</v>
      </c>
      <c r="MX21" s="166">
        <v>0</v>
      </c>
      <c r="MY21" s="166">
        <v>7.0154009526340003E-2</v>
      </c>
      <c r="MZ21" s="166">
        <v>0.43894591258672999</v>
      </c>
      <c r="NA21" s="166">
        <v>0.28449411250005002</v>
      </c>
      <c r="NB21" s="166">
        <v>0</v>
      </c>
      <c r="NC21" s="166">
        <v>2.1100084363853799</v>
      </c>
      <c r="ND21" s="166">
        <v>0</v>
      </c>
      <c r="NE21" s="166">
        <v>7.0154009526340003E-2</v>
      </c>
      <c r="NF21" s="166">
        <v>0.43894591258672999</v>
      </c>
      <c r="NG21" s="166">
        <v>-0.64556511145693996</v>
      </c>
      <c r="NH21" s="166">
        <v>0</v>
      </c>
      <c r="NI21" s="166">
        <v>2.18593524661823</v>
      </c>
      <c r="NJ21" s="166">
        <v>0</v>
      </c>
      <c r="NK21" s="166">
        <v>7.1169202482840005E-2</v>
      </c>
      <c r="NL21" s="166">
        <v>0.43894591258674998</v>
      </c>
      <c r="NM21" s="166">
        <v>-0.82487787337422003</v>
      </c>
      <c r="NN21" s="166">
        <v>0</v>
      </c>
      <c r="NO21" s="166">
        <v>2.1547539773582201</v>
      </c>
      <c r="NP21" s="166">
        <v>0</v>
      </c>
      <c r="NQ21" s="166">
        <v>7.0154009526340003E-2</v>
      </c>
      <c r="NR21" s="166">
        <v>0.43894591258672</v>
      </c>
      <c r="NS21" s="166">
        <v>0.79616422403850995</v>
      </c>
      <c r="NT21" s="166">
        <v>0</v>
      </c>
      <c r="NU21" s="166">
        <v>0</v>
      </c>
      <c r="NV21" s="166">
        <v>0</v>
      </c>
      <c r="NW21" s="166">
        <v>0</v>
      </c>
      <c r="NX21" s="166">
        <v>0</v>
      </c>
      <c r="NY21" s="166">
        <v>0</v>
      </c>
      <c r="NZ21" s="166">
        <v>0</v>
      </c>
      <c r="OA21" s="166">
        <v>-52.91</v>
      </c>
      <c r="OB21" s="166">
        <v>-13.23</v>
      </c>
      <c r="OC21" s="166">
        <v>-0.98174722415342996</v>
      </c>
      <c r="OD21" s="166">
        <v>0</v>
      </c>
      <c r="OE21" s="166">
        <v>-0.54564294367355004</v>
      </c>
      <c r="OF21" s="166">
        <v>0</v>
      </c>
      <c r="OG21" s="166">
        <v>4.46683970655E-2</v>
      </c>
      <c r="OH21" s="166">
        <v>0</v>
      </c>
      <c r="OI21" s="166">
        <v>0</v>
      </c>
      <c r="OJ21" s="166">
        <v>0</v>
      </c>
      <c r="OK21" s="166">
        <v>-0.76644200050950995</v>
      </c>
      <c r="OL21" s="166">
        <v>0</v>
      </c>
      <c r="OM21" s="166">
        <v>0</v>
      </c>
      <c r="ON21" s="166">
        <v>0</v>
      </c>
      <c r="OO21" s="166">
        <v>0</v>
      </c>
      <c r="OP21" s="166">
        <v>0</v>
      </c>
      <c r="OQ21" s="166">
        <v>0</v>
      </c>
      <c r="OR21" s="166">
        <v>0</v>
      </c>
      <c r="OS21" s="166">
        <v>0</v>
      </c>
      <c r="OT21" s="166">
        <v>0</v>
      </c>
      <c r="OU21" s="166">
        <v>0</v>
      </c>
      <c r="OV21" s="166">
        <v>0</v>
      </c>
      <c r="OW21" s="166">
        <v>0.49920367759679002</v>
      </c>
      <c r="OX21" s="166">
        <v>0</v>
      </c>
      <c r="OY21" s="166">
        <v>0</v>
      </c>
      <c r="OZ21" s="166">
        <v>0</v>
      </c>
      <c r="PA21" s="166">
        <v>0</v>
      </c>
      <c r="PB21" s="166">
        <v>0</v>
      </c>
      <c r="PC21" s="166">
        <v>0</v>
      </c>
      <c r="PD21" s="166">
        <v>0</v>
      </c>
      <c r="PE21" s="166">
        <v>-52.91</v>
      </c>
      <c r="PF21" s="166">
        <v>-13.23</v>
      </c>
      <c r="PG21" s="166">
        <v>-0.85744920773920996</v>
      </c>
      <c r="PH21" s="166">
        <v>0</v>
      </c>
      <c r="PI21" s="166">
        <v>0.65330526490970997</v>
      </c>
      <c r="PJ21" s="166">
        <v>0</v>
      </c>
      <c r="PK21" s="166">
        <v>-5.5467116298239999E-2</v>
      </c>
      <c r="PL21" s="166">
        <v>0</v>
      </c>
      <c r="PM21" s="166">
        <v>0</v>
      </c>
      <c r="PN21" s="166">
        <v>0</v>
      </c>
      <c r="PO21" s="166">
        <v>0.76736011831050999</v>
      </c>
      <c r="PP21" s="166">
        <v>0</v>
      </c>
      <c r="PQ21" s="166">
        <v>0</v>
      </c>
      <c r="PR21" s="166">
        <v>0</v>
      </c>
      <c r="PS21" s="166">
        <v>0</v>
      </c>
      <c r="PT21" s="166">
        <v>0</v>
      </c>
      <c r="PU21" s="166">
        <v>0</v>
      </c>
      <c r="PV21" s="166">
        <v>0</v>
      </c>
      <c r="PW21" s="166">
        <v>0.18317402735216001</v>
      </c>
      <c r="PX21" s="166">
        <v>0</v>
      </c>
      <c r="PY21" s="166">
        <v>0</v>
      </c>
      <c r="PZ21" s="166">
        <v>0</v>
      </c>
      <c r="QA21" s="166">
        <v>1.2656456781063099</v>
      </c>
      <c r="QB21" s="166">
        <v>0</v>
      </c>
      <c r="QC21" s="166">
        <v>0</v>
      </c>
      <c r="QD21" s="166">
        <v>0</v>
      </c>
      <c r="QE21" s="166">
        <v>0</v>
      </c>
      <c r="QF21" s="166">
        <v>0</v>
      </c>
      <c r="QG21" s="166">
        <v>0</v>
      </c>
      <c r="QH21" s="166">
        <v>0</v>
      </c>
      <c r="QI21" s="162">
        <v>0</v>
      </c>
      <c r="QJ21" s="167">
        <v>0</v>
      </c>
      <c r="QK21" s="167">
        <v>0</v>
      </c>
      <c r="QL21" s="167">
        <v>0</v>
      </c>
      <c r="QM21" s="167">
        <v>0</v>
      </c>
      <c r="QN21" s="162">
        <v>0</v>
      </c>
      <c r="QO21" s="162">
        <v>0</v>
      </c>
      <c r="QP21" s="162">
        <v>0</v>
      </c>
      <c r="QQ21" s="162">
        <v>0</v>
      </c>
      <c r="QR21" s="162">
        <v>0</v>
      </c>
      <c r="QS21" s="162">
        <v>0</v>
      </c>
      <c r="QT21" s="162">
        <v>0</v>
      </c>
      <c r="QU21" s="162">
        <v>0</v>
      </c>
      <c r="QV21" s="162">
        <v>0</v>
      </c>
      <c r="QW21" s="162">
        <v>0</v>
      </c>
      <c r="QX21" s="162">
        <v>0</v>
      </c>
      <c r="QY21" s="162">
        <v>0</v>
      </c>
      <c r="QZ21" s="162">
        <v>0</v>
      </c>
      <c r="RA21" s="167">
        <v>0</v>
      </c>
      <c r="RB21" s="167">
        <v>0</v>
      </c>
      <c r="RC21" s="167">
        <v>0</v>
      </c>
      <c r="RD21" s="167">
        <v>0</v>
      </c>
      <c r="RE21" s="167">
        <v>0</v>
      </c>
      <c r="RF21" s="167">
        <v>0</v>
      </c>
      <c r="RG21" s="167">
        <v>0</v>
      </c>
      <c r="RH21" s="167">
        <v>0</v>
      </c>
      <c r="RI21" s="167">
        <v>0</v>
      </c>
      <c r="RJ21" s="167">
        <v>0</v>
      </c>
      <c r="RK21" s="167">
        <v>0</v>
      </c>
      <c r="RL21" s="167">
        <v>0</v>
      </c>
      <c r="RM21" s="166">
        <v>-52.91</v>
      </c>
      <c r="RN21" s="166">
        <v>-13.23</v>
      </c>
      <c r="RO21" s="166">
        <v>-0.55362571525898996</v>
      </c>
      <c r="RP21" s="166">
        <v>0</v>
      </c>
      <c r="RQ21" s="166">
        <v>-0.48090578276578999</v>
      </c>
      <c r="RR21" s="166">
        <v>0</v>
      </c>
      <c r="RS21" s="166">
        <v>-0.17732485142146001</v>
      </c>
      <c r="RT21" s="166">
        <v>0</v>
      </c>
      <c r="RU21" s="166">
        <v>0</v>
      </c>
      <c r="RV21" s="166">
        <v>0</v>
      </c>
      <c r="RW21" s="166">
        <v>-0.497551065555</v>
      </c>
      <c r="RX21" s="166">
        <v>0</v>
      </c>
      <c r="RY21" s="166">
        <v>-0.13722703079477999</v>
      </c>
      <c r="RZ21" s="166">
        <v>0</v>
      </c>
      <c r="SA21" s="166">
        <v>0</v>
      </c>
      <c r="SB21" s="166">
        <v>0</v>
      </c>
      <c r="SC21" s="166">
        <v>-1.26491118386551</v>
      </c>
      <c r="SD21" s="166">
        <v>0</v>
      </c>
      <c r="SE21" s="166">
        <v>-0.14224836854155001</v>
      </c>
      <c r="SF21" s="166">
        <v>0</v>
      </c>
      <c r="SG21" s="166">
        <v>0</v>
      </c>
      <c r="SH21" s="166">
        <v>0</v>
      </c>
      <c r="SI21" s="166">
        <v>-0.65175758345790002</v>
      </c>
      <c r="SJ21" s="166">
        <v>0</v>
      </c>
      <c r="SK21" s="166">
        <v>0</v>
      </c>
      <c r="SL21" s="166">
        <v>0</v>
      </c>
      <c r="SM21" s="166">
        <v>0</v>
      </c>
      <c r="SN21" s="166">
        <v>0</v>
      </c>
      <c r="SO21" s="166">
        <v>0</v>
      </c>
      <c r="SP21" s="166">
        <v>0</v>
      </c>
      <c r="SQ21" s="166">
        <v>-52.91</v>
      </c>
      <c r="SR21" s="166">
        <v>-13.23</v>
      </c>
      <c r="SS21" s="166">
        <v>0</v>
      </c>
      <c r="ST21" s="166">
        <v>0</v>
      </c>
      <c r="SU21" s="166">
        <v>0</v>
      </c>
      <c r="SV21" s="166">
        <v>0</v>
      </c>
      <c r="SW21" s="166">
        <v>0</v>
      </c>
      <c r="SX21" s="166">
        <v>0</v>
      </c>
      <c r="SY21" s="166">
        <v>0</v>
      </c>
      <c r="SZ21" s="166">
        <v>0</v>
      </c>
      <c r="TA21" s="166">
        <v>0</v>
      </c>
      <c r="TB21" s="166">
        <v>0</v>
      </c>
      <c r="TC21" s="166">
        <v>0</v>
      </c>
      <c r="TD21" s="166">
        <v>0</v>
      </c>
      <c r="TE21" s="166">
        <v>0</v>
      </c>
      <c r="TF21" s="166">
        <v>0</v>
      </c>
      <c r="TG21" s="166">
        <v>-0.80319200646724997</v>
      </c>
      <c r="TH21" s="166">
        <v>0</v>
      </c>
      <c r="TI21" s="166">
        <v>0</v>
      </c>
      <c r="TJ21" s="166">
        <v>0</v>
      </c>
      <c r="TK21" s="166">
        <v>0</v>
      </c>
      <c r="TL21" s="166">
        <v>0</v>
      </c>
      <c r="TM21" s="166">
        <v>0</v>
      </c>
      <c r="TN21" s="166">
        <v>0</v>
      </c>
      <c r="TO21" s="166">
        <v>0</v>
      </c>
      <c r="TP21" s="166">
        <v>0</v>
      </c>
      <c r="TQ21" s="166">
        <v>0</v>
      </c>
      <c r="TR21" s="166">
        <v>0</v>
      </c>
      <c r="TS21" s="166">
        <v>0</v>
      </c>
      <c r="TT21" s="166">
        <v>0</v>
      </c>
      <c r="TU21" s="166">
        <v>0.54749446582886996</v>
      </c>
      <c r="TV21" s="166">
        <v>0</v>
      </c>
      <c r="TW21" s="166">
        <v>8.3801367193569995E-2</v>
      </c>
      <c r="TX21" s="166">
        <v>0</v>
      </c>
      <c r="TY21" s="166">
        <v>0</v>
      </c>
      <c r="TZ21" s="166">
        <v>-2.6</v>
      </c>
      <c r="UA21" s="166">
        <v>-4.5943538095599996E-3</v>
      </c>
      <c r="UB21" s="166">
        <v>0</v>
      </c>
      <c r="UC21" s="166">
        <v>0</v>
      </c>
      <c r="UD21" s="166">
        <v>0</v>
      </c>
      <c r="UE21" s="166">
        <v>2.5753769592309999E-2</v>
      </c>
      <c r="UF21" s="166">
        <v>0</v>
      </c>
      <c r="UG21" s="166">
        <v>0</v>
      </c>
      <c r="UH21" s="166">
        <v>0</v>
      </c>
      <c r="UI21" s="166">
        <v>0</v>
      </c>
      <c r="UJ21" s="166">
        <v>0</v>
      </c>
      <c r="UK21" s="166">
        <v>0</v>
      </c>
      <c r="UL21" s="166">
        <v>0</v>
      </c>
      <c r="UM21" s="166">
        <v>-7.1702700879820003E-2</v>
      </c>
      <c r="UN21" s="166">
        <v>0</v>
      </c>
      <c r="UO21" s="166">
        <v>0</v>
      </c>
      <c r="UP21" s="166">
        <v>0</v>
      </c>
      <c r="UQ21" s="166">
        <v>0</v>
      </c>
      <c r="UR21" s="166">
        <v>0</v>
      </c>
      <c r="US21" s="163">
        <v>-2.0401762067000001E-4</v>
      </c>
      <c r="UT21" s="163">
        <v>0</v>
      </c>
      <c r="UU21" s="163">
        <v>0</v>
      </c>
      <c r="UV21" s="163">
        <v>0</v>
      </c>
      <c r="UW21" s="163">
        <v>0</v>
      </c>
      <c r="UX21" s="163">
        <v>0</v>
      </c>
      <c r="UY21" s="166">
        <v>0</v>
      </c>
      <c r="UZ21" s="166">
        <v>0</v>
      </c>
      <c r="VA21" s="166">
        <v>0</v>
      </c>
      <c r="VB21" s="166">
        <v>0</v>
      </c>
      <c r="VC21" s="166">
        <v>0</v>
      </c>
      <c r="VD21" s="166">
        <v>0</v>
      </c>
      <c r="VE21" s="267">
        <v>202</v>
      </c>
      <c r="VF21" s="267">
        <v>279</v>
      </c>
      <c r="VG21" s="267">
        <v>354</v>
      </c>
      <c r="VH21" s="267">
        <v>0</v>
      </c>
      <c r="VI21" s="267">
        <v>403</v>
      </c>
      <c r="VJ21" s="267">
        <v>0</v>
      </c>
      <c r="VK21" s="267">
        <v>0</v>
      </c>
      <c r="VL21" s="257">
        <v>0</v>
      </c>
      <c r="VM21" s="257">
        <v>0</v>
      </c>
      <c r="VN21" s="257">
        <v>0</v>
      </c>
      <c r="VO21" s="257">
        <v>0</v>
      </c>
      <c r="VP21" s="257">
        <v>0</v>
      </c>
      <c r="VQ21" s="257">
        <v>0</v>
      </c>
      <c r="VR21" s="257">
        <v>0</v>
      </c>
      <c r="VS21" s="257">
        <v>0</v>
      </c>
      <c r="VT21" s="257">
        <v>0</v>
      </c>
      <c r="VU21" s="257">
        <v>0</v>
      </c>
      <c r="VV21" s="257">
        <v>0</v>
      </c>
      <c r="VW21" s="257">
        <v>0</v>
      </c>
      <c r="VX21" s="257">
        <v>0</v>
      </c>
      <c r="VY21" s="257">
        <v>0</v>
      </c>
      <c r="VZ21" s="257">
        <v>0</v>
      </c>
      <c r="WA21" s="257">
        <v>0</v>
      </c>
      <c r="WB21" s="257">
        <v>0</v>
      </c>
      <c r="WC21" s="257">
        <v>0</v>
      </c>
      <c r="WD21" s="257">
        <v>0</v>
      </c>
      <c r="WE21" s="257">
        <v>0</v>
      </c>
      <c r="WF21" s="257">
        <v>0</v>
      </c>
      <c r="WG21" s="257">
        <v>0</v>
      </c>
      <c r="WH21" s="257">
        <v>0</v>
      </c>
      <c r="WI21" s="257">
        <v>0</v>
      </c>
      <c r="WJ21" s="257">
        <v>0</v>
      </c>
      <c r="WK21" s="257">
        <v>0</v>
      </c>
      <c r="WL21" s="257">
        <v>0</v>
      </c>
      <c r="WM21" s="257">
        <v>0</v>
      </c>
      <c r="WN21" s="257">
        <v>0</v>
      </c>
      <c r="WO21" s="257">
        <v>0</v>
      </c>
      <c r="WP21" s="257">
        <v>0</v>
      </c>
      <c r="WQ21" s="257">
        <v>0</v>
      </c>
      <c r="WR21" s="257">
        <v>0</v>
      </c>
      <c r="WS21" s="572">
        <v>77</v>
      </c>
      <c r="WT21" s="572">
        <v>61.085594989561585</v>
      </c>
      <c r="WU21" s="572">
        <v>67.51565762004175</v>
      </c>
      <c r="WV21" s="572">
        <v>70.730688935281833</v>
      </c>
      <c r="WW21" s="572">
        <v>108.66805845511483</v>
      </c>
      <c r="WX21" s="247">
        <v>13078.91482</v>
      </c>
      <c r="WY21" s="4">
        <v>78</v>
      </c>
      <c r="WZ21" s="4">
        <v>15</v>
      </c>
      <c r="XA21" s="4">
        <v>7.0000000000000009</v>
      </c>
      <c r="XB21" s="4">
        <v>0</v>
      </c>
      <c r="XC21" s="1037">
        <v>866.25058940045915</v>
      </c>
      <c r="XD21" s="1037">
        <v>0</v>
      </c>
      <c r="XE21" s="1037">
        <v>0</v>
      </c>
      <c r="XF21" s="1037">
        <v>0</v>
      </c>
      <c r="XG21" s="1037">
        <v>0</v>
      </c>
      <c r="XH21" s="1037">
        <v>0</v>
      </c>
      <c r="XI21" s="1037">
        <v>1501.5010216274625</v>
      </c>
      <c r="XJ21" s="1037">
        <v>462.00031434691158</v>
      </c>
      <c r="XK21" s="1037">
        <v>929.27501308748958</v>
      </c>
      <c r="XL21" s="1037">
        <v>0</v>
      </c>
      <c r="XM21" s="1037">
        <v>0</v>
      </c>
      <c r="XN21" s="1037">
        <v>0</v>
      </c>
      <c r="XO21" s="1037">
        <v>0</v>
      </c>
      <c r="XP21" s="1037">
        <v>0</v>
      </c>
      <c r="XQ21" s="1037">
        <v>1610.7433560183154</v>
      </c>
      <c r="XR21" s="1037">
        <v>495.6133403133278</v>
      </c>
      <c r="XS21" s="1037">
        <v>973.52620418689378</v>
      </c>
      <c r="XT21" s="1037">
        <v>0</v>
      </c>
      <c r="XU21" s="1037">
        <v>0</v>
      </c>
      <c r="XV21" s="1037">
        <v>0</v>
      </c>
      <c r="XW21" s="1037">
        <v>0</v>
      </c>
      <c r="XX21" s="1037">
        <v>0</v>
      </c>
      <c r="XY21" s="1037">
        <v>1687.4454205906159</v>
      </c>
      <c r="XZ21" s="1037">
        <v>519.21397556634338</v>
      </c>
      <c r="YA21" s="1037">
        <v>1495.6902591598644</v>
      </c>
      <c r="YB21" s="1037">
        <v>0</v>
      </c>
      <c r="YC21" s="1037">
        <v>0</v>
      </c>
      <c r="YD21" s="1037">
        <v>0</v>
      </c>
      <c r="YE21" s="1037">
        <v>0</v>
      </c>
      <c r="YF21" s="1037">
        <v>0</v>
      </c>
      <c r="YG21" s="1037">
        <v>2592.5297825437647</v>
      </c>
      <c r="YH21" s="1037">
        <v>797.70147155192763</v>
      </c>
      <c r="YI21" s="1037">
        <v>584.81539791079899</v>
      </c>
      <c r="YJ21" s="1037">
        <v>1832.4215801205034</v>
      </c>
      <c r="YK21" s="1037">
        <v>38.987693194053271</v>
      </c>
      <c r="YL21" s="1037">
        <v>116.96307958215979</v>
      </c>
      <c r="YM21" s="1037">
        <v>0</v>
      </c>
      <c r="YN21" s="1037">
        <v>0</v>
      </c>
      <c r="YO21" s="1037">
        <v>1013.680023045385</v>
      </c>
      <c r="YP21" s="1037">
        <v>311.90154555242617</v>
      </c>
      <c r="YQ21" s="1037">
        <v>627.36388661328749</v>
      </c>
      <c r="YR21" s="1037">
        <v>1965.7401780549674</v>
      </c>
      <c r="YS21" s="1037">
        <v>41.8242591075525</v>
      </c>
      <c r="YT21" s="1037">
        <v>125.47277732265749</v>
      </c>
      <c r="YU21" s="1037">
        <v>0</v>
      </c>
      <c r="YV21" s="1037">
        <v>0</v>
      </c>
      <c r="YW21" s="1037">
        <v>1087.430736796365</v>
      </c>
      <c r="YX21" s="1037">
        <v>334.59407286042</v>
      </c>
      <c r="YY21" s="1037">
        <v>657.23835740439631</v>
      </c>
      <c r="YZ21" s="1037">
        <v>2059.3468532004417</v>
      </c>
      <c r="ZA21" s="1037">
        <v>43.815890493626419</v>
      </c>
      <c r="ZB21" s="1037">
        <v>131.44767148087925</v>
      </c>
      <c r="ZC21" s="1037">
        <v>0</v>
      </c>
      <c r="ZD21" s="1037">
        <v>0</v>
      </c>
      <c r="ZE21" s="1037">
        <v>1139.213152834287</v>
      </c>
      <c r="ZF21" s="1037">
        <v>350.52712394901135</v>
      </c>
      <c r="ZG21" s="1037">
        <v>1009.7571127394817</v>
      </c>
      <c r="ZH21" s="1037">
        <v>3163.9056199170427</v>
      </c>
      <c r="ZI21" s="1037">
        <v>67.317140849298781</v>
      </c>
      <c r="ZJ21" s="1037">
        <v>201.95142254789636</v>
      </c>
      <c r="ZK21" s="1037">
        <v>0</v>
      </c>
      <c r="ZL21" s="1037">
        <v>0</v>
      </c>
      <c r="ZM21" s="1037">
        <v>1750.2456620817684</v>
      </c>
      <c r="ZN21" s="1037">
        <v>538.53712679439025</v>
      </c>
      <c r="ZO21" s="1037">
        <v>1556.3635589561586</v>
      </c>
      <c r="ZP21" s="1037">
        <v>4876.6058180626305</v>
      </c>
      <c r="ZQ21" s="1037">
        <v>103.75757059707725</v>
      </c>
      <c r="ZR21" s="1037">
        <v>311.27271179123176</v>
      </c>
      <c r="ZS21" s="1037">
        <v>0</v>
      </c>
      <c r="ZT21" s="1037">
        <v>0</v>
      </c>
      <c r="ZU21" s="1037">
        <v>2697.6968355240083</v>
      </c>
      <c r="ZV21" s="1037">
        <v>830.06056477661798</v>
      </c>
      <c r="ZW21" s="1037">
        <v>1720.1913020041754</v>
      </c>
      <c r="ZX21" s="1037">
        <v>5389.9327462797492</v>
      </c>
      <c r="ZY21" s="1037">
        <v>114.6794201336117</v>
      </c>
      <c r="ZZ21" s="1037">
        <v>344.03826040083504</v>
      </c>
      <c r="AAA21" s="1037">
        <v>0</v>
      </c>
      <c r="AAB21" s="1037">
        <v>0</v>
      </c>
      <c r="AAC21" s="1037">
        <v>2981.6649234739043</v>
      </c>
      <c r="AAD21" s="1037">
        <v>917.4353610688936</v>
      </c>
      <c r="AAE21" s="1037">
        <v>1802.1051735281835</v>
      </c>
      <c r="AAF21" s="1037">
        <v>5646.5962103883085</v>
      </c>
      <c r="AAG21" s="1037">
        <v>120.1403449018789</v>
      </c>
      <c r="AAH21" s="1037">
        <v>360.42103470563671</v>
      </c>
      <c r="AAI21" s="1037">
        <v>0</v>
      </c>
      <c r="AAJ21" s="1037">
        <v>0</v>
      </c>
      <c r="AAK21" s="1037">
        <v>3123.6489674488516</v>
      </c>
      <c r="AAL21" s="1037">
        <v>961.12275921503124</v>
      </c>
      <c r="AAM21" s="1037">
        <v>2768.6888575114822</v>
      </c>
      <c r="AAN21" s="1037">
        <v>8675.22508686931</v>
      </c>
      <c r="AAO21" s="1037">
        <v>184.57925716743216</v>
      </c>
      <c r="AAP21" s="1037">
        <v>553.73777150229648</v>
      </c>
      <c r="AAQ21" s="1037">
        <v>0</v>
      </c>
      <c r="AAR21" s="1037">
        <v>0</v>
      </c>
      <c r="AAS21" s="1037">
        <v>4799.0606863532357</v>
      </c>
      <c r="AAT21" s="1037">
        <v>1476.6340573394573</v>
      </c>
      <c r="AAU21" s="1037">
        <v>2141.1789568669574</v>
      </c>
      <c r="AAV21" s="1037">
        <v>6709.0273981831333</v>
      </c>
      <c r="AAW21" s="1037">
        <v>142.74526379113053</v>
      </c>
      <c r="AAX21" s="1037">
        <v>428.23579137339152</v>
      </c>
      <c r="AAY21" s="1037">
        <v>0</v>
      </c>
      <c r="AAZ21" s="1037">
        <v>0</v>
      </c>
      <c r="ABA21" s="1037">
        <v>3711.3768585693933</v>
      </c>
      <c r="ABB21" s="1037">
        <v>1141.9621103290442</v>
      </c>
      <c r="ABC21" s="1037">
        <v>2266.6050096996191</v>
      </c>
      <c r="ABD21" s="1037">
        <v>7102.0290303921402</v>
      </c>
      <c r="ABE21" s="1037">
        <v>151.1070006466413</v>
      </c>
      <c r="ABF21" s="1037">
        <v>453.3210019399238</v>
      </c>
      <c r="ABG21" s="1037">
        <v>0</v>
      </c>
      <c r="ABH21" s="1037">
        <v>0</v>
      </c>
      <c r="ABI21" s="1037">
        <v>3928.7820168126736</v>
      </c>
      <c r="ABJ21" s="1037">
        <v>1208.8560051731304</v>
      </c>
      <c r="ABK21" s="1037">
        <v>2374.5385815900772</v>
      </c>
      <c r="ABL21" s="1037">
        <v>7440.2208889822423</v>
      </c>
      <c r="ABM21" s="1037">
        <v>158.30257210600516</v>
      </c>
      <c r="ABN21" s="1037">
        <v>474.90771631801545</v>
      </c>
      <c r="ABO21" s="1037">
        <v>0</v>
      </c>
      <c r="ABP21" s="1037">
        <v>0</v>
      </c>
      <c r="ABQ21" s="1037">
        <v>4115.8668747561342</v>
      </c>
      <c r="ABR21" s="1037">
        <v>1266.4205768480413</v>
      </c>
      <c r="ABS21" s="1037">
        <v>0</v>
      </c>
      <c r="ABT21" s="1037">
        <v>0</v>
      </c>
      <c r="ABU21" s="1037">
        <v>0</v>
      </c>
      <c r="ABV21" s="1037">
        <v>0</v>
      </c>
      <c r="ABW21" s="1037">
        <v>0</v>
      </c>
      <c r="ABX21" s="1037">
        <v>0</v>
      </c>
      <c r="ABY21" s="1037">
        <v>0</v>
      </c>
      <c r="ABZ21" s="1037">
        <v>0</v>
      </c>
      <c r="ACA21" s="1037">
        <v>2773.1568868673371</v>
      </c>
      <c r="ACB21" s="1037">
        <v>8689.2249121843233</v>
      </c>
      <c r="ACC21" s="1037">
        <v>184.87712579115581</v>
      </c>
      <c r="ACD21" s="1037">
        <v>554.63137737346744</v>
      </c>
      <c r="ACE21" s="1037">
        <v>0</v>
      </c>
      <c r="ACF21" s="1037">
        <v>0</v>
      </c>
      <c r="ACG21" s="1037">
        <v>4806.8052705700511</v>
      </c>
      <c r="ACH21" s="1037">
        <v>1479.0170063292464</v>
      </c>
      <c r="ACI21" s="1037">
        <v>2964.80030286602</v>
      </c>
      <c r="ACJ21" s="1037">
        <v>9289.7076156468629</v>
      </c>
      <c r="ACK21" s="1037">
        <v>197.65335352440135</v>
      </c>
      <c r="ACL21" s="1037">
        <v>592.96006057320403</v>
      </c>
      <c r="ACM21" s="1037">
        <v>0</v>
      </c>
      <c r="ACN21" s="1037">
        <v>0</v>
      </c>
      <c r="ACO21" s="1037">
        <v>5138.9871916344355</v>
      </c>
      <c r="ACP21" s="1037">
        <v>1581.2268281952108</v>
      </c>
      <c r="ACQ21" s="1037">
        <v>3105.9812696691633</v>
      </c>
      <c r="ACR21" s="1037">
        <v>9732.0746449633789</v>
      </c>
      <c r="ACS21" s="1037">
        <v>207.06541797794424</v>
      </c>
      <c r="ACT21" s="1037">
        <v>621.19625393383274</v>
      </c>
      <c r="ACU21" s="1037">
        <v>0</v>
      </c>
      <c r="ACV21" s="1037">
        <v>0</v>
      </c>
      <c r="ACW21" s="1037">
        <v>5383.7008674265498</v>
      </c>
      <c r="ACX21" s="1037">
        <v>1656.5233438235539</v>
      </c>
      <c r="ACY21" s="1037">
        <v>4771.9166779462603</v>
      </c>
      <c r="ACZ21" s="1037">
        <v>14952.005590898283</v>
      </c>
      <c r="ADA21" s="1037">
        <v>318.12777852975074</v>
      </c>
      <c r="ADB21" s="1037">
        <v>954.38333558925217</v>
      </c>
      <c r="ADC21" s="1037">
        <v>0</v>
      </c>
      <c r="ADD21" s="1037">
        <v>0</v>
      </c>
      <c r="ADE21" s="1037">
        <v>8271.3222417735196</v>
      </c>
      <c r="ADF21" s="1037">
        <v>2545.0222282380059</v>
      </c>
      <c r="ADG21" s="1037">
        <v>3386.2698040318851</v>
      </c>
      <c r="ADH21" s="1037">
        <v>10610.312052633239</v>
      </c>
      <c r="ADI21" s="1037">
        <v>225.75132026879234</v>
      </c>
      <c r="ADJ21" s="1037">
        <v>677.25396080637699</v>
      </c>
      <c r="ADK21" s="1037">
        <v>0</v>
      </c>
      <c r="ADL21" s="1037">
        <v>0</v>
      </c>
      <c r="ADM21" s="1037">
        <v>5869.5343269886007</v>
      </c>
      <c r="ADN21" s="1037">
        <v>1806.0105621503387</v>
      </c>
      <c r="ADO21" s="1037">
        <v>3642.7580513029598</v>
      </c>
      <c r="ADP21" s="1037">
        <v>11413.97522741594</v>
      </c>
      <c r="ADQ21" s="1037">
        <v>242.85053675353066</v>
      </c>
      <c r="ADR21" s="1037">
        <v>728.55161026059193</v>
      </c>
      <c r="ADS21" s="1037">
        <v>0</v>
      </c>
      <c r="ADT21" s="1037">
        <v>0</v>
      </c>
      <c r="ADU21" s="1037">
        <v>6314.1139555917971</v>
      </c>
      <c r="ADV21" s="1037">
        <v>1942.8042940282453</v>
      </c>
      <c r="ADW21" s="1037">
        <v>3816.2227204126239</v>
      </c>
      <c r="ADX21" s="1037">
        <v>11957.497857292889</v>
      </c>
      <c r="ADY21" s="1037">
        <v>254.41484802750827</v>
      </c>
      <c r="ADZ21" s="1037">
        <v>763.24454408252473</v>
      </c>
      <c r="AEA21" s="1037">
        <v>0</v>
      </c>
      <c r="AEB21" s="1037">
        <v>0</v>
      </c>
      <c r="AEC21" s="1037">
        <v>6614.7860487152157</v>
      </c>
      <c r="AED21" s="1037">
        <v>2035.3187842200662</v>
      </c>
      <c r="AEE21" s="1037">
        <v>5863.1058159066688</v>
      </c>
      <c r="AEF21" s="1037">
        <v>18371.064889840894</v>
      </c>
      <c r="AEG21" s="1037">
        <v>390.87372106044461</v>
      </c>
      <c r="AEH21" s="1037">
        <v>1172.6211631813337</v>
      </c>
      <c r="AEI21" s="1037">
        <v>0</v>
      </c>
      <c r="AEJ21" s="1037">
        <v>0</v>
      </c>
      <c r="AEK21" s="1037">
        <v>10162.71674757156</v>
      </c>
      <c r="AEL21" s="1037">
        <v>3126.9897684835569</v>
      </c>
      <c r="AEM21" s="1037">
        <v>3905.0576570172707</v>
      </c>
      <c r="AEN21" s="1037">
        <v>12235.847325320781</v>
      </c>
      <c r="AEO21" s="1037">
        <v>260.33717713448476</v>
      </c>
      <c r="AEP21" s="1037">
        <v>781.01153140345423</v>
      </c>
      <c r="AEQ21" s="1037">
        <v>0</v>
      </c>
      <c r="AER21" s="1037">
        <v>0</v>
      </c>
      <c r="AES21" s="1037">
        <v>6768.766605496603</v>
      </c>
      <c r="AET21" s="1037">
        <v>2082.6974170758781</v>
      </c>
      <c r="AEU21" s="1037">
        <v>4148.6966695394813</v>
      </c>
      <c r="AEV21" s="1037">
        <v>12999.249564557042</v>
      </c>
      <c r="AEW21" s="1037">
        <v>276.57977796929879</v>
      </c>
      <c r="AEX21" s="1037">
        <v>829.73933390789625</v>
      </c>
      <c r="AEY21" s="1037">
        <v>0</v>
      </c>
      <c r="AEZ21" s="1037">
        <v>0</v>
      </c>
      <c r="AFA21" s="1037">
        <v>7191.0742272017687</v>
      </c>
      <c r="AFB21" s="1037">
        <v>2212.6382237543903</v>
      </c>
      <c r="AFC21" s="1037">
        <v>4346.2536538032655</v>
      </c>
      <c r="AFD21" s="1037">
        <v>13618.261448583566</v>
      </c>
      <c r="AFE21" s="1037">
        <v>289.75024358688438</v>
      </c>
      <c r="AFF21" s="1037">
        <v>869.25073076065314</v>
      </c>
      <c r="AFG21" s="1037">
        <v>0</v>
      </c>
      <c r="AFH21" s="1037">
        <v>0</v>
      </c>
      <c r="AFI21" s="1037">
        <v>7533.5063332589943</v>
      </c>
      <c r="AFJ21" s="1037">
        <v>2318.001948695075</v>
      </c>
      <c r="AFK21" s="1037">
        <v>6677.4260681159276</v>
      </c>
      <c r="AFL21" s="1037">
        <v>20922.601680096574</v>
      </c>
      <c r="AFM21" s="1037">
        <v>445.16173787439521</v>
      </c>
      <c r="AFN21" s="1037">
        <v>1335.4852136231855</v>
      </c>
      <c r="AFO21" s="1037">
        <v>0</v>
      </c>
      <c r="AFP21" s="1037">
        <v>0</v>
      </c>
      <c r="AFQ21" s="1037">
        <v>11574.205184734275</v>
      </c>
      <c r="AFR21" s="1037">
        <v>3561.2939029951617</v>
      </c>
      <c r="AFS21" s="247">
        <v>1556.3635589561586</v>
      </c>
      <c r="AFT21" s="247">
        <v>4876.6058180626305</v>
      </c>
      <c r="AFU21" s="247">
        <v>103.75757059707725</v>
      </c>
      <c r="AFV21" s="247">
        <v>311.27271179123176</v>
      </c>
      <c r="AFW21" s="247">
        <v>0</v>
      </c>
      <c r="AFX21" s="247">
        <v>0</v>
      </c>
      <c r="AFY21" s="247">
        <v>2697.6968355240083</v>
      </c>
      <c r="AFZ21" s="247">
        <v>830.06056477661798</v>
      </c>
      <c r="AGA21" s="247">
        <v>1720.1913020041754</v>
      </c>
      <c r="AGB21" s="247">
        <v>5389.9327462797492</v>
      </c>
      <c r="AGC21" s="247">
        <v>114.6794201336117</v>
      </c>
      <c r="AGD21" s="247">
        <v>344.03826040083504</v>
      </c>
      <c r="AGE21" s="247">
        <v>0</v>
      </c>
      <c r="AGF21" s="247">
        <v>0</v>
      </c>
      <c r="AGG21" s="247">
        <v>2981.6649234739043</v>
      </c>
      <c r="AGH21" s="247">
        <v>917.4353610688936</v>
      </c>
      <c r="AGI21" s="247">
        <v>1802.1051735281835</v>
      </c>
      <c r="AGJ21" s="247">
        <v>5646.5962103883085</v>
      </c>
      <c r="AGK21" s="247">
        <v>120.1403449018789</v>
      </c>
      <c r="AGL21" s="247">
        <v>360.42103470563671</v>
      </c>
      <c r="AGM21" s="247">
        <v>0</v>
      </c>
      <c r="AGN21" s="247">
        <v>0</v>
      </c>
      <c r="AGO21" s="247">
        <v>3123.6489674488516</v>
      </c>
      <c r="AGP21" s="247">
        <v>961.12275921503124</v>
      </c>
      <c r="AGQ21" s="247">
        <v>2768.6888575114822</v>
      </c>
      <c r="AGR21" s="247">
        <v>8675.22508686931</v>
      </c>
      <c r="AGS21" s="247">
        <v>184.57925716743216</v>
      </c>
      <c r="AGT21" s="247">
        <v>553.73777150229648</v>
      </c>
      <c r="AGU21" s="247">
        <v>0</v>
      </c>
      <c r="AGV21" s="247">
        <v>0</v>
      </c>
      <c r="AGW21" s="247">
        <v>4799.0606863532357</v>
      </c>
      <c r="AGX21" s="247">
        <v>1476.6340573394573</v>
      </c>
      <c r="AGY21" s="249">
        <v>0</v>
      </c>
      <c r="AGZ21" s="249">
        <v>0</v>
      </c>
      <c r="AHA21" s="249">
        <v>0</v>
      </c>
      <c r="AHB21" s="249">
        <v>0</v>
      </c>
      <c r="AHC21" s="249">
        <v>0</v>
      </c>
      <c r="AHD21" s="249">
        <v>0</v>
      </c>
      <c r="AHE21" s="249">
        <v>0</v>
      </c>
      <c r="AHF21" s="249">
        <v>0</v>
      </c>
      <c r="AHG21" s="249">
        <v>0</v>
      </c>
      <c r="AHH21" s="249">
        <v>0</v>
      </c>
      <c r="AHI21" s="249">
        <v>0</v>
      </c>
      <c r="AHJ21" s="249">
        <v>0</v>
      </c>
      <c r="AHK21" s="249">
        <v>0</v>
      </c>
      <c r="AHL21" s="249">
        <v>0</v>
      </c>
      <c r="AHM21" s="249">
        <v>0</v>
      </c>
      <c r="AHN21" s="249">
        <v>0</v>
      </c>
      <c r="AHO21" s="249">
        <v>0</v>
      </c>
      <c r="AHP21" s="249">
        <v>0</v>
      </c>
      <c r="AHQ21" s="249">
        <v>0</v>
      </c>
      <c r="AHR21" s="249">
        <v>0</v>
      </c>
      <c r="AHS21" s="249">
        <v>0</v>
      </c>
      <c r="AHT21" s="249">
        <v>0</v>
      </c>
      <c r="AHU21" s="249">
        <v>0</v>
      </c>
      <c r="AHV21" s="249">
        <v>0</v>
      </c>
      <c r="AHW21" s="249">
        <v>0</v>
      </c>
      <c r="AHX21" s="249">
        <v>0</v>
      </c>
      <c r="AHY21" s="249">
        <v>0</v>
      </c>
      <c r="AHZ21" s="249">
        <v>0</v>
      </c>
      <c r="AIA21" s="249">
        <v>0</v>
      </c>
      <c r="AIB21" s="249">
        <v>0</v>
      </c>
      <c r="AIC21" s="249">
        <v>0</v>
      </c>
      <c r="AID21" s="249">
        <v>0</v>
      </c>
      <c r="AIE21" s="249"/>
      <c r="AIF21" s="249"/>
      <c r="AIG21" s="249"/>
      <c r="AIH21" s="249"/>
      <c r="AII21" s="249"/>
      <c r="AIJ21" s="249"/>
      <c r="AIK21" s="249"/>
      <c r="AIL21" s="249"/>
      <c r="AIM21" s="249">
        <v>0</v>
      </c>
      <c r="AIN21" s="249">
        <v>0</v>
      </c>
      <c r="AIO21" s="249">
        <v>0</v>
      </c>
      <c r="AIP21" s="249">
        <v>0</v>
      </c>
      <c r="AIQ21" s="249">
        <v>0</v>
      </c>
      <c r="AIR21" s="249">
        <v>0</v>
      </c>
      <c r="AIS21" s="249">
        <v>0</v>
      </c>
      <c r="AIT21" s="249">
        <v>0</v>
      </c>
      <c r="AIU21" s="134" t="s">
        <v>1216</v>
      </c>
      <c r="AIV21" s="134" t="s">
        <v>1219</v>
      </c>
      <c r="AIW21" s="134" t="s">
        <v>1218</v>
      </c>
      <c r="AIX21" s="134" t="s">
        <v>1217</v>
      </c>
      <c r="AIY21" s="134" t="s">
        <v>1228</v>
      </c>
      <c r="AIZ21" s="134" t="s">
        <v>1229</v>
      </c>
      <c r="AJA21" s="134" t="s">
        <v>1230</v>
      </c>
      <c r="AJB21" s="134" t="s">
        <v>1231</v>
      </c>
      <c r="AJC21" s="134" t="s">
        <v>1232</v>
      </c>
      <c r="AJD21" s="134" t="s">
        <v>1233</v>
      </c>
    </row>
    <row r="22" spans="1:940" ht="18" customHeight="1">
      <c r="A22" s="664" t="s">
        <v>29</v>
      </c>
      <c r="B22" s="670">
        <v>0.1</v>
      </c>
      <c r="C22" s="8">
        <v>0.1</v>
      </c>
      <c r="D22" s="8">
        <v>0.1</v>
      </c>
      <c r="E22" s="74">
        <v>0</v>
      </c>
      <c r="F22" s="72">
        <v>-3.5</v>
      </c>
      <c r="G22" s="11">
        <v>-4.5</v>
      </c>
      <c r="H22" s="11">
        <v>-4.5</v>
      </c>
      <c r="I22" s="266">
        <v>350</v>
      </c>
      <c r="J22" s="125">
        <v>0</v>
      </c>
      <c r="K22" s="125">
        <v>0</v>
      </c>
      <c r="L22" s="125">
        <v>0</v>
      </c>
      <c r="M22" s="1">
        <v>2536.3380231691531</v>
      </c>
      <c r="N22" s="2">
        <v>12</v>
      </c>
      <c r="O22" s="8">
        <v>0.6</v>
      </c>
      <c r="P22" s="8">
        <v>0.5</v>
      </c>
      <c r="Q22" s="8">
        <v>0.5</v>
      </c>
      <c r="R22" s="7">
        <v>1.3</v>
      </c>
      <c r="S22" s="7">
        <v>0</v>
      </c>
      <c r="T22" s="7">
        <v>93.6</v>
      </c>
      <c r="U22" s="7">
        <v>5.2</v>
      </c>
      <c r="V22" s="71">
        <v>0</v>
      </c>
      <c r="W22" s="119">
        <v>2</v>
      </c>
      <c r="X22" s="120">
        <v>1.5</v>
      </c>
      <c r="Y22" s="119">
        <v>1</v>
      </c>
      <c r="Z22" s="120">
        <v>0.8</v>
      </c>
      <c r="AA22" s="120">
        <v>0.5</v>
      </c>
      <c r="AB22" s="559">
        <v>433.01922201480062</v>
      </c>
      <c r="AC22" s="559">
        <v>470.67306740739195</v>
      </c>
      <c r="AD22" s="559">
        <v>433.37222681535616</v>
      </c>
      <c r="AE22" s="559">
        <v>649.0581599547935</v>
      </c>
      <c r="AF22" s="622">
        <v>0.82209484106305364</v>
      </c>
      <c r="AG22" s="559">
        <v>261.91600618637949</v>
      </c>
      <c r="AH22" s="559">
        <v>284.69131107215162</v>
      </c>
      <c r="AI22" s="559">
        <v>262.12952466968363</v>
      </c>
      <c r="AJ22" s="559">
        <v>392.58931796849708</v>
      </c>
      <c r="AK22" s="622">
        <v>0.96717040125065135</v>
      </c>
      <c r="AL22" s="996">
        <v>0.2</v>
      </c>
      <c r="AM22" s="996">
        <v>0.4</v>
      </c>
      <c r="AN22" s="996">
        <v>0.9</v>
      </c>
      <c r="AO22" s="996">
        <v>1.2</v>
      </c>
      <c r="AP22" s="996">
        <v>1.5</v>
      </c>
      <c r="AQ22" s="996">
        <v>1.9</v>
      </c>
      <c r="AR22" s="996">
        <v>2.2999999999999998</v>
      </c>
      <c r="AS22" s="1005">
        <v>0</v>
      </c>
      <c r="AT22" s="1005">
        <v>10</v>
      </c>
      <c r="AU22" s="1005">
        <v>20</v>
      </c>
      <c r="AV22" s="1005">
        <v>70</v>
      </c>
      <c r="AW22" s="1005">
        <v>100</v>
      </c>
      <c r="AX22" s="1">
        <v>16080.5781381099</v>
      </c>
      <c r="AY22" s="5">
        <v>2.06</v>
      </c>
      <c r="AZ22" s="8">
        <v>0.8</v>
      </c>
      <c r="BA22" s="8">
        <v>0.5</v>
      </c>
      <c r="BB22" s="8">
        <v>0.5</v>
      </c>
      <c r="BC22" s="73">
        <v>0.19156923089066447</v>
      </c>
      <c r="BD22" s="73">
        <v>0.1807891790858096</v>
      </c>
      <c r="BE22" s="9">
        <v>0</v>
      </c>
      <c r="BF22" s="9">
        <v>0</v>
      </c>
      <c r="BG22" s="9">
        <v>8.6</v>
      </c>
      <c r="BH22" s="9">
        <v>33.700000000000003</v>
      </c>
      <c r="BI22" s="9">
        <v>3.5</v>
      </c>
      <c r="BJ22" s="9">
        <v>3.5</v>
      </c>
      <c r="BK22" s="9">
        <v>41.9</v>
      </c>
      <c r="BL22" s="9">
        <v>0.1</v>
      </c>
      <c r="BM22" s="9">
        <v>0.2</v>
      </c>
      <c r="BN22" s="9">
        <v>0</v>
      </c>
      <c r="BO22" s="9">
        <v>0</v>
      </c>
      <c r="BP22" s="9">
        <v>0</v>
      </c>
      <c r="BQ22" s="9">
        <v>0</v>
      </c>
      <c r="BR22" s="9">
        <v>0</v>
      </c>
      <c r="BS22" s="9">
        <v>8.5</v>
      </c>
      <c r="BT22" s="262">
        <v>261.13475999999997</v>
      </c>
      <c r="BU22" s="262">
        <v>96.5</v>
      </c>
      <c r="BV22" s="262">
        <v>63.215999999999994</v>
      </c>
      <c r="BW22" s="262">
        <v>233.35949490734063</v>
      </c>
      <c r="BX22" s="262">
        <v>157.40783999999999</v>
      </c>
      <c r="BY22" s="68"/>
      <c r="BZ22" s="262">
        <v>256.20808011776955</v>
      </c>
      <c r="CA22" s="262">
        <v>165.17663999999999</v>
      </c>
      <c r="CB22" s="68"/>
      <c r="CC22" s="785">
        <v>0</v>
      </c>
      <c r="CD22" s="262">
        <v>6.585</v>
      </c>
      <c r="CE22" s="262">
        <v>1.3169999999999999</v>
      </c>
      <c r="CF22" s="262">
        <v>38</v>
      </c>
      <c r="CG22" s="262">
        <v>225.83915999999996</v>
      </c>
      <c r="CH22" s="68">
        <v>0.2</v>
      </c>
      <c r="CI22" s="262">
        <v>175.08124000000001</v>
      </c>
      <c r="CJ22" s="262">
        <v>60.4</v>
      </c>
      <c r="CK22" s="262">
        <v>42.384</v>
      </c>
      <c r="CL22" s="262">
        <v>156.45894761061641</v>
      </c>
      <c r="CM22" s="262">
        <v>105.53616</v>
      </c>
      <c r="CN22" s="68"/>
      <c r="CO22" s="262">
        <v>159.24945066654416</v>
      </c>
      <c r="CP22" s="262">
        <v>102.66767999999999</v>
      </c>
      <c r="CQ22" s="68"/>
      <c r="CR22" s="262">
        <v>0</v>
      </c>
      <c r="CS22" s="262">
        <v>4.415</v>
      </c>
      <c r="CT22" s="262">
        <v>0.88300000000000001</v>
      </c>
      <c r="CU22" s="262">
        <v>27</v>
      </c>
      <c r="CV22" s="262">
        <v>151.41683999999998</v>
      </c>
      <c r="CW22" s="68">
        <v>0.2</v>
      </c>
      <c r="CX22" s="120">
        <v>0.3</v>
      </c>
      <c r="CY22" s="120">
        <v>0.7</v>
      </c>
      <c r="CZ22" s="120">
        <v>1.2</v>
      </c>
      <c r="DA22" s="120">
        <v>1.2</v>
      </c>
      <c r="DB22" s="119">
        <v>3</v>
      </c>
      <c r="DC22" s="1005">
        <v>0</v>
      </c>
      <c r="DD22" s="1005">
        <v>10</v>
      </c>
      <c r="DE22" s="1005">
        <v>20</v>
      </c>
      <c r="DF22" s="1005">
        <v>70</v>
      </c>
      <c r="DG22" s="1005">
        <v>100</v>
      </c>
      <c r="DH22" s="2">
        <v>0</v>
      </c>
      <c r="DI22" s="2">
        <v>18</v>
      </c>
      <c r="DJ22" s="63">
        <v>12</v>
      </c>
      <c r="DK22" s="10">
        <v>0</v>
      </c>
      <c r="DL22" s="10">
        <v>0</v>
      </c>
      <c r="DM22" s="10">
        <v>0</v>
      </c>
      <c r="DN22" s="1031" t="s">
        <v>1000</v>
      </c>
      <c r="DO22" s="1030" t="s">
        <v>997</v>
      </c>
      <c r="DP22" s="1030" t="s">
        <v>997</v>
      </c>
      <c r="DQ22" s="1030" t="s">
        <v>997</v>
      </c>
      <c r="DR22" s="1030" t="s">
        <v>997</v>
      </c>
      <c r="DS22" s="1030" t="s">
        <v>997</v>
      </c>
      <c r="DT22" s="1030" t="s">
        <v>997</v>
      </c>
      <c r="DU22" s="1097">
        <v>0</v>
      </c>
      <c r="DV22" s="1097">
        <v>0</v>
      </c>
      <c r="DW22" s="1097">
        <v>0</v>
      </c>
      <c r="DX22" s="1097">
        <v>0</v>
      </c>
      <c r="DY22" s="1097">
        <v>0</v>
      </c>
      <c r="DZ22" s="1097">
        <v>0</v>
      </c>
      <c r="EA22" s="1097">
        <v>0</v>
      </c>
      <c r="EB22" s="207">
        <v>0</v>
      </c>
      <c r="EC22" s="207">
        <v>18</v>
      </c>
      <c r="ED22" s="221">
        <v>5</v>
      </c>
      <c r="EE22" s="1038">
        <v>1.6</v>
      </c>
      <c r="EF22" s="1038">
        <v>1.2</v>
      </c>
      <c r="EG22" s="1038">
        <v>1.2</v>
      </c>
      <c r="EH22" s="209" t="s">
        <v>1039</v>
      </c>
      <c r="EI22" s="204" t="s">
        <v>997</v>
      </c>
      <c r="EJ22" s="204" t="s">
        <v>997</v>
      </c>
      <c r="EK22" s="204" t="s">
        <v>997</v>
      </c>
      <c r="EL22" s="204" t="s">
        <v>997</v>
      </c>
      <c r="EM22" s="204" t="s">
        <v>997</v>
      </c>
      <c r="EN22" s="204" t="s">
        <v>997</v>
      </c>
      <c r="EO22" s="204" t="s">
        <v>997</v>
      </c>
      <c r="EP22" s="204" t="s">
        <v>997</v>
      </c>
      <c r="EQ22" s="204" t="s">
        <v>997</v>
      </c>
      <c r="ER22" s="204" t="s">
        <v>997</v>
      </c>
      <c r="ES22" s="204" t="s">
        <v>997</v>
      </c>
      <c r="ET22" s="204" t="s">
        <v>997</v>
      </c>
      <c r="EU22" s="204" t="s">
        <v>997</v>
      </c>
      <c r="EV22" s="204" t="s">
        <v>997</v>
      </c>
      <c r="EW22" s="204" t="s">
        <v>997</v>
      </c>
      <c r="EX22" s="204" t="s">
        <v>997</v>
      </c>
      <c r="EY22" s="204" t="s">
        <v>997</v>
      </c>
      <c r="EZ22" s="204" t="s">
        <v>997</v>
      </c>
      <c r="FA22" s="204" t="s">
        <v>997</v>
      </c>
      <c r="FB22" s="204" t="s">
        <v>997</v>
      </c>
      <c r="FC22" s="204" t="s">
        <v>997</v>
      </c>
      <c r="FD22" s="204" t="s">
        <v>997</v>
      </c>
      <c r="FE22" s="204" t="s">
        <v>997</v>
      </c>
      <c r="FF22" s="204" t="s">
        <v>997</v>
      </c>
      <c r="FG22" s="204" t="s">
        <v>997</v>
      </c>
      <c r="FH22" s="204" t="s">
        <v>997</v>
      </c>
      <c r="FI22" s="204" t="s">
        <v>997</v>
      </c>
      <c r="FJ22" s="204" t="s">
        <v>997</v>
      </c>
      <c r="FK22" s="204" t="s">
        <v>997</v>
      </c>
      <c r="FL22" s="204" t="s">
        <v>997</v>
      </c>
      <c r="FM22" s="204" t="s">
        <v>997</v>
      </c>
      <c r="FN22" s="204" t="s">
        <v>997</v>
      </c>
      <c r="FO22" s="204" t="s">
        <v>997</v>
      </c>
      <c r="FP22" s="204" t="s">
        <v>997</v>
      </c>
      <c r="FQ22" s="204" t="s">
        <v>997</v>
      </c>
      <c r="FR22" s="204" t="s">
        <v>997</v>
      </c>
      <c r="FS22" s="204" t="s">
        <v>997</v>
      </c>
      <c r="FT22" s="204" t="s">
        <v>997</v>
      </c>
      <c r="FU22" s="204" t="s">
        <v>997</v>
      </c>
      <c r="FV22" s="204" t="s">
        <v>997</v>
      </c>
      <c r="FW22" s="204" t="s">
        <v>997</v>
      </c>
      <c r="FX22" s="204" t="s">
        <v>997</v>
      </c>
      <c r="FY22" s="204" t="s">
        <v>997</v>
      </c>
      <c r="FZ22" s="204" t="s">
        <v>997</v>
      </c>
      <c r="GA22" s="204" t="s">
        <v>997</v>
      </c>
      <c r="GB22" s="204" t="s">
        <v>997</v>
      </c>
      <c r="GC22" s="204" t="s">
        <v>997</v>
      </c>
      <c r="GD22" s="204" t="s">
        <v>997</v>
      </c>
      <c r="GE22" s="204" t="s">
        <v>997</v>
      </c>
      <c r="GF22" s="204" t="s">
        <v>997</v>
      </c>
      <c r="GG22" s="204" t="s">
        <v>997</v>
      </c>
      <c r="GH22" s="204" t="s">
        <v>997</v>
      </c>
      <c r="GI22" s="204" t="s">
        <v>997</v>
      </c>
      <c r="GJ22" s="204" t="s">
        <v>997</v>
      </c>
      <c r="GK22" s="204" t="s">
        <v>997</v>
      </c>
      <c r="GL22" s="204" t="s">
        <v>997</v>
      </c>
      <c r="GM22" s="204" t="s">
        <v>997</v>
      </c>
      <c r="GN22" s="1051">
        <v>0</v>
      </c>
      <c r="GO22" s="1051">
        <v>0</v>
      </c>
      <c r="GP22" s="1051">
        <v>0</v>
      </c>
      <c r="GQ22" s="1051">
        <v>0</v>
      </c>
      <c r="GR22" s="1051">
        <v>0</v>
      </c>
      <c r="GS22" s="1051">
        <v>0</v>
      </c>
      <c r="GT22" s="1051">
        <v>0</v>
      </c>
      <c r="GU22" s="1051">
        <v>0</v>
      </c>
      <c r="GV22" s="1051">
        <v>0</v>
      </c>
      <c r="GW22" s="1051">
        <v>0</v>
      </c>
      <c r="GX22" s="1051">
        <v>0</v>
      </c>
      <c r="GY22" s="1051">
        <v>0</v>
      </c>
      <c r="GZ22" s="1051">
        <v>0</v>
      </c>
      <c r="HA22" s="1051">
        <v>0</v>
      </c>
      <c r="HB22" s="1051">
        <v>0</v>
      </c>
      <c r="HC22" s="1051">
        <v>0</v>
      </c>
      <c r="HD22" s="1051">
        <v>0</v>
      </c>
      <c r="HE22" s="1051">
        <v>0</v>
      </c>
      <c r="HF22" s="1051">
        <v>0</v>
      </c>
      <c r="HG22" s="1051">
        <v>0</v>
      </c>
      <c r="HH22" s="1051">
        <v>0</v>
      </c>
      <c r="HI22" s="1051">
        <v>0</v>
      </c>
      <c r="HJ22" s="1051">
        <v>0</v>
      </c>
      <c r="HK22" s="1051">
        <v>0</v>
      </c>
      <c r="HL22" s="1051">
        <v>0</v>
      </c>
      <c r="HM22" s="1051">
        <v>0</v>
      </c>
      <c r="HN22" s="1051">
        <v>0</v>
      </c>
      <c r="HO22" s="1051">
        <v>0</v>
      </c>
      <c r="HP22" s="1051">
        <v>0</v>
      </c>
      <c r="HQ22" s="1051">
        <v>0</v>
      </c>
      <c r="HR22" s="1051">
        <v>0</v>
      </c>
      <c r="HS22" s="1051">
        <v>0</v>
      </c>
      <c r="HT22" s="1051">
        <v>0</v>
      </c>
      <c r="HU22" s="1051">
        <v>0</v>
      </c>
      <c r="HV22" s="1051">
        <v>0</v>
      </c>
      <c r="HW22" s="1051">
        <v>0</v>
      </c>
      <c r="HX22" s="1051">
        <v>0</v>
      </c>
      <c r="HY22" s="1051">
        <v>0</v>
      </c>
      <c r="HZ22" s="1051">
        <v>0</v>
      </c>
      <c r="IA22" s="1051">
        <v>0</v>
      </c>
      <c r="IB22" s="1051">
        <v>0</v>
      </c>
      <c r="IC22" s="1051">
        <v>0</v>
      </c>
      <c r="ID22" s="1051">
        <v>0</v>
      </c>
      <c r="IE22" s="1051">
        <v>0</v>
      </c>
      <c r="IF22" s="1051">
        <v>0</v>
      </c>
      <c r="IG22" s="1051">
        <v>0</v>
      </c>
      <c r="IH22" s="1051">
        <v>0</v>
      </c>
      <c r="II22" s="1051">
        <v>0</v>
      </c>
      <c r="IJ22" s="1051">
        <v>0</v>
      </c>
      <c r="IK22" s="1051">
        <v>0</v>
      </c>
      <c r="IL22" s="1051">
        <v>0</v>
      </c>
      <c r="IM22" s="1051">
        <v>0</v>
      </c>
      <c r="IN22" s="1051">
        <v>0</v>
      </c>
      <c r="IO22" s="1051">
        <v>0</v>
      </c>
      <c r="IP22" s="1051">
        <v>0</v>
      </c>
      <c r="IQ22" s="1051">
        <v>0</v>
      </c>
      <c r="IR22" s="1051">
        <v>0</v>
      </c>
      <c r="IS22" s="1051">
        <v>0</v>
      </c>
      <c r="IT22" s="215">
        <v>0</v>
      </c>
      <c r="IU22" s="207">
        <v>179.9</v>
      </c>
      <c r="IV22" s="216">
        <v>2647.0800000000199</v>
      </c>
      <c r="IW22" s="272">
        <v>12.64</v>
      </c>
      <c r="IX22" s="207">
        <v>50</v>
      </c>
      <c r="IY22" s="207">
        <v>0</v>
      </c>
      <c r="IZ22" s="207">
        <v>0</v>
      </c>
      <c r="JA22" s="207">
        <v>0</v>
      </c>
      <c r="JB22" s="52">
        <v>2</v>
      </c>
      <c r="JC22" s="24">
        <v>1.5</v>
      </c>
      <c r="JD22" s="24">
        <v>0.7</v>
      </c>
      <c r="JE22" s="24">
        <v>0.7</v>
      </c>
      <c r="JF22" s="24">
        <v>0.5</v>
      </c>
      <c r="JG22" s="1">
        <v>0</v>
      </c>
      <c r="JH22" s="216">
        <v>2647.0800000000199</v>
      </c>
      <c r="JI22" s="272">
        <v>12.64</v>
      </c>
      <c r="JJ22" s="207">
        <v>50</v>
      </c>
      <c r="JK22" s="10">
        <v>0</v>
      </c>
      <c r="JL22" s="10">
        <v>0</v>
      </c>
      <c r="JM22" s="10">
        <v>0</v>
      </c>
      <c r="JN22" s="216">
        <v>2</v>
      </c>
      <c r="JO22" s="216">
        <v>2</v>
      </c>
      <c r="JP22" s="216">
        <v>1</v>
      </c>
      <c r="JQ22" s="216">
        <v>1</v>
      </c>
      <c r="JR22" s="214">
        <v>0.5</v>
      </c>
      <c r="JS22" s="1212">
        <v>2000</v>
      </c>
      <c r="JT22" s="215"/>
      <c r="JU22" s="215">
        <v>500</v>
      </c>
      <c r="JV22" s="207">
        <v>1.5</v>
      </c>
      <c r="JW22" s="207">
        <v>0.7</v>
      </c>
      <c r="JX22" s="207">
        <v>0.7</v>
      </c>
      <c r="JY22" s="214">
        <v>2</v>
      </c>
      <c r="JZ22" s="214">
        <v>1.5</v>
      </c>
      <c r="KA22" s="214">
        <v>0.5</v>
      </c>
      <c r="KB22" s="214">
        <v>1</v>
      </c>
      <c r="KC22" s="214">
        <v>0.5</v>
      </c>
      <c r="KD22" s="1186"/>
      <c r="KE22" s="1186"/>
      <c r="KF22" s="1186"/>
      <c r="KG22" s="1186"/>
      <c r="KH22" s="1186"/>
      <c r="KI22" s="1186"/>
      <c r="KJ22" s="1186"/>
      <c r="KK22" s="1186"/>
      <c r="KL22" s="1186"/>
      <c r="KM22" s="1187">
        <v>580</v>
      </c>
      <c r="KN22" s="1187">
        <v>580</v>
      </c>
      <c r="KO22" s="1187">
        <v>580</v>
      </c>
      <c r="KP22" s="1187">
        <v>580</v>
      </c>
      <c r="KQ22" s="1187"/>
      <c r="KR22" s="1187">
        <v>580</v>
      </c>
      <c r="KS22" s="1187">
        <v>580</v>
      </c>
      <c r="KT22" s="1187">
        <v>580</v>
      </c>
      <c r="KU22" s="1187">
        <v>580</v>
      </c>
      <c r="KV22" s="262">
        <v>370</v>
      </c>
      <c r="KW22" s="262">
        <v>370</v>
      </c>
      <c r="KX22" s="262">
        <v>370</v>
      </c>
      <c r="KY22" s="262">
        <v>370</v>
      </c>
      <c r="KZ22" s="262"/>
      <c r="LA22" s="262">
        <v>370</v>
      </c>
      <c r="LB22" s="262">
        <v>370</v>
      </c>
      <c r="LC22" s="262">
        <v>370</v>
      </c>
      <c r="LD22" s="262">
        <v>370</v>
      </c>
      <c r="LE22" s="1213">
        <v>0</v>
      </c>
      <c r="LF22" s="1213">
        <v>10</v>
      </c>
      <c r="LG22" s="1213">
        <v>20</v>
      </c>
      <c r="LH22" s="1213">
        <v>70</v>
      </c>
      <c r="LI22" s="1213">
        <v>100</v>
      </c>
      <c r="LJ22" s="1212">
        <v>1000</v>
      </c>
      <c r="LK22" s="1"/>
      <c r="LL22" s="4">
        <v>29</v>
      </c>
      <c r="LM22" s="10">
        <v>1</v>
      </c>
      <c r="LN22" s="8">
        <v>0.7</v>
      </c>
      <c r="LO22" s="8">
        <v>0.7</v>
      </c>
      <c r="LP22" s="214">
        <v>2</v>
      </c>
      <c r="LQ22" s="214">
        <v>1</v>
      </c>
      <c r="LR22" s="214">
        <v>0.5</v>
      </c>
      <c r="LS22" s="214">
        <v>0.7</v>
      </c>
      <c r="LT22" s="214">
        <v>0.2</v>
      </c>
      <c r="LU22" s="1212">
        <v>1500</v>
      </c>
      <c r="LV22" s="122">
        <v>0</v>
      </c>
      <c r="LW22" s="122">
        <v>0</v>
      </c>
      <c r="LX22" s="122">
        <v>0</v>
      </c>
      <c r="LY22" s="165">
        <v>0</v>
      </c>
      <c r="LZ22" s="165">
        <v>0</v>
      </c>
      <c r="MA22" s="165">
        <v>0</v>
      </c>
      <c r="MB22" s="165">
        <v>0</v>
      </c>
      <c r="MC22" s="165">
        <v>0</v>
      </c>
      <c r="MD22" s="165">
        <v>0</v>
      </c>
      <c r="ME22" s="165">
        <v>0</v>
      </c>
      <c r="MF22" s="165">
        <v>0</v>
      </c>
      <c r="MG22" s="165">
        <v>0</v>
      </c>
      <c r="MH22" s="165">
        <v>0</v>
      </c>
      <c r="MI22" s="165">
        <v>0</v>
      </c>
      <c r="MJ22" s="165">
        <v>0</v>
      </c>
      <c r="MK22" s="165">
        <v>0</v>
      </c>
      <c r="ML22" s="165">
        <v>0</v>
      </c>
      <c r="MM22" s="165">
        <v>0</v>
      </c>
      <c r="MN22" s="165">
        <v>0</v>
      </c>
      <c r="MO22" s="165">
        <v>0</v>
      </c>
      <c r="MP22" s="165">
        <v>0</v>
      </c>
      <c r="MQ22" s="165">
        <v>0</v>
      </c>
      <c r="MR22" s="165">
        <v>0</v>
      </c>
      <c r="MS22" s="165">
        <v>0</v>
      </c>
      <c r="MT22" s="165">
        <v>0</v>
      </c>
      <c r="MU22" s="165">
        <v>0</v>
      </c>
      <c r="MV22" s="165">
        <v>0</v>
      </c>
      <c r="MW22" s="166">
        <v>0</v>
      </c>
      <c r="MX22" s="166">
        <v>0</v>
      </c>
      <c r="MY22" s="166">
        <v>0</v>
      </c>
      <c r="MZ22" s="166">
        <v>0</v>
      </c>
      <c r="NA22" s="166">
        <v>0</v>
      </c>
      <c r="NB22" s="166">
        <v>0</v>
      </c>
      <c r="NC22" s="166">
        <v>1.7896052723526501</v>
      </c>
      <c r="ND22" s="166">
        <v>0</v>
      </c>
      <c r="NE22" s="166">
        <v>0</v>
      </c>
      <c r="NF22" s="166">
        <v>0.14099999999999999</v>
      </c>
      <c r="NG22" s="166">
        <v>0.36545454545453998</v>
      </c>
      <c r="NH22" s="166">
        <v>-0.37</v>
      </c>
      <c r="NI22" s="166">
        <v>0</v>
      </c>
      <c r="NJ22" s="166">
        <v>0</v>
      </c>
      <c r="NK22" s="166">
        <v>0</v>
      </c>
      <c r="NL22" s="166">
        <v>0</v>
      </c>
      <c r="NM22" s="166">
        <v>0</v>
      </c>
      <c r="NN22" s="166">
        <v>0</v>
      </c>
      <c r="NO22" s="166">
        <v>0</v>
      </c>
      <c r="NP22" s="166">
        <v>0</v>
      </c>
      <c r="NQ22" s="166">
        <v>0</v>
      </c>
      <c r="NR22" s="166">
        <v>0</v>
      </c>
      <c r="NS22" s="166">
        <v>0</v>
      </c>
      <c r="NT22" s="166">
        <v>0</v>
      </c>
      <c r="NU22" s="166">
        <v>1.2442639749117701</v>
      </c>
      <c r="NV22" s="166">
        <v>0</v>
      </c>
      <c r="NW22" s="166">
        <v>0</v>
      </c>
      <c r="NX22" s="166">
        <v>0.14099999999999999</v>
      </c>
      <c r="NY22" s="166">
        <v>0.51300000000000001</v>
      </c>
      <c r="NZ22" s="166">
        <v>0</v>
      </c>
      <c r="OA22" s="166">
        <v>-11.83</v>
      </c>
      <c r="OB22" s="166">
        <v>-2.96</v>
      </c>
      <c r="OC22" s="166">
        <v>0</v>
      </c>
      <c r="OD22" s="166">
        <v>0</v>
      </c>
      <c r="OE22" s="166">
        <v>0</v>
      </c>
      <c r="OF22" s="166">
        <v>-7.9</v>
      </c>
      <c r="OG22" s="166">
        <v>-0.52916329146937002</v>
      </c>
      <c r="OH22" s="166">
        <v>0</v>
      </c>
      <c r="OI22" s="166">
        <v>0</v>
      </c>
      <c r="OJ22" s="166">
        <v>0</v>
      </c>
      <c r="OK22" s="166">
        <v>0.1040846516346</v>
      </c>
      <c r="OL22" s="166">
        <v>0</v>
      </c>
      <c r="OM22" s="166">
        <v>-0.79641694062066004</v>
      </c>
      <c r="ON22" s="166">
        <v>0</v>
      </c>
      <c r="OO22" s="166">
        <v>0</v>
      </c>
      <c r="OP22" s="166">
        <v>0</v>
      </c>
      <c r="OQ22" s="166">
        <v>0</v>
      </c>
      <c r="OR22" s="166">
        <v>-7.8999999999999897</v>
      </c>
      <c r="OS22" s="166">
        <v>0</v>
      </c>
      <c r="OT22" s="166">
        <v>0</v>
      </c>
      <c r="OU22" s="166">
        <v>0</v>
      </c>
      <c r="OV22" s="166">
        <v>0</v>
      </c>
      <c r="OW22" s="166">
        <v>0</v>
      </c>
      <c r="OX22" s="166">
        <v>0</v>
      </c>
      <c r="OY22" s="166">
        <v>0</v>
      </c>
      <c r="OZ22" s="166">
        <v>0</v>
      </c>
      <c r="PA22" s="166">
        <v>0</v>
      </c>
      <c r="PB22" s="166">
        <v>0</v>
      </c>
      <c r="PC22" s="166">
        <v>0</v>
      </c>
      <c r="PD22" s="166">
        <v>0</v>
      </c>
      <c r="PE22" s="166">
        <v>-11.83</v>
      </c>
      <c r="PF22" s="166">
        <v>-2.96</v>
      </c>
      <c r="PG22" s="166">
        <v>0</v>
      </c>
      <c r="PH22" s="166">
        <v>0</v>
      </c>
      <c r="PI22" s="166">
        <v>0</v>
      </c>
      <c r="PJ22" s="166">
        <v>0</v>
      </c>
      <c r="PK22" s="166">
        <v>0.52916329146937002</v>
      </c>
      <c r="PL22" s="166">
        <v>0</v>
      </c>
      <c r="PM22" s="166">
        <v>0</v>
      </c>
      <c r="PN22" s="166">
        <v>0</v>
      </c>
      <c r="PO22" s="166">
        <v>-0.10408465163461</v>
      </c>
      <c r="PP22" s="166">
        <v>-5.7</v>
      </c>
      <c r="PQ22" s="166">
        <v>0</v>
      </c>
      <c r="PR22" s="166">
        <v>0</v>
      </c>
      <c r="PS22" s="166">
        <v>0</v>
      </c>
      <c r="PT22" s="166">
        <v>0</v>
      </c>
      <c r="PU22" s="166">
        <v>0</v>
      </c>
      <c r="PV22" s="166">
        <v>-5.7</v>
      </c>
      <c r="PW22" s="166">
        <v>0</v>
      </c>
      <c r="PX22" s="166">
        <v>0</v>
      </c>
      <c r="PY22" s="166">
        <v>0</v>
      </c>
      <c r="PZ22" s="166">
        <v>0</v>
      </c>
      <c r="QA22" s="166">
        <v>0</v>
      </c>
      <c r="QB22" s="166">
        <v>0</v>
      </c>
      <c r="QC22" s="166">
        <v>5.8667792776030001E-2</v>
      </c>
      <c r="QD22" s="166">
        <v>0</v>
      </c>
      <c r="QE22" s="166">
        <v>1.49425754676E-3</v>
      </c>
      <c r="QF22" s="166">
        <v>0</v>
      </c>
      <c r="QG22" s="166">
        <v>0.51300000000000001</v>
      </c>
      <c r="QH22" s="166">
        <v>0</v>
      </c>
      <c r="QI22" s="162">
        <v>0</v>
      </c>
      <c r="QJ22" s="167">
        <v>0</v>
      </c>
      <c r="QK22" s="167">
        <v>0</v>
      </c>
      <c r="QL22" s="167">
        <v>0</v>
      </c>
      <c r="QM22" s="167">
        <v>0</v>
      </c>
      <c r="QN22" s="162">
        <v>0</v>
      </c>
      <c r="QO22" s="162">
        <v>0</v>
      </c>
      <c r="QP22" s="162">
        <v>0</v>
      </c>
      <c r="QQ22" s="162">
        <v>0</v>
      </c>
      <c r="QR22" s="162">
        <v>0</v>
      </c>
      <c r="QS22" s="162">
        <v>0</v>
      </c>
      <c r="QT22" s="162">
        <v>0</v>
      </c>
      <c r="QU22" s="162">
        <v>0</v>
      </c>
      <c r="QV22" s="162">
        <v>0</v>
      </c>
      <c r="QW22" s="162">
        <v>0</v>
      </c>
      <c r="QX22" s="162">
        <v>0</v>
      </c>
      <c r="QY22" s="162">
        <v>0</v>
      </c>
      <c r="QZ22" s="162">
        <v>0</v>
      </c>
      <c r="RA22" s="167">
        <v>0</v>
      </c>
      <c r="RB22" s="167">
        <v>0</v>
      </c>
      <c r="RC22" s="167">
        <v>0</v>
      </c>
      <c r="RD22" s="167">
        <v>0</v>
      </c>
      <c r="RE22" s="167">
        <v>0</v>
      </c>
      <c r="RF22" s="167">
        <v>0</v>
      </c>
      <c r="RG22" s="167">
        <v>0</v>
      </c>
      <c r="RH22" s="167">
        <v>0</v>
      </c>
      <c r="RI22" s="167">
        <v>0</v>
      </c>
      <c r="RJ22" s="167">
        <v>0</v>
      </c>
      <c r="RK22" s="167">
        <v>-0.23972853770339</v>
      </c>
      <c r="RL22" s="167">
        <v>0</v>
      </c>
      <c r="RM22" s="166">
        <v>-11.83</v>
      </c>
      <c r="RN22" s="166">
        <v>-2.96</v>
      </c>
      <c r="RO22" s="166">
        <v>0</v>
      </c>
      <c r="RP22" s="166">
        <v>0</v>
      </c>
      <c r="RQ22" s="166">
        <v>-0.61550155023644004</v>
      </c>
      <c r="RR22" s="166">
        <v>0</v>
      </c>
      <c r="RS22" s="166">
        <v>0</v>
      </c>
      <c r="RT22" s="166">
        <v>0</v>
      </c>
      <c r="RU22" s="166">
        <v>0</v>
      </c>
      <c r="RV22" s="166">
        <v>0</v>
      </c>
      <c r="RW22" s="166">
        <v>0</v>
      </c>
      <c r="RX22" s="166">
        <v>0</v>
      </c>
      <c r="RY22" s="166">
        <v>-8.6181985426020908</v>
      </c>
      <c r="RZ22" s="166">
        <v>0</v>
      </c>
      <c r="SA22" s="166">
        <v>0</v>
      </c>
      <c r="SB22" s="166">
        <v>0</v>
      </c>
      <c r="SC22" s="166">
        <v>0</v>
      </c>
      <c r="SD22" s="166">
        <v>0</v>
      </c>
      <c r="SE22" s="166">
        <v>0</v>
      </c>
      <c r="SF22" s="166">
        <v>0</v>
      </c>
      <c r="SG22" s="166">
        <v>0</v>
      </c>
      <c r="SH22" s="166">
        <v>0</v>
      </c>
      <c r="SI22" s="166">
        <v>0</v>
      </c>
      <c r="SJ22" s="166">
        <v>0</v>
      </c>
      <c r="SK22" s="166">
        <v>0</v>
      </c>
      <c r="SL22" s="166">
        <v>0</v>
      </c>
      <c r="SM22" s="166">
        <v>0</v>
      </c>
      <c r="SN22" s="166">
        <v>0</v>
      </c>
      <c r="SO22" s="166">
        <v>0</v>
      </c>
      <c r="SP22" s="166">
        <v>0</v>
      </c>
      <c r="SQ22" s="166">
        <v>-11.83</v>
      </c>
      <c r="SR22" s="166">
        <v>-2.96</v>
      </c>
      <c r="SS22" s="166">
        <v>0</v>
      </c>
      <c r="ST22" s="166">
        <v>0</v>
      </c>
      <c r="SU22" s="166">
        <v>0</v>
      </c>
      <c r="SV22" s="166">
        <v>0</v>
      </c>
      <c r="SW22" s="166">
        <v>0</v>
      </c>
      <c r="SX22" s="166">
        <v>0</v>
      </c>
      <c r="SY22" s="166">
        <v>0</v>
      </c>
      <c r="SZ22" s="166">
        <v>0</v>
      </c>
      <c r="TA22" s="166">
        <v>0</v>
      </c>
      <c r="TB22" s="166">
        <v>0</v>
      </c>
      <c r="TC22" s="166">
        <v>0</v>
      </c>
      <c r="TD22" s="166">
        <v>0</v>
      </c>
      <c r="TE22" s="166">
        <v>0</v>
      </c>
      <c r="TF22" s="166">
        <v>0</v>
      </c>
      <c r="TG22" s="166">
        <v>0</v>
      </c>
      <c r="TH22" s="166">
        <v>0</v>
      </c>
      <c r="TI22" s="166">
        <v>0</v>
      </c>
      <c r="TJ22" s="166">
        <v>0</v>
      </c>
      <c r="TK22" s="166">
        <v>0</v>
      </c>
      <c r="TL22" s="166">
        <v>0</v>
      </c>
      <c r="TM22" s="166">
        <v>0</v>
      </c>
      <c r="TN22" s="166">
        <v>0</v>
      </c>
      <c r="TO22" s="166">
        <v>0</v>
      </c>
      <c r="TP22" s="166">
        <v>0</v>
      </c>
      <c r="TQ22" s="166">
        <v>0</v>
      </c>
      <c r="TR22" s="166">
        <v>0</v>
      </c>
      <c r="TS22" s="166">
        <v>0</v>
      </c>
      <c r="TT22" s="166">
        <v>0</v>
      </c>
      <c r="TU22" s="166">
        <v>0.10672205733723999</v>
      </c>
      <c r="TV22" s="166">
        <v>0</v>
      </c>
      <c r="TW22" s="166">
        <v>0</v>
      </c>
      <c r="TX22" s="166">
        <v>0</v>
      </c>
      <c r="TY22" s="166">
        <v>0</v>
      </c>
      <c r="TZ22" s="166">
        <v>-0.37000000000004002</v>
      </c>
      <c r="UA22" s="166">
        <v>0</v>
      </c>
      <c r="UB22" s="166">
        <v>0</v>
      </c>
      <c r="UC22" s="166">
        <v>0</v>
      </c>
      <c r="UD22" s="166">
        <v>0</v>
      </c>
      <c r="UE22" s="166">
        <v>0.17080000000000001</v>
      </c>
      <c r="UF22" s="166">
        <v>-7.9</v>
      </c>
      <c r="UG22" s="166">
        <v>2.9214636085999999E-4</v>
      </c>
      <c r="UH22" s="166">
        <v>0</v>
      </c>
      <c r="UI22" s="166">
        <v>7.2977559019999998E-5</v>
      </c>
      <c r="UJ22" s="166">
        <v>0</v>
      </c>
      <c r="UK22" s="166">
        <v>1.8104991192000001E-4</v>
      </c>
      <c r="UL22" s="166">
        <v>-5.6895208072337899</v>
      </c>
      <c r="UM22" s="166">
        <v>0</v>
      </c>
      <c r="UN22" s="166">
        <v>0</v>
      </c>
      <c r="UO22" s="166">
        <v>0</v>
      </c>
      <c r="UP22" s="166">
        <v>0</v>
      </c>
      <c r="UQ22" s="166">
        <v>0</v>
      </c>
      <c r="UR22" s="166">
        <v>0</v>
      </c>
      <c r="US22" s="163">
        <v>0</v>
      </c>
      <c r="UT22" s="163">
        <v>0</v>
      </c>
      <c r="UU22" s="163">
        <v>0</v>
      </c>
      <c r="UV22" s="163">
        <v>0</v>
      </c>
      <c r="UW22" s="163">
        <v>0</v>
      </c>
      <c r="UX22" s="163">
        <v>0.54793614268282997</v>
      </c>
      <c r="UY22" s="166">
        <v>0</v>
      </c>
      <c r="UZ22" s="166">
        <v>0</v>
      </c>
      <c r="VA22" s="166">
        <v>0</v>
      </c>
      <c r="VB22" s="166">
        <v>0</v>
      </c>
      <c r="VC22" s="166">
        <v>0</v>
      </c>
      <c r="VD22" s="166">
        <v>0</v>
      </c>
      <c r="VE22" s="267">
        <v>202</v>
      </c>
      <c r="VF22" s="267">
        <v>279</v>
      </c>
      <c r="VG22" s="267">
        <v>354</v>
      </c>
      <c r="VH22" s="267">
        <v>0</v>
      </c>
      <c r="VI22" s="267">
        <v>403</v>
      </c>
      <c r="VJ22" s="267">
        <v>0</v>
      </c>
      <c r="VK22" s="267">
        <v>0</v>
      </c>
      <c r="VL22" s="257">
        <v>0</v>
      </c>
      <c r="VM22" s="257">
        <v>0</v>
      </c>
      <c r="VN22" s="257">
        <v>0</v>
      </c>
      <c r="VO22" s="257">
        <v>0</v>
      </c>
      <c r="VP22" s="257">
        <v>0</v>
      </c>
      <c r="VQ22" s="257">
        <v>0</v>
      </c>
      <c r="VR22" s="257">
        <v>0</v>
      </c>
      <c r="VS22" s="257">
        <v>0</v>
      </c>
      <c r="VT22" s="257">
        <v>0</v>
      </c>
      <c r="VU22" s="257">
        <v>0</v>
      </c>
      <c r="VV22" s="257">
        <v>0</v>
      </c>
      <c r="VW22" s="257">
        <v>0</v>
      </c>
      <c r="VX22" s="257">
        <v>0</v>
      </c>
      <c r="VY22" s="257">
        <v>0</v>
      </c>
      <c r="VZ22" s="257">
        <v>0</v>
      </c>
      <c r="WA22" s="257">
        <v>0</v>
      </c>
      <c r="WB22" s="257">
        <v>0</v>
      </c>
      <c r="WC22" s="257">
        <v>0</v>
      </c>
      <c r="WD22" s="257">
        <v>0</v>
      </c>
      <c r="WE22" s="257">
        <v>0</v>
      </c>
      <c r="WF22" s="257">
        <v>0</v>
      </c>
      <c r="WG22" s="257">
        <v>0</v>
      </c>
      <c r="WH22" s="257">
        <v>0</v>
      </c>
      <c r="WI22" s="257">
        <v>0</v>
      </c>
      <c r="WJ22" s="257">
        <v>0</v>
      </c>
      <c r="WK22" s="257">
        <v>0</v>
      </c>
      <c r="WL22" s="257">
        <v>0</v>
      </c>
      <c r="WM22" s="257">
        <v>0</v>
      </c>
      <c r="WN22" s="257">
        <v>0</v>
      </c>
      <c r="WO22" s="257">
        <v>0</v>
      </c>
      <c r="WP22" s="257">
        <v>0</v>
      </c>
      <c r="WQ22" s="257">
        <v>0</v>
      </c>
      <c r="WR22" s="257">
        <v>0</v>
      </c>
      <c r="WS22" s="572">
        <v>87.807500000000005</v>
      </c>
      <c r="WT22" s="572">
        <v>69.65939457202505</v>
      </c>
      <c r="WU22" s="572">
        <v>76.991962421711904</v>
      </c>
      <c r="WV22" s="572">
        <v>80.65824634655533</v>
      </c>
      <c r="WW22" s="572">
        <v>123.92039665970773</v>
      </c>
      <c r="WX22" s="247">
        <v>14318.32</v>
      </c>
      <c r="WY22" s="4">
        <v>78</v>
      </c>
      <c r="WZ22" s="4">
        <v>15</v>
      </c>
      <c r="XA22" s="4">
        <v>7.0000000000000009</v>
      </c>
      <c r="XB22" s="4">
        <v>0</v>
      </c>
      <c r="XC22" s="1037">
        <v>1486.996527614348</v>
      </c>
      <c r="XD22" s="1037">
        <v>0</v>
      </c>
      <c r="XE22" s="1037">
        <v>0</v>
      </c>
      <c r="XF22" s="1037">
        <v>0</v>
      </c>
      <c r="XG22" s="1037">
        <v>0</v>
      </c>
      <c r="XH22" s="1037">
        <v>0</v>
      </c>
      <c r="XI22" s="1037">
        <v>1115.2473957107609</v>
      </c>
      <c r="XJ22" s="1037">
        <v>495.66550920478267</v>
      </c>
      <c r="XK22" s="1037">
        <v>1595.1835814810265</v>
      </c>
      <c r="XL22" s="1037">
        <v>0</v>
      </c>
      <c r="XM22" s="1037">
        <v>0</v>
      </c>
      <c r="XN22" s="1037">
        <v>0</v>
      </c>
      <c r="XO22" s="1037">
        <v>0</v>
      </c>
      <c r="XP22" s="1037">
        <v>0</v>
      </c>
      <c r="XQ22" s="1037">
        <v>1196.3876861107699</v>
      </c>
      <c r="XR22" s="1037">
        <v>531.72786049367551</v>
      </c>
      <c r="XS22" s="1037">
        <v>1671.1447044086947</v>
      </c>
      <c r="XT22" s="1037">
        <v>0</v>
      </c>
      <c r="XU22" s="1037">
        <v>0</v>
      </c>
      <c r="XV22" s="1037">
        <v>0</v>
      </c>
      <c r="XW22" s="1037">
        <v>0</v>
      </c>
      <c r="XX22" s="1037">
        <v>0</v>
      </c>
      <c r="XY22" s="1037">
        <v>1253.3585283065211</v>
      </c>
      <c r="XZ22" s="1037">
        <v>557.04823480289826</v>
      </c>
      <c r="YA22" s="1037">
        <v>2567.4859549551761</v>
      </c>
      <c r="YB22" s="1037">
        <v>0</v>
      </c>
      <c r="YC22" s="1037">
        <v>0</v>
      </c>
      <c r="YD22" s="1037">
        <v>0</v>
      </c>
      <c r="YE22" s="1037">
        <v>0</v>
      </c>
      <c r="YF22" s="1037">
        <v>0</v>
      </c>
      <c r="YG22" s="1037">
        <v>1925.614466216382</v>
      </c>
      <c r="YH22" s="1037">
        <v>855.82865165172541</v>
      </c>
      <c r="YI22" s="1037">
        <v>1024.3753856898841</v>
      </c>
      <c r="YJ22" s="1037">
        <v>1536.5630785348262</v>
      </c>
      <c r="YK22" s="1037">
        <v>469.50538510786362</v>
      </c>
      <c r="YL22" s="1037">
        <v>128.04692321123551</v>
      </c>
      <c r="YM22" s="1037">
        <v>0</v>
      </c>
      <c r="YN22" s="1037">
        <v>0</v>
      </c>
      <c r="YO22" s="1037">
        <v>768.28153926741311</v>
      </c>
      <c r="YP22" s="1037">
        <v>341.45846189662808</v>
      </c>
      <c r="YQ22" s="1037">
        <v>1098.9042450202628</v>
      </c>
      <c r="YR22" s="1037">
        <v>1648.356367530394</v>
      </c>
      <c r="YS22" s="1037">
        <v>503.66444563428712</v>
      </c>
      <c r="YT22" s="1037">
        <v>137.36303062753285</v>
      </c>
      <c r="YU22" s="1037">
        <v>0</v>
      </c>
      <c r="YV22" s="1037">
        <v>0</v>
      </c>
      <c r="YW22" s="1037">
        <v>824.17818376519699</v>
      </c>
      <c r="YX22" s="1037">
        <v>366.30141500675427</v>
      </c>
      <c r="YY22" s="1037">
        <v>1151.2330185926562</v>
      </c>
      <c r="YZ22" s="1037">
        <v>1726.8495278889843</v>
      </c>
      <c r="ZA22" s="1037">
        <v>527.64846685496741</v>
      </c>
      <c r="ZB22" s="1037">
        <v>143.90412732408203</v>
      </c>
      <c r="ZC22" s="1037">
        <v>0</v>
      </c>
      <c r="ZD22" s="1037">
        <v>0</v>
      </c>
      <c r="ZE22" s="1037">
        <v>863.42476394449216</v>
      </c>
      <c r="ZF22" s="1037">
        <v>383.74433953088544</v>
      </c>
      <c r="ZG22" s="1037">
        <v>1768.7125467468989</v>
      </c>
      <c r="ZH22" s="1037">
        <v>2653.0688201203484</v>
      </c>
      <c r="ZI22" s="1037">
        <v>810.65991725899528</v>
      </c>
      <c r="ZJ22" s="1037">
        <v>221.08906834336236</v>
      </c>
      <c r="ZK22" s="1037">
        <v>0</v>
      </c>
      <c r="ZL22" s="1037">
        <v>0</v>
      </c>
      <c r="ZM22" s="1037">
        <v>1326.5344100601742</v>
      </c>
      <c r="ZN22" s="1037">
        <v>589.57084891563295</v>
      </c>
      <c r="ZO22" s="1037">
        <v>2726.1603006263049</v>
      </c>
      <c r="ZP22" s="1037">
        <v>4089.2404509394569</v>
      </c>
      <c r="ZQ22" s="1037">
        <v>1249.4901377870565</v>
      </c>
      <c r="ZR22" s="1037">
        <v>340.77003757828811</v>
      </c>
      <c r="ZS22" s="1037">
        <v>0</v>
      </c>
      <c r="ZT22" s="1037">
        <v>0</v>
      </c>
      <c r="ZU22" s="1037">
        <v>2044.6202254697284</v>
      </c>
      <c r="ZV22" s="1037">
        <v>908.72010020876826</v>
      </c>
      <c r="ZW22" s="1037">
        <v>3013.1245427974945</v>
      </c>
      <c r="ZX22" s="1037">
        <v>4519.6868141962423</v>
      </c>
      <c r="ZY22" s="1037">
        <v>1381.0154154488519</v>
      </c>
      <c r="ZZ22" s="1037">
        <v>376.64056784968682</v>
      </c>
      <c r="AAA22" s="1037">
        <v>0</v>
      </c>
      <c r="AAB22" s="1037">
        <v>0</v>
      </c>
      <c r="AAC22" s="1037">
        <v>2259.8434070981211</v>
      </c>
      <c r="AAD22" s="1037">
        <v>1004.3748475991649</v>
      </c>
      <c r="AAE22" s="1037">
        <v>3156.6066638830898</v>
      </c>
      <c r="AAF22" s="1037">
        <v>4734.9099958246343</v>
      </c>
      <c r="AAG22" s="1037">
        <v>1446.7780542797495</v>
      </c>
      <c r="AAH22" s="1037">
        <v>394.57583298538623</v>
      </c>
      <c r="AAI22" s="1037">
        <v>0</v>
      </c>
      <c r="AAJ22" s="1037">
        <v>0</v>
      </c>
      <c r="AAK22" s="1037">
        <v>2367.4549979123171</v>
      </c>
      <c r="AAL22" s="1037">
        <v>1052.2022212943632</v>
      </c>
      <c r="AAM22" s="1037">
        <v>4849.6956926931098</v>
      </c>
      <c r="AAN22" s="1037">
        <v>7274.5435390396651</v>
      </c>
      <c r="AAO22" s="1037">
        <v>2222.7771924843423</v>
      </c>
      <c r="AAP22" s="1037">
        <v>606.21196158663872</v>
      </c>
      <c r="AAQ22" s="1037">
        <v>0</v>
      </c>
      <c r="AAR22" s="1037">
        <v>0</v>
      </c>
      <c r="AAS22" s="1037">
        <v>3637.2717695198326</v>
      </c>
      <c r="AAT22" s="1037">
        <v>1616.5652308977035</v>
      </c>
      <c r="AAU22" s="1037">
        <v>3750.5356863161887</v>
      </c>
      <c r="AAV22" s="1037">
        <v>5625.8035294742831</v>
      </c>
      <c r="AAW22" s="1037">
        <v>1718.99552289492</v>
      </c>
      <c r="AAX22" s="1037">
        <v>468.81696078952359</v>
      </c>
      <c r="AAY22" s="1037">
        <v>0</v>
      </c>
      <c r="AAZ22" s="1037">
        <v>0</v>
      </c>
      <c r="ABA22" s="1037">
        <v>2812.9017647371415</v>
      </c>
      <c r="ABB22" s="1037">
        <v>1250.1785621053964</v>
      </c>
      <c r="ABC22" s="1037">
        <v>3970.2346916861111</v>
      </c>
      <c r="ABD22" s="1037">
        <v>5955.3520375291664</v>
      </c>
      <c r="ABE22" s="1037">
        <v>1819.6909003561343</v>
      </c>
      <c r="ABF22" s="1037">
        <v>496.27933646076389</v>
      </c>
      <c r="ABG22" s="1037">
        <v>0</v>
      </c>
      <c r="ABH22" s="1037">
        <v>0</v>
      </c>
      <c r="ABI22" s="1037">
        <v>2977.6760187645832</v>
      </c>
      <c r="ABJ22" s="1037">
        <v>1323.4115638953704</v>
      </c>
      <c r="ABK22" s="1037">
        <v>4159.2934865283069</v>
      </c>
      <c r="ABL22" s="1037">
        <v>6238.9402297924598</v>
      </c>
      <c r="ABM22" s="1037">
        <v>1906.3428479921406</v>
      </c>
      <c r="ABN22" s="1037">
        <v>519.91168581603836</v>
      </c>
      <c r="ABO22" s="1037">
        <v>0</v>
      </c>
      <c r="ABP22" s="1037">
        <v>0</v>
      </c>
      <c r="ABQ22" s="1037">
        <v>3119.4701148962299</v>
      </c>
      <c r="ABR22" s="1037">
        <v>1386.4311621761024</v>
      </c>
      <c r="ABS22" s="1037">
        <v>0</v>
      </c>
      <c r="ABT22" s="1037">
        <v>0</v>
      </c>
      <c r="ABU22" s="1037">
        <v>0</v>
      </c>
      <c r="ABV22" s="1037">
        <v>0</v>
      </c>
      <c r="ABW22" s="1037">
        <v>0</v>
      </c>
      <c r="ABX22" s="1037">
        <v>0</v>
      </c>
      <c r="ABY22" s="1037">
        <v>0</v>
      </c>
      <c r="ABZ22" s="1037">
        <v>0</v>
      </c>
      <c r="ACA22" s="1037">
        <v>4857.5219902068702</v>
      </c>
      <c r="ACB22" s="1037">
        <v>7286.2829853103058</v>
      </c>
      <c r="ACC22" s="1037">
        <v>2226.3642455114823</v>
      </c>
      <c r="ACD22" s="1037">
        <v>607.19024877585878</v>
      </c>
      <c r="ACE22" s="1037">
        <v>0</v>
      </c>
      <c r="ACF22" s="1037">
        <v>0</v>
      </c>
      <c r="ACG22" s="1037">
        <v>3643.1414926551529</v>
      </c>
      <c r="ACH22" s="1037">
        <v>1619.1739967356236</v>
      </c>
      <c r="ACI22" s="1037">
        <v>5193.208770821564</v>
      </c>
      <c r="ACJ22" s="1037">
        <v>7789.813156232347</v>
      </c>
      <c r="ACK22" s="1037">
        <v>2380.2206866265506</v>
      </c>
      <c r="ACL22" s="1037">
        <v>649.1510963526955</v>
      </c>
      <c r="ACM22" s="1037">
        <v>0</v>
      </c>
      <c r="ACN22" s="1037">
        <v>0</v>
      </c>
      <c r="ACO22" s="1037">
        <v>3894.9065781161735</v>
      </c>
      <c r="ACP22" s="1037">
        <v>1731.0695902738548</v>
      </c>
      <c r="ACQ22" s="1037">
        <v>5440.5044265749721</v>
      </c>
      <c r="ACR22" s="1037">
        <v>8160.7566398624585</v>
      </c>
      <c r="ACS22" s="1037">
        <v>2493.5645288468622</v>
      </c>
      <c r="ACT22" s="1037">
        <v>680.06305332187151</v>
      </c>
      <c r="ACU22" s="1037">
        <v>0</v>
      </c>
      <c r="ACV22" s="1037">
        <v>0</v>
      </c>
      <c r="ACW22" s="1037">
        <v>4080.3783199312293</v>
      </c>
      <c r="ACX22" s="1037">
        <v>1813.5014755249908</v>
      </c>
      <c r="ACY22" s="1037">
        <v>8358.5931644651846</v>
      </c>
      <c r="ACZ22" s="1037">
        <v>12537.889746697776</v>
      </c>
      <c r="ADA22" s="1037">
        <v>3831.0218670465429</v>
      </c>
      <c r="ADB22" s="1037">
        <v>1044.8241455581481</v>
      </c>
      <c r="ADC22" s="1037">
        <v>0</v>
      </c>
      <c r="ADD22" s="1037">
        <v>0</v>
      </c>
      <c r="ADE22" s="1037">
        <v>6268.944873348888</v>
      </c>
      <c r="ADF22" s="1037">
        <v>2786.197721488395</v>
      </c>
      <c r="ADG22" s="1037">
        <v>5931.4639268172323</v>
      </c>
      <c r="ADH22" s="1037">
        <v>8897.1958902258484</v>
      </c>
      <c r="ADI22" s="1037">
        <v>2718.5876331245649</v>
      </c>
      <c r="ADJ22" s="1037">
        <v>741.43299085215403</v>
      </c>
      <c r="ADK22" s="1037">
        <v>0</v>
      </c>
      <c r="ADL22" s="1037">
        <v>0</v>
      </c>
      <c r="ADM22" s="1037">
        <v>4448.5979451129242</v>
      </c>
      <c r="ADN22" s="1037">
        <v>1977.1546422724109</v>
      </c>
      <c r="ADO22" s="1037">
        <v>6380.7343259241061</v>
      </c>
      <c r="ADP22" s="1037">
        <v>9571.1014888861591</v>
      </c>
      <c r="ADQ22" s="1037">
        <v>2924.5032327152153</v>
      </c>
      <c r="ADR22" s="1037">
        <v>797.59179074051326</v>
      </c>
      <c r="ADS22" s="1037">
        <v>0</v>
      </c>
      <c r="ADT22" s="1037">
        <v>0</v>
      </c>
      <c r="ADU22" s="1037">
        <v>4785.5507444430796</v>
      </c>
      <c r="ADV22" s="1037">
        <v>2126.911441974702</v>
      </c>
      <c r="ADW22" s="1037">
        <v>6684.5788176347787</v>
      </c>
      <c r="ADX22" s="1037">
        <v>10026.868226452169</v>
      </c>
      <c r="ADY22" s="1037">
        <v>3063.7652914159403</v>
      </c>
      <c r="ADZ22" s="1037">
        <v>835.57235220434734</v>
      </c>
      <c r="AEA22" s="1037">
        <v>0</v>
      </c>
      <c r="AEB22" s="1037">
        <v>0</v>
      </c>
      <c r="AEC22" s="1037">
        <v>5013.4341132260843</v>
      </c>
      <c r="AED22" s="1037">
        <v>2228.1929392115931</v>
      </c>
      <c r="AEE22" s="1037">
        <v>10269.943819820704</v>
      </c>
      <c r="AEF22" s="1037">
        <v>15404.915729731056</v>
      </c>
      <c r="AEG22" s="1037">
        <v>4707.0575840844895</v>
      </c>
      <c r="AEH22" s="1037">
        <v>1283.7429774775881</v>
      </c>
      <c r="AEI22" s="1037">
        <v>0</v>
      </c>
      <c r="AEJ22" s="1037">
        <v>0</v>
      </c>
      <c r="AEK22" s="1037">
        <v>7702.4578648655279</v>
      </c>
      <c r="AEL22" s="1037">
        <v>3423.3146066069016</v>
      </c>
      <c r="AEM22" s="1037">
        <v>6840.1840270260018</v>
      </c>
      <c r="AEN22" s="1037">
        <v>10260.276040539002</v>
      </c>
      <c r="AEO22" s="1037">
        <v>3135.0843457202509</v>
      </c>
      <c r="AEP22" s="1037">
        <v>855.02300337825022</v>
      </c>
      <c r="AEQ22" s="1037">
        <v>0</v>
      </c>
      <c r="AER22" s="1037">
        <v>0</v>
      </c>
      <c r="AES22" s="1037">
        <v>5130.1380202695009</v>
      </c>
      <c r="AET22" s="1037">
        <v>2280.0613423420004</v>
      </c>
      <c r="AEU22" s="1037">
        <v>7266.9474267468986</v>
      </c>
      <c r="AEV22" s="1037">
        <v>10900.421140120348</v>
      </c>
      <c r="AEW22" s="1037">
        <v>3330.6842372589954</v>
      </c>
      <c r="AEX22" s="1037">
        <v>908.36842834336232</v>
      </c>
      <c r="AEY22" s="1037">
        <v>0</v>
      </c>
      <c r="AEZ22" s="1037">
        <v>0</v>
      </c>
      <c r="AFA22" s="1037">
        <v>5450.2105700601742</v>
      </c>
      <c r="AFB22" s="1037">
        <v>2422.3158089156332</v>
      </c>
      <c r="AFC22" s="1037">
        <v>7612.9925423062741</v>
      </c>
      <c r="AFD22" s="1037">
        <v>11419.488813459411</v>
      </c>
      <c r="AFE22" s="1037">
        <v>3489.2882485570426</v>
      </c>
      <c r="AFF22" s="1037">
        <v>951.62406778828426</v>
      </c>
      <c r="AFG22" s="1037">
        <v>0</v>
      </c>
      <c r="AFH22" s="1037">
        <v>0</v>
      </c>
      <c r="AFI22" s="1037">
        <v>5709.7444067297056</v>
      </c>
      <c r="AFJ22" s="1037">
        <v>2537.6641807687583</v>
      </c>
      <c r="AFK22" s="1037">
        <v>11696.324905906913</v>
      </c>
      <c r="AFL22" s="1037">
        <v>17544.48735886037</v>
      </c>
      <c r="AFM22" s="1037">
        <v>5360.8155818740024</v>
      </c>
      <c r="AFN22" s="1037">
        <v>1462.0406132383641</v>
      </c>
      <c r="AFO22" s="1037">
        <v>0</v>
      </c>
      <c r="AFP22" s="1037">
        <v>0</v>
      </c>
      <c r="AFQ22" s="1037">
        <v>8772.2436794301848</v>
      </c>
      <c r="AFR22" s="1037">
        <v>3898.7749686356378</v>
      </c>
      <c r="AFS22" s="247">
        <v>2726.1603006263049</v>
      </c>
      <c r="AFT22" s="247">
        <v>4089.2404509394569</v>
      </c>
      <c r="AFU22" s="247">
        <v>1249.4901377870565</v>
      </c>
      <c r="AFV22" s="247">
        <v>340.77003757828811</v>
      </c>
      <c r="AFW22" s="247">
        <v>0</v>
      </c>
      <c r="AFX22" s="247">
        <v>0</v>
      </c>
      <c r="AFY22" s="247">
        <v>2044.6202254697284</v>
      </c>
      <c r="AFZ22" s="247">
        <v>908.72010020876826</v>
      </c>
      <c r="AGA22" s="247">
        <v>3013.1245427974945</v>
      </c>
      <c r="AGB22" s="247">
        <v>4519.6868141962423</v>
      </c>
      <c r="AGC22" s="247">
        <v>1381.0154154488519</v>
      </c>
      <c r="AGD22" s="247">
        <v>376.64056784968682</v>
      </c>
      <c r="AGE22" s="247">
        <v>0</v>
      </c>
      <c r="AGF22" s="247">
        <v>0</v>
      </c>
      <c r="AGG22" s="247">
        <v>2259.8434070981211</v>
      </c>
      <c r="AGH22" s="247">
        <v>1004.3748475991649</v>
      </c>
      <c r="AGI22" s="247">
        <v>3156.6066638830898</v>
      </c>
      <c r="AGJ22" s="247">
        <v>4734.9099958246343</v>
      </c>
      <c r="AGK22" s="247">
        <v>1446.7780542797495</v>
      </c>
      <c r="AGL22" s="247">
        <v>394.57583298538623</v>
      </c>
      <c r="AGM22" s="247">
        <v>0</v>
      </c>
      <c r="AGN22" s="247">
        <v>0</v>
      </c>
      <c r="AGO22" s="247">
        <v>2367.4549979123171</v>
      </c>
      <c r="AGP22" s="247">
        <v>1052.2022212943632</v>
      </c>
      <c r="AGQ22" s="247">
        <v>4849.6956926931098</v>
      </c>
      <c r="AGR22" s="247">
        <v>7274.5435390396651</v>
      </c>
      <c r="AGS22" s="247">
        <v>2222.7771924843423</v>
      </c>
      <c r="AGT22" s="247">
        <v>606.21196158663872</v>
      </c>
      <c r="AGU22" s="247">
        <v>0</v>
      </c>
      <c r="AGV22" s="247">
        <v>0</v>
      </c>
      <c r="AGW22" s="247">
        <v>3637.2717695198326</v>
      </c>
      <c r="AGX22" s="247">
        <v>1616.5652308977035</v>
      </c>
      <c r="AGY22" s="249">
        <v>0</v>
      </c>
      <c r="AGZ22" s="249">
        <v>0</v>
      </c>
      <c r="AHA22" s="249">
        <v>0</v>
      </c>
      <c r="AHB22" s="249">
        <v>0</v>
      </c>
      <c r="AHC22" s="249">
        <v>0</v>
      </c>
      <c r="AHD22" s="249">
        <v>0</v>
      </c>
      <c r="AHE22" s="249">
        <v>0</v>
      </c>
      <c r="AHF22" s="249">
        <v>0</v>
      </c>
      <c r="AHG22" s="249">
        <v>0</v>
      </c>
      <c r="AHH22" s="249">
        <v>0</v>
      </c>
      <c r="AHI22" s="249">
        <v>0</v>
      </c>
      <c r="AHJ22" s="249">
        <v>0</v>
      </c>
      <c r="AHK22" s="249">
        <v>0</v>
      </c>
      <c r="AHL22" s="249">
        <v>0</v>
      </c>
      <c r="AHM22" s="249">
        <v>0</v>
      </c>
      <c r="AHN22" s="249">
        <v>0</v>
      </c>
      <c r="AHO22" s="249">
        <v>0</v>
      </c>
      <c r="AHP22" s="249">
        <v>0</v>
      </c>
      <c r="AHQ22" s="249">
        <v>0</v>
      </c>
      <c r="AHR22" s="249">
        <v>0</v>
      </c>
      <c r="AHS22" s="249">
        <v>0</v>
      </c>
      <c r="AHT22" s="249">
        <v>0</v>
      </c>
      <c r="AHU22" s="249">
        <v>0</v>
      </c>
      <c r="AHV22" s="249">
        <v>0</v>
      </c>
      <c r="AHW22" s="249">
        <v>0</v>
      </c>
      <c r="AHX22" s="249">
        <v>0</v>
      </c>
      <c r="AHY22" s="249">
        <v>0</v>
      </c>
      <c r="AHZ22" s="249">
        <v>0</v>
      </c>
      <c r="AIA22" s="249">
        <v>0</v>
      </c>
      <c r="AIB22" s="249">
        <v>0</v>
      </c>
      <c r="AIC22" s="249">
        <v>0</v>
      </c>
      <c r="AID22" s="249">
        <v>0</v>
      </c>
      <c r="AIE22" s="249"/>
      <c r="AIF22" s="249"/>
      <c r="AIG22" s="249"/>
      <c r="AIH22" s="249"/>
      <c r="AII22" s="249"/>
      <c r="AIJ22" s="249"/>
      <c r="AIK22" s="249"/>
      <c r="AIL22" s="249"/>
      <c r="AIM22" s="249">
        <v>0</v>
      </c>
      <c r="AIN22" s="249">
        <v>0</v>
      </c>
      <c r="AIO22" s="249">
        <v>0</v>
      </c>
      <c r="AIP22" s="249">
        <v>0</v>
      </c>
      <c r="AIQ22" s="249">
        <v>0</v>
      </c>
      <c r="AIR22" s="249">
        <v>0</v>
      </c>
      <c r="AIS22" s="249">
        <v>0</v>
      </c>
      <c r="AIT22" s="249">
        <v>0</v>
      </c>
      <c r="AIU22" s="134" t="s">
        <v>1216</v>
      </c>
      <c r="AIV22" s="134" t="s">
        <v>1219</v>
      </c>
      <c r="AIW22" s="134" t="s">
        <v>1218</v>
      </c>
      <c r="AIX22" s="134" t="s">
        <v>1217</v>
      </c>
      <c r="AIY22" s="134" t="s">
        <v>1228</v>
      </c>
      <c r="AIZ22" s="134" t="s">
        <v>1229</v>
      </c>
      <c r="AJA22" s="134" t="s">
        <v>1230</v>
      </c>
      <c r="AJB22" s="134" t="s">
        <v>1231</v>
      </c>
      <c r="AJC22" s="134" t="s">
        <v>1232</v>
      </c>
      <c r="AJD22" s="134" t="s">
        <v>1233</v>
      </c>
    </row>
    <row r="23" spans="1:940" ht="18" customHeight="1">
      <c r="A23" s="664" t="s">
        <v>13</v>
      </c>
      <c r="B23" s="669">
        <v>0</v>
      </c>
      <c r="C23" s="6">
        <v>0.4</v>
      </c>
      <c r="D23" s="6">
        <v>0.4</v>
      </c>
      <c r="E23" s="74">
        <v>364.08695652173913</v>
      </c>
      <c r="F23" s="75">
        <v>-1.5</v>
      </c>
      <c r="G23" s="7">
        <v>-3.8</v>
      </c>
      <c r="H23" s="7">
        <v>-3.8</v>
      </c>
      <c r="I23" s="266">
        <v>350</v>
      </c>
      <c r="J23" s="125">
        <v>0</v>
      </c>
      <c r="K23" s="125">
        <v>0</v>
      </c>
      <c r="L23" s="125">
        <v>0</v>
      </c>
      <c r="M23" s="1">
        <v>2124.3106214374661</v>
      </c>
      <c r="N23" s="2">
        <v>12</v>
      </c>
      <c r="O23" s="8">
        <v>0.7</v>
      </c>
      <c r="P23" s="8">
        <v>0.7</v>
      </c>
      <c r="Q23" s="8">
        <v>0.7</v>
      </c>
      <c r="R23" s="7">
        <v>0.1</v>
      </c>
      <c r="S23" s="7">
        <v>0</v>
      </c>
      <c r="T23" s="7">
        <v>99.9</v>
      </c>
      <c r="U23" s="7">
        <v>0</v>
      </c>
      <c r="V23" s="71">
        <v>0</v>
      </c>
      <c r="W23" s="119">
        <v>2</v>
      </c>
      <c r="X23" s="120">
        <v>1.5</v>
      </c>
      <c r="Y23" s="119">
        <v>1</v>
      </c>
      <c r="Z23" s="120">
        <v>0.8</v>
      </c>
      <c r="AA23" s="120">
        <v>0.5</v>
      </c>
      <c r="AB23" s="559">
        <v>433.01922201480062</v>
      </c>
      <c r="AC23" s="559">
        <v>470.67306740739195</v>
      </c>
      <c r="AD23" s="559">
        <v>433.37222681535616</v>
      </c>
      <c r="AE23" s="559">
        <v>649.0581599547935</v>
      </c>
      <c r="AF23" s="622">
        <v>0.82209484106305364</v>
      </c>
      <c r="AG23" s="559">
        <v>261.91600618637949</v>
      </c>
      <c r="AH23" s="559">
        <v>284.69131107215162</v>
      </c>
      <c r="AI23" s="559">
        <v>262.12952466968363</v>
      </c>
      <c r="AJ23" s="559">
        <v>392.58931796849708</v>
      </c>
      <c r="AK23" s="622">
        <v>0.96717040125065135</v>
      </c>
      <c r="AL23" s="995">
        <v>0.2</v>
      </c>
      <c r="AM23" s="995">
        <v>0.3</v>
      </c>
      <c r="AN23" s="995">
        <v>0.7</v>
      </c>
      <c r="AO23" s="995">
        <v>1</v>
      </c>
      <c r="AP23" s="995">
        <v>1.3</v>
      </c>
      <c r="AQ23" s="995">
        <v>1.6</v>
      </c>
      <c r="AR23" s="995">
        <v>1.9</v>
      </c>
      <c r="AS23" s="1005">
        <v>0</v>
      </c>
      <c r="AT23" s="1005">
        <v>10</v>
      </c>
      <c r="AU23" s="1005">
        <v>20</v>
      </c>
      <c r="AV23" s="1005">
        <v>70</v>
      </c>
      <c r="AW23" s="1005">
        <v>100</v>
      </c>
      <c r="AX23" s="1">
        <v>11785.626724936825</v>
      </c>
      <c r="AY23" s="5">
        <v>1.5</v>
      </c>
      <c r="AZ23" s="8">
        <v>1.8</v>
      </c>
      <c r="BA23" s="8">
        <v>0.8</v>
      </c>
      <c r="BB23" s="8">
        <v>0.8</v>
      </c>
      <c r="BC23" s="73">
        <v>0.16458882635095481</v>
      </c>
      <c r="BD23" s="73">
        <v>0.17241435895653787</v>
      </c>
      <c r="BE23" s="9"/>
      <c r="BF23" s="9"/>
      <c r="BG23" s="9">
        <v>3.1069255412930827</v>
      </c>
      <c r="BH23" s="9">
        <v>38.101872755810703</v>
      </c>
      <c r="BI23" s="9"/>
      <c r="BJ23" s="9"/>
      <c r="BK23" s="9">
        <v>55.68427616160313</v>
      </c>
      <c r="BL23" s="9"/>
      <c r="BM23" s="9"/>
      <c r="BN23" s="9"/>
      <c r="BO23" s="9"/>
      <c r="BP23" s="9"/>
      <c r="BQ23" s="9"/>
      <c r="BR23" s="9">
        <v>2.7375346707088952</v>
      </c>
      <c r="BS23" s="9">
        <v>0.36939087058418801</v>
      </c>
      <c r="BT23" s="262">
        <v>261.13475999999997</v>
      </c>
      <c r="BU23" s="262">
        <v>96.5</v>
      </c>
      <c r="BV23" s="262">
        <v>63.215999999999994</v>
      </c>
      <c r="BW23" s="262">
        <v>233.35949490734063</v>
      </c>
      <c r="BX23" s="262">
        <v>157.40783999999999</v>
      </c>
      <c r="BY23" s="68"/>
      <c r="BZ23" s="262">
        <v>256.20808011776955</v>
      </c>
      <c r="CA23" s="262">
        <v>165.17663999999999</v>
      </c>
      <c r="CB23" s="68"/>
      <c r="CC23" s="785">
        <v>0</v>
      </c>
      <c r="CD23" s="262">
        <v>6.585</v>
      </c>
      <c r="CE23" s="262">
        <v>1.3169999999999999</v>
      </c>
      <c r="CF23" s="262">
        <v>38</v>
      </c>
      <c r="CG23" s="262">
        <v>225.83915999999996</v>
      </c>
      <c r="CH23" s="68">
        <v>0.2</v>
      </c>
      <c r="CI23" s="262">
        <v>175.08124000000001</v>
      </c>
      <c r="CJ23" s="262">
        <v>60.4</v>
      </c>
      <c r="CK23" s="262">
        <v>42.384</v>
      </c>
      <c r="CL23" s="262">
        <v>156.45894761061641</v>
      </c>
      <c r="CM23" s="262">
        <v>105.53616</v>
      </c>
      <c r="CN23" s="68"/>
      <c r="CO23" s="262">
        <v>159.24945066654416</v>
      </c>
      <c r="CP23" s="262">
        <v>102.66767999999999</v>
      </c>
      <c r="CQ23" s="68"/>
      <c r="CR23" s="262">
        <v>0</v>
      </c>
      <c r="CS23" s="262">
        <v>4.415</v>
      </c>
      <c r="CT23" s="262">
        <v>0.88300000000000001</v>
      </c>
      <c r="CU23" s="262">
        <v>27</v>
      </c>
      <c r="CV23" s="262">
        <v>151.41683999999998</v>
      </c>
      <c r="CW23" s="68">
        <v>0.2</v>
      </c>
      <c r="CX23" s="120">
        <v>0.3</v>
      </c>
      <c r="CY23" s="120">
        <v>0.7</v>
      </c>
      <c r="CZ23" s="120">
        <v>1.2</v>
      </c>
      <c r="DA23" s="120">
        <v>1.2</v>
      </c>
      <c r="DB23" s="119">
        <v>3</v>
      </c>
      <c r="DC23" s="1005">
        <v>0</v>
      </c>
      <c r="DD23" s="1005">
        <v>10</v>
      </c>
      <c r="DE23" s="1005">
        <v>20</v>
      </c>
      <c r="DF23" s="1005">
        <v>70</v>
      </c>
      <c r="DG23" s="1005">
        <v>100</v>
      </c>
      <c r="DH23" s="2">
        <v>0</v>
      </c>
      <c r="DI23" s="2">
        <v>18</v>
      </c>
      <c r="DJ23" s="63">
        <v>12</v>
      </c>
      <c r="DK23" s="8">
        <v>0.8</v>
      </c>
      <c r="DL23" s="8">
        <v>0.6</v>
      </c>
      <c r="DM23" s="8">
        <v>0.6</v>
      </c>
      <c r="DN23" s="1031" t="s">
        <v>1000</v>
      </c>
      <c r="DO23" s="1030" t="s">
        <v>997</v>
      </c>
      <c r="DP23" s="1030" t="s">
        <v>997</v>
      </c>
      <c r="DQ23" s="1030" t="s">
        <v>997</v>
      </c>
      <c r="DR23" s="1030" t="s">
        <v>997</v>
      </c>
      <c r="DS23" s="1030" t="s">
        <v>997</v>
      </c>
      <c r="DT23" s="1030" t="s">
        <v>997</v>
      </c>
      <c r="DU23" s="1097">
        <v>0</v>
      </c>
      <c r="DV23" s="1097">
        <v>0</v>
      </c>
      <c r="DW23" s="1097">
        <v>0</v>
      </c>
      <c r="DX23" s="1097">
        <v>0</v>
      </c>
      <c r="DY23" s="1097">
        <v>0</v>
      </c>
      <c r="DZ23" s="1097">
        <v>0</v>
      </c>
      <c r="EA23" s="1097">
        <v>0</v>
      </c>
      <c r="EB23" s="207">
        <v>0.1585</v>
      </c>
      <c r="EC23" s="207">
        <v>18</v>
      </c>
      <c r="ED23" s="221">
        <v>5</v>
      </c>
      <c r="EE23" s="214">
        <v>0.8</v>
      </c>
      <c r="EF23" s="214">
        <v>0.6</v>
      </c>
      <c r="EG23" s="214">
        <v>0.6</v>
      </c>
      <c r="EH23" s="208" t="s">
        <v>1045</v>
      </c>
      <c r="EI23" s="204" t="s">
        <v>997</v>
      </c>
      <c r="EJ23" s="204" t="s">
        <v>997</v>
      </c>
      <c r="EK23" s="204" t="s">
        <v>997</v>
      </c>
      <c r="EL23" s="204" t="s">
        <v>997</v>
      </c>
      <c r="EM23" s="204" t="s">
        <v>997</v>
      </c>
      <c r="EN23" s="204" t="s">
        <v>997</v>
      </c>
      <c r="EO23" s="204" t="s">
        <v>997</v>
      </c>
      <c r="EP23" s="204" t="s">
        <v>997</v>
      </c>
      <c r="EQ23" s="204" t="s">
        <v>997</v>
      </c>
      <c r="ER23" s="204" t="s">
        <v>997</v>
      </c>
      <c r="ES23" s="204" t="s">
        <v>997</v>
      </c>
      <c r="ET23" s="204" t="s">
        <v>997</v>
      </c>
      <c r="EU23" s="204" t="s">
        <v>997</v>
      </c>
      <c r="EV23" s="204" t="s">
        <v>997</v>
      </c>
      <c r="EW23" s="204" t="s">
        <v>997</v>
      </c>
      <c r="EX23" s="204" t="s">
        <v>997</v>
      </c>
      <c r="EY23" s="204" t="s">
        <v>997</v>
      </c>
      <c r="EZ23" s="204" t="s">
        <v>997</v>
      </c>
      <c r="FA23" s="204" t="s">
        <v>997</v>
      </c>
      <c r="FB23" s="204" t="s">
        <v>997</v>
      </c>
      <c r="FC23" s="204" t="s">
        <v>997</v>
      </c>
      <c r="FD23" s="204" t="s">
        <v>997</v>
      </c>
      <c r="FE23" s="204" t="s">
        <v>997</v>
      </c>
      <c r="FF23" s="204" t="s">
        <v>997</v>
      </c>
      <c r="FG23" s="204" t="s">
        <v>997</v>
      </c>
      <c r="FH23" s="204" t="s">
        <v>997</v>
      </c>
      <c r="FI23" s="204" t="s">
        <v>997</v>
      </c>
      <c r="FJ23" s="204" t="s">
        <v>997</v>
      </c>
      <c r="FK23" s="204" t="s">
        <v>997</v>
      </c>
      <c r="FL23" s="204" t="s">
        <v>997</v>
      </c>
      <c r="FM23" s="204" t="s">
        <v>997</v>
      </c>
      <c r="FN23" s="204" t="s">
        <v>997</v>
      </c>
      <c r="FO23" s="204" t="s">
        <v>997</v>
      </c>
      <c r="FP23" s="204" t="s">
        <v>997</v>
      </c>
      <c r="FQ23" s="204" t="s">
        <v>997</v>
      </c>
      <c r="FR23" s="204" t="s">
        <v>997</v>
      </c>
      <c r="FS23" s="204" t="s">
        <v>997</v>
      </c>
      <c r="FT23" s="204" t="s">
        <v>997</v>
      </c>
      <c r="FU23" s="204" t="s">
        <v>997</v>
      </c>
      <c r="FV23" s="204" t="s">
        <v>997</v>
      </c>
      <c r="FW23" s="204" t="s">
        <v>997</v>
      </c>
      <c r="FX23" s="204" t="s">
        <v>997</v>
      </c>
      <c r="FY23" s="204" t="s">
        <v>997</v>
      </c>
      <c r="FZ23" s="204" t="s">
        <v>997</v>
      </c>
      <c r="GA23" s="204" t="s">
        <v>997</v>
      </c>
      <c r="GB23" s="204" t="s">
        <v>997</v>
      </c>
      <c r="GC23" s="204" t="s">
        <v>997</v>
      </c>
      <c r="GD23" s="204" t="s">
        <v>997</v>
      </c>
      <c r="GE23" s="204" t="s">
        <v>997</v>
      </c>
      <c r="GF23" s="204" t="s">
        <v>997</v>
      </c>
      <c r="GG23" s="204" t="s">
        <v>997</v>
      </c>
      <c r="GH23" s="204" t="s">
        <v>997</v>
      </c>
      <c r="GI23" s="204" t="s">
        <v>997</v>
      </c>
      <c r="GJ23" s="204" t="s">
        <v>997</v>
      </c>
      <c r="GK23" s="204" t="s">
        <v>997</v>
      </c>
      <c r="GL23" s="204" t="s">
        <v>997</v>
      </c>
      <c r="GM23" s="204" t="s">
        <v>997</v>
      </c>
      <c r="GN23" s="1051">
        <v>158.5</v>
      </c>
      <c r="GO23" s="1051">
        <v>0</v>
      </c>
      <c r="GP23" s="1051">
        <v>0</v>
      </c>
      <c r="GQ23" s="1051">
        <v>0</v>
      </c>
      <c r="GR23" s="1051">
        <v>0</v>
      </c>
      <c r="GS23" s="1051">
        <v>0</v>
      </c>
      <c r="GT23" s="1051">
        <v>0</v>
      </c>
      <c r="GU23" s="1051">
        <v>0</v>
      </c>
      <c r="GV23" s="1051">
        <v>0</v>
      </c>
      <c r="GW23" s="1051">
        <v>0</v>
      </c>
      <c r="GX23" s="1051">
        <v>0</v>
      </c>
      <c r="GY23" s="1051">
        <v>0</v>
      </c>
      <c r="GZ23" s="1051">
        <v>0</v>
      </c>
      <c r="HA23" s="1051">
        <v>0</v>
      </c>
      <c r="HB23" s="1051">
        <v>0</v>
      </c>
      <c r="HC23" s="1051">
        <v>0</v>
      </c>
      <c r="HD23" s="1051">
        <v>0</v>
      </c>
      <c r="HE23" s="1051">
        <v>0</v>
      </c>
      <c r="HF23" s="1051">
        <v>0</v>
      </c>
      <c r="HG23" s="1051">
        <v>0</v>
      </c>
      <c r="HH23" s="1051">
        <v>0</v>
      </c>
      <c r="HI23" s="1051">
        <v>0</v>
      </c>
      <c r="HJ23" s="1051">
        <v>0</v>
      </c>
      <c r="HK23" s="1051">
        <v>0</v>
      </c>
      <c r="HL23" s="1051">
        <v>0</v>
      </c>
      <c r="HM23" s="1051">
        <v>0</v>
      </c>
      <c r="HN23" s="1051">
        <v>0</v>
      </c>
      <c r="HO23" s="1051">
        <v>0</v>
      </c>
      <c r="HP23" s="1051">
        <v>0</v>
      </c>
      <c r="HQ23" s="1051">
        <v>0</v>
      </c>
      <c r="HR23" s="1051">
        <v>0</v>
      </c>
      <c r="HS23" s="1051">
        <v>0</v>
      </c>
      <c r="HT23" s="1051">
        <v>0</v>
      </c>
      <c r="HU23" s="1051">
        <v>0</v>
      </c>
      <c r="HV23" s="1051">
        <v>0</v>
      </c>
      <c r="HW23" s="1051">
        <v>0</v>
      </c>
      <c r="HX23" s="1051">
        <v>0</v>
      </c>
      <c r="HY23" s="1051">
        <v>0</v>
      </c>
      <c r="HZ23" s="1051">
        <v>0</v>
      </c>
      <c r="IA23" s="1051">
        <v>0</v>
      </c>
      <c r="IB23" s="1051">
        <v>0</v>
      </c>
      <c r="IC23" s="1051">
        <v>0</v>
      </c>
      <c r="ID23" s="1051">
        <v>0</v>
      </c>
      <c r="IE23" s="1051">
        <v>0</v>
      </c>
      <c r="IF23" s="1051">
        <v>0</v>
      </c>
      <c r="IG23" s="1051">
        <v>0</v>
      </c>
      <c r="IH23" s="1051">
        <v>0</v>
      </c>
      <c r="II23" s="1051">
        <v>0</v>
      </c>
      <c r="IJ23" s="1051">
        <v>0</v>
      </c>
      <c r="IK23" s="1051">
        <v>0</v>
      </c>
      <c r="IL23" s="1051">
        <v>0</v>
      </c>
      <c r="IM23" s="1051">
        <v>0</v>
      </c>
      <c r="IN23" s="1051">
        <v>0</v>
      </c>
      <c r="IO23" s="1051">
        <v>0</v>
      </c>
      <c r="IP23" s="1051">
        <v>0</v>
      </c>
      <c r="IQ23" s="1051">
        <v>0</v>
      </c>
      <c r="IR23" s="1051">
        <v>0</v>
      </c>
      <c r="IS23" s="1051">
        <v>0</v>
      </c>
      <c r="IT23" s="215">
        <v>455.57067467001087</v>
      </c>
      <c r="IU23" s="207">
        <v>179.9</v>
      </c>
      <c r="IV23" s="216">
        <v>2647.0800000000199</v>
      </c>
      <c r="IW23" s="272">
        <v>12.64</v>
      </c>
      <c r="IX23" s="207">
        <v>50</v>
      </c>
      <c r="IY23" s="204">
        <v>0.8</v>
      </c>
      <c r="IZ23" s="204">
        <v>0.6</v>
      </c>
      <c r="JA23" s="204">
        <v>0.6</v>
      </c>
      <c r="JB23" s="52">
        <v>2</v>
      </c>
      <c r="JC23" s="24">
        <v>1.5</v>
      </c>
      <c r="JD23" s="24">
        <v>0.7</v>
      </c>
      <c r="JE23" s="24">
        <v>0.7</v>
      </c>
      <c r="JF23" s="24">
        <v>0.5</v>
      </c>
      <c r="JG23" s="1">
        <v>2.4643245884135658</v>
      </c>
      <c r="JH23" s="216">
        <v>2647.0800000000199</v>
      </c>
      <c r="JI23" s="272">
        <v>12.64</v>
      </c>
      <c r="JJ23" s="207">
        <v>50</v>
      </c>
      <c r="JK23" s="8">
        <v>1.4</v>
      </c>
      <c r="JL23" s="8">
        <v>1.1000000000000001</v>
      </c>
      <c r="JM23" s="8">
        <v>1.1000000000000001</v>
      </c>
      <c r="JN23" s="216">
        <v>2</v>
      </c>
      <c r="JO23" s="216">
        <v>2</v>
      </c>
      <c r="JP23" s="216">
        <v>1</v>
      </c>
      <c r="JQ23" s="216">
        <v>1</v>
      </c>
      <c r="JR23" s="214">
        <v>0.5</v>
      </c>
      <c r="JS23" s="1212">
        <v>2000</v>
      </c>
      <c r="JT23" s="215">
        <v>417.57875862283845</v>
      </c>
      <c r="JU23" s="215">
        <v>500</v>
      </c>
      <c r="JV23" s="207">
        <v>2.5</v>
      </c>
      <c r="JW23" s="207">
        <v>1.3</v>
      </c>
      <c r="JX23" s="207">
        <v>1.3</v>
      </c>
      <c r="JY23" s="214">
        <v>2</v>
      </c>
      <c r="JZ23" s="214">
        <v>1.5</v>
      </c>
      <c r="KA23" s="214">
        <v>0.5</v>
      </c>
      <c r="KB23" s="214">
        <v>1</v>
      </c>
      <c r="KC23" s="214">
        <v>0.5</v>
      </c>
      <c r="KD23" s="1186">
        <v>2.5937250163252101E-2</v>
      </c>
      <c r="KE23" s="1186"/>
      <c r="KF23" s="1186">
        <v>99.682039827410478</v>
      </c>
      <c r="KG23" s="1186"/>
      <c r="KH23" s="1186">
        <v>0.13823028616415531</v>
      </c>
      <c r="KI23" s="1186">
        <v>0.1537926362621066</v>
      </c>
      <c r="KJ23" s="1186"/>
      <c r="KK23" s="1186"/>
      <c r="KL23" s="1186"/>
      <c r="KM23" s="1187">
        <v>580</v>
      </c>
      <c r="KN23" s="1187">
        <v>580</v>
      </c>
      <c r="KO23" s="1187">
        <v>580</v>
      </c>
      <c r="KP23" s="1187">
        <v>580</v>
      </c>
      <c r="KQ23" s="1187"/>
      <c r="KR23" s="1187">
        <v>580</v>
      </c>
      <c r="KS23" s="1187">
        <v>580</v>
      </c>
      <c r="KT23" s="1187">
        <v>580</v>
      </c>
      <c r="KU23" s="1187">
        <v>580</v>
      </c>
      <c r="KV23" s="262">
        <v>370</v>
      </c>
      <c r="KW23" s="262">
        <v>370</v>
      </c>
      <c r="KX23" s="262">
        <v>370</v>
      </c>
      <c r="KY23" s="262">
        <v>370</v>
      </c>
      <c r="KZ23" s="262"/>
      <c r="LA23" s="262">
        <v>370</v>
      </c>
      <c r="LB23" s="262">
        <v>370</v>
      </c>
      <c r="LC23" s="262">
        <v>370</v>
      </c>
      <c r="LD23" s="262">
        <v>370</v>
      </c>
      <c r="LE23" s="1213">
        <v>0</v>
      </c>
      <c r="LF23" s="1213">
        <v>10</v>
      </c>
      <c r="LG23" s="1213">
        <v>20</v>
      </c>
      <c r="LH23" s="1213">
        <v>70</v>
      </c>
      <c r="LI23" s="1213">
        <v>100</v>
      </c>
      <c r="LJ23" s="1212">
        <v>1000</v>
      </c>
      <c r="LK23" s="1"/>
      <c r="LL23" s="4">
        <v>29</v>
      </c>
      <c r="LM23" s="8">
        <v>1.6</v>
      </c>
      <c r="LN23" s="8">
        <v>1.2</v>
      </c>
      <c r="LO23" s="8">
        <v>1.2</v>
      </c>
      <c r="LP23" s="214">
        <v>2</v>
      </c>
      <c r="LQ23" s="214">
        <v>1</v>
      </c>
      <c r="LR23" s="214">
        <v>0.5</v>
      </c>
      <c r="LS23" s="214">
        <v>0.7</v>
      </c>
      <c r="LT23" s="214">
        <v>0.2</v>
      </c>
      <c r="LU23" s="1212">
        <v>1500</v>
      </c>
      <c r="LV23" s="122">
        <v>0</v>
      </c>
      <c r="LW23" s="122">
        <v>0</v>
      </c>
      <c r="LX23" s="122">
        <v>0</v>
      </c>
      <c r="LY23" s="165">
        <v>0</v>
      </c>
      <c r="LZ23" s="165">
        <v>0</v>
      </c>
      <c r="MA23" s="165">
        <v>0</v>
      </c>
      <c r="MB23" s="165">
        <v>0</v>
      </c>
      <c r="MC23" s="165">
        <v>0</v>
      </c>
      <c r="MD23" s="165">
        <v>0</v>
      </c>
      <c r="ME23" s="165">
        <v>0</v>
      </c>
      <c r="MF23" s="165">
        <v>0</v>
      </c>
      <c r="MG23" s="165">
        <v>0</v>
      </c>
      <c r="MH23" s="165">
        <v>0</v>
      </c>
      <c r="MI23" s="165">
        <v>0</v>
      </c>
      <c r="MJ23" s="165">
        <v>0</v>
      </c>
      <c r="MK23" s="165">
        <v>0</v>
      </c>
      <c r="ML23" s="165">
        <v>0</v>
      </c>
      <c r="MM23" s="165">
        <v>0</v>
      </c>
      <c r="MN23" s="165">
        <v>0</v>
      </c>
      <c r="MO23" s="165">
        <v>0</v>
      </c>
      <c r="MP23" s="165">
        <v>0</v>
      </c>
      <c r="MQ23" s="165">
        <v>0</v>
      </c>
      <c r="MR23" s="165">
        <v>0</v>
      </c>
      <c r="MS23" s="165">
        <v>0</v>
      </c>
      <c r="MT23" s="165">
        <v>0</v>
      </c>
      <c r="MU23" s="165">
        <v>0</v>
      </c>
      <c r="MV23" s="165">
        <v>0</v>
      </c>
      <c r="MW23" s="166">
        <v>0</v>
      </c>
      <c r="MX23" s="166">
        <v>0</v>
      </c>
      <c r="MY23" s="166">
        <v>0</v>
      </c>
      <c r="MZ23" s="166">
        <v>0</v>
      </c>
      <c r="NA23" s="166">
        <v>0</v>
      </c>
      <c r="NB23" s="166">
        <v>0</v>
      </c>
      <c r="NC23" s="166">
        <v>2.3331596698950001</v>
      </c>
      <c r="ND23" s="166">
        <v>0</v>
      </c>
      <c r="NE23" s="166">
        <v>0</v>
      </c>
      <c r="NF23" s="166">
        <v>0.98609088910742004</v>
      </c>
      <c r="NG23" s="166">
        <v>9.6999770847580005E-2</v>
      </c>
      <c r="NH23" s="166">
        <v>-0.74905005460903995</v>
      </c>
      <c r="NI23" s="166">
        <v>2.3331596698949899</v>
      </c>
      <c r="NJ23" s="166">
        <v>0</v>
      </c>
      <c r="NK23" s="166">
        <v>0</v>
      </c>
      <c r="NL23" s="166">
        <v>0.98609088910742004</v>
      </c>
      <c r="NM23" s="166">
        <v>0</v>
      </c>
      <c r="NN23" s="166">
        <v>-0.74905005460903995</v>
      </c>
      <c r="NO23" s="166">
        <v>0</v>
      </c>
      <c r="NP23" s="166">
        <v>0</v>
      </c>
      <c r="NQ23" s="166">
        <v>0</v>
      </c>
      <c r="NR23" s="166">
        <v>0</v>
      </c>
      <c r="NS23" s="166">
        <v>0</v>
      </c>
      <c r="NT23" s="166">
        <v>0</v>
      </c>
      <c r="NU23" s="166">
        <v>0</v>
      </c>
      <c r="NV23" s="166">
        <v>0</v>
      </c>
      <c r="NW23" s="166">
        <v>0</v>
      </c>
      <c r="NX23" s="166">
        <v>0</v>
      </c>
      <c r="NY23" s="166">
        <v>0</v>
      </c>
      <c r="NZ23" s="166">
        <v>0</v>
      </c>
      <c r="OA23" s="166">
        <v>0</v>
      </c>
      <c r="OB23" s="166">
        <v>0</v>
      </c>
      <c r="OC23" s="166">
        <v>0</v>
      </c>
      <c r="OD23" s="166">
        <v>0</v>
      </c>
      <c r="OE23" s="166">
        <v>0</v>
      </c>
      <c r="OF23" s="166">
        <v>0</v>
      </c>
      <c r="OG23" s="166">
        <v>0</v>
      </c>
      <c r="OH23" s="166">
        <v>0</v>
      </c>
      <c r="OI23" s="166">
        <v>0</v>
      </c>
      <c r="OJ23" s="166">
        <v>0</v>
      </c>
      <c r="OK23" s="166">
        <v>0</v>
      </c>
      <c r="OL23" s="166">
        <v>0</v>
      </c>
      <c r="OM23" s="166">
        <v>0</v>
      </c>
      <c r="ON23" s="166">
        <v>0</v>
      </c>
      <c r="OO23" s="166">
        <v>0</v>
      </c>
      <c r="OP23" s="166">
        <v>0</v>
      </c>
      <c r="OQ23" s="166">
        <v>0</v>
      </c>
      <c r="OR23" s="166">
        <v>0</v>
      </c>
      <c r="OS23" s="166">
        <v>0</v>
      </c>
      <c r="OT23" s="166">
        <v>0</v>
      </c>
      <c r="OU23" s="166">
        <v>0</v>
      </c>
      <c r="OV23" s="166">
        <v>0</v>
      </c>
      <c r="OW23" s="166">
        <v>0</v>
      </c>
      <c r="OX23" s="166">
        <v>0</v>
      </c>
      <c r="OY23" s="166">
        <v>0</v>
      </c>
      <c r="OZ23" s="166">
        <v>0</v>
      </c>
      <c r="PA23" s="166">
        <v>0</v>
      </c>
      <c r="PB23" s="166">
        <v>0</v>
      </c>
      <c r="PC23" s="166">
        <v>0</v>
      </c>
      <c r="PD23" s="166">
        <v>0</v>
      </c>
      <c r="PE23" s="166">
        <v>-55.82</v>
      </c>
      <c r="PF23" s="166">
        <v>-11.99</v>
      </c>
      <c r="PG23" s="166">
        <v>-19.61</v>
      </c>
      <c r="PH23" s="166">
        <v>-12.92</v>
      </c>
      <c r="PI23" s="166">
        <v>4.6060068064949999E-2</v>
      </c>
      <c r="PJ23" s="166">
        <v>-3.91</v>
      </c>
      <c r="PK23" s="166">
        <v>0</v>
      </c>
      <c r="PL23" s="166">
        <v>0</v>
      </c>
      <c r="PM23" s="166">
        <v>0</v>
      </c>
      <c r="PN23" s="166">
        <v>0</v>
      </c>
      <c r="PO23" s="166">
        <v>0</v>
      </c>
      <c r="PP23" s="166">
        <v>0</v>
      </c>
      <c r="PQ23" s="166">
        <v>0</v>
      </c>
      <c r="PR23" s="166">
        <v>0</v>
      </c>
      <c r="PS23" s="166">
        <v>0</v>
      </c>
      <c r="PT23" s="166">
        <v>0</v>
      </c>
      <c r="PU23" s="166">
        <v>0</v>
      </c>
      <c r="PV23" s="166">
        <v>0</v>
      </c>
      <c r="PW23" s="166">
        <v>0</v>
      </c>
      <c r="PX23" s="166">
        <v>0</v>
      </c>
      <c r="PY23" s="166">
        <v>0</v>
      </c>
      <c r="PZ23" s="166">
        <v>0</v>
      </c>
      <c r="QA23" s="166">
        <v>0</v>
      </c>
      <c r="QB23" s="166">
        <v>0</v>
      </c>
      <c r="QC23" s="166">
        <v>0</v>
      </c>
      <c r="QD23" s="166">
        <v>0</v>
      </c>
      <c r="QE23" s="166">
        <v>0</v>
      </c>
      <c r="QF23" s="166">
        <v>0</v>
      </c>
      <c r="QG23" s="166">
        <v>0</v>
      </c>
      <c r="QH23" s="166">
        <v>0</v>
      </c>
      <c r="QI23" s="162">
        <v>-0.6</v>
      </c>
      <c r="QJ23" s="167">
        <v>0</v>
      </c>
      <c r="QK23" s="167">
        <v>0</v>
      </c>
      <c r="QL23" s="167">
        <v>0</v>
      </c>
      <c r="QM23" s="167">
        <v>0</v>
      </c>
      <c r="QN23" s="162">
        <v>-3.1108822695035498</v>
      </c>
      <c r="QO23" s="162">
        <v>0.1</v>
      </c>
      <c r="QP23" s="162">
        <v>0</v>
      </c>
      <c r="QQ23" s="162">
        <v>0</v>
      </c>
      <c r="QR23" s="162">
        <v>0</v>
      </c>
      <c r="QS23" s="162">
        <v>0</v>
      </c>
      <c r="QT23" s="162">
        <v>0.23</v>
      </c>
      <c r="QU23" s="162">
        <v>-9.0767508396599993E-3</v>
      </c>
      <c r="QV23" s="162">
        <v>0</v>
      </c>
      <c r="QW23" s="162">
        <v>0</v>
      </c>
      <c r="QX23" s="162">
        <v>-2.3954794799700002E-3</v>
      </c>
      <c r="QY23" s="162">
        <v>0</v>
      </c>
      <c r="QZ23" s="162">
        <v>-0.47</v>
      </c>
      <c r="RA23" s="167">
        <v>0</v>
      </c>
      <c r="RB23" s="167">
        <v>0</v>
      </c>
      <c r="RC23" s="167">
        <v>0</v>
      </c>
      <c r="RD23" s="167">
        <v>0</v>
      </c>
      <c r="RE23" s="167">
        <v>0</v>
      </c>
      <c r="RF23" s="167">
        <v>0</v>
      </c>
      <c r="RG23" s="167">
        <v>0</v>
      </c>
      <c r="RH23" s="167">
        <v>0</v>
      </c>
      <c r="RI23" s="167">
        <v>0</v>
      </c>
      <c r="RJ23" s="167">
        <v>0</v>
      </c>
      <c r="RK23" s="167">
        <v>0</v>
      </c>
      <c r="RL23" s="167">
        <v>0</v>
      </c>
      <c r="RM23" s="166">
        <v>-55.82</v>
      </c>
      <c r="RN23" s="166">
        <v>-11.99</v>
      </c>
      <c r="RO23" s="166">
        <v>-19.61</v>
      </c>
      <c r="RP23" s="166">
        <v>-12.92</v>
      </c>
      <c r="RQ23" s="166">
        <v>-1.07225369578546</v>
      </c>
      <c r="RR23" s="166">
        <v>-0.59</v>
      </c>
      <c r="RS23" s="166">
        <v>-0.12913436945737</v>
      </c>
      <c r="RT23" s="166">
        <v>0</v>
      </c>
      <c r="RU23" s="166">
        <v>0</v>
      </c>
      <c r="RV23" s="166">
        <v>0</v>
      </c>
      <c r="RW23" s="166">
        <v>-0.75737307686747002</v>
      </c>
      <c r="RX23" s="166">
        <v>0</v>
      </c>
      <c r="RY23" s="166">
        <v>-0.15496124334884001</v>
      </c>
      <c r="RZ23" s="166">
        <v>0</v>
      </c>
      <c r="SA23" s="166">
        <v>0</v>
      </c>
      <c r="SB23" s="166">
        <v>0</v>
      </c>
      <c r="SC23" s="166">
        <v>-1.39367584496439</v>
      </c>
      <c r="SD23" s="166">
        <v>0</v>
      </c>
      <c r="SE23" s="166">
        <v>0</v>
      </c>
      <c r="SF23" s="166">
        <v>0</v>
      </c>
      <c r="SG23" s="166">
        <v>0</v>
      </c>
      <c r="SH23" s="166">
        <v>0</v>
      </c>
      <c r="SI23" s="166">
        <v>0</v>
      </c>
      <c r="SJ23" s="166">
        <v>0</v>
      </c>
      <c r="SK23" s="166">
        <v>-0.15496124334885</v>
      </c>
      <c r="SL23" s="166">
        <v>0</v>
      </c>
      <c r="SM23" s="166">
        <v>0</v>
      </c>
      <c r="SN23" s="166">
        <v>0</v>
      </c>
      <c r="SO23" s="166">
        <v>-1.3435541332540599</v>
      </c>
      <c r="SP23" s="166">
        <v>0</v>
      </c>
      <c r="SQ23" s="166">
        <v>-55.82</v>
      </c>
      <c r="SR23" s="166">
        <v>-11.99</v>
      </c>
      <c r="SS23" s="166">
        <v>-19.61</v>
      </c>
      <c r="ST23" s="166">
        <v>-12.92</v>
      </c>
      <c r="SU23" s="166">
        <v>-0.84497718120804999</v>
      </c>
      <c r="SV23" s="166">
        <v>-0.9</v>
      </c>
      <c r="SW23" s="166">
        <v>0</v>
      </c>
      <c r="SX23" s="166">
        <v>0</v>
      </c>
      <c r="SY23" s="166">
        <v>0</v>
      </c>
      <c r="SZ23" s="166">
        <v>0</v>
      </c>
      <c r="TA23" s="166">
        <v>0</v>
      </c>
      <c r="TB23" s="166">
        <v>0</v>
      </c>
      <c r="TC23" s="166">
        <v>0</v>
      </c>
      <c r="TD23" s="166">
        <v>0</v>
      </c>
      <c r="TE23" s="166">
        <v>0</v>
      </c>
      <c r="TF23" s="166">
        <v>0</v>
      </c>
      <c r="TG23" s="166">
        <v>0</v>
      </c>
      <c r="TH23" s="166">
        <v>0</v>
      </c>
      <c r="TI23" s="166">
        <v>0</v>
      </c>
      <c r="TJ23" s="166">
        <v>0</v>
      </c>
      <c r="TK23" s="166">
        <v>0</v>
      </c>
      <c r="TL23" s="166">
        <v>0</v>
      </c>
      <c r="TM23" s="166">
        <v>0</v>
      </c>
      <c r="TN23" s="166">
        <v>0</v>
      </c>
      <c r="TO23" s="166">
        <v>0</v>
      </c>
      <c r="TP23" s="166">
        <v>0</v>
      </c>
      <c r="TQ23" s="166">
        <v>0</v>
      </c>
      <c r="TR23" s="166">
        <v>0</v>
      </c>
      <c r="TS23" s="166">
        <v>0</v>
      </c>
      <c r="TT23" s="166">
        <v>0</v>
      </c>
      <c r="TU23" s="166">
        <v>1.0046888903139199</v>
      </c>
      <c r="TV23" s="166">
        <v>0.16710577309979999</v>
      </c>
      <c r="TW23" s="166">
        <v>-0.20275762945598999</v>
      </c>
      <c r="TX23" s="166">
        <v>1.2390474038300001E-2</v>
      </c>
      <c r="TY23" s="166">
        <v>-5.5329298001249999E-2</v>
      </c>
      <c r="TZ23" s="166">
        <v>-0.44750344212965998</v>
      </c>
      <c r="UA23" s="166">
        <v>-2.6800558377699998E-3</v>
      </c>
      <c r="UB23" s="166">
        <v>0</v>
      </c>
      <c r="UC23" s="166">
        <v>0</v>
      </c>
      <c r="UD23" s="166">
        <v>0</v>
      </c>
      <c r="UE23" s="166">
        <v>4.3345790606010001E-2</v>
      </c>
      <c r="UF23" s="166">
        <v>0</v>
      </c>
      <c r="UG23" s="166">
        <v>0</v>
      </c>
      <c r="UH23" s="166">
        <v>0</v>
      </c>
      <c r="UI23" s="166">
        <v>0</v>
      </c>
      <c r="UJ23" s="166">
        <v>0</v>
      </c>
      <c r="UK23" s="166">
        <v>0.14138326334163001</v>
      </c>
      <c r="UL23" s="166">
        <v>-6.76163329988798</v>
      </c>
      <c r="UM23" s="166">
        <v>0.12020443037641</v>
      </c>
      <c r="UN23" s="166">
        <v>0</v>
      </c>
      <c r="UO23" s="166">
        <v>0</v>
      </c>
      <c r="UP23" s="166">
        <v>0</v>
      </c>
      <c r="UQ23" s="166">
        <v>0</v>
      </c>
      <c r="UR23" s="166">
        <v>-3.11</v>
      </c>
      <c r="US23" s="163">
        <v>0</v>
      </c>
      <c r="UT23" s="163">
        <v>0</v>
      </c>
      <c r="UU23" s="163">
        <v>0</v>
      </c>
      <c r="UV23" s="163">
        <v>0</v>
      </c>
      <c r="UW23" s="163">
        <v>0</v>
      </c>
      <c r="UX23" s="163">
        <v>0</v>
      </c>
      <c r="UY23" s="166">
        <v>0</v>
      </c>
      <c r="UZ23" s="166">
        <v>0</v>
      </c>
      <c r="VA23" s="166">
        <v>0</v>
      </c>
      <c r="VB23" s="166">
        <v>0</v>
      </c>
      <c r="VC23" s="166">
        <v>0</v>
      </c>
      <c r="VD23" s="166">
        <v>0</v>
      </c>
      <c r="VE23" s="267">
        <v>202</v>
      </c>
      <c r="VF23" s="267">
        <v>279</v>
      </c>
      <c r="VG23" s="267">
        <v>354</v>
      </c>
      <c r="VH23" s="267">
        <v>0</v>
      </c>
      <c r="VI23" s="267">
        <v>403</v>
      </c>
      <c r="VJ23" s="267">
        <v>0</v>
      </c>
      <c r="VK23" s="267">
        <v>0</v>
      </c>
      <c r="VL23" s="257">
        <v>0</v>
      </c>
      <c r="VM23" s="257">
        <v>0</v>
      </c>
      <c r="VN23" s="257">
        <v>0</v>
      </c>
      <c r="VO23" s="257">
        <v>0</v>
      </c>
      <c r="VP23" s="257">
        <v>0</v>
      </c>
      <c r="VQ23" s="257">
        <v>0</v>
      </c>
      <c r="VR23" s="257">
        <v>0</v>
      </c>
      <c r="VS23" s="257">
        <v>0</v>
      </c>
      <c r="VT23" s="257">
        <v>0</v>
      </c>
      <c r="VU23" s="257">
        <v>0</v>
      </c>
      <c r="VV23" s="257">
        <v>0</v>
      </c>
      <c r="VW23" s="257">
        <v>0</v>
      </c>
      <c r="VX23" s="257">
        <v>0</v>
      </c>
      <c r="VY23" s="257">
        <v>0</v>
      </c>
      <c r="VZ23" s="257">
        <v>0</v>
      </c>
      <c r="WA23" s="257">
        <v>0</v>
      </c>
      <c r="WB23" s="257">
        <v>0</v>
      </c>
      <c r="WC23" s="257">
        <v>0</v>
      </c>
      <c r="WD23" s="257">
        <v>0</v>
      </c>
      <c r="WE23" s="257">
        <v>0</v>
      </c>
      <c r="WF23" s="257">
        <v>0</v>
      </c>
      <c r="WG23" s="257">
        <v>0</v>
      </c>
      <c r="WH23" s="257">
        <v>0</v>
      </c>
      <c r="WI23" s="257">
        <v>0</v>
      </c>
      <c r="WJ23" s="257">
        <v>0</v>
      </c>
      <c r="WK23" s="257">
        <v>0</v>
      </c>
      <c r="WL23" s="257">
        <v>0</v>
      </c>
      <c r="WM23" s="257">
        <v>0</v>
      </c>
      <c r="WN23" s="257">
        <v>0</v>
      </c>
      <c r="WO23" s="257">
        <v>0</v>
      </c>
      <c r="WP23" s="257">
        <v>0</v>
      </c>
      <c r="WQ23" s="257">
        <v>0</v>
      </c>
      <c r="WR23" s="257">
        <v>0</v>
      </c>
      <c r="WS23" s="572">
        <v>119.6103</v>
      </c>
      <c r="WT23" s="572">
        <v>95</v>
      </c>
      <c r="WU23" s="572">
        <v>105</v>
      </c>
      <c r="WV23" s="572">
        <v>110</v>
      </c>
      <c r="WW23" s="572">
        <v>169</v>
      </c>
      <c r="WX23" s="247"/>
      <c r="WY23" s="4">
        <v>0</v>
      </c>
      <c r="WZ23" s="4">
        <v>0</v>
      </c>
      <c r="XA23" s="4">
        <v>0</v>
      </c>
      <c r="XB23" s="4">
        <v>0</v>
      </c>
      <c r="XC23" s="1037">
        <v>0</v>
      </c>
      <c r="XD23" s="1037">
        <v>0</v>
      </c>
      <c r="XE23" s="1037">
        <v>0</v>
      </c>
      <c r="XF23" s="1037">
        <v>0</v>
      </c>
      <c r="XG23" s="1037">
        <v>0</v>
      </c>
      <c r="XH23" s="1037">
        <v>0</v>
      </c>
      <c r="XI23" s="1037">
        <v>0</v>
      </c>
      <c r="XJ23" s="1037">
        <v>0</v>
      </c>
      <c r="XK23" s="1037">
        <v>3925.4532951983301</v>
      </c>
      <c r="XL23" s="1037">
        <v>0</v>
      </c>
      <c r="XM23" s="1037">
        <v>0</v>
      </c>
      <c r="XN23" s="1037">
        <v>0</v>
      </c>
      <c r="XO23" s="1037">
        <v>0</v>
      </c>
      <c r="XP23" s="1037">
        <v>0</v>
      </c>
      <c r="XQ23" s="1037">
        <v>270.72091691022968</v>
      </c>
      <c r="XR23" s="1037">
        <v>0</v>
      </c>
      <c r="XS23" s="1037">
        <v>4112.3796425887258</v>
      </c>
      <c r="XT23" s="1037">
        <v>0</v>
      </c>
      <c r="XU23" s="1037">
        <v>0</v>
      </c>
      <c r="XV23" s="1037">
        <v>0</v>
      </c>
      <c r="XW23" s="1037">
        <v>0</v>
      </c>
      <c r="XX23" s="1037">
        <v>0</v>
      </c>
      <c r="XY23" s="1037">
        <v>283.61238914405004</v>
      </c>
      <c r="XZ23" s="1037">
        <v>0</v>
      </c>
      <c r="YA23" s="1037">
        <v>6318.1105417954077</v>
      </c>
      <c r="YB23" s="1037">
        <v>0</v>
      </c>
      <c r="YC23" s="1037">
        <v>0</v>
      </c>
      <c r="YD23" s="1037">
        <v>0</v>
      </c>
      <c r="YE23" s="1037">
        <v>0</v>
      </c>
      <c r="YF23" s="1037">
        <v>0</v>
      </c>
      <c r="YG23" s="1037">
        <v>435.73176150313157</v>
      </c>
      <c r="YH23" s="1037">
        <v>0</v>
      </c>
      <c r="YI23" s="1128">
        <v>1562.8955962025934</v>
      </c>
      <c r="YJ23" s="1128">
        <v>1239.5378866434364</v>
      </c>
      <c r="YK23" s="1128">
        <v>2209.6110153209079</v>
      </c>
      <c r="YL23" s="1128">
        <v>269.46475796596445</v>
      </c>
      <c r="YM23" s="1128">
        <v>0</v>
      </c>
      <c r="YN23" s="1128">
        <v>0</v>
      </c>
      <c r="YO23" s="1128">
        <v>107.78590318638577</v>
      </c>
      <c r="YP23" s="1128">
        <v>0</v>
      </c>
      <c r="YQ23" s="1128">
        <v>1676.6047185269308</v>
      </c>
      <c r="YR23" s="1128">
        <v>1329.7209836592901</v>
      </c>
      <c r="YS23" s="1128">
        <v>2370.3721882622126</v>
      </c>
      <c r="YT23" s="1128">
        <v>289.06977905636739</v>
      </c>
      <c r="YU23" s="1128">
        <v>0</v>
      </c>
      <c r="YV23" s="1128">
        <v>0</v>
      </c>
      <c r="YW23" s="1128">
        <v>115.62791162254696</v>
      </c>
      <c r="YX23" s="1128">
        <v>0</v>
      </c>
      <c r="YY23" s="1128">
        <v>1756.4430384567845</v>
      </c>
      <c r="YZ23" s="1128">
        <v>1393.0410305002085</v>
      </c>
      <c r="ZA23" s="1128">
        <v>2483.2470543699369</v>
      </c>
      <c r="ZB23" s="1128">
        <v>302.83500663048011</v>
      </c>
      <c r="ZC23" s="1128">
        <v>0</v>
      </c>
      <c r="ZD23" s="1128">
        <v>0</v>
      </c>
      <c r="ZE23" s="1128">
        <v>121.13400265219205</v>
      </c>
      <c r="ZF23" s="1128">
        <v>0</v>
      </c>
      <c r="ZG23" s="1128">
        <v>2698.5352136290603</v>
      </c>
      <c r="ZH23" s="1128">
        <v>2140.2175832230482</v>
      </c>
      <c r="ZI23" s="1128">
        <v>3815.1704744410854</v>
      </c>
      <c r="ZJ23" s="1128">
        <v>465.26469200501043</v>
      </c>
      <c r="ZK23" s="1128">
        <v>0</v>
      </c>
      <c r="ZL23" s="1128">
        <v>0</v>
      </c>
      <c r="ZM23" s="1128">
        <v>186.10587680200416</v>
      </c>
      <c r="ZN23" s="1128">
        <v>0</v>
      </c>
      <c r="ZO23" s="1037">
        <v>4159.3189253778701</v>
      </c>
      <c r="ZP23" s="1037">
        <v>3298.7701821962423</v>
      </c>
      <c r="ZQ23" s="1037">
        <v>5880.4164117411274</v>
      </c>
      <c r="ZR23" s="1037">
        <v>717.12395265135706</v>
      </c>
      <c r="ZS23" s="1037">
        <v>0</v>
      </c>
      <c r="ZT23" s="1037">
        <v>0</v>
      </c>
      <c r="ZU23" s="1037">
        <v>286.84958106054279</v>
      </c>
      <c r="ZV23" s="1037">
        <v>0</v>
      </c>
      <c r="ZW23" s="1037">
        <v>4597.1419701544883</v>
      </c>
      <c r="ZX23" s="1037">
        <v>3646.0091487432151</v>
      </c>
      <c r="ZY23" s="1037">
        <v>6499.4076129770347</v>
      </c>
      <c r="ZZ23" s="1037">
        <v>792.61068450939456</v>
      </c>
      <c r="AAA23" s="1037">
        <v>0</v>
      </c>
      <c r="AAB23" s="1037">
        <v>0</v>
      </c>
      <c r="AAC23" s="1037">
        <v>317.04427380375785</v>
      </c>
      <c r="AAD23" s="1037">
        <v>0</v>
      </c>
      <c r="AAE23" s="1037">
        <v>4816.0534925427964</v>
      </c>
      <c r="AAF23" s="1037">
        <v>3819.6286320167014</v>
      </c>
      <c r="AAG23" s="1037">
        <v>6808.9032135949883</v>
      </c>
      <c r="AAH23" s="1037">
        <v>830.35405043841331</v>
      </c>
      <c r="AAI23" s="1037">
        <v>0</v>
      </c>
      <c r="AAJ23" s="1037">
        <v>0</v>
      </c>
      <c r="AAK23" s="1037">
        <v>332.14162017536535</v>
      </c>
      <c r="AAL23" s="1037">
        <v>0</v>
      </c>
      <c r="AAM23" s="1037">
        <v>7399.2094567248432</v>
      </c>
      <c r="AAN23" s="1037">
        <v>5868.3385346438417</v>
      </c>
      <c r="AAO23" s="1037">
        <v>10460.951300886847</v>
      </c>
      <c r="AAP23" s="1037">
        <v>1275.7257684008352</v>
      </c>
      <c r="AAQ23" s="1037">
        <v>0</v>
      </c>
      <c r="AAR23" s="1037">
        <v>0</v>
      </c>
      <c r="AAS23" s="1037">
        <v>510.29030736033405</v>
      </c>
      <c r="AAT23" s="1037">
        <v>0</v>
      </c>
      <c r="AAU23" s="1037">
        <v>5722.2145215804649</v>
      </c>
      <c r="AAV23" s="1037">
        <v>4538.3080688396794</v>
      </c>
      <c r="AAW23" s="1037">
        <v>8090.0274270620357</v>
      </c>
      <c r="AAX23" s="1037">
        <v>986.58871061732157</v>
      </c>
      <c r="AAY23" s="1037">
        <v>0</v>
      </c>
      <c r="AAZ23" s="1037">
        <v>0</v>
      </c>
      <c r="ABA23" s="1037">
        <v>394.63548424692863</v>
      </c>
      <c r="ABB23" s="1037">
        <v>0</v>
      </c>
      <c r="ABC23" s="1037">
        <v>6057.4105959682665</v>
      </c>
      <c r="ABD23" s="1037">
        <v>4804.1532312851778</v>
      </c>
      <c r="ABE23" s="1037">
        <v>8563.9253253344468</v>
      </c>
      <c r="ABF23" s="1037">
        <v>1044.3811372359082</v>
      </c>
      <c r="ABG23" s="1037">
        <v>0</v>
      </c>
      <c r="ABH23" s="1037">
        <v>0</v>
      </c>
      <c r="ABI23" s="1037">
        <v>417.75245489436327</v>
      </c>
      <c r="ABJ23" s="1037">
        <v>0</v>
      </c>
      <c r="ABK23" s="1037">
        <v>6345.8587195858026</v>
      </c>
      <c r="ABL23" s="1037">
        <v>5032.9224327749471</v>
      </c>
      <c r="ABM23" s="1037">
        <v>8971.7312932075147</v>
      </c>
      <c r="ABN23" s="1037">
        <v>1094.1135723423799</v>
      </c>
      <c r="ABO23" s="1037">
        <v>0</v>
      </c>
      <c r="ABP23" s="1037">
        <v>0</v>
      </c>
      <c r="ABQ23" s="1037">
        <v>437.64542893695193</v>
      </c>
      <c r="ABR23" s="1037">
        <v>0</v>
      </c>
      <c r="ABS23" s="1037">
        <v>0</v>
      </c>
      <c r="ABT23" s="1037">
        <v>0</v>
      </c>
      <c r="ABU23" s="1037">
        <v>0</v>
      </c>
      <c r="ABV23" s="1037">
        <v>0</v>
      </c>
      <c r="ABW23" s="1037">
        <v>0</v>
      </c>
      <c r="ABX23" s="1037">
        <v>0</v>
      </c>
      <c r="ABY23" s="1037">
        <v>0</v>
      </c>
      <c r="ABZ23" s="1037">
        <v>0</v>
      </c>
      <c r="ACA23" s="1037">
        <v>7411.150085218751</v>
      </c>
      <c r="ACB23" s="1037">
        <v>5877.8086882769412</v>
      </c>
      <c r="ACC23" s="1037">
        <v>10477.832879102372</v>
      </c>
      <c r="ACD23" s="1037">
        <v>1277.784497451509</v>
      </c>
      <c r="ACE23" s="1037">
        <v>0</v>
      </c>
      <c r="ACF23" s="1037">
        <v>0</v>
      </c>
      <c r="ACG23" s="1037">
        <v>511.11379898060352</v>
      </c>
      <c r="ACH23" s="1037">
        <v>0</v>
      </c>
      <c r="ACI23" s="1037">
        <v>7923.309395619206</v>
      </c>
      <c r="ACJ23" s="1037">
        <v>6284.0040034221302</v>
      </c>
      <c r="ACK23" s="1037">
        <v>11201.920180013361</v>
      </c>
      <c r="ACL23" s="1037">
        <v>1366.0878268308979</v>
      </c>
      <c r="ACM23" s="1037">
        <v>0</v>
      </c>
      <c r="ACN23" s="1037">
        <v>0</v>
      </c>
      <c r="ACO23" s="1037">
        <v>546.43513073235908</v>
      </c>
      <c r="ACP23" s="1037">
        <v>0</v>
      </c>
      <c r="ACQ23" s="1037">
        <v>8300.6098430296443</v>
      </c>
      <c r="ACR23" s="1037">
        <v>6583.2422892993736</v>
      </c>
      <c r="ACS23" s="1037">
        <v>11735.344950490186</v>
      </c>
      <c r="ACT23" s="1037">
        <v>1431.1396281085595</v>
      </c>
      <c r="ACU23" s="1037">
        <v>0</v>
      </c>
      <c r="ACV23" s="1037">
        <v>0</v>
      </c>
      <c r="ACW23" s="1037">
        <v>572.45585124342381</v>
      </c>
      <c r="ACX23" s="1037">
        <v>0</v>
      </c>
      <c r="ACY23" s="1037">
        <v>12752.755122472819</v>
      </c>
      <c r="ACZ23" s="1037">
        <v>10114.254062650858</v>
      </c>
      <c r="ADA23" s="1037">
        <v>18029.757242116742</v>
      </c>
      <c r="ADB23" s="1037">
        <v>2198.7508831849691</v>
      </c>
      <c r="ADC23" s="1037">
        <v>0</v>
      </c>
      <c r="ADD23" s="1037">
        <v>0</v>
      </c>
      <c r="ADE23" s="1037">
        <v>879.50035327398757</v>
      </c>
      <c r="ADF23" s="1037">
        <v>0</v>
      </c>
      <c r="ADG23" s="1037">
        <v>9049.6696618827609</v>
      </c>
      <c r="ADH23" s="1037">
        <v>7177.3242145966733</v>
      </c>
      <c r="ADI23" s="1037">
        <v>12794.360556454938</v>
      </c>
      <c r="ADJ23" s="1037">
        <v>1560.2878727384073</v>
      </c>
      <c r="ADK23" s="1037">
        <v>0</v>
      </c>
      <c r="ADL23" s="1037">
        <v>0</v>
      </c>
      <c r="ADM23" s="1037">
        <v>624.11514909536288</v>
      </c>
      <c r="ADN23" s="1037">
        <v>0</v>
      </c>
      <c r="ADO23" s="1037">
        <v>9735.1241720918588</v>
      </c>
      <c r="ADP23" s="1037">
        <v>7720.9605502797504</v>
      </c>
      <c r="ADQ23" s="1037">
        <v>13763.451415716076</v>
      </c>
      <c r="ADR23" s="1037">
        <v>1678.4696848434241</v>
      </c>
      <c r="ADS23" s="1037">
        <v>0</v>
      </c>
      <c r="ADT23" s="1037">
        <v>0</v>
      </c>
      <c r="ADU23" s="1037">
        <v>671.38787393736959</v>
      </c>
      <c r="ADV23" s="1037">
        <v>0</v>
      </c>
      <c r="ADW23" s="1037">
        <v>10198.701513620039</v>
      </c>
      <c r="ADX23" s="1037">
        <v>8088.6253383883086</v>
      </c>
      <c r="ADY23" s="1037">
        <v>14418.853864083505</v>
      </c>
      <c r="ADZ23" s="1037">
        <v>1758.3968126931104</v>
      </c>
      <c r="AEA23" s="1037">
        <v>0</v>
      </c>
      <c r="AEB23" s="1037">
        <v>0</v>
      </c>
      <c r="AEC23" s="1037">
        <v>703.35872507724423</v>
      </c>
      <c r="AED23" s="1037">
        <v>0</v>
      </c>
      <c r="AEE23" s="1037">
        <v>15668.91414365261</v>
      </c>
      <c r="AEF23" s="1037">
        <v>12427.069838069312</v>
      </c>
      <c r="AEG23" s="1037">
        <v>22152.602754819207</v>
      </c>
      <c r="AEH23" s="1037">
        <v>2701.5369213194158</v>
      </c>
      <c r="AEI23" s="1037">
        <v>0</v>
      </c>
      <c r="AEJ23" s="1037">
        <v>0</v>
      </c>
      <c r="AEK23" s="1037">
        <v>1080.6147685277663</v>
      </c>
      <c r="AEL23" s="1037">
        <v>0</v>
      </c>
      <c r="AEM23" s="1037">
        <v>10436.109303675385</v>
      </c>
      <c r="AEN23" s="1037">
        <v>8276.9142753287542</v>
      </c>
      <c r="AEO23" s="1037">
        <v>14754.499360368647</v>
      </c>
      <c r="AEP23" s="1037">
        <v>1799.3291902888595</v>
      </c>
      <c r="AEQ23" s="1037">
        <v>0</v>
      </c>
      <c r="AER23" s="1037">
        <v>0</v>
      </c>
      <c r="AES23" s="1037">
        <v>719.73167611554379</v>
      </c>
      <c r="AET23" s="1037">
        <v>0</v>
      </c>
      <c r="AEU23" s="1037">
        <v>11087.224751549058</v>
      </c>
      <c r="AEV23" s="1037">
        <v>8793.3161822630464</v>
      </c>
      <c r="AEW23" s="1037">
        <v>15675.041890121083</v>
      </c>
      <c r="AEX23" s="1037">
        <v>1911.5904744050104</v>
      </c>
      <c r="AEY23" s="1037">
        <v>0</v>
      </c>
      <c r="AEZ23" s="1037">
        <v>0</v>
      </c>
      <c r="AFA23" s="1037">
        <v>764.63618976200405</v>
      </c>
      <c r="AFB23" s="1037">
        <v>0</v>
      </c>
      <c r="AFC23" s="1037">
        <v>11615.187834956156</v>
      </c>
      <c r="AFD23" s="1037">
        <v>9212.0455242755725</v>
      </c>
      <c r="AFE23" s="1037">
        <v>16421.472456317326</v>
      </c>
      <c r="AFF23" s="1037">
        <v>2002.6185922338202</v>
      </c>
      <c r="AFG23" s="1037">
        <v>0</v>
      </c>
      <c r="AFH23" s="1037">
        <v>0</v>
      </c>
      <c r="AFI23" s="1037">
        <v>801.04743689352813</v>
      </c>
      <c r="AFJ23" s="1037">
        <v>0</v>
      </c>
      <c r="AFK23" s="1037">
        <v>17845.152219159914</v>
      </c>
      <c r="AFL23" s="1037">
        <v>14153.051760023382</v>
      </c>
      <c r="AFM23" s="1037">
        <v>25229.353137432983</v>
      </c>
      <c r="AFN23" s="1037">
        <v>3076.7503826137786</v>
      </c>
      <c r="AFO23" s="1037">
        <v>0</v>
      </c>
      <c r="AFP23" s="1037">
        <v>0</v>
      </c>
      <c r="AFQ23" s="1037">
        <v>1230.7001530455113</v>
      </c>
      <c r="AFR23" s="1037">
        <v>0</v>
      </c>
      <c r="AFS23" s="247">
        <v>4159.3189253778701</v>
      </c>
      <c r="AFT23" s="247">
        <v>3298.7701821962423</v>
      </c>
      <c r="AFU23" s="247">
        <v>5880.4164117411274</v>
      </c>
      <c r="AFV23" s="247">
        <v>717.12395265135706</v>
      </c>
      <c r="AFW23" s="247">
        <v>0</v>
      </c>
      <c r="AFX23" s="247">
        <v>0</v>
      </c>
      <c r="AFY23" s="247">
        <v>286.84958106054279</v>
      </c>
      <c r="AFZ23" s="247">
        <v>0</v>
      </c>
      <c r="AGA23" s="247">
        <v>4597.1419701544883</v>
      </c>
      <c r="AGB23" s="247">
        <v>3646.0091487432151</v>
      </c>
      <c r="AGC23" s="247">
        <v>6499.4076129770347</v>
      </c>
      <c r="AGD23" s="247">
        <v>792.61068450939456</v>
      </c>
      <c r="AGE23" s="247">
        <v>0</v>
      </c>
      <c r="AGF23" s="247">
        <v>0</v>
      </c>
      <c r="AGG23" s="247">
        <v>317.04427380375785</v>
      </c>
      <c r="AGH23" s="247">
        <v>0</v>
      </c>
      <c r="AGI23" s="247">
        <v>4816.0534925427964</v>
      </c>
      <c r="AGJ23" s="247">
        <v>3819.6286320167014</v>
      </c>
      <c r="AGK23" s="247">
        <v>6808.9032135949883</v>
      </c>
      <c r="AGL23" s="247">
        <v>830.35405043841331</v>
      </c>
      <c r="AGM23" s="247">
        <v>0</v>
      </c>
      <c r="AGN23" s="247">
        <v>0</v>
      </c>
      <c r="AGO23" s="247">
        <v>332.14162017536535</v>
      </c>
      <c r="AGP23" s="247">
        <v>0</v>
      </c>
      <c r="AGQ23" s="247">
        <v>7399.2094567248432</v>
      </c>
      <c r="AGR23" s="247">
        <v>5868.3385346438417</v>
      </c>
      <c r="AGS23" s="247">
        <v>10460.951300886847</v>
      </c>
      <c r="AGT23" s="247">
        <v>1275.7257684008352</v>
      </c>
      <c r="AGU23" s="247">
        <v>0</v>
      </c>
      <c r="AGV23" s="247">
        <v>0</v>
      </c>
      <c r="AGW23" s="247">
        <v>510.29030736033405</v>
      </c>
      <c r="AGX23" s="247">
        <v>0</v>
      </c>
      <c r="AGY23" s="249">
        <v>0</v>
      </c>
      <c r="AGZ23" s="249">
        <v>0</v>
      </c>
      <c r="AHA23" s="249">
        <v>0</v>
      </c>
      <c r="AHB23" s="249">
        <v>0</v>
      </c>
      <c r="AHC23" s="249">
        <v>0</v>
      </c>
      <c r="AHD23" s="249">
        <v>0</v>
      </c>
      <c r="AHE23" s="249">
        <v>0</v>
      </c>
      <c r="AHF23" s="249">
        <v>0</v>
      </c>
      <c r="AHG23" s="249">
        <v>0</v>
      </c>
      <c r="AHH23" s="249">
        <v>0</v>
      </c>
      <c r="AHI23" s="249">
        <v>0</v>
      </c>
      <c r="AHJ23" s="249">
        <v>0</v>
      </c>
      <c r="AHK23" s="249">
        <v>0</v>
      </c>
      <c r="AHL23" s="249">
        <v>0</v>
      </c>
      <c r="AHM23" s="249">
        <v>0</v>
      </c>
      <c r="AHN23" s="249">
        <v>0</v>
      </c>
      <c r="AHO23" s="249">
        <v>0</v>
      </c>
      <c r="AHP23" s="249">
        <v>0</v>
      </c>
      <c r="AHQ23" s="249">
        <v>0</v>
      </c>
      <c r="AHR23" s="249">
        <v>0</v>
      </c>
      <c r="AHS23" s="249">
        <v>0</v>
      </c>
      <c r="AHT23" s="249">
        <v>0</v>
      </c>
      <c r="AHU23" s="249">
        <v>0</v>
      </c>
      <c r="AHV23" s="249">
        <v>0</v>
      </c>
      <c r="AHW23" s="249">
        <v>0</v>
      </c>
      <c r="AHX23" s="249">
        <v>0</v>
      </c>
      <c r="AHY23" s="249">
        <v>0</v>
      </c>
      <c r="AHZ23" s="249">
        <v>0</v>
      </c>
      <c r="AIA23" s="249">
        <v>0</v>
      </c>
      <c r="AIB23" s="249">
        <v>0</v>
      </c>
      <c r="AIC23" s="249">
        <v>0</v>
      </c>
      <c r="AID23" s="249">
        <v>0</v>
      </c>
      <c r="AIE23" s="249"/>
      <c r="AIF23" s="249"/>
      <c r="AIG23" s="249"/>
      <c r="AIH23" s="249"/>
      <c r="AII23" s="249"/>
      <c r="AIJ23" s="249"/>
      <c r="AIK23" s="249"/>
      <c r="AIL23" s="249"/>
      <c r="AIM23" s="249">
        <v>0</v>
      </c>
      <c r="AIN23" s="249">
        <v>0</v>
      </c>
      <c r="AIO23" s="249">
        <v>0</v>
      </c>
      <c r="AIP23" s="249">
        <v>0</v>
      </c>
      <c r="AIQ23" s="249">
        <v>0</v>
      </c>
      <c r="AIR23" s="249">
        <v>0</v>
      </c>
      <c r="AIS23" s="249">
        <v>0</v>
      </c>
      <c r="AIT23" s="249">
        <v>0</v>
      </c>
      <c r="AIU23" s="134" t="s">
        <v>1216</v>
      </c>
      <c r="AIV23" s="134" t="s">
        <v>1219</v>
      </c>
      <c r="AIW23" s="134" t="s">
        <v>1218</v>
      </c>
      <c r="AIX23" s="134" t="s">
        <v>1217</v>
      </c>
      <c r="AIY23" s="134" t="s">
        <v>1228</v>
      </c>
      <c r="AIZ23" s="134" t="s">
        <v>1229</v>
      </c>
      <c r="AJA23" s="134" t="s">
        <v>1230</v>
      </c>
      <c r="AJB23" s="134" t="s">
        <v>1231</v>
      </c>
      <c r="AJC23" s="134" t="s">
        <v>1232</v>
      </c>
      <c r="AJD23" s="134" t="s">
        <v>1233</v>
      </c>
    </row>
    <row r="24" spans="1:940" ht="18" customHeight="1">
      <c r="A24" s="664" t="s">
        <v>14</v>
      </c>
      <c r="B24" s="669">
        <v>0.3</v>
      </c>
      <c r="C24" s="6">
        <v>0.2</v>
      </c>
      <c r="D24" s="6">
        <v>0.2</v>
      </c>
      <c r="E24" s="74">
        <v>308.95970695970692</v>
      </c>
      <c r="F24" s="75">
        <v>-2.7</v>
      </c>
      <c r="G24" s="7">
        <v>-3.9</v>
      </c>
      <c r="H24" s="7">
        <v>-3.9</v>
      </c>
      <c r="I24" s="266">
        <v>350</v>
      </c>
      <c r="J24" s="125">
        <v>0</v>
      </c>
      <c r="K24" s="125">
        <v>0</v>
      </c>
      <c r="L24" s="125">
        <v>0</v>
      </c>
      <c r="M24" s="1">
        <v>1762.0233173515765</v>
      </c>
      <c r="N24" s="2">
        <v>12</v>
      </c>
      <c r="O24" s="8">
        <v>0.4</v>
      </c>
      <c r="P24" s="8">
        <v>0.5</v>
      </c>
      <c r="Q24" s="8">
        <v>0.5</v>
      </c>
      <c r="R24" s="7">
        <v>0.5</v>
      </c>
      <c r="S24" s="7">
        <v>0.3</v>
      </c>
      <c r="T24" s="7">
        <v>94.5</v>
      </c>
      <c r="U24" s="7">
        <v>4.7</v>
      </c>
      <c r="V24" s="71">
        <v>0</v>
      </c>
      <c r="W24" s="119">
        <v>2</v>
      </c>
      <c r="X24" s="120">
        <v>1.5</v>
      </c>
      <c r="Y24" s="119">
        <v>1</v>
      </c>
      <c r="Z24" s="120">
        <v>0.8</v>
      </c>
      <c r="AA24" s="120">
        <v>0.5</v>
      </c>
      <c r="AB24" s="559">
        <v>433.01922201480062</v>
      </c>
      <c r="AC24" s="559">
        <v>470.67306740739195</v>
      </c>
      <c r="AD24" s="559">
        <v>433.37222681535616</v>
      </c>
      <c r="AE24" s="559">
        <v>649.0581599547935</v>
      </c>
      <c r="AF24" s="622">
        <v>0.82209484106305364</v>
      </c>
      <c r="AG24" s="559">
        <v>261.91600618637949</v>
      </c>
      <c r="AH24" s="559">
        <v>284.69131107215162</v>
      </c>
      <c r="AI24" s="559">
        <v>262.12952466968363</v>
      </c>
      <c r="AJ24" s="559">
        <v>392.58931796849708</v>
      </c>
      <c r="AK24" s="622">
        <v>0.96717040125065135</v>
      </c>
      <c r="AL24" s="995">
        <v>0.1</v>
      </c>
      <c r="AM24" s="995">
        <v>0.2</v>
      </c>
      <c r="AN24" s="995">
        <v>0.5</v>
      </c>
      <c r="AO24" s="995">
        <v>0.8</v>
      </c>
      <c r="AP24" s="995">
        <v>1.2</v>
      </c>
      <c r="AQ24" s="995">
        <v>1.4</v>
      </c>
      <c r="AR24" s="995">
        <v>1.6</v>
      </c>
      <c r="AS24" s="1005">
        <v>0</v>
      </c>
      <c r="AT24" s="1005">
        <v>10</v>
      </c>
      <c r="AU24" s="1005">
        <v>20</v>
      </c>
      <c r="AV24" s="1005">
        <v>70</v>
      </c>
      <c r="AW24" s="1005">
        <v>100</v>
      </c>
      <c r="AX24" s="1">
        <v>12444.794601128844</v>
      </c>
      <c r="AY24" s="5">
        <v>1.71</v>
      </c>
      <c r="AZ24" s="8">
        <v>0.6</v>
      </c>
      <c r="BA24" s="8">
        <v>0.4</v>
      </c>
      <c r="BB24" s="8">
        <v>0.4</v>
      </c>
      <c r="BC24" s="73">
        <v>0.17662031856602187</v>
      </c>
      <c r="BD24" s="73">
        <v>0.17483623993638389</v>
      </c>
      <c r="BE24" s="9">
        <v>5.9709143586614601</v>
      </c>
      <c r="BF24" s="9">
        <v>2.2390520042987645</v>
      </c>
      <c r="BG24" s="9">
        <v>8.2770516397749549</v>
      </c>
      <c r="BH24" s="9">
        <v>42.15435797304908</v>
      </c>
      <c r="BI24" s="9">
        <v>0.73342904596029179</v>
      </c>
      <c r="BJ24" s="9"/>
      <c r="BK24" s="9">
        <v>40.515527030312484</v>
      </c>
      <c r="BL24" s="9">
        <v>4.2582671128225308E-2</v>
      </c>
      <c r="BM24" s="9"/>
      <c r="BN24" s="9"/>
      <c r="BO24" s="9"/>
      <c r="BP24" s="9"/>
      <c r="BQ24" s="9"/>
      <c r="BR24" s="9">
        <v>1.4368955152206316E-2</v>
      </c>
      <c r="BS24" s="9">
        <v>5.2716321662525448E-2</v>
      </c>
      <c r="BT24" s="262">
        <v>261.13475999999997</v>
      </c>
      <c r="BU24" s="262">
        <v>96.5</v>
      </c>
      <c r="BV24" s="262">
        <v>63.215999999999994</v>
      </c>
      <c r="BW24" s="262">
        <v>233.35949490734063</v>
      </c>
      <c r="BX24" s="262">
        <v>157.40783999999999</v>
      </c>
      <c r="BY24" s="68"/>
      <c r="BZ24" s="262">
        <v>256.20808011776955</v>
      </c>
      <c r="CA24" s="262">
        <v>165.17663999999999</v>
      </c>
      <c r="CB24" s="68"/>
      <c r="CC24" s="785">
        <v>0</v>
      </c>
      <c r="CD24" s="262">
        <v>6.585</v>
      </c>
      <c r="CE24" s="262">
        <v>1.3169999999999999</v>
      </c>
      <c r="CF24" s="262">
        <v>38</v>
      </c>
      <c r="CG24" s="262">
        <v>225.83915999999996</v>
      </c>
      <c r="CH24" s="68">
        <v>0.2</v>
      </c>
      <c r="CI24" s="262">
        <v>175.08124000000001</v>
      </c>
      <c r="CJ24" s="262">
        <v>60.4</v>
      </c>
      <c r="CK24" s="262">
        <v>42.384</v>
      </c>
      <c r="CL24" s="262">
        <v>156.45894761061641</v>
      </c>
      <c r="CM24" s="262">
        <v>105.53616</v>
      </c>
      <c r="CN24" s="68"/>
      <c r="CO24" s="262">
        <v>159.24945066654416</v>
      </c>
      <c r="CP24" s="262">
        <v>102.66767999999999</v>
      </c>
      <c r="CQ24" s="68"/>
      <c r="CR24" s="262">
        <v>0</v>
      </c>
      <c r="CS24" s="262">
        <v>4.415</v>
      </c>
      <c r="CT24" s="262">
        <v>0.88300000000000001</v>
      </c>
      <c r="CU24" s="262">
        <v>27</v>
      </c>
      <c r="CV24" s="262">
        <v>151.41683999999998</v>
      </c>
      <c r="CW24" s="68">
        <v>0.2</v>
      </c>
      <c r="CX24" s="120">
        <v>0.3</v>
      </c>
      <c r="CY24" s="120">
        <v>0.7</v>
      </c>
      <c r="CZ24" s="120">
        <v>1.2</v>
      </c>
      <c r="DA24" s="120">
        <v>1.2</v>
      </c>
      <c r="DB24" s="119">
        <v>3</v>
      </c>
      <c r="DC24" s="1005">
        <v>0</v>
      </c>
      <c r="DD24" s="1005">
        <v>10</v>
      </c>
      <c r="DE24" s="1005">
        <v>20</v>
      </c>
      <c r="DF24" s="1005">
        <v>70</v>
      </c>
      <c r="DG24" s="1005">
        <v>100</v>
      </c>
      <c r="DH24" s="2">
        <v>3.2180607020619858</v>
      </c>
      <c r="DI24" s="2">
        <v>18</v>
      </c>
      <c r="DJ24" s="63">
        <v>12</v>
      </c>
      <c r="DK24" s="8">
        <v>1.4</v>
      </c>
      <c r="DL24" s="8">
        <v>0.9</v>
      </c>
      <c r="DM24" s="8">
        <v>0.9</v>
      </c>
      <c r="DN24" s="1030" t="s">
        <v>1016</v>
      </c>
      <c r="DO24" s="1030" t="s">
        <v>1017</v>
      </c>
      <c r="DP24" s="1030" t="s">
        <v>1018</v>
      </c>
      <c r="DQ24" s="1030" t="s">
        <v>1019</v>
      </c>
      <c r="DR24" s="1030" t="s">
        <v>1020</v>
      </c>
      <c r="DS24" s="1030" t="s">
        <v>1021</v>
      </c>
      <c r="DT24" s="1030" t="s">
        <v>1022</v>
      </c>
      <c r="DU24" s="1097">
        <v>144.57072932062391</v>
      </c>
      <c r="DV24" s="1097">
        <v>80.021714619943978</v>
      </c>
      <c r="DW24" s="1097">
        <v>86.51835265463005</v>
      </c>
      <c r="DX24" s="1097">
        <v>1547.9680224671793</v>
      </c>
      <c r="DY24" s="1097">
        <v>243.44746313707105</v>
      </c>
      <c r="DZ24" s="1097">
        <v>1125.378694160313</v>
      </c>
      <c r="EA24" s="1097">
        <v>204.59502364023862</v>
      </c>
      <c r="EB24" s="207">
        <v>3.4325000000000001</v>
      </c>
      <c r="EC24" s="207">
        <v>18</v>
      </c>
      <c r="ED24" s="221">
        <v>5</v>
      </c>
      <c r="EE24" s="214">
        <v>1.4</v>
      </c>
      <c r="EF24" s="214">
        <v>0.9</v>
      </c>
      <c r="EG24" s="214">
        <v>0.9</v>
      </c>
      <c r="EH24" s="208" t="s">
        <v>1046</v>
      </c>
      <c r="EI24" s="208" t="s">
        <v>1065</v>
      </c>
      <c r="EJ24" s="208" t="s">
        <v>1077</v>
      </c>
      <c r="EK24" s="208" t="s">
        <v>1093</v>
      </c>
      <c r="EL24" s="208" t="s">
        <v>1104</v>
      </c>
      <c r="EM24" s="208" t="s">
        <v>1019</v>
      </c>
      <c r="EN24" s="208" t="s">
        <v>1020</v>
      </c>
      <c r="EO24" s="208" t="s">
        <v>1125</v>
      </c>
      <c r="EP24" s="208" t="s">
        <v>1131</v>
      </c>
      <c r="EQ24" s="208" t="s">
        <v>1021</v>
      </c>
      <c r="ER24" s="208" t="s">
        <v>1141</v>
      </c>
      <c r="ES24" s="208" t="s">
        <v>1022</v>
      </c>
      <c r="ET24" s="208" t="s">
        <v>1149</v>
      </c>
      <c r="EU24" s="204" t="s">
        <v>997</v>
      </c>
      <c r="EV24" s="204" t="s">
        <v>997</v>
      </c>
      <c r="EW24" s="204" t="s">
        <v>997</v>
      </c>
      <c r="EX24" s="204" t="s">
        <v>997</v>
      </c>
      <c r="EY24" s="204" t="s">
        <v>997</v>
      </c>
      <c r="EZ24" s="204" t="s">
        <v>997</v>
      </c>
      <c r="FA24" s="204" t="s">
        <v>997</v>
      </c>
      <c r="FB24" s="204" t="s">
        <v>997</v>
      </c>
      <c r="FC24" s="204" t="s">
        <v>997</v>
      </c>
      <c r="FD24" s="204" t="s">
        <v>997</v>
      </c>
      <c r="FE24" s="204" t="s">
        <v>997</v>
      </c>
      <c r="FF24" s="204" t="s">
        <v>997</v>
      </c>
      <c r="FG24" s="204" t="s">
        <v>997</v>
      </c>
      <c r="FH24" s="204" t="s">
        <v>997</v>
      </c>
      <c r="FI24" s="204" t="s">
        <v>997</v>
      </c>
      <c r="FJ24" s="204" t="s">
        <v>997</v>
      </c>
      <c r="FK24" s="204" t="s">
        <v>997</v>
      </c>
      <c r="FL24" s="204" t="s">
        <v>997</v>
      </c>
      <c r="FM24" s="204" t="s">
        <v>997</v>
      </c>
      <c r="FN24" s="204" t="s">
        <v>997</v>
      </c>
      <c r="FO24" s="204" t="s">
        <v>997</v>
      </c>
      <c r="FP24" s="204" t="s">
        <v>997</v>
      </c>
      <c r="FQ24" s="204" t="s">
        <v>997</v>
      </c>
      <c r="FR24" s="204" t="s">
        <v>997</v>
      </c>
      <c r="FS24" s="204" t="s">
        <v>997</v>
      </c>
      <c r="FT24" s="204" t="s">
        <v>997</v>
      </c>
      <c r="FU24" s="204" t="s">
        <v>997</v>
      </c>
      <c r="FV24" s="204" t="s">
        <v>997</v>
      </c>
      <c r="FW24" s="204" t="s">
        <v>997</v>
      </c>
      <c r="FX24" s="204" t="s">
        <v>997</v>
      </c>
      <c r="FY24" s="204" t="s">
        <v>997</v>
      </c>
      <c r="FZ24" s="204" t="s">
        <v>997</v>
      </c>
      <c r="GA24" s="204" t="s">
        <v>997</v>
      </c>
      <c r="GB24" s="204" t="s">
        <v>997</v>
      </c>
      <c r="GC24" s="204" t="s">
        <v>997</v>
      </c>
      <c r="GD24" s="204" t="s">
        <v>997</v>
      </c>
      <c r="GE24" s="204" t="s">
        <v>997</v>
      </c>
      <c r="GF24" s="204" t="s">
        <v>997</v>
      </c>
      <c r="GG24" s="204" t="s">
        <v>997</v>
      </c>
      <c r="GH24" s="204" t="s">
        <v>997</v>
      </c>
      <c r="GI24" s="204" t="s">
        <v>997</v>
      </c>
      <c r="GJ24" s="204" t="s">
        <v>997</v>
      </c>
      <c r="GK24" s="204" t="s">
        <v>997</v>
      </c>
      <c r="GL24" s="204" t="s">
        <v>997</v>
      </c>
      <c r="GM24" s="204" t="s">
        <v>997</v>
      </c>
      <c r="GN24" s="1051">
        <v>114.63064386855464</v>
      </c>
      <c r="GO24" s="1051">
        <v>110.04541811381245</v>
      </c>
      <c r="GP24" s="1051">
        <v>69.695431472081225</v>
      </c>
      <c r="GQ24" s="1051">
        <v>70.612476623029664</v>
      </c>
      <c r="GR24" s="1051">
        <v>57.773844509751541</v>
      </c>
      <c r="GS24" s="1051">
        <v>1667.1880844242587</v>
      </c>
      <c r="GT24" s="1051">
        <v>108.21132781191555</v>
      </c>
      <c r="GU24" s="1051">
        <v>95.372695698637457</v>
      </c>
      <c r="GV24" s="1051">
        <v>162.31699171787338</v>
      </c>
      <c r="GW24" s="1051">
        <v>357.64760886989046</v>
      </c>
      <c r="GX24" s="1051">
        <v>39.432941490782788</v>
      </c>
      <c r="GY24" s="1051">
        <v>531.8861875500935</v>
      </c>
      <c r="GZ24" s="1051">
        <v>47.686347849318729</v>
      </c>
      <c r="HA24" s="1051">
        <v>0</v>
      </c>
      <c r="HB24" s="1051">
        <v>0</v>
      </c>
      <c r="HC24" s="1051">
        <v>0</v>
      </c>
      <c r="HD24" s="1051">
        <v>0</v>
      </c>
      <c r="HE24" s="1051">
        <v>0</v>
      </c>
      <c r="HF24" s="1051">
        <v>0</v>
      </c>
      <c r="HG24" s="1051">
        <v>0</v>
      </c>
      <c r="HH24" s="1051">
        <v>0</v>
      </c>
      <c r="HI24" s="1051">
        <v>0</v>
      </c>
      <c r="HJ24" s="1051">
        <v>0</v>
      </c>
      <c r="HK24" s="1051">
        <v>0</v>
      </c>
      <c r="HL24" s="1051">
        <v>0</v>
      </c>
      <c r="HM24" s="1051">
        <v>0</v>
      </c>
      <c r="HN24" s="1051">
        <v>0</v>
      </c>
      <c r="HO24" s="1051">
        <v>0</v>
      </c>
      <c r="HP24" s="1051">
        <v>0</v>
      </c>
      <c r="HQ24" s="1051">
        <v>0</v>
      </c>
      <c r="HR24" s="1051">
        <v>0</v>
      </c>
      <c r="HS24" s="1051">
        <v>0</v>
      </c>
      <c r="HT24" s="1051">
        <v>0</v>
      </c>
      <c r="HU24" s="1051">
        <v>0</v>
      </c>
      <c r="HV24" s="1051">
        <v>0</v>
      </c>
      <c r="HW24" s="1051">
        <v>0</v>
      </c>
      <c r="HX24" s="1051">
        <v>0</v>
      </c>
      <c r="HY24" s="1051">
        <v>0</v>
      </c>
      <c r="HZ24" s="1051">
        <v>0</v>
      </c>
      <c r="IA24" s="1051">
        <v>0</v>
      </c>
      <c r="IB24" s="1051">
        <v>0</v>
      </c>
      <c r="IC24" s="1051">
        <v>0</v>
      </c>
      <c r="ID24" s="1051">
        <v>0</v>
      </c>
      <c r="IE24" s="1051">
        <v>0</v>
      </c>
      <c r="IF24" s="1051">
        <v>0</v>
      </c>
      <c r="IG24" s="1051">
        <v>0</v>
      </c>
      <c r="IH24" s="1051">
        <v>0</v>
      </c>
      <c r="II24" s="1051">
        <v>0</v>
      </c>
      <c r="IJ24" s="1051">
        <v>0</v>
      </c>
      <c r="IK24" s="1051">
        <v>0</v>
      </c>
      <c r="IL24" s="1051">
        <v>0</v>
      </c>
      <c r="IM24" s="1051">
        <v>0</v>
      </c>
      <c r="IN24" s="1051">
        <v>0</v>
      </c>
      <c r="IO24" s="1051">
        <v>0</v>
      </c>
      <c r="IP24" s="1051">
        <v>0</v>
      </c>
      <c r="IQ24" s="1051">
        <v>0</v>
      </c>
      <c r="IR24" s="1051">
        <v>0</v>
      </c>
      <c r="IS24" s="1051">
        <v>0</v>
      </c>
      <c r="IT24" s="215">
        <v>936.47113349205063</v>
      </c>
      <c r="IU24" s="207">
        <v>179.9</v>
      </c>
      <c r="IV24" s="216">
        <v>2647.0800000000199</v>
      </c>
      <c r="IW24" s="272">
        <v>12.64</v>
      </c>
      <c r="IX24" s="207">
        <v>50</v>
      </c>
      <c r="IY24" s="204">
        <v>1.4</v>
      </c>
      <c r="IZ24" s="204">
        <v>0.9</v>
      </c>
      <c r="JA24" s="204">
        <v>0.9</v>
      </c>
      <c r="JB24" s="52">
        <v>2</v>
      </c>
      <c r="JC24" s="24">
        <v>1.5</v>
      </c>
      <c r="JD24" s="24">
        <v>0.7</v>
      </c>
      <c r="JE24" s="24">
        <v>0.7</v>
      </c>
      <c r="JF24" s="24">
        <v>0.5</v>
      </c>
      <c r="JG24" s="1"/>
      <c r="JH24" s="216">
        <v>2647.0800000000199</v>
      </c>
      <c r="JI24" s="272">
        <v>12.64</v>
      </c>
      <c r="JJ24" s="207">
        <v>50</v>
      </c>
      <c r="JK24" s="8">
        <v>1.2</v>
      </c>
      <c r="JL24" s="8">
        <v>0.7</v>
      </c>
      <c r="JM24" s="8">
        <v>0.7</v>
      </c>
      <c r="JN24" s="216">
        <v>2</v>
      </c>
      <c r="JO24" s="216">
        <v>2</v>
      </c>
      <c r="JP24" s="216">
        <v>1</v>
      </c>
      <c r="JQ24" s="216">
        <v>1</v>
      </c>
      <c r="JR24" s="214">
        <v>0.5</v>
      </c>
      <c r="JS24" s="1212">
        <v>2000</v>
      </c>
      <c r="JT24" s="215"/>
      <c r="JU24" s="215">
        <v>500</v>
      </c>
      <c r="JV24" s="207">
        <v>1.1000000000000001</v>
      </c>
      <c r="JW24" s="207">
        <v>0.7</v>
      </c>
      <c r="JX24" s="207">
        <v>0.7</v>
      </c>
      <c r="JY24" s="214">
        <v>2</v>
      </c>
      <c r="JZ24" s="214">
        <v>1.5</v>
      </c>
      <c r="KA24" s="214">
        <v>0.5</v>
      </c>
      <c r="KB24" s="214">
        <v>1</v>
      </c>
      <c r="KC24" s="214">
        <v>0.5</v>
      </c>
      <c r="KD24" s="1186">
        <v>5.2605587888264047</v>
      </c>
      <c r="KE24" s="1186">
        <v>1.3395857880544375</v>
      </c>
      <c r="KF24" s="1186">
        <v>89.269652243791199</v>
      </c>
      <c r="KG24" s="1186"/>
      <c r="KH24" s="1186">
        <v>0.13827788810861971</v>
      </c>
      <c r="KI24" s="1186">
        <v>3.9919252912193408</v>
      </c>
      <c r="KJ24" s="1186"/>
      <c r="KK24" s="1186"/>
      <c r="KL24" s="1186"/>
      <c r="KM24" s="1187">
        <v>580</v>
      </c>
      <c r="KN24" s="1187">
        <v>580</v>
      </c>
      <c r="KO24" s="1187">
        <v>580</v>
      </c>
      <c r="KP24" s="1187">
        <v>580</v>
      </c>
      <c r="KQ24" s="1187"/>
      <c r="KR24" s="1187">
        <v>580</v>
      </c>
      <c r="KS24" s="1187">
        <v>580</v>
      </c>
      <c r="KT24" s="1187">
        <v>580</v>
      </c>
      <c r="KU24" s="1187">
        <v>580</v>
      </c>
      <c r="KV24" s="262">
        <v>370</v>
      </c>
      <c r="KW24" s="262">
        <v>370</v>
      </c>
      <c r="KX24" s="262">
        <v>370</v>
      </c>
      <c r="KY24" s="262">
        <v>370</v>
      </c>
      <c r="KZ24" s="262"/>
      <c r="LA24" s="262">
        <v>370</v>
      </c>
      <c r="LB24" s="262">
        <v>370</v>
      </c>
      <c r="LC24" s="262">
        <v>370</v>
      </c>
      <c r="LD24" s="262">
        <v>370</v>
      </c>
      <c r="LE24" s="1213">
        <v>0</v>
      </c>
      <c r="LF24" s="1213">
        <v>10</v>
      </c>
      <c r="LG24" s="1213">
        <v>20</v>
      </c>
      <c r="LH24" s="1213">
        <v>70</v>
      </c>
      <c r="LI24" s="1213">
        <v>100</v>
      </c>
      <c r="LJ24" s="1212">
        <v>1000</v>
      </c>
      <c r="LK24" s="1"/>
      <c r="LL24" s="4">
        <v>29</v>
      </c>
      <c r="LM24" s="8">
        <v>0.9</v>
      </c>
      <c r="LN24" s="8">
        <v>0.7</v>
      </c>
      <c r="LO24" s="8">
        <v>0.7</v>
      </c>
      <c r="LP24" s="214">
        <v>2</v>
      </c>
      <c r="LQ24" s="214">
        <v>1</v>
      </c>
      <c r="LR24" s="214">
        <v>0.5</v>
      </c>
      <c r="LS24" s="214">
        <v>0.7</v>
      </c>
      <c r="LT24" s="214">
        <v>0.2</v>
      </c>
      <c r="LU24" s="1212">
        <v>1500</v>
      </c>
      <c r="LV24" s="122">
        <v>0</v>
      </c>
      <c r="LW24" s="122">
        <v>0</v>
      </c>
      <c r="LX24" s="122">
        <v>0</v>
      </c>
      <c r="LY24" s="165">
        <v>0</v>
      </c>
      <c r="LZ24" s="165">
        <v>0</v>
      </c>
      <c r="MA24" s="165">
        <v>0</v>
      </c>
      <c r="MB24" s="165">
        <v>0</v>
      </c>
      <c r="MC24" s="165">
        <v>0</v>
      </c>
      <c r="MD24" s="165">
        <v>0</v>
      </c>
      <c r="ME24" s="165">
        <v>0</v>
      </c>
      <c r="MF24" s="165">
        <v>0</v>
      </c>
      <c r="MG24" s="165">
        <v>0</v>
      </c>
      <c r="MH24" s="165">
        <v>0</v>
      </c>
      <c r="MI24" s="165">
        <v>0</v>
      </c>
      <c r="MJ24" s="165">
        <v>0</v>
      </c>
      <c r="MK24" s="165">
        <v>0</v>
      </c>
      <c r="ML24" s="165">
        <v>0</v>
      </c>
      <c r="MM24" s="165">
        <v>0</v>
      </c>
      <c r="MN24" s="165">
        <v>0</v>
      </c>
      <c r="MO24" s="165">
        <v>0</v>
      </c>
      <c r="MP24" s="165">
        <v>0</v>
      </c>
      <c r="MQ24" s="165">
        <v>0</v>
      </c>
      <c r="MR24" s="165">
        <v>0</v>
      </c>
      <c r="MS24" s="165">
        <v>0</v>
      </c>
      <c r="MT24" s="165">
        <v>0</v>
      </c>
      <c r="MU24" s="165">
        <v>0</v>
      </c>
      <c r="MV24" s="165">
        <v>0</v>
      </c>
      <c r="MW24" s="166">
        <v>0</v>
      </c>
      <c r="MX24" s="166">
        <v>0</v>
      </c>
      <c r="MY24" s="166">
        <v>0</v>
      </c>
      <c r="MZ24" s="166">
        <v>0</v>
      </c>
      <c r="NA24" s="166">
        <v>0</v>
      </c>
      <c r="NB24" s="166">
        <v>0</v>
      </c>
      <c r="NC24" s="166">
        <v>1.0844793248812901</v>
      </c>
      <c r="ND24" s="166">
        <v>0</v>
      </c>
      <c r="NE24" s="166">
        <v>8.2298926280600006E-3</v>
      </c>
      <c r="NF24" s="166">
        <v>1.372290001748E-2</v>
      </c>
      <c r="NG24" s="166">
        <v>0.18237836930487999</v>
      </c>
      <c r="NH24" s="166">
        <v>0</v>
      </c>
      <c r="NI24" s="166">
        <v>0</v>
      </c>
      <c r="NJ24" s="166">
        <v>0</v>
      </c>
      <c r="NK24" s="166">
        <v>0</v>
      </c>
      <c r="NL24" s="166">
        <v>0</v>
      </c>
      <c r="NM24" s="166">
        <v>0</v>
      </c>
      <c r="NN24" s="166">
        <v>0</v>
      </c>
      <c r="NO24" s="166">
        <v>0</v>
      </c>
      <c r="NP24" s="166">
        <v>0</v>
      </c>
      <c r="NQ24" s="166">
        <v>0</v>
      </c>
      <c r="NR24" s="166">
        <v>0</v>
      </c>
      <c r="NS24" s="166">
        <v>0</v>
      </c>
      <c r="NT24" s="166">
        <v>0</v>
      </c>
      <c r="NU24" s="166">
        <v>0</v>
      </c>
      <c r="NV24" s="166">
        <v>0</v>
      </c>
      <c r="NW24" s="166">
        <v>0</v>
      </c>
      <c r="NX24" s="166">
        <v>0</v>
      </c>
      <c r="NY24" s="166">
        <v>0</v>
      </c>
      <c r="NZ24" s="166">
        <v>0</v>
      </c>
      <c r="OA24" s="166">
        <v>-55.3</v>
      </c>
      <c r="OB24" s="166">
        <v>-13.7</v>
      </c>
      <c r="OC24" s="166">
        <v>0</v>
      </c>
      <c r="OD24" s="166">
        <v>0</v>
      </c>
      <c r="OE24" s="166">
        <v>0</v>
      </c>
      <c r="OF24" s="166">
        <v>0</v>
      </c>
      <c r="OG24" s="166">
        <v>-0.19175</v>
      </c>
      <c r="OH24" s="166">
        <v>0</v>
      </c>
      <c r="OI24" s="166">
        <v>0</v>
      </c>
      <c r="OJ24" s="166">
        <v>0</v>
      </c>
      <c r="OK24" s="166">
        <v>-1.7482223284297</v>
      </c>
      <c r="OL24" s="166">
        <v>0</v>
      </c>
      <c r="OM24" s="166">
        <v>0</v>
      </c>
      <c r="ON24" s="166">
        <v>0</v>
      </c>
      <c r="OO24" s="166">
        <v>0</v>
      </c>
      <c r="OP24" s="166">
        <v>0</v>
      </c>
      <c r="OQ24" s="166">
        <v>0</v>
      </c>
      <c r="OR24" s="166">
        <v>0</v>
      </c>
      <c r="OS24" s="166">
        <v>0</v>
      </c>
      <c r="OT24" s="166">
        <v>0</v>
      </c>
      <c r="OU24" s="166">
        <v>0</v>
      </c>
      <c r="OV24" s="166">
        <v>0</v>
      </c>
      <c r="OW24" s="166">
        <v>0</v>
      </c>
      <c r="OX24" s="166">
        <v>0</v>
      </c>
      <c r="OY24" s="166">
        <v>0</v>
      </c>
      <c r="OZ24" s="166">
        <v>0</v>
      </c>
      <c r="PA24" s="166">
        <v>0</v>
      </c>
      <c r="PB24" s="166">
        <v>0</v>
      </c>
      <c r="PC24" s="166">
        <v>0</v>
      </c>
      <c r="PD24" s="166">
        <v>0</v>
      </c>
      <c r="PE24" s="166">
        <v>-55.3</v>
      </c>
      <c r="PF24" s="166">
        <v>-13.7</v>
      </c>
      <c r="PG24" s="166">
        <v>0</v>
      </c>
      <c r="PH24" s="166">
        <v>0</v>
      </c>
      <c r="PI24" s="166">
        <v>0</v>
      </c>
      <c r="PJ24" s="166">
        <v>0</v>
      </c>
      <c r="PK24" s="166">
        <v>0</v>
      </c>
      <c r="PL24" s="166">
        <v>0</v>
      </c>
      <c r="PM24" s="166">
        <v>0</v>
      </c>
      <c r="PN24" s="166">
        <v>0</v>
      </c>
      <c r="PO24" s="166">
        <v>1.2251844783362</v>
      </c>
      <c r="PP24" s="166">
        <v>0</v>
      </c>
      <c r="PQ24" s="166">
        <v>0</v>
      </c>
      <c r="PR24" s="166">
        <v>0</v>
      </c>
      <c r="PS24" s="166">
        <v>0</v>
      </c>
      <c r="PT24" s="166">
        <v>0</v>
      </c>
      <c r="PU24" s="166">
        <v>0</v>
      </c>
      <c r="PV24" s="166">
        <v>0</v>
      </c>
      <c r="PW24" s="166">
        <v>0</v>
      </c>
      <c r="PX24" s="166">
        <v>0</v>
      </c>
      <c r="PY24" s="166">
        <v>0</v>
      </c>
      <c r="PZ24" s="166">
        <v>0</v>
      </c>
      <c r="QA24" s="166">
        <v>0</v>
      </c>
      <c r="QB24" s="166">
        <v>0</v>
      </c>
      <c r="QC24" s="166">
        <v>0</v>
      </c>
      <c r="QD24" s="166">
        <v>0</v>
      </c>
      <c r="QE24" s="166">
        <v>0</v>
      </c>
      <c r="QF24" s="166">
        <v>0</v>
      </c>
      <c r="QG24" s="166">
        <v>0</v>
      </c>
      <c r="QH24" s="166">
        <v>0</v>
      </c>
      <c r="QI24" s="162">
        <v>0</v>
      </c>
      <c r="QJ24" s="167">
        <v>0</v>
      </c>
      <c r="QK24" s="167">
        <v>0</v>
      </c>
      <c r="QL24" s="167">
        <v>0</v>
      </c>
      <c r="QM24" s="167">
        <v>0</v>
      </c>
      <c r="QN24" s="162">
        <v>0</v>
      </c>
      <c r="QO24" s="162">
        <v>0</v>
      </c>
      <c r="QP24" s="162">
        <v>0</v>
      </c>
      <c r="QQ24" s="162">
        <v>0</v>
      </c>
      <c r="QR24" s="162">
        <v>0</v>
      </c>
      <c r="QS24" s="162">
        <v>0</v>
      </c>
      <c r="QT24" s="162">
        <v>0</v>
      </c>
      <c r="QU24" s="162">
        <v>0</v>
      </c>
      <c r="QV24" s="162">
        <v>0</v>
      </c>
      <c r="QW24" s="162">
        <v>0</v>
      </c>
      <c r="QX24" s="162">
        <v>0</v>
      </c>
      <c r="QY24" s="162">
        <v>0</v>
      </c>
      <c r="QZ24" s="162">
        <v>0</v>
      </c>
      <c r="RA24" s="167">
        <v>0</v>
      </c>
      <c r="RB24" s="167">
        <v>0</v>
      </c>
      <c r="RC24" s="167">
        <v>0</v>
      </c>
      <c r="RD24" s="167">
        <v>0</v>
      </c>
      <c r="RE24" s="167">
        <v>0</v>
      </c>
      <c r="RF24" s="167">
        <v>0</v>
      </c>
      <c r="RG24" s="167">
        <v>0</v>
      </c>
      <c r="RH24" s="167">
        <v>0</v>
      </c>
      <c r="RI24" s="167">
        <v>0</v>
      </c>
      <c r="RJ24" s="167">
        <v>0</v>
      </c>
      <c r="RK24" s="167">
        <v>0</v>
      </c>
      <c r="RL24" s="167">
        <v>0</v>
      </c>
      <c r="RM24" s="166">
        <v>-55.3</v>
      </c>
      <c r="RN24" s="166">
        <v>-13.7</v>
      </c>
      <c r="RO24" s="166">
        <v>-0.26004559921005999</v>
      </c>
      <c r="RP24" s="166">
        <v>0</v>
      </c>
      <c r="RQ24" s="166">
        <v>-5.1455535438768099</v>
      </c>
      <c r="RR24" s="166">
        <v>0</v>
      </c>
      <c r="RS24" s="166">
        <v>0</v>
      </c>
      <c r="RT24" s="166">
        <v>0</v>
      </c>
      <c r="RU24" s="166">
        <v>0</v>
      </c>
      <c r="RV24" s="166">
        <v>0</v>
      </c>
      <c r="RW24" s="166">
        <v>0</v>
      </c>
      <c r="RX24" s="166">
        <v>0</v>
      </c>
      <c r="RY24" s="166">
        <v>-0.71675000000003997</v>
      </c>
      <c r="RZ24" s="166">
        <v>0</v>
      </c>
      <c r="SA24" s="166">
        <v>0</v>
      </c>
      <c r="SB24" s="166">
        <v>0</v>
      </c>
      <c r="SC24" s="166">
        <v>-19.522917182464671</v>
      </c>
      <c r="SD24" s="166">
        <v>0</v>
      </c>
      <c r="SE24" s="166">
        <v>0</v>
      </c>
      <c r="SF24" s="166">
        <v>0</v>
      </c>
      <c r="SG24" s="166">
        <v>0</v>
      </c>
      <c r="SH24" s="166">
        <v>0</v>
      </c>
      <c r="SI24" s="166">
        <v>0</v>
      </c>
      <c r="SJ24" s="166">
        <v>0</v>
      </c>
      <c r="SK24" s="166">
        <v>0</v>
      </c>
      <c r="SL24" s="166">
        <v>0</v>
      </c>
      <c r="SM24" s="166">
        <v>0</v>
      </c>
      <c r="SN24" s="166">
        <v>0</v>
      </c>
      <c r="SO24" s="166">
        <v>0</v>
      </c>
      <c r="SP24" s="166">
        <v>0</v>
      </c>
      <c r="SQ24" s="166">
        <v>-55.3</v>
      </c>
      <c r="SR24" s="166">
        <v>-13.7</v>
      </c>
      <c r="SS24" s="166">
        <v>0</v>
      </c>
      <c r="ST24" s="166">
        <v>0</v>
      </c>
      <c r="SU24" s="166">
        <v>0</v>
      </c>
      <c r="SV24" s="166">
        <v>0</v>
      </c>
      <c r="SW24" s="166">
        <v>0</v>
      </c>
      <c r="SX24" s="166">
        <v>0</v>
      </c>
      <c r="SY24" s="166">
        <v>0</v>
      </c>
      <c r="SZ24" s="166">
        <v>0</v>
      </c>
      <c r="TA24" s="166">
        <v>0</v>
      </c>
      <c r="TB24" s="166">
        <v>0</v>
      </c>
      <c r="TC24" s="166">
        <v>0</v>
      </c>
      <c r="TD24" s="166">
        <v>0</v>
      </c>
      <c r="TE24" s="166">
        <v>0</v>
      </c>
      <c r="TF24" s="166">
        <v>0</v>
      </c>
      <c r="TG24" s="166">
        <v>0</v>
      </c>
      <c r="TH24" s="166">
        <v>0</v>
      </c>
      <c r="TI24" s="166">
        <v>0</v>
      </c>
      <c r="TJ24" s="166">
        <v>0</v>
      </c>
      <c r="TK24" s="166">
        <v>0</v>
      </c>
      <c r="TL24" s="166">
        <v>0</v>
      </c>
      <c r="TM24" s="166">
        <v>0</v>
      </c>
      <c r="TN24" s="166">
        <v>0</v>
      </c>
      <c r="TO24" s="166">
        <v>0</v>
      </c>
      <c r="TP24" s="166">
        <v>0</v>
      </c>
      <c r="TQ24" s="166">
        <v>0</v>
      </c>
      <c r="TR24" s="166">
        <v>0</v>
      </c>
      <c r="TS24" s="166">
        <v>0</v>
      </c>
      <c r="TT24" s="166">
        <v>0</v>
      </c>
      <c r="TU24" s="166">
        <v>1.01045951382652</v>
      </c>
      <c r="TV24" s="166">
        <v>0</v>
      </c>
      <c r="TW24" s="166">
        <v>8.2298926280600006E-3</v>
      </c>
      <c r="TX24" s="166">
        <v>1.372290001748E-2</v>
      </c>
      <c r="TY24" s="166">
        <v>0</v>
      </c>
      <c r="TZ24" s="166">
        <v>0</v>
      </c>
      <c r="UA24" s="166">
        <v>-2.302131373796E-2</v>
      </c>
      <c r="UB24" s="166">
        <v>0</v>
      </c>
      <c r="UC24" s="166">
        <v>0</v>
      </c>
      <c r="UD24" s="166">
        <v>0</v>
      </c>
      <c r="UE24" s="166">
        <v>8.5949049755689996E-2</v>
      </c>
      <c r="UF24" s="166">
        <v>-10</v>
      </c>
      <c r="UG24" s="166">
        <v>7.601780773762E-2</v>
      </c>
      <c r="UH24" s="166">
        <v>0</v>
      </c>
      <c r="UI24" s="166">
        <v>3.8214742709299998E-3</v>
      </c>
      <c r="UJ24" s="166">
        <v>0</v>
      </c>
      <c r="UK24" s="166">
        <v>2.6062367412770002E-2</v>
      </c>
      <c r="UL24" s="166">
        <v>2.5</v>
      </c>
      <c r="UM24" s="166">
        <v>0</v>
      </c>
      <c r="UN24" s="166">
        <v>0</v>
      </c>
      <c r="UO24" s="166">
        <v>0</v>
      </c>
      <c r="UP24" s="166">
        <v>0</v>
      </c>
      <c r="UQ24" s="166">
        <v>0</v>
      </c>
      <c r="UR24" s="166">
        <v>0</v>
      </c>
      <c r="US24" s="163">
        <v>0</v>
      </c>
      <c r="UT24" s="163">
        <v>0</v>
      </c>
      <c r="UU24" s="163">
        <v>0</v>
      </c>
      <c r="UV24" s="163">
        <v>0</v>
      </c>
      <c r="UW24" s="163">
        <v>0</v>
      </c>
      <c r="UX24" s="163">
        <v>0</v>
      </c>
      <c r="UY24" s="166">
        <v>0</v>
      </c>
      <c r="UZ24" s="166">
        <v>0</v>
      </c>
      <c r="VA24" s="166">
        <v>0</v>
      </c>
      <c r="VB24" s="166">
        <v>0</v>
      </c>
      <c r="VC24" s="166">
        <v>0</v>
      </c>
      <c r="VD24" s="166">
        <v>0</v>
      </c>
      <c r="VE24" s="267">
        <v>202</v>
      </c>
      <c r="VF24" s="267">
        <v>279</v>
      </c>
      <c r="VG24" s="267">
        <v>354</v>
      </c>
      <c r="VH24" s="267">
        <v>0</v>
      </c>
      <c r="VI24" s="267">
        <v>403</v>
      </c>
      <c r="VJ24" s="267">
        <v>0</v>
      </c>
      <c r="VK24" s="267">
        <v>0</v>
      </c>
      <c r="VL24" s="257">
        <v>0</v>
      </c>
      <c r="VM24" s="257">
        <v>0</v>
      </c>
      <c r="VN24" s="257">
        <v>0</v>
      </c>
      <c r="VO24" s="257">
        <v>0</v>
      </c>
      <c r="VP24" s="257">
        <v>0</v>
      </c>
      <c r="VQ24" s="257">
        <v>0</v>
      </c>
      <c r="VR24" s="257">
        <v>0</v>
      </c>
      <c r="VS24" s="257">
        <v>0</v>
      </c>
      <c r="VT24" s="257">
        <v>0</v>
      </c>
      <c r="VU24" s="257">
        <v>0</v>
      </c>
      <c r="VV24" s="257">
        <v>0</v>
      </c>
      <c r="VW24" s="257">
        <v>0</v>
      </c>
      <c r="VX24" s="257">
        <v>0</v>
      </c>
      <c r="VY24" s="257">
        <v>0</v>
      </c>
      <c r="VZ24" s="257">
        <v>0</v>
      </c>
      <c r="WA24" s="257">
        <v>0</v>
      </c>
      <c r="WB24" s="257">
        <v>0</v>
      </c>
      <c r="WC24" s="257">
        <v>0</v>
      </c>
      <c r="WD24" s="257">
        <v>0</v>
      </c>
      <c r="WE24" s="257">
        <v>0</v>
      </c>
      <c r="WF24" s="257">
        <v>0</v>
      </c>
      <c r="WG24" s="257">
        <v>0</v>
      </c>
      <c r="WH24" s="257">
        <v>0</v>
      </c>
      <c r="WI24" s="257">
        <v>0</v>
      </c>
      <c r="WJ24" s="257">
        <v>0</v>
      </c>
      <c r="WK24" s="257">
        <v>0</v>
      </c>
      <c r="WL24" s="257">
        <v>0</v>
      </c>
      <c r="WM24" s="257">
        <v>0</v>
      </c>
      <c r="WN24" s="257">
        <v>0</v>
      </c>
      <c r="WO24" s="257">
        <v>0</v>
      </c>
      <c r="WP24" s="257">
        <v>0</v>
      </c>
      <c r="WQ24" s="257">
        <v>0</v>
      </c>
      <c r="WR24" s="257">
        <v>0</v>
      </c>
      <c r="WS24" s="572">
        <v>94.671000000000006</v>
      </c>
      <c r="WT24" s="572">
        <v>75.104342379958254</v>
      </c>
      <c r="WU24" s="572">
        <v>83.010062630480178</v>
      </c>
      <c r="WV24" s="572">
        <v>86.962922755741133</v>
      </c>
      <c r="WW24" s="572">
        <v>133.60667223382046</v>
      </c>
      <c r="WX24" s="247">
        <v>13828.50459</v>
      </c>
      <c r="WY24" s="4">
        <v>78</v>
      </c>
      <c r="WZ24" s="4">
        <v>15</v>
      </c>
      <c r="XA24" s="4">
        <v>7.0000000000000009</v>
      </c>
      <c r="XB24" s="4">
        <v>0</v>
      </c>
      <c r="XC24" s="1037">
        <v>1304.1759442223745</v>
      </c>
      <c r="XD24" s="1037">
        <v>0</v>
      </c>
      <c r="XE24" s="1037">
        <v>0</v>
      </c>
      <c r="XF24" s="1037">
        <v>0</v>
      </c>
      <c r="XG24" s="1037">
        <v>0</v>
      </c>
      <c r="XH24" s="1037">
        <v>0</v>
      </c>
      <c r="XI24" s="1037">
        <v>1534.3246402616171</v>
      </c>
      <c r="XJ24" s="1037">
        <v>153.43246402616171</v>
      </c>
      <c r="XK24" s="1037">
        <v>1399.0618101332907</v>
      </c>
      <c r="XL24" s="1037">
        <v>0</v>
      </c>
      <c r="XM24" s="1037">
        <v>0</v>
      </c>
      <c r="XN24" s="1037">
        <v>0</v>
      </c>
      <c r="XO24" s="1037">
        <v>0</v>
      </c>
      <c r="XP24" s="1037">
        <v>0</v>
      </c>
      <c r="XQ24" s="1037">
        <v>1645.955070745048</v>
      </c>
      <c r="XR24" s="1037">
        <v>164.59550707450478</v>
      </c>
      <c r="XS24" s="1037">
        <v>1465.6838010920187</v>
      </c>
      <c r="XT24" s="1037">
        <v>0</v>
      </c>
      <c r="XU24" s="1037">
        <v>0</v>
      </c>
      <c r="XV24" s="1037">
        <v>0</v>
      </c>
      <c r="XW24" s="1037">
        <v>0</v>
      </c>
      <c r="XX24" s="1037">
        <v>0</v>
      </c>
      <c r="XY24" s="1037">
        <v>1724.3338836376695</v>
      </c>
      <c r="XZ24" s="1037">
        <v>172.43338836376691</v>
      </c>
      <c r="YA24" s="1037">
        <v>2251.823294405011</v>
      </c>
      <c r="YB24" s="1037">
        <v>0</v>
      </c>
      <c r="YC24" s="1037">
        <v>0</v>
      </c>
      <c r="YD24" s="1037">
        <v>0</v>
      </c>
      <c r="YE24" s="1037">
        <v>0</v>
      </c>
      <c r="YF24" s="1037">
        <v>0</v>
      </c>
      <c r="YG24" s="1037">
        <v>2649.2038757706014</v>
      </c>
      <c r="YH24" s="1037">
        <v>264.92038757706007</v>
      </c>
      <c r="YI24" s="1037">
        <v>700.77720736215599</v>
      </c>
      <c r="YJ24" s="1037">
        <v>2184.7759994231924</v>
      </c>
      <c r="YK24" s="1037">
        <v>329.77750934689692</v>
      </c>
      <c r="YL24" s="1037">
        <v>0</v>
      </c>
      <c r="YM24" s="1037">
        <v>0</v>
      </c>
      <c r="YN24" s="1037">
        <v>0</v>
      </c>
      <c r="YO24" s="1037">
        <v>824.44377336724233</v>
      </c>
      <c r="YP24" s="1037">
        <v>82.44437733672423</v>
      </c>
      <c r="YQ24" s="1037">
        <v>751.76254597828802</v>
      </c>
      <c r="YR24" s="1037">
        <v>2343.7302904028979</v>
      </c>
      <c r="YS24" s="1037">
        <v>353.77060987213554</v>
      </c>
      <c r="YT24" s="1037">
        <v>0</v>
      </c>
      <c r="YU24" s="1037">
        <v>0</v>
      </c>
      <c r="YV24" s="1037">
        <v>0</v>
      </c>
      <c r="YW24" s="1037">
        <v>884.42652468033884</v>
      </c>
      <c r="YX24" s="1037">
        <v>88.442652468033884</v>
      </c>
      <c r="YY24" s="1037">
        <v>787.56076245344468</v>
      </c>
      <c r="YZ24" s="1037">
        <v>2455.336494707798</v>
      </c>
      <c r="ZA24" s="1037">
        <v>370.61682938985626</v>
      </c>
      <c r="ZB24" s="1037">
        <v>0</v>
      </c>
      <c r="ZC24" s="1037">
        <v>0</v>
      </c>
      <c r="ZD24" s="1037">
        <v>0</v>
      </c>
      <c r="ZE24" s="1037">
        <v>926.5420734746408</v>
      </c>
      <c r="ZF24" s="1037">
        <v>92.654207347464066</v>
      </c>
      <c r="ZG24" s="1037">
        <v>1209.9797168602925</v>
      </c>
      <c r="ZH24" s="1037">
        <v>3772.2897055056178</v>
      </c>
      <c r="ZI24" s="1037">
        <v>569.40221969896118</v>
      </c>
      <c r="ZJ24" s="1037">
        <v>0</v>
      </c>
      <c r="ZK24" s="1037">
        <v>0</v>
      </c>
      <c r="ZL24" s="1037">
        <v>0</v>
      </c>
      <c r="ZM24" s="1037">
        <v>1423.505549247403</v>
      </c>
      <c r="ZN24" s="1037">
        <v>142.35055492474029</v>
      </c>
      <c r="ZO24" s="1037">
        <v>1864.9716002379957</v>
      </c>
      <c r="ZP24" s="1037">
        <v>5814.3232242713984</v>
      </c>
      <c r="ZQ24" s="1037">
        <v>877.63369422964502</v>
      </c>
      <c r="ZR24" s="1037">
        <v>0</v>
      </c>
      <c r="ZS24" s="1037">
        <v>0</v>
      </c>
      <c r="ZT24" s="1037">
        <v>0</v>
      </c>
      <c r="ZU24" s="1037">
        <v>2194.0842355741129</v>
      </c>
      <c r="ZV24" s="1037">
        <v>219.40842355741125</v>
      </c>
      <c r="ZW24" s="1037">
        <v>2061.2844002630482</v>
      </c>
      <c r="ZX24" s="1037">
        <v>6426.3572478789147</v>
      </c>
      <c r="ZY24" s="1037">
        <v>970.01618835908141</v>
      </c>
      <c r="ZZ24" s="1037">
        <v>0</v>
      </c>
      <c r="AAA24" s="1037">
        <v>0</v>
      </c>
      <c r="AAB24" s="1037">
        <v>0</v>
      </c>
      <c r="AAC24" s="1037">
        <v>2425.0404708977035</v>
      </c>
      <c r="AAD24" s="1037">
        <v>242.50404708977035</v>
      </c>
      <c r="AAE24" s="1037">
        <v>2159.4408002755745</v>
      </c>
      <c r="AAF24" s="1037">
        <v>6732.3742596826723</v>
      </c>
      <c r="AAG24" s="1037">
        <v>1016.2074354237997</v>
      </c>
      <c r="AAH24" s="1037">
        <v>0</v>
      </c>
      <c r="AAI24" s="1037">
        <v>0</v>
      </c>
      <c r="AAJ24" s="1037">
        <v>0</v>
      </c>
      <c r="AAK24" s="1037">
        <v>2540.5185885594992</v>
      </c>
      <c r="AAL24" s="1037">
        <v>254.05185885594992</v>
      </c>
      <c r="AAM24" s="1037">
        <v>3317.6863204233828</v>
      </c>
      <c r="AAN24" s="1037">
        <v>10343.374998967016</v>
      </c>
      <c r="AAO24" s="1037">
        <v>1561.2641507874741</v>
      </c>
      <c r="AAP24" s="1037">
        <v>0</v>
      </c>
      <c r="AAQ24" s="1037">
        <v>0</v>
      </c>
      <c r="AAR24" s="1037">
        <v>0</v>
      </c>
      <c r="AAS24" s="1037">
        <v>3903.1603769686853</v>
      </c>
      <c r="AAT24" s="1037">
        <v>390.31603769686853</v>
      </c>
      <c r="AAU24" s="1037">
        <v>2565.7488076001518</v>
      </c>
      <c r="AAV24" s="1037">
        <v>7999.0992236945904</v>
      </c>
      <c r="AAW24" s="1037">
        <v>1207.411203576542</v>
      </c>
      <c r="AAX24" s="1037">
        <v>0</v>
      </c>
      <c r="AAY24" s="1037">
        <v>0</v>
      </c>
      <c r="AAZ24" s="1037">
        <v>0</v>
      </c>
      <c r="ABA24" s="1037">
        <v>3018.528008941355</v>
      </c>
      <c r="ABB24" s="1037">
        <v>301.8528008941355</v>
      </c>
      <c r="ABC24" s="1037">
        <v>2716.0453274054285</v>
      </c>
      <c r="ABD24" s="1037">
        <v>8467.6707266169233</v>
      </c>
      <c r="ABE24" s="1037">
        <v>1278.1389776025544</v>
      </c>
      <c r="ABF24" s="1037">
        <v>0</v>
      </c>
      <c r="ABG24" s="1037">
        <v>0</v>
      </c>
      <c r="ABH24" s="1037">
        <v>0</v>
      </c>
      <c r="ABI24" s="1037">
        <v>3195.347444006386</v>
      </c>
      <c r="ABJ24" s="1037">
        <v>319.5347444006386</v>
      </c>
      <c r="ABK24" s="1037">
        <v>2845.3808191866392</v>
      </c>
      <c r="ABL24" s="1037">
        <v>8870.8931421701109</v>
      </c>
      <c r="ABM24" s="1037">
        <v>1339.0027384407713</v>
      </c>
      <c r="ABN24" s="1037">
        <v>0</v>
      </c>
      <c r="ABO24" s="1037">
        <v>0</v>
      </c>
      <c r="ABP24" s="1037">
        <v>0</v>
      </c>
      <c r="ABQ24" s="1037">
        <v>3347.5068461019287</v>
      </c>
      <c r="ABR24" s="1037">
        <v>334.75068461019282</v>
      </c>
      <c r="ABS24" s="1037">
        <v>7218.4811456484513</v>
      </c>
      <c r="ABT24" s="1037">
        <v>22504.676512903996</v>
      </c>
      <c r="ABU24" s="1037">
        <v>3396.9323038345651</v>
      </c>
      <c r="ABV24" s="1037">
        <v>0</v>
      </c>
      <c r="ABW24" s="1037">
        <v>0</v>
      </c>
      <c r="ABX24" s="1037">
        <v>0</v>
      </c>
      <c r="ABY24" s="1037">
        <v>8492.3307595864135</v>
      </c>
      <c r="ABZ24" s="1037">
        <v>849.23307595864128</v>
      </c>
      <c r="ACA24" s="1037">
        <v>3323.0403058786105</v>
      </c>
      <c r="ACB24" s="1037">
        <v>10360.066835974492</v>
      </c>
      <c r="ACC24" s="1037">
        <v>1563.7836733546403</v>
      </c>
      <c r="ACD24" s="1037">
        <v>0</v>
      </c>
      <c r="ACE24" s="1037">
        <v>0</v>
      </c>
      <c r="ACF24" s="1037">
        <v>0</v>
      </c>
      <c r="ACG24" s="1037">
        <v>3909.4591833866007</v>
      </c>
      <c r="ACH24" s="1037">
        <v>390.94591833866008</v>
      </c>
      <c r="ACI24" s="1037">
        <v>3552.6842898651362</v>
      </c>
      <c r="ACJ24" s="1037">
        <v>11076.015727226601</v>
      </c>
      <c r="ACK24" s="1037">
        <v>1671.85143052477</v>
      </c>
      <c r="ACL24" s="1037">
        <v>0</v>
      </c>
      <c r="ACM24" s="1037">
        <v>0</v>
      </c>
      <c r="ACN24" s="1037">
        <v>0</v>
      </c>
      <c r="ACO24" s="1037">
        <v>4179.6285763119249</v>
      </c>
      <c r="ACP24" s="1037">
        <v>417.96285763119249</v>
      </c>
      <c r="ACQ24" s="1037">
        <v>3721.8597322396668</v>
      </c>
      <c r="ACR24" s="1037">
        <v>11603.445047570725</v>
      </c>
      <c r="ACS24" s="1037">
        <v>1751.463403406902</v>
      </c>
      <c r="ACT24" s="1037">
        <v>0</v>
      </c>
      <c r="ACU24" s="1037">
        <v>0</v>
      </c>
      <c r="ACV24" s="1037">
        <v>0</v>
      </c>
      <c r="ACW24" s="1037">
        <v>4378.6585085172546</v>
      </c>
      <c r="ACX24" s="1037">
        <v>437.8658508517255</v>
      </c>
      <c r="ACY24" s="1037">
        <v>5718.1299522591244</v>
      </c>
      <c r="ACZ24" s="1037">
        <v>17827.111027631388</v>
      </c>
      <c r="ADA24" s="1037">
        <v>2690.8846834160586</v>
      </c>
      <c r="ADB24" s="1037">
        <v>0</v>
      </c>
      <c r="ADC24" s="1037">
        <v>0</v>
      </c>
      <c r="ADD24" s="1037">
        <v>0</v>
      </c>
      <c r="ADE24" s="1037">
        <v>6727.2117085401469</v>
      </c>
      <c r="ADF24" s="1037">
        <v>672.72117085401464</v>
      </c>
      <c r="ADG24" s="1037">
        <v>4057.7260877905487</v>
      </c>
      <c r="ADH24" s="1037">
        <v>12650.557803111709</v>
      </c>
      <c r="ADI24" s="1037">
        <v>1909.518158960258</v>
      </c>
      <c r="ADJ24" s="1037">
        <v>0</v>
      </c>
      <c r="ADK24" s="1037">
        <v>0</v>
      </c>
      <c r="ADL24" s="1037">
        <v>0</v>
      </c>
      <c r="ADM24" s="1037">
        <v>4773.795397400645</v>
      </c>
      <c r="ADN24" s="1037">
        <v>477.3795397400645</v>
      </c>
      <c r="ADO24" s="1037">
        <v>4365.0728476158674</v>
      </c>
      <c r="ADP24" s="1037">
        <v>13608.756524920056</v>
      </c>
      <c r="ADQ24" s="1037">
        <v>2054.1519282898198</v>
      </c>
      <c r="ADR24" s="1037">
        <v>0</v>
      </c>
      <c r="ADS24" s="1037">
        <v>0</v>
      </c>
      <c r="ADT24" s="1037">
        <v>0</v>
      </c>
      <c r="ADU24" s="1037">
        <v>5135.3798207245491</v>
      </c>
      <c r="ADV24" s="1037">
        <v>513.53798207245495</v>
      </c>
      <c r="ADW24" s="1037">
        <v>4572.9334594070988</v>
      </c>
      <c r="ADX24" s="1037">
        <v>14256.792549916248</v>
      </c>
      <c r="ADY24" s="1037">
        <v>2151.9686867798109</v>
      </c>
      <c r="ADZ24" s="1037">
        <v>0</v>
      </c>
      <c r="AEA24" s="1037">
        <v>0</v>
      </c>
      <c r="AEB24" s="1037">
        <v>0</v>
      </c>
      <c r="AEC24" s="1037">
        <v>5379.9217169495278</v>
      </c>
      <c r="AED24" s="1037">
        <v>537.99217169495273</v>
      </c>
      <c r="AEE24" s="1037">
        <v>7025.6886785436345</v>
      </c>
      <c r="AEF24" s="1037">
        <v>21903.61764487133</v>
      </c>
      <c r="AEG24" s="1037">
        <v>3306.2064369617101</v>
      </c>
      <c r="AEH24" s="1037">
        <v>0</v>
      </c>
      <c r="AEI24" s="1037">
        <v>0</v>
      </c>
      <c r="AEJ24" s="1037">
        <v>0</v>
      </c>
      <c r="AEK24" s="1037">
        <v>8265.5160924042757</v>
      </c>
      <c r="AEL24" s="1037">
        <v>826.55160924042752</v>
      </c>
      <c r="AEM24" s="1037">
        <v>4679.3832878698804</v>
      </c>
      <c r="AEN24" s="1037">
        <v>14588.66554453551</v>
      </c>
      <c r="AEO24" s="1037">
        <v>2202.0627237034732</v>
      </c>
      <c r="AEP24" s="1037">
        <v>0</v>
      </c>
      <c r="AEQ24" s="1037">
        <v>0</v>
      </c>
      <c r="AER24" s="1037">
        <v>0</v>
      </c>
      <c r="AES24" s="1037">
        <v>5505.1568092586831</v>
      </c>
      <c r="AET24" s="1037">
        <v>550.51568092586831</v>
      </c>
      <c r="AEU24" s="1037">
        <v>4971.3329653402925</v>
      </c>
      <c r="AEV24" s="1037">
        <v>15498.861597825617</v>
      </c>
      <c r="AEW24" s="1037">
        <v>2339.450807218961</v>
      </c>
      <c r="AEX24" s="1037">
        <v>0</v>
      </c>
      <c r="AEY24" s="1037">
        <v>0</v>
      </c>
      <c r="AEZ24" s="1037">
        <v>0</v>
      </c>
      <c r="AFA24" s="1037">
        <v>5848.6270180474021</v>
      </c>
      <c r="AFB24" s="1037">
        <v>584.86270180474025</v>
      </c>
      <c r="AFC24" s="1037">
        <v>5208.0631065469734</v>
      </c>
      <c r="AFD24" s="1037">
        <v>16236.902626293504</v>
      </c>
      <c r="AFE24" s="1037">
        <v>2450.8532266103402</v>
      </c>
      <c r="AFF24" s="1037">
        <v>0</v>
      </c>
      <c r="AFG24" s="1037">
        <v>0</v>
      </c>
      <c r="AFH24" s="1037">
        <v>0</v>
      </c>
      <c r="AFI24" s="1037">
        <v>6127.1330665258502</v>
      </c>
      <c r="AFJ24" s="1037">
        <v>612.71330665258506</v>
      </c>
      <c r="AFK24" s="1037">
        <v>8001.4787727858047</v>
      </c>
      <c r="AFL24" s="1037">
        <v>24945.786762214568</v>
      </c>
      <c r="AFM24" s="1037">
        <v>3765.4017754286137</v>
      </c>
      <c r="AFN24" s="1037">
        <v>0</v>
      </c>
      <c r="AFO24" s="1037">
        <v>0</v>
      </c>
      <c r="AFP24" s="1037">
        <v>0</v>
      </c>
      <c r="AFQ24" s="1037">
        <v>9413.5044385715355</v>
      </c>
      <c r="AFR24" s="1037">
        <v>941.35044385715344</v>
      </c>
      <c r="AFS24" s="247">
        <v>1864.9716002379957</v>
      </c>
      <c r="AFT24" s="247">
        <v>5814.3232242713984</v>
      </c>
      <c r="AFU24" s="247">
        <v>877.63369422964502</v>
      </c>
      <c r="AFV24" s="247">
        <v>0</v>
      </c>
      <c r="AFW24" s="247">
        <v>0</v>
      </c>
      <c r="AFX24" s="247">
        <v>0</v>
      </c>
      <c r="AFY24" s="247">
        <v>2194.0842355741129</v>
      </c>
      <c r="AFZ24" s="247">
        <v>219.40842355741125</v>
      </c>
      <c r="AGA24" s="247">
        <v>2061.2844002630482</v>
      </c>
      <c r="AGB24" s="247">
        <v>6426.3572478789147</v>
      </c>
      <c r="AGC24" s="247">
        <v>970.01618835908141</v>
      </c>
      <c r="AGD24" s="247">
        <v>0</v>
      </c>
      <c r="AGE24" s="247">
        <v>0</v>
      </c>
      <c r="AGF24" s="247">
        <v>0</v>
      </c>
      <c r="AGG24" s="247">
        <v>2425.0404708977035</v>
      </c>
      <c r="AGH24" s="247">
        <v>242.50404708977035</v>
      </c>
      <c r="AGI24" s="247">
        <v>2159.4408002755745</v>
      </c>
      <c r="AGJ24" s="247">
        <v>6732.3742596826723</v>
      </c>
      <c r="AGK24" s="247">
        <v>1016.2074354237997</v>
      </c>
      <c r="AGL24" s="247">
        <v>0</v>
      </c>
      <c r="AGM24" s="247">
        <v>0</v>
      </c>
      <c r="AGN24" s="247">
        <v>0</v>
      </c>
      <c r="AGO24" s="247">
        <v>2540.5185885594992</v>
      </c>
      <c r="AGP24" s="247">
        <v>254.05185885594992</v>
      </c>
      <c r="AGQ24" s="247">
        <v>3317.6863204233828</v>
      </c>
      <c r="AGR24" s="247">
        <v>10343.374998967016</v>
      </c>
      <c r="AGS24" s="247">
        <v>1561.2641507874741</v>
      </c>
      <c r="AGT24" s="247">
        <v>0</v>
      </c>
      <c r="AGU24" s="247">
        <v>0</v>
      </c>
      <c r="AGV24" s="247">
        <v>0</v>
      </c>
      <c r="AGW24" s="247">
        <v>3903.1603769686853</v>
      </c>
      <c r="AGX24" s="247">
        <v>390.31603769686853</v>
      </c>
      <c r="AGY24" s="249">
        <v>0</v>
      </c>
      <c r="AGZ24" s="249">
        <v>0</v>
      </c>
      <c r="AHA24" s="249">
        <v>0</v>
      </c>
      <c r="AHB24" s="249">
        <v>0</v>
      </c>
      <c r="AHC24" s="249">
        <v>0</v>
      </c>
      <c r="AHD24" s="249">
        <v>0</v>
      </c>
      <c r="AHE24" s="249">
        <v>0</v>
      </c>
      <c r="AHF24" s="249">
        <v>0</v>
      </c>
      <c r="AHG24" s="249">
        <v>0</v>
      </c>
      <c r="AHH24" s="249">
        <v>0</v>
      </c>
      <c r="AHI24" s="249">
        <v>0</v>
      </c>
      <c r="AHJ24" s="249">
        <v>0</v>
      </c>
      <c r="AHK24" s="249">
        <v>0</v>
      </c>
      <c r="AHL24" s="249">
        <v>0</v>
      </c>
      <c r="AHM24" s="249">
        <v>0</v>
      </c>
      <c r="AHN24" s="249">
        <v>0</v>
      </c>
      <c r="AHO24" s="249">
        <v>0</v>
      </c>
      <c r="AHP24" s="249">
        <v>0</v>
      </c>
      <c r="AHQ24" s="249">
        <v>0</v>
      </c>
      <c r="AHR24" s="249">
        <v>0</v>
      </c>
      <c r="AHS24" s="249">
        <v>0</v>
      </c>
      <c r="AHT24" s="249">
        <v>0</v>
      </c>
      <c r="AHU24" s="249">
        <v>0</v>
      </c>
      <c r="AHV24" s="249">
        <v>0</v>
      </c>
      <c r="AHW24" s="249">
        <v>0</v>
      </c>
      <c r="AHX24" s="249">
        <v>0</v>
      </c>
      <c r="AHY24" s="249">
        <v>0</v>
      </c>
      <c r="AHZ24" s="249">
        <v>0</v>
      </c>
      <c r="AIA24" s="249">
        <v>0</v>
      </c>
      <c r="AIB24" s="249">
        <v>0</v>
      </c>
      <c r="AIC24" s="249">
        <v>0</v>
      </c>
      <c r="AID24" s="249">
        <v>0</v>
      </c>
      <c r="AIE24" s="249"/>
      <c r="AIF24" s="249"/>
      <c r="AIG24" s="249"/>
      <c r="AIH24" s="249"/>
      <c r="AII24" s="249"/>
      <c r="AIJ24" s="249"/>
      <c r="AIK24" s="249"/>
      <c r="AIL24" s="249"/>
      <c r="AIM24" s="249">
        <v>0</v>
      </c>
      <c r="AIN24" s="249">
        <v>0</v>
      </c>
      <c r="AIO24" s="249">
        <v>0</v>
      </c>
      <c r="AIP24" s="249">
        <v>0</v>
      </c>
      <c r="AIQ24" s="249">
        <v>0</v>
      </c>
      <c r="AIR24" s="249">
        <v>0</v>
      </c>
      <c r="AIS24" s="249">
        <v>0</v>
      </c>
      <c r="AIT24" s="249">
        <v>0</v>
      </c>
      <c r="AIU24" s="134" t="s">
        <v>1216</v>
      </c>
      <c r="AIV24" s="134" t="s">
        <v>1219</v>
      </c>
      <c r="AIW24" s="134" t="s">
        <v>1218</v>
      </c>
      <c r="AIX24" s="134" t="s">
        <v>1217</v>
      </c>
      <c r="AIY24" s="134" t="s">
        <v>1228</v>
      </c>
      <c r="AIZ24" s="134" t="s">
        <v>1229</v>
      </c>
      <c r="AJA24" s="134" t="s">
        <v>1230</v>
      </c>
      <c r="AJB24" s="134" t="s">
        <v>1231</v>
      </c>
      <c r="AJC24" s="134" t="s">
        <v>1232</v>
      </c>
      <c r="AJD24" s="134" t="s">
        <v>1233</v>
      </c>
    </row>
    <row r="25" spans="1:940" ht="18" customHeight="1">
      <c r="A25" s="664" t="s">
        <v>17</v>
      </c>
      <c r="B25" s="669">
        <v>-1.4</v>
      </c>
      <c r="C25" s="6">
        <v>-0.6</v>
      </c>
      <c r="D25" s="6">
        <v>-0.6</v>
      </c>
      <c r="E25" s="74">
        <v>1357.1428571428571</v>
      </c>
      <c r="F25" s="75">
        <v>1.6</v>
      </c>
      <c r="G25" s="7">
        <v>-2.1</v>
      </c>
      <c r="H25" s="7">
        <v>-2.1</v>
      </c>
      <c r="I25" s="266">
        <v>350</v>
      </c>
      <c r="J25" s="125">
        <v>0</v>
      </c>
      <c r="K25" s="125">
        <v>0</v>
      </c>
      <c r="L25" s="125">
        <v>0</v>
      </c>
      <c r="M25" s="1">
        <v>1161.7265276536368</v>
      </c>
      <c r="N25" s="2">
        <v>12</v>
      </c>
      <c r="O25" s="8">
        <v>0.6</v>
      </c>
      <c r="P25" s="8">
        <v>0.4</v>
      </c>
      <c r="Q25" s="8">
        <v>0.4</v>
      </c>
      <c r="R25" s="7">
        <v>0.5</v>
      </c>
      <c r="S25" s="7">
        <v>0</v>
      </c>
      <c r="T25" s="7">
        <v>99.4</v>
      </c>
      <c r="U25" s="7">
        <v>0.2</v>
      </c>
      <c r="V25" s="71">
        <v>0</v>
      </c>
      <c r="W25" s="119">
        <v>2</v>
      </c>
      <c r="X25" s="120">
        <v>1.5</v>
      </c>
      <c r="Y25" s="119">
        <v>1</v>
      </c>
      <c r="Z25" s="120">
        <v>0.8</v>
      </c>
      <c r="AA25" s="120">
        <v>0.5</v>
      </c>
      <c r="AB25" s="559">
        <v>433.01922201480062</v>
      </c>
      <c r="AC25" s="559">
        <v>470.67306740739195</v>
      </c>
      <c r="AD25" s="559">
        <v>433.37222681535616</v>
      </c>
      <c r="AE25" s="559">
        <v>649.0581599547935</v>
      </c>
      <c r="AF25" s="622">
        <v>0.82209484106305364</v>
      </c>
      <c r="AG25" s="559">
        <v>261.91600618637949</v>
      </c>
      <c r="AH25" s="559">
        <v>284.69131107215162</v>
      </c>
      <c r="AI25" s="559">
        <v>262.12952466968363</v>
      </c>
      <c r="AJ25" s="559">
        <v>392.58931796849708</v>
      </c>
      <c r="AK25" s="622">
        <v>0.96717040125065135</v>
      </c>
      <c r="AL25" s="995">
        <v>0.1</v>
      </c>
      <c r="AM25" s="995">
        <v>0.2</v>
      </c>
      <c r="AN25" s="995">
        <v>0.7</v>
      </c>
      <c r="AO25" s="995">
        <v>1.2</v>
      </c>
      <c r="AP25" s="995">
        <v>1.5</v>
      </c>
      <c r="AQ25" s="995">
        <v>1.7</v>
      </c>
      <c r="AR25" s="995">
        <v>1.8</v>
      </c>
      <c r="AS25" s="1005">
        <v>0</v>
      </c>
      <c r="AT25" s="1005">
        <v>10</v>
      </c>
      <c r="AU25" s="1005">
        <v>20</v>
      </c>
      <c r="AV25" s="1005">
        <v>70</v>
      </c>
      <c r="AW25" s="1005">
        <v>100</v>
      </c>
      <c r="AX25" s="1">
        <v>8228.6259277475547</v>
      </c>
      <c r="AY25" s="5">
        <v>1.43</v>
      </c>
      <c r="AZ25" s="8">
        <v>0.7</v>
      </c>
      <c r="BA25" s="8">
        <v>0.4</v>
      </c>
      <c r="BB25" s="8">
        <v>0.4</v>
      </c>
      <c r="BC25" s="73">
        <v>0.19488356370085466</v>
      </c>
      <c r="BD25" s="73">
        <v>0.18504125998064766</v>
      </c>
      <c r="BE25" s="9">
        <v>2.6202622967715339</v>
      </c>
      <c r="BF25" s="9">
        <v>2.8342480224678571E-2</v>
      </c>
      <c r="BG25" s="9">
        <v>6.3198577722810541</v>
      </c>
      <c r="BH25" s="9">
        <v>29.695962484862537</v>
      </c>
      <c r="BI25" s="9">
        <v>1.4300069567906007E-2</v>
      </c>
      <c r="BJ25" s="9">
        <v>0</v>
      </c>
      <c r="BK25" s="9">
        <v>57.647058823529406</v>
      </c>
      <c r="BL25" s="9">
        <v>2.9630774780345778E-3</v>
      </c>
      <c r="BM25" s="9">
        <v>0</v>
      </c>
      <c r="BN25" s="9">
        <v>0</v>
      </c>
      <c r="BO25" s="9">
        <v>0</v>
      </c>
      <c r="BP25" s="9">
        <v>0</v>
      </c>
      <c r="BQ25" s="9">
        <v>0</v>
      </c>
      <c r="BR25" s="9">
        <v>3.5864832135219396</v>
      </c>
      <c r="BS25" s="9">
        <v>8.4769781762902272E-2</v>
      </c>
      <c r="BT25" s="262">
        <v>261.13475999999997</v>
      </c>
      <c r="BU25" s="262">
        <v>96.5</v>
      </c>
      <c r="BV25" s="262">
        <v>63.215999999999994</v>
      </c>
      <c r="BW25" s="262">
        <v>233.35949490734063</v>
      </c>
      <c r="BX25" s="262">
        <v>157.40783999999999</v>
      </c>
      <c r="BY25" s="68"/>
      <c r="BZ25" s="262">
        <v>256.20808011776955</v>
      </c>
      <c r="CA25" s="262">
        <v>165.17663999999999</v>
      </c>
      <c r="CB25" s="68"/>
      <c r="CC25" s="785">
        <v>0</v>
      </c>
      <c r="CD25" s="262">
        <v>6.585</v>
      </c>
      <c r="CE25" s="262">
        <v>1.3169999999999999</v>
      </c>
      <c r="CF25" s="262">
        <v>38</v>
      </c>
      <c r="CG25" s="262">
        <v>225.83915999999996</v>
      </c>
      <c r="CH25" s="68">
        <v>0.2</v>
      </c>
      <c r="CI25" s="262">
        <v>175.08124000000001</v>
      </c>
      <c r="CJ25" s="262">
        <v>60.4</v>
      </c>
      <c r="CK25" s="262">
        <v>42.384</v>
      </c>
      <c r="CL25" s="262">
        <v>156.45894761061641</v>
      </c>
      <c r="CM25" s="262">
        <v>105.53616</v>
      </c>
      <c r="CN25" s="68"/>
      <c r="CO25" s="262">
        <v>159.24945066654416</v>
      </c>
      <c r="CP25" s="262">
        <v>102.66767999999999</v>
      </c>
      <c r="CQ25" s="68"/>
      <c r="CR25" s="262">
        <v>0</v>
      </c>
      <c r="CS25" s="262">
        <v>4.415</v>
      </c>
      <c r="CT25" s="262">
        <v>0.88300000000000001</v>
      </c>
      <c r="CU25" s="262">
        <v>27</v>
      </c>
      <c r="CV25" s="262">
        <v>151.41683999999998</v>
      </c>
      <c r="CW25" s="68">
        <v>0.2</v>
      </c>
      <c r="CX25" s="120">
        <v>0.3</v>
      </c>
      <c r="CY25" s="120">
        <v>0.7</v>
      </c>
      <c r="CZ25" s="120">
        <v>1.2</v>
      </c>
      <c r="DA25" s="120">
        <v>1.2</v>
      </c>
      <c r="DB25" s="119">
        <v>3</v>
      </c>
      <c r="DC25" s="1005">
        <v>0</v>
      </c>
      <c r="DD25" s="1005">
        <v>10</v>
      </c>
      <c r="DE25" s="1005">
        <v>20</v>
      </c>
      <c r="DF25" s="1005">
        <v>70</v>
      </c>
      <c r="DG25" s="1005">
        <v>100</v>
      </c>
      <c r="DH25" s="2">
        <v>0</v>
      </c>
      <c r="DI25" s="2">
        <v>18</v>
      </c>
      <c r="DJ25" s="63">
        <v>12</v>
      </c>
      <c r="DK25" s="8">
        <v>2.6</v>
      </c>
      <c r="DL25" s="8">
        <v>1.4</v>
      </c>
      <c r="DM25" s="8">
        <v>1.4</v>
      </c>
      <c r="DN25" s="1031" t="s">
        <v>1000</v>
      </c>
      <c r="DO25" s="1030" t="s">
        <v>997</v>
      </c>
      <c r="DP25" s="1030" t="s">
        <v>997</v>
      </c>
      <c r="DQ25" s="1030" t="s">
        <v>997</v>
      </c>
      <c r="DR25" s="1030" t="s">
        <v>997</v>
      </c>
      <c r="DS25" s="1030" t="s">
        <v>997</v>
      </c>
      <c r="DT25" s="1030" t="s">
        <v>997</v>
      </c>
      <c r="DU25" s="1097">
        <v>0</v>
      </c>
      <c r="DV25" s="1097">
        <v>0</v>
      </c>
      <c r="DW25" s="1097">
        <v>0</v>
      </c>
      <c r="DX25" s="1097">
        <v>0</v>
      </c>
      <c r="DY25" s="1097">
        <v>0</v>
      </c>
      <c r="DZ25" s="1097">
        <v>0</v>
      </c>
      <c r="EA25" s="1097">
        <v>0</v>
      </c>
      <c r="EB25" s="207">
        <v>6.3372000000000012E-2</v>
      </c>
      <c r="EC25" s="207">
        <v>18</v>
      </c>
      <c r="ED25" s="221">
        <v>5</v>
      </c>
      <c r="EE25" s="214">
        <v>2.6</v>
      </c>
      <c r="EF25" s="214">
        <v>1.4</v>
      </c>
      <c r="EG25" s="214">
        <v>1.4</v>
      </c>
      <c r="EH25" s="208" t="s">
        <v>1047</v>
      </c>
      <c r="EI25" s="208" t="s">
        <v>1066</v>
      </c>
      <c r="EJ25" s="210" t="s">
        <v>1078</v>
      </c>
      <c r="EK25" s="204" t="s">
        <v>997</v>
      </c>
      <c r="EL25" s="204" t="s">
        <v>997</v>
      </c>
      <c r="EM25" s="204" t="s">
        <v>997</v>
      </c>
      <c r="EN25" s="204" t="s">
        <v>997</v>
      </c>
      <c r="EO25" s="204" t="s">
        <v>997</v>
      </c>
      <c r="EP25" s="204" t="s">
        <v>997</v>
      </c>
      <c r="EQ25" s="204" t="s">
        <v>997</v>
      </c>
      <c r="ER25" s="204" t="s">
        <v>997</v>
      </c>
      <c r="ES25" s="204" t="s">
        <v>997</v>
      </c>
      <c r="ET25" s="204" t="s">
        <v>997</v>
      </c>
      <c r="EU25" s="204" t="s">
        <v>997</v>
      </c>
      <c r="EV25" s="204" t="s">
        <v>997</v>
      </c>
      <c r="EW25" s="204" t="s">
        <v>997</v>
      </c>
      <c r="EX25" s="204" t="s">
        <v>997</v>
      </c>
      <c r="EY25" s="204" t="s">
        <v>997</v>
      </c>
      <c r="EZ25" s="204" t="s">
        <v>997</v>
      </c>
      <c r="FA25" s="204" t="s">
        <v>997</v>
      </c>
      <c r="FB25" s="204" t="s">
        <v>997</v>
      </c>
      <c r="FC25" s="204" t="s">
        <v>997</v>
      </c>
      <c r="FD25" s="204" t="s">
        <v>997</v>
      </c>
      <c r="FE25" s="204" t="s">
        <v>997</v>
      </c>
      <c r="FF25" s="204" t="s">
        <v>997</v>
      </c>
      <c r="FG25" s="204" t="s">
        <v>997</v>
      </c>
      <c r="FH25" s="204" t="s">
        <v>997</v>
      </c>
      <c r="FI25" s="204" t="s">
        <v>997</v>
      </c>
      <c r="FJ25" s="204" t="s">
        <v>997</v>
      </c>
      <c r="FK25" s="204" t="s">
        <v>997</v>
      </c>
      <c r="FL25" s="204" t="s">
        <v>997</v>
      </c>
      <c r="FM25" s="204" t="s">
        <v>997</v>
      </c>
      <c r="FN25" s="204" t="s">
        <v>997</v>
      </c>
      <c r="FO25" s="204" t="s">
        <v>997</v>
      </c>
      <c r="FP25" s="204" t="s">
        <v>997</v>
      </c>
      <c r="FQ25" s="204" t="s">
        <v>997</v>
      </c>
      <c r="FR25" s="204" t="s">
        <v>997</v>
      </c>
      <c r="FS25" s="204" t="s">
        <v>997</v>
      </c>
      <c r="FT25" s="204" t="s">
        <v>997</v>
      </c>
      <c r="FU25" s="204" t="s">
        <v>997</v>
      </c>
      <c r="FV25" s="204" t="s">
        <v>997</v>
      </c>
      <c r="FW25" s="204" t="s">
        <v>997</v>
      </c>
      <c r="FX25" s="204" t="s">
        <v>997</v>
      </c>
      <c r="FY25" s="204" t="s">
        <v>997</v>
      </c>
      <c r="FZ25" s="204" t="s">
        <v>997</v>
      </c>
      <c r="GA25" s="204" t="s">
        <v>997</v>
      </c>
      <c r="GB25" s="204" t="s">
        <v>997</v>
      </c>
      <c r="GC25" s="204" t="s">
        <v>997</v>
      </c>
      <c r="GD25" s="204" t="s">
        <v>997</v>
      </c>
      <c r="GE25" s="204" t="s">
        <v>997</v>
      </c>
      <c r="GF25" s="204" t="s">
        <v>997</v>
      </c>
      <c r="GG25" s="204" t="s">
        <v>997</v>
      </c>
      <c r="GH25" s="204" t="s">
        <v>997</v>
      </c>
      <c r="GI25" s="204" t="s">
        <v>997</v>
      </c>
      <c r="GJ25" s="204" t="s">
        <v>997</v>
      </c>
      <c r="GK25" s="204" t="s">
        <v>997</v>
      </c>
      <c r="GL25" s="204" t="s">
        <v>997</v>
      </c>
      <c r="GM25" s="204" t="s">
        <v>997</v>
      </c>
      <c r="GN25" s="1051">
        <v>7.4067321178120622</v>
      </c>
      <c r="GO25" s="1051">
        <v>2.044258064516129</v>
      </c>
      <c r="GP25" s="1051">
        <v>53.921009817671809</v>
      </c>
      <c r="GQ25" s="1051">
        <v>0</v>
      </c>
      <c r="GR25" s="1051">
        <v>0</v>
      </c>
      <c r="GS25" s="1051">
        <v>0</v>
      </c>
      <c r="GT25" s="1051">
        <v>0</v>
      </c>
      <c r="GU25" s="1051">
        <v>0</v>
      </c>
      <c r="GV25" s="1051">
        <v>0</v>
      </c>
      <c r="GW25" s="1051">
        <v>0</v>
      </c>
      <c r="GX25" s="1051">
        <v>0</v>
      </c>
      <c r="GY25" s="1051">
        <v>0</v>
      </c>
      <c r="GZ25" s="1051">
        <v>0</v>
      </c>
      <c r="HA25" s="1051">
        <v>0</v>
      </c>
      <c r="HB25" s="1051">
        <v>0</v>
      </c>
      <c r="HC25" s="1051">
        <v>0</v>
      </c>
      <c r="HD25" s="1051">
        <v>0</v>
      </c>
      <c r="HE25" s="1051">
        <v>0</v>
      </c>
      <c r="HF25" s="1051">
        <v>0</v>
      </c>
      <c r="HG25" s="1051">
        <v>0</v>
      </c>
      <c r="HH25" s="1051">
        <v>0</v>
      </c>
      <c r="HI25" s="1051">
        <v>0</v>
      </c>
      <c r="HJ25" s="1051">
        <v>0</v>
      </c>
      <c r="HK25" s="1051">
        <v>0</v>
      </c>
      <c r="HL25" s="1051">
        <v>0</v>
      </c>
      <c r="HM25" s="1051">
        <v>0</v>
      </c>
      <c r="HN25" s="1051">
        <v>0</v>
      </c>
      <c r="HO25" s="1051">
        <v>0</v>
      </c>
      <c r="HP25" s="1051">
        <v>0</v>
      </c>
      <c r="HQ25" s="1051">
        <v>0</v>
      </c>
      <c r="HR25" s="1051">
        <v>0</v>
      </c>
      <c r="HS25" s="1051">
        <v>0</v>
      </c>
      <c r="HT25" s="1051">
        <v>0</v>
      </c>
      <c r="HU25" s="1051">
        <v>0</v>
      </c>
      <c r="HV25" s="1051">
        <v>0</v>
      </c>
      <c r="HW25" s="1051">
        <v>0</v>
      </c>
      <c r="HX25" s="1051">
        <v>0</v>
      </c>
      <c r="HY25" s="1051">
        <v>0</v>
      </c>
      <c r="HZ25" s="1051">
        <v>0</v>
      </c>
      <c r="IA25" s="1051">
        <v>0</v>
      </c>
      <c r="IB25" s="1051">
        <v>0</v>
      </c>
      <c r="IC25" s="1051">
        <v>0</v>
      </c>
      <c r="ID25" s="1051">
        <v>0</v>
      </c>
      <c r="IE25" s="1051">
        <v>0</v>
      </c>
      <c r="IF25" s="1051">
        <v>0</v>
      </c>
      <c r="IG25" s="1051">
        <v>0</v>
      </c>
      <c r="IH25" s="1051">
        <v>0</v>
      </c>
      <c r="II25" s="1051">
        <v>0</v>
      </c>
      <c r="IJ25" s="1051">
        <v>0</v>
      </c>
      <c r="IK25" s="1051">
        <v>0</v>
      </c>
      <c r="IL25" s="1051">
        <v>0</v>
      </c>
      <c r="IM25" s="1051">
        <v>0</v>
      </c>
      <c r="IN25" s="1051">
        <v>0</v>
      </c>
      <c r="IO25" s="1051">
        <v>0</v>
      </c>
      <c r="IP25" s="1051">
        <v>0</v>
      </c>
      <c r="IQ25" s="1051">
        <v>0</v>
      </c>
      <c r="IR25" s="1051">
        <v>0</v>
      </c>
      <c r="IS25" s="1051">
        <v>0</v>
      </c>
      <c r="IT25" s="215">
        <v>329.59667191873331</v>
      </c>
      <c r="IU25" s="207">
        <v>179.9</v>
      </c>
      <c r="IV25" s="216">
        <v>2647.0800000000199</v>
      </c>
      <c r="IW25" s="272">
        <v>12.64</v>
      </c>
      <c r="IX25" s="207">
        <v>60.030658161499282</v>
      </c>
      <c r="IY25" s="204">
        <v>2.6</v>
      </c>
      <c r="IZ25" s="204">
        <v>1.4</v>
      </c>
      <c r="JA25" s="204">
        <v>1.4</v>
      </c>
      <c r="JB25" s="52">
        <v>2</v>
      </c>
      <c r="JC25" s="24">
        <v>1.5</v>
      </c>
      <c r="JD25" s="24">
        <v>0.7</v>
      </c>
      <c r="JE25" s="24">
        <v>0.7</v>
      </c>
      <c r="JF25" s="24">
        <v>0.5</v>
      </c>
      <c r="JG25" s="1">
        <v>502.77337566256062</v>
      </c>
      <c r="JH25" s="216">
        <v>2647.0800000000199</v>
      </c>
      <c r="JI25" s="272">
        <v>12.64</v>
      </c>
      <c r="JJ25" s="207">
        <v>60.030658161499282</v>
      </c>
      <c r="JK25" s="8">
        <v>2.2999999999999998</v>
      </c>
      <c r="JL25" s="8">
        <v>1.2</v>
      </c>
      <c r="JM25" s="8">
        <v>1.2</v>
      </c>
      <c r="JN25" s="216">
        <v>2</v>
      </c>
      <c r="JO25" s="216">
        <v>2</v>
      </c>
      <c r="JP25" s="216">
        <v>1</v>
      </c>
      <c r="JQ25" s="216">
        <v>1</v>
      </c>
      <c r="JR25" s="214">
        <v>0.5</v>
      </c>
      <c r="JS25" s="1212">
        <v>2000</v>
      </c>
      <c r="JT25" s="215">
        <v>179.46118387955354</v>
      </c>
      <c r="JU25" s="215">
        <v>500</v>
      </c>
      <c r="JV25" s="207">
        <v>1.8</v>
      </c>
      <c r="JW25" s="207">
        <v>1.1000000000000001</v>
      </c>
      <c r="JX25" s="207">
        <v>1.1000000000000001</v>
      </c>
      <c r="JY25" s="214">
        <v>2</v>
      </c>
      <c r="JZ25" s="214">
        <v>1.5</v>
      </c>
      <c r="KA25" s="214">
        <v>0.5</v>
      </c>
      <c r="KB25" s="214">
        <v>1</v>
      </c>
      <c r="KC25" s="214">
        <v>0.5</v>
      </c>
      <c r="KD25" s="1186">
        <v>3.1928779410288164</v>
      </c>
      <c r="KE25" s="1186">
        <v>0.7580574985775963</v>
      </c>
      <c r="KF25" s="1186">
        <v>94.149737273670482</v>
      </c>
      <c r="KG25" s="1186"/>
      <c r="KH25" s="1186">
        <v>2.3427825563104521E-2</v>
      </c>
      <c r="KI25" s="1186">
        <v>1.8758994611600119</v>
      </c>
      <c r="KJ25" s="1186">
        <v>0</v>
      </c>
      <c r="KK25" s="1186">
        <v>0</v>
      </c>
      <c r="KL25" s="1186"/>
      <c r="KM25" s="1187">
        <v>580</v>
      </c>
      <c r="KN25" s="1187">
        <v>580</v>
      </c>
      <c r="KO25" s="1187">
        <v>580</v>
      </c>
      <c r="KP25" s="1187">
        <v>580</v>
      </c>
      <c r="KQ25" s="1187"/>
      <c r="KR25" s="1187">
        <v>580</v>
      </c>
      <c r="KS25" s="1187">
        <v>580</v>
      </c>
      <c r="KT25" s="1187">
        <v>580</v>
      </c>
      <c r="KU25" s="1187">
        <v>580</v>
      </c>
      <c r="KV25" s="262">
        <v>370</v>
      </c>
      <c r="KW25" s="262">
        <v>370</v>
      </c>
      <c r="KX25" s="262">
        <v>370</v>
      </c>
      <c r="KY25" s="262">
        <v>370</v>
      </c>
      <c r="KZ25" s="262"/>
      <c r="LA25" s="262">
        <v>370</v>
      </c>
      <c r="LB25" s="262">
        <v>370</v>
      </c>
      <c r="LC25" s="262">
        <v>370</v>
      </c>
      <c r="LD25" s="262">
        <v>370</v>
      </c>
      <c r="LE25" s="1213">
        <v>0</v>
      </c>
      <c r="LF25" s="1213">
        <v>10</v>
      </c>
      <c r="LG25" s="1213">
        <v>20</v>
      </c>
      <c r="LH25" s="1213">
        <v>70</v>
      </c>
      <c r="LI25" s="1213">
        <v>100</v>
      </c>
      <c r="LJ25" s="1212">
        <v>1000</v>
      </c>
      <c r="LK25" s="1"/>
      <c r="LL25" s="4">
        <v>29</v>
      </c>
      <c r="LM25" s="8">
        <v>1.5</v>
      </c>
      <c r="LN25" s="10">
        <v>1</v>
      </c>
      <c r="LO25" s="10">
        <v>1</v>
      </c>
      <c r="LP25" s="214">
        <v>2</v>
      </c>
      <c r="LQ25" s="214">
        <v>1</v>
      </c>
      <c r="LR25" s="214">
        <v>0.5</v>
      </c>
      <c r="LS25" s="214">
        <v>0.7</v>
      </c>
      <c r="LT25" s="214">
        <v>0.2</v>
      </c>
      <c r="LU25" s="1212">
        <v>1500</v>
      </c>
      <c r="LV25" s="122">
        <v>0</v>
      </c>
      <c r="LW25" s="122">
        <v>0</v>
      </c>
      <c r="LX25" s="122">
        <v>0</v>
      </c>
      <c r="LY25" s="165">
        <v>0</v>
      </c>
      <c r="LZ25" s="165">
        <v>0</v>
      </c>
      <c r="MA25" s="165">
        <v>0</v>
      </c>
      <c r="MB25" s="165">
        <v>0</v>
      </c>
      <c r="MC25" s="165">
        <v>0</v>
      </c>
      <c r="MD25" s="165">
        <v>0</v>
      </c>
      <c r="ME25" s="165">
        <v>0</v>
      </c>
      <c r="MF25" s="165">
        <v>0</v>
      </c>
      <c r="MG25" s="165">
        <v>0</v>
      </c>
      <c r="MH25" s="165">
        <v>0</v>
      </c>
      <c r="MI25" s="165">
        <v>0</v>
      </c>
      <c r="MJ25" s="165">
        <v>0</v>
      </c>
      <c r="MK25" s="165">
        <v>0</v>
      </c>
      <c r="ML25" s="165">
        <v>0</v>
      </c>
      <c r="MM25" s="165">
        <v>0</v>
      </c>
      <c r="MN25" s="165">
        <v>0</v>
      </c>
      <c r="MO25" s="165">
        <v>0</v>
      </c>
      <c r="MP25" s="165">
        <v>0</v>
      </c>
      <c r="MQ25" s="165">
        <v>0</v>
      </c>
      <c r="MR25" s="165">
        <v>0</v>
      </c>
      <c r="MS25" s="165">
        <v>0</v>
      </c>
      <c r="MT25" s="165">
        <v>0</v>
      </c>
      <c r="MU25" s="165">
        <v>0</v>
      </c>
      <c r="MV25" s="165">
        <v>0</v>
      </c>
      <c r="MW25" s="166">
        <v>0.29674116862651001</v>
      </c>
      <c r="MX25" s="166">
        <v>0</v>
      </c>
      <c r="MY25" s="166">
        <v>8.5038180398629995E-2</v>
      </c>
      <c r="MZ25" s="166">
        <v>8.0909603120779994E-2</v>
      </c>
      <c r="NA25" s="166">
        <v>0</v>
      </c>
      <c r="NB25" s="166">
        <v>-0.52000153281798001</v>
      </c>
      <c r="NC25" s="166">
        <v>0.29674115861946998</v>
      </c>
      <c r="ND25" s="166">
        <v>0</v>
      </c>
      <c r="NE25" s="166">
        <v>8.5038184275519998E-2</v>
      </c>
      <c r="NF25" s="166">
        <v>8.0909616730519995E-2</v>
      </c>
      <c r="NG25" s="166">
        <v>0</v>
      </c>
      <c r="NH25" s="166">
        <v>-0.51999956638155997</v>
      </c>
      <c r="NI25" s="166">
        <v>0.29674114681768998</v>
      </c>
      <c r="NJ25" s="166">
        <v>0</v>
      </c>
      <c r="NK25" s="166">
        <v>8.5038161827740003E-2</v>
      </c>
      <c r="NL25" s="166">
        <v>8.090964826706E-2</v>
      </c>
      <c r="NM25" s="166">
        <v>0</v>
      </c>
      <c r="NN25" s="166">
        <v>-0.52000446492640995</v>
      </c>
      <c r="NO25" s="166">
        <v>0.29674116869143002</v>
      </c>
      <c r="NP25" s="166">
        <v>0</v>
      </c>
      <c r="NQ25" s="166">
        <v>8.5038160755390002E-2</v>
      </c>
      <c r="NR25" s="166">
        <v>8.0909602480600001E-2</v>
      </c>
      <c r="NS25" s="166">
        <v>0</v>
      </c>
      <c r="NT25" s="166">
        <v>0</v>
      </c>
      <c r="NU25" s="166">
        <v>0</v>
      </c>
      <c r="NV25" s="166">
        <v>0</v>
      </c>
      <c r="NW25" s="166">
        <v>0</v>
      </c>
      <c r="NX25" s="166">
        <v>0</v>
      </c>
      <c r="NY25" s="166">
        <v>0</v>
      </c>
      <c r="NZ25" s="166">
        <v>0</v>
      </c>
      <c r="OA25" s="166">
        <v>-64.06</v>
      </c>
      <c r="OB25" s="166">
        <v>-20.5</v>
      </c>
      <c r="OC25" s="166">
        <v>-2.3684264942101598</v>
      </c>
      <c r="OD25" s="166">
        <v>0</v>
      </c>
      <c r="OE25" s="166">
        <v>-0.1634535974746</v>
      </c>
      <c r="OF25" s="166">
        <v>-4.8000003955629698</v>
      </c>
      <c r="OG25" s="166">
        <v>0</v>
      </c>
      <c r="OH25" s="166">
        <v>0</v>
      </c>
      <c r="OI25" s="166">
        <v>0</v>
      </c>
      <c r="OJ25" s="166">
        <v>0</v>
      </c>
      <c r="OK25" s="166">
        <v>0</v>
      </c>
      <c r="OL25" s="166">
        <v>-4.8000001479478502</v>
      </c>
      <c r="OM25" s="166">
        <v>0</v>
      </c>
      <c r="ON25" s="166">
        <v>0</v>
      </c>
      <c r="OO25" s="166">
        <v>0</v>
      </c>
      <c r="OP25" s="166">
        <v>0</v>
      </c>
      <c r="OQ25" s="166">
        <v>0</v>
      </c>
      <c r="OR25" s="166">
        <v>-4.7999991849584802</v>
      </c>
      <c r="OS25" s="166">
        <v>0</v>
      </c>
      <c r="OT25" s="166">
        <v>0</v>
      </c>
      <c r="OU25" s="166">
        <v>0</v>
      </c>
      <c r="OV25" s="166">
        <v>0</v>
      </c>
      <c r="OW25" s="166">
        <v>0</v>
      </c>
      <c r="OX25" s="166">
        <v>0</v>
      </c>
      <c r="OY25" s="166">
        <v>0</v>
      </c>
      <c r="OZ25" s="166">
        <v>0</v>
      </c>
      <c r="PA25" s="166">
        <v>0</v>
      </c>
      <c r="PB25" s="166">
        <v>0</v>
      </c>
      <c r="PC25" s="166">
        <v>0</v>
      </c>
      <c r="PD25" s="166">
        <v>0</v>
      </c>
      <c r="PE25" s="166">
        <v>-64.06</v>
      </c>
      <c r="PF25" s="166">
        <v>-20.5</v>
      </c>
      <c r="PG25" s="166">
        <v>-0.39560483850567002</v>
      </c>
      <c r="PH25" s="166">
        <v>0</v>
      </c>
      <c r="PI25" s="166">
        <v>0</v>
      </c>
      <c r="PJ25" s="166">
        <v>-4.4000000227039404</v>
      </c>
      <c r="PK25" s="166">
        <v>0</v>
      </c>
      <c r="PL25" s="166">
        <v>0</v>
      </c>
      <c r="PM25" s="166">
        <v>0</v>
      </c>
      <c r="PN25" s="166">
        <v>0</v>
      </c>
      <c r="PO25" s="166">
        <v>0</v>
      </c>
      <c r="PP25" s="166">
        <v>-4.3477140332346096</v>
      </c>
      <c r="PQ25" s="166">
        <v>0.20445725872255999</v>
      </c>
      <c r="PR25" s="166">
        <v>0</v>
      </c>
      <c r="PS25" s="166">
        <v>0</v>
      </c>
      <c r="PT25" s="166">
        <v>0</v>
      </c>
      <c r="PU25" s="166">
        <v>0</v>
      </c>
      <c r="PV25" s="166">
        <v>4.4000001103780502</v>
      </c>
      <c r="PW25" s="166">
        <v>0</v>
      </c>
      <c r="PX25" s="166">
        <v>0</v>
      </c>
      <c r="PY25" s="166">
        <v>0</v>
      </c>
      <c r="PZ25" s="166">
        <v>0</v>
      </c>
      <c r="QA25" s="166">
        <v>0</v>
      </c>
      <c r="QB25" s="166">
        <v>0</v>
      </c>
      <c r="QC25" s="166">
        <v>0</v>
      </c>
      <c r="QD25" s="166">
        <v>0</v>
      </c>
      <c r="QE25" s="166">
        <v>0</v>
      </c>
      <c r="QF25" s="166">
        <v>0</v>
      </c>
      <c r="QG25" s="166">
        <v>0</v>
      </c>
      <c r="QH25" s="166">
        <v>0</v>
      </c>
      <c r="QI25" s="162">
        <v>0</v>
      </c>
      <c r="QJ25" s="167">
        <v>0</v>
      </c>
      <c r="QK25" s="167">
        <v>0</v>
      </c>
      <c r="QL25" s="167">
        <v>0</v>
      </c>
      <c r="QM25" s="167">
        <v>0</v>
      </c>
      <c r="QN25" s="162">
        <v>0</v>
      </c>
      <c r="QO25" s="162">
        <v>0</v>
      </c>
      <c r="QP25" s="162">
        <v>0</v>
      </c>
      <c r="QQ25" s="162">
        <v>0</v>
      </c>
      <c r="QR25" s="162">
        <v>0</v>
      </c>
      <c r="QS25" s="162">
        <v>0</v>
      </c>
      <c r="QT25" s="162">
        <v>0</v>
      </c>
      <c r="QU25" s="162">
        <v>0</v>
      </c>
      <c r="QV25" s="162">
        <v>0</v>
      </c>
      <c r="QW25" s="162">
        <v>0</v>
      </c>
      <c r="QX25" s="162">
        <v>0</v>
      </c>
      <c r="QY25" s="162">
        <v>0</v>
      </c>
      <c r="QZ25" s="162">
        <v>0</v>
      </c>
      <c r="RA25" s="167">
        <v>0</v>
      </c>
      <c r="RB25" s="167">
        <v>0</v>
      </c>
      <c r="RC25" s="167">
        <v>0</v>
      </c>
      <c r="RD25" s="167">
        <v>0</v>
      </c>
      <c r="RE25" s="167">
        <v>0</v>
      </c>
      <c r="RF25" s="167">
        <v>0</v>
      </c>
      <c r="RG25" s="167">
        <v>0</v>
      </c>
      <c r="RH25" s="167">
        <v>0</v>
      </c>
      <c r="RI25" s="167">
        <v>0</v>
      </c>
      <c r="RJ25" s="167">
        <v>0</v>
      </c>
      <c r="RK25" s="167">
        <v>0</v>
      </c>
      <c r="RL25" s="167">
        <v>0</v>
      </c>
      <c r="RM25" s="166">
        <v>-64.06</v>
      </c>
      <c r="RN25" s="166">
        <v>-20.5</v>
      </c>
      <c r="RO25" s="166">
        <v>-2.2821516439642302</v>
      </c>
      <c r="RP25" s="166">
        <v>0</v>
      </c>
      <c r="RQ25" s="166">
        <v>-0.82619066686556997</v>
      </c>
      <c r="RR25" s="166">
        <v>-7.8999999241327297</v>
      </c>
      <c r="RS25" s="166">
        <v>-0.35897397629453998</v>
      </c>
      <c r="RT25" s="166">
        <v>0</v>
      </c>
      <c r="RU25" s="166">
        <v>0</v>
      </c>
      <c r="RV25" s="166">
        <v>0</v>
      </c>
      <c r="RW25" s="166">
        <v>-0.85600001155687</v>
      </c>
      <c r="RX25" s="166">
        <v>-7.9000046087676603</v>
      </c>
      <c r="RY25" s="166">
        <v>-0.78119571993218995</v>
      </c>
      <c r="RZ25" s="166">
        <v>0</v>
      </c>
      <c r="SA25" s="166">
        <v>0</v>
      </c>
      <c r="SB25" s="166">
        <v>0</v>
      </c>
      <c r="SC25" s="166">
        <v>-0.85600001526582004</v>
      </c>
      <c r="SD25" s="166">
        <v>-7.9</v>
      </c>
      <c r="SE25" s="166">
        <v>0</v>
      </c>
      <c r="SF25" s="166">
        <v>0</v>
      </c>
      <c r="SG25" s="166">
        <v>0</v>
      </c>
      <c r="SH25" s="166">
        <v>0</v>
      </c>
      <c r="SI25" s="166">
        <v>0</v>
      </c>
      <c r="SJ25" s="166">
        <v>-7.9000016995418401</v>
      </c>
      <c r="SK25" s="166">
        <v>0</v>
      </c>
      <c r="SL25" s="166">
        <v>0</v>
      </c>
      <c r="SM25" s="166">
        <v>0</v>
      </c>
      <c r="SN25" s="166">
        <v>0</v>
      </c>
      <c r="SO25" s="166">
        <v>0</v>
      </c>
      <c r="SP25" s="166">
        <v>0</v>
      </c>
      <c r="SQ25" s="166">
        <v>-64.06</v>
      </c>
      <c r="SR25" s="166">
        <v>-20.5</v>
      </c>
      <c r="SS25" s="166">
        <v>0</v>
      </c>
      <c r="ST25" s="166">
        <v>0</v>
      </c>
      <c r="SU25" s="166">
        <v>0</v>
      </c>
      <c r="SV25" s="166">
        <v>0</v>
      </c>
      <c r="SW25" s="166">
        <v>0</v>
      </c>
      <c r="SX25" s="166">
        <v>0</v>
      </c>
      <c r="SY25" s="166">
        <v>0</v>
      </c>
      <c r="SZ25" s="166">
        <v>0</v>
      </c>
      <c r="TA25" s="166">
        <v>0</v>
      </c>
      <c r="TB25" s="166">
        <v>0</v>
      </c>
      <c r="TC25" s="166">
        <v>0</v>
      </c>
      <c r="TD25" s="166">
        <v>0</v>
      </c>
      <c r="TE25" s="166">
        <v>0</v>
      </c>
      <c r="TF25" s="166">
        <v>0</v>
      </c>
      <c r="TG25" s="166">
        <v>0</v>
      </c>
      <c r="TH25" s="166">
        <v>0</v>
      </c>
      <c r="TI25" s="166">
        <v>0</v>
      </c>
      <c r="TJ25" s="166">
        <v>0</v>
      </c>
      <c r="TK25" s="166">
        <v>0</v>
      </c>
      <c r="TL25" s="166">
        <v>0</v>
      </c>
      <c r="TM25" s="166">
        <v>0</v>
      </c>
      <c r="TN25" s="166">
        <v>0</v>
      </c>
      <c r="TO25" s="166">
        <v>0</v>
      </c>
      <c r="TP25" s="166">
        <v>0</v>
      </c>
      <c r="TQ25" s="166">
        <v>0</v>
      </c>
      <c r="TR25" s="166">
        <v>0</v>
      </c>
      <c r="TS25" s="166">
        <v>0</v>
      </c>
      <c r="TT25" s="166">
        <v>0</v>
      </c>
      <c r="TU25" s="166">
        <v>0.31989679691690998</v>
      </c>
      <c r="TV25" s="166">
        <v>0</v>
      </c>
      <c r="TW25" s="166">
        <v>0.16819587959514001</v>
      </c>
      <c r="TX25" s="166">
        <v>0</v>
      </c>
      <c r="TY25" s="166">
        <v>0</v>
      </c>
      <c r="TZ25" s="166">
        <v>-0.52000000041672001</v>
      </c>
      <c r="UA25" s="166">
        <v>1.18717559824E-3</v>
      </c>
      <c r="UB25" s="166">
        <v>0</v>
      </c>
      <c r="UC25" s="166">
        <v>-3.0149923283000001E-4</v>
      </c>
      <c r="UD25" s="166">
        <v>0</v>
      </c>
      <c r="UE25" s="166">
        <v>0</v>
      </c>
      <c r="UF25" s="166">
        <v>-4.80000002683897</v>
      </c>
      <c r="UG25" s="166">
        <v>9.2245339024199999E-2</v>
      </c>
      <c r="UH25" s="166">
        <v>0</v>
      </c>
      <c r="UI25" s="166">
        <v>1.1222824411740001E-2</v>
      </c>
      <c r="UJ25" s="166">
        <v>0</v>
      </c>
      <c r="UK25" s="166">
        <v>0</v>
      </c>
      <c r="UL25" s="166">
        <v>-4.4000000461020798</v>
      </c>
      <c r="UM25" s="166">
        <v>0</v>
      </c>
      <c r="UN25" s="166">
        <v>0</v>
      </c>
      <c r="UO25" s="166">
        <v>0</v>
      </c>
      <c r="UP25" s="166">
        <v>0</v>
      </c>
      <c r="UQ25" s="166">
        <v>0</v>
      </c>
      <c r="UR25" s="166">
        <v>-1.2136363467912099</v>
      </c>
      <c r="US25" s="163">
        <v>2.0514416714919999E-2</v>
      </c>
      <c r="UT25" s="163">
        <v>0</v>
      </c>
      <c r="UU25" s="163">
        <v>-4.0733997263199997E-2</v>
      </c>
      <c r="UV25" s="163">
        <v>0</v>
      </c>
      <c r="UW25" s="163">
        <v>0</v>
      </c>
      <c r="UX25" s="163">
        <v>-0.11312037841524999</v>
      </c>
      <c r="UY25" s="166">
        <v>0.19128168721929001</v>
      </c>
      <c r="UZ25" s="166">
        <v>0</v>
      </c>
      <c r="VA25" s="166">
        <v>2.5679577467769998E-2</v>
      </c>
      <c r="VB25" s="166">
        <v>0</v>
      </c>
      <c r="VC25" s="166">
        <v>0</v>
      </c>
      <c r="VD25" s="166">
        <v>-7.90000216590078</v>
      </c>
      <c r="VE25" s="267">
        <v>202</v>
      </c>
      <c r="VF25" s="267">
        <v>279</v>
      </c>
      <c r="VG25" s="267">
        <v>354</v>
      </c>
      <c r="VH25" s="267">
        <v>0</v>
      </c>
      <c r="VI25" s="267">
        <v>403</v>
      </c>
      <c r="VJ25" s="267">
        <v>0</v>
      </c>
      <c r="VK25" s="267">
        <v>0</v>
      </c>
      <c r="VL25" s="257">
        <v>0</v>
      </c>
      <c r="VM25" s="257">
        <v>0</v>
      </c>
      <c r="VN25" s="257">
        <v>0</v>
      </c>
      <c r="VO25" s="257">
        <v>0</v>
      </c>
      <c r="VP25" s="257">
        <v>0</v>
      </c>
      <c r="VQ25" s="257">
        <v>0</v>
      </c>
      <c r="VR25" s="257">
        <v>0</v>
      </c>
      <c r="VS25" s="257">
        <v>0</v>
      </c>
      <c r="VT25" s="257">
        <v>0</v>
      </c>
      <c r="VU25" s="257">
        <v>0</v>
      </c>
      <c r="VV25" s="257">
        <v>0</v>
      </c>
      <c r="VW25" s="257">
        <v>0</v>
      </c>
      <c r="VX25" s="257">
        <v>0</v>
      </c>
      <c r="VY25" s="257">
        <v>0</v>
      </c>
      <c r="VZ25" s="257">
        <v>0</v>
      </c>
      <c r="WA25" s="257">
        <v>0</v>
      </c>
      <c r="WB25" s="257">
        <v>0</v>
      </c>
      <c r="WC25" s="257">
        <v>0</v>
      </c>
      <c r="WD25" s="257">
        <v>0</v>
      </c>
      <c r="WE25" s="257">
        <v>0</v>
      </c>
      <c r="WF25" s="257">
        <v>0</v>
      </c>
      <c r="WG25" s="257">
        <v>0</v>
      </c>
      <c r="WH25" s="257">
        <v>0</v>
      </c>
      <c r="WI25" s="257">
        <v>0</v>
      </c>
      <c r="WJ25" s="257">
        <v>0</v>
      </c>
      <c r="WK25" s="257">
        <v>0</v>
      </c>
      <c r="WL25" s="257">
        <v>0</v>
      </c>
      <c r="WM25" s="257">
        <v>0</v>
      </c>
      <c r="WN25" s="257">
        <v>0</v>
      </c>
      <c r="WO25" s="257">
        <v>0</v>
      </c>
      <c r="WP25" s="257">
        <v>0</v>
      </c>
      <c r="WQ25" s="257">
        <v>0</v>
      </c>
      <c r="WR25" s="257">
        <v>0</v>
      </c>
      <c r="WS25" s="572">
        <v>62.5</v>
      </c>
      <c r="WT25" s="572">
        <v>49.582463465553232</v>
      </c>
      <c r="WU25" s="572">
        <v>54.801670146137788</v>
      </c>
      <c r="WV25" s="572">
        <v>57.411273486430062</v>
      </c>
      <c r="WW25" s="572">
        <v>88.204592901878911</v>
      </c>
      <c r="WX25" s="247">
        <v>17883.326079999999</v>
      </c>
      <c r="WY25" s="4">
        <v>78</v>
      </c>
      <c r="WZ25" s="4">
        <v>15</v>
      </c>
      <c r="XA25" s="4">
        <v>7.0000000000000009</v>
      </c>
      <c r="XB25" s="4">
        <v>0</v>
      </c>
      <c r="XC25" s="1037">
        <v>546.24474065711752</v>
      </c>
      <c r="XD25" s="1037">
        <v>0</v>
      </c>
      <c r="XE25" s="1037">
        <v>0</v>
      </c>
      <c r="XF25" s="1037">
        <v>0</v>
      </c>
      <c r="XG25" s="1037">
        <v>0</v>
      </c>
      <c r="XH25" s="1037">
        <v>0</v>
      </c>
      <c r="XI25" s="1037">
        <v>1911.8565922999112</v>
      </c>
      <c r="XJ25" s="1037">
        <v>1411.1322466975537</v>
      </c>
      <c r="XK25" s="1037">
        <v>585.98700507025137</v>
      </c>
      <c r="XL25" s="1037">
        <v>0</v>
      </c>
      <c r="XM25" s="1037">
        <v>0</v>
      </c>
      <c r="XN25" s="1037">
        <v>0</v>
      </c>
      <c r="XO25" s="1037">
        <v>0</v>
      </c>
      <c r="XP25" s="1037">
        <v>0</v>
      </c>
      <c r="XQ25" s="1037">
        <v>2050.9545177458799</v>
      </c>
      <c r="XR25" s="1037">
        <v>1513.7997630981497</v>
      </c>
      <c r="XS25" s="1037">
        <v>613.891148168835</v>
      </c>
      <c r="XT25" s="1037">
        <v>0</v>
      </c>
      <c r="XU25" s="1037">
        <v>0</v>
      </c>
      <c r="XV25" s="1037">
        <v>0</v>
      </c>
      <c r="XW25" s="1037">
        <v>0</v>
      </c>
      <c r="XX25" s="1037">
        <v>0</v>
      </c>
      <c r="XY25" s="1037">
        <v>2148.6190185909222</v>
      </c>
      <c r="XZ25" s="1037">
        <v>1585.8854661028238</v>
      </c>
      <c r="YA25" s="1037">
        <v>943.16003673211901</v>
      </c>
      <c r="YB25" s="1037">
        <v>0</v>
      </c>
      <c r="YC25" s="1037">
        <v>0</v>
      </c>
      <c r="YD25" s="1037">
        <v>0</v>
      </c>
      <c r="YE25" s="1037">
        <v>0</v>
      </c>
      <c r="YF25" s="1037">
        <v>0</v>
      </c>
      <c r="YG25" s="1037">
        <v>3301.0601285624166</v>
      </c>
      <c r="YH25" s="1037">
        <v>2436.4967615579744</v>
      </c>
      <c r="YI25" s="1037">
        <v>639.71328516955771</v>
      </c>
      <c r="YJ25" s="1037">
        <v>479.78496387716825</v>
      </c>
      <c r="YK25" s="1037">
        <v>266.54720215398237</v>
      </c>
      <c r="YL25" s="1037">
        <v>53.309440430796478</v>
      </c>
      <c r="YM25" s="1037">
        <v>0</v>
      </c>
      <c r="YN25" s="1037">
        <v>0</v>
      </c>
      <c r="YO25" s="1037">
        <v>2238.9964980934519</v>
      </c>
      <c r="YP25" s="1037">
        <v>1652.5926533546908</v>
      </c>
      <c r="YQ25" s="1037">
        <v>686.25589260449453</v>
      </c>
      <c r="YR25" s="1037">
        <v>514.69191945337093</v>
      </c>
      <c r="YS25" s="1037">
        <v>285.93995525187273</v>
      </c>
      <c r="YT25" s="1037">
        <v>57.187991050374549</v>
      </c>
      <c r="YU25" s="1037">
        <v>0</v>
      </c>
      <c r="YV25" s="1037">
        <v>0</v>
      </c>
      <c r="YW25" s="1037">
        <v>2401.8956241157312</v>
      </c>
      <c r="YX25" s="1037">
        <v>1772.8277225616109</v>
      </c>
      <c r="YY25" s="1037">
        <v>718.93474463328005</v>
      </c>
      <c r="YZ25" s="1037">
        <v>539.20105847496006</v>
      </c>
      <c r="ZA25" s="1037">
        <v>299.55614359720005</v>
      </c>
      <c r="ZB25" s="1037">
        <v>59.911228719440004</v>
      </c>
      <c r="ZC25" s="1037">
        <v>0</v>
      </c>
      <c r="ZD25" s="1037">
        <v>0</v>
      </c>
      <c r="ZE25" s="1037">
        <v>2516.27160621648</v>
      </c>
      <c r="ZF25" s="1037">
        <v>1857.2480903026401</v>
      </c>
      <c r="ZG25" s="1037">
        <v>1104.5451985729485</v>
      </c>
      <c r="ZH25" s="1037">
        <v>828.40889892971131</v>
      </c>
      <c r="ZI25" s="1037">
        <v>460.22716607206189</v>
      </c>
      <c r="ZJ25" s="1037">
        <v>92.04543321441237</v>
      </c>
      <c r="ZK25" s="1037">
        <v>0</v>
      </c>
      <c r="ZL25" s="1037">
        <v>0</v>
      </c>
      <c r="ZM25" s="1037">
        <v>3865.9081950053192</v>
      </c>
      <c r="ZN25" s="1037">
        <v>2853.4084296467836</v>
      </c>
      <c r="ZO25" s="1037">
        <v>1702.4627750480165</v>
      </c>
      <c r="ZP25" s="1037">
        <v>1276.8470812860123</v>
      </c>
      <c r="ZQ25" s="1037">
        <v>709.35948960334031</v>
      </c>
      <c r="ZR25" s="1037">
        <v>141.87189792066806</v>
      </c>
      <c r="ZS25" s="1037">
        <v>0</v>
      </c>
      <c r="ZT25" s="1037">
        <v>0</v>
      </c>
      <c r="ZU25" s="1037">
        <v>5958.6197126680581</v>
      </c>
      <c r="ZV25" s="1037">
        <v>4398.0288355407092</v>
      </c>
      <c r="ZW25" s="1037">
        <v>1881.6693829478077</v>
      </c>
      <c r="ZX25" s="1037">
        <v>1411.2520372108556</v>
      </c>
      <c r="ZY25" s="1037">
        <v>784.0289095615866</v>
      </c>
      <c r="ZZ25" s="1037">
        <v>156.80578191231731</v>
      </c>
      <c r="AAA25" s="1037">
        <v>0</v>
      </c>
      <c r="AAB25" s="1037">
        <v>0</v>
      </c>
      <c r="AAC25" s="1037">
        <v>6585.8428403173266</v>
      </c>
      <c r="AAD25" s="1037">
        <v>4860.9792392818363</v>
      </c>
      <c r="AAE25" s="1037">
        <v>1971.2726868977034</v>
      </c>
      <c r="AAF25" s="1037">
        <v>1478.4545151732775</v>
      </c>
      <c r="AAG25" s="1037">
        <v>821.36361954070981</v>
      </c>
      <c r="AAH25" s="1037">
        <v>164.27272390814196</v>
      </c>
      <c r="AAI25" s="1037">
        <v>0</v>
      </c>
      <c r="AAJ25" s="1037">
        <v>0</v>
      </c>
      <c r="AAK25" s="1037">
        <v>6899.4544041419622</v>
      </c>
      <c r="AAL25" s="1037">
        <v>5092.4544411524012</v>
      </c>
      <c r="AAM25" s="1037">
        <v>3028.5916735064716</v>
      </c>
      <c r="AAN25" s="1037">
        <v>2271.4437551298538</v>
      </c>
      <c r="AAO25" s="1037">
        <v>1261.9131972943633</v>
      </c>
      <c r="AAP25" s="1037">
        <v>252.38263945887266</v>
      </c>
      <c r="AAQ25" s="1037">
        <v>0</v>
      </c>
      <c r="AAR25" s="1037">
        <v>0</v>
      </c>
      <c r="AAS25" s="1037">
        <v>10600.070857272651</v>
      </c>
      <c r="AAT25" s="1037">
        <v>7823.8618232250519</v>
      </c>
      <c r="AAU25" s="1037">
        <v>2342.1760602175746</v>
      </c>
      <c r="AAV25" s="1037">
        <v>1756.6320451631809</v>
      </c>
      <c r="AAW25" s="1037">
        <v>975.90669175732273</v>
      </c>
      <c r="AAX25" s="1037">
        <v>195.18133835146455</v>
      </c>
      <c r="AAY25" s="1037">
        <v>0</v>
      </c>
      <c r="AAZ25" s="1037">
        <v>0</v>
      </c>
      <c r="ABA25" s="1037">
        <v>8197.616210761511</v>
      </c>
      <c r="ABB25" s="1037">
        <v>6050.6214888954009</v>
      </c>
      <c r="ABC25" s="1037">
        <v>2479.3761281194638</v>
      </c>
      <c r="ABD25" s="1037">
        <v>1859.5320960895981</v>
      </c>
      <c r="ABE25" s="1037">
        <v>1033.0733867164433</v>
      </c>
      <c r="ABF25" s="1037">
        <v>206.61467734328869</v>
      </c>
      <c r="ABG25" s="1037">
        <v>0</v>
      </c>
      <c r="ABH25" s="1037">
        <v>0</v>
      </c>
      <c r="ABI25" s="1037">
        <v>8677.8164484181234</v>
      </c>
      <c r="ABJ25" s="1037">
        <v>6405.0549976419488</v>
      </c>
      <c r="ABK25" s="1037">
        <v>2597.4416580299153</v>
      </c>
      <c r="ABL25" s="1037">
        <v>1948.0812435224364</v>
      </c>
      <c r="ABM25" s="1037">
        <v>1082.2673575124647</v>
      </c>
      <c r="ABN25" s="1037">
        <v>216.45347150249293</v>
      </c>
      <c r="ABO25" s="1037">
        <v>0</v>
      </c>
      <c r="ABP25" s="1037">
        <v>0</v>
      </c>
      <c r="ABQ25" s="1037">
        <v>9091.0458031047037</v>
      </c>
      <c r="ABR25" s="1037">
        <v>6710.0576165772809</v>
      </c>
      <c r="ABS25" s="1037">
        <v>6413.4882497784101</v>
      </c>
      <c r="ABT25" s="1037">
        <v>4810.1161873338078</v>
      </c>
      <c r="ABU25" s="1037">
        <v>2672.2867707410046</v>
      </c>
      <c r="ABV25" s="1037">
        <v>534.45735414820092</v>
      </c>
      <c r="ABW25" s="1037">
        <v>0</v>
      </c>
      <c r="ABX25" s="1037">
        <v>0</v>
      </c>
      <c r="ABY25" s="1037">
        <v>22447.208874224438</v>
      </c>
      <c r="ABZ25" s="1037">
        <v>16568.177978594227</v>
      </c>
      <c r="ACA25" s="1037">
        <v>3033.4791264491932</v>
      </c>
      <c r="ACB25" s="1037">
        <v>2275.1093448368947</v>
      </c>
      <c r="ACC25" s="1037">
        <v>1263.9496360204973</v>
      </c>
      <c r="ACD25" s="1037">
        <v>252.78992720409946</v>
      </c>
      <c r="ACE25" s="1037">
        <v>0</v>
      </c>
      <c r="ACF25" s="1037">
        <v>0</v>
      </c>
      <c r="ACG25" s="1037">
        <v>10617.176942572176</v>
      </c>
      <c r="ACH25" s="1037">
        <v>7836.4877433270822</v>
      </c>
      <c r="ACI25" s="1037">
        <v>3243.1125247276923</v>
      </c>
      <c r="ACJ25" s="1037">
        <v>2432.3343935457692</v>
      </c>
      <c r="ACK25" s="1037">
        <v>1351.2968853032053</v>
      </c>
      <c r="ACL25" s="1037">
        <v>270.25937706064104</v>
      </c>
      <c r="ACM25" s="1037">
        <v>0</v>
      </c>
      <c r="ACN25" s="1037">
        <v>0</v>
      </c>
      <c r="ACO25" s="1037">
        <v>11350.893836546922</v>
      </c>
      <c r="ACP25" s="1037">
        <v>8378.0406888798716</v>
      </c>
      <c r="ACQ25" s="1037">
        <v>3397.5464544766305</v>
      </c>
      <c r="ACR25" s="1037">
        <v>2548.1598408574728</v>
      </c>
      <c r="ACS25" s="1037">
        <v>1415.6443560319294</v>
      </c>
      <c r="ACT25" s="1037">
        <v>283.1288712063859</v>
      </c>
      <c r="ACU25" s="1037">
        <v>0</v>
      </c>
      <c r="ACV25" s="1037">
        <v>0</v>
      </c>
      <c r="ACW25" s="1037">
        <v>11891.412590668207</v>
      </c>
      <c r="ACX25" s="1037">
        <v>8776.9950073979617</v>
      </c>
      <c r="ACY25" s="1037">
        <v>5219.8668255140956</v>
      </c>
      <c r="ACZ25" s="1037">
        <v>3914.9001191355719</v>
      </c>
      <c r="ADA25" s="1037">
        <v>2174.9445106308735</v>
      </c>
      <c r="ADB25" s="1037">
        <v>434.98890212617465</v>
      </c>
      <c r="ADC25" s="1037">
        <v>0</v>
      </c>
      <c r="ADD25" s="1037">
        <v>0</v>
      </c>
      <c r="ADE25" s="1037">
        <v>18269.533889299335</v>
      </c>
      <c r="ADF25" s="1037">
        <v>13484.655965911414</v>
      </c>
      <c r="ADG25" s="1037">
        <v>3704.1462802559877</v>
      </c>
      <c r="ADH25" s="1037">
        <v>2778.1097101919909</v>
      </c>
      <c r="ADI25" s="1037">
        <v>1543.394283439995</v>
      </c>
      <c r="ADJ25" s="1037">
        <v>308.67885668799903</v>
      </c>
      <c r="ADK25" s="1037">
        <v>0</v>
      </c>
      <c r="ADL25" s="1037">
        <v>0</v>
      </c>
      <c r="ADM25" s="1037">
        <v>12964.511980895957</v>
      </c>
      <c r="ADN25" s="1037">
        <v>9569.0445573279685</v>
      </c>
      <c r="ADO25" s="1037">
        <v>3984.71163447771</v>
      </c>
      <c r="ADP25" s="1037">
        <v>2988.5337258582827</v>
      </c>
      <c r="ADQ25" s="1037">
        <v>1660.2965143657127</v>
      </c>
      <c r="ADR25" s="1037">
        <v>332.05930287314254</v>
      </c>
      <c r="ADS25" s="1037">
        <v>0</v>
      </c>
      <c r="ADT25" s="1037">
        <v>0</v>
      </c>
      <c r="ADU25" s="1037">
        <v>13946.490720671985</v>
      </c>
      <c r="ADV25" s="1037">
        <v>10293.838389067418</v>
      </c>
      <c r="ADW25" s="1037">
        <v>4174.4598075480781</v>
      </c>
      <c r="ADX25" s="1037">
        <v>3130.8448556610588</v>
      </c>
      <c r="ADY25" s="1037">
        <v>1739.3582531450329</v>
      </c>
      <c r="ADZ25" s="1037">
        <v>347.87165062900652</v>
      </c>
      <c r="AEA25" s="1037">
        <v>0</v>
      </c>
      <c r="AEB25" s="1037">
        <v>0</v>
      </c>
      <c r="AEC25" s="1037">
        <v>14610.609326418275</v>
      </c>
      <c r="AED25" s="1037">
        <v>10784.021169499203</v>
      </c>
      <c r="AEE25" s="1037">
        <v>6413.4882497784101</v>
      </c>
      <c r="AEF25" s="1037">
        <v>4810.1161873338078</v>
      </c>
      <c r="AEG25" s="1037">
        <v>2672.2867707410046</v>
      </c>
      <c r="AEH25" s="1037">
        <v>534.45735414820092</v>
      </c>
      <c r="AEI25" s="1037">
        <v>0</v>
      </c>
      <c r="AEJ25" s="1037">
        <v>0</v>
      </c>
      <c r="AEK25" s="1037">
        <v>22447.208874224438</v>
      </c>
      <c r="AEL25" s="1037">
        <v>16568.177978594227</v>
      </c>
      <c r="AEM25" s="1037">
        <v>4271.6338719386604</v>
      </c>
      <c r="AEN25" s="1037">
        <v>3203.7254039539948</v>
      </c>
      <c r="AEO25" s="1037">
        <v>1779.8474466411085</v>
      </c>
      <c r="AEP25" s="1037">
        <v>355.9694893282217</v>
      </c>
      <c r="AEQ25" s="1037">
        <v>0</v>
      </c>
      <c r="AER25" s="1037">
        <v>0</v>
      </c>
      <c r="AES25" s="1037">
        <v>14950.71855178531</v>
      </c>
      <c r="AET25" s="1037">
        <v>11035.054169174871</v>
      </c>
      <c r="AEU25" s="1037">
        <v>4538.1438059329475</v>
      </c>
      <c r="AEV25" s="1037">
        <v>3403.6078544497104</v>
      </c>
      <c r="AEW25" s="1037">
        <v>1890.8932524720615</v>
      </c>
      <c r="AEX25" s="1037">
        <v>378.1786504944123</v>
      </c>
      <c r="AEY25" s="1037">
        <v>0</v>
      </c>
      <c r="AEZ25" s="1037">
        <v>0</v>
      </c>
      <c r="AFA25" s="1037">
        <v>15883.503320765316</v>
      </c>
      <c r="AFB25" s="1037">
        <v>11723.538165326781</v>
      </c>
      <c r="AFC25" s="1037">
        <v>4754.2458919297551</v>
      </c>
      <c r="AFD25" s="1037">
        <v>3565.6844189473163</v>
      </c>
      <c r="AFE25" s="1037">
        <v>1980.9357883040648</v>
      </c>
      <c r="AFF25" s="1037">
        <v>396.18715766081294</v>
      </c>
      <c r="AFG25" s="1037">
        <v>0</v>
      </c>
      <c r="AFH25" s="1037">
        <v>0</v>
      </c>
      <c r="AFI25" s="1037">
        <v>16639.860621754142</v>
      </c>
      <c r="AFJ25" s="1037">
        <v>12281.801887485202</v>
      </c>
      <c r="AFK25" s="1037">
        <v>7304.2505066920785</v>
      </c>
      <c r="AFL25" s="1037">
        <v>5478.1878800190589</v>
      </c>
      <c r="AFM25" s="1037">
        <v>3043.4377111217</v>
      </c>
      <c r="AFN25" s="1037">
        <v>608.68754222433995</v>
      </c>
      <c r="AFO25" s="1037">
        <v>0</v>
      </c>
      <c r="AFP25" s="1037">
        <v>0</v>
      </c>
      <c r="AFQ25" s="1037">
        <v>25564.876773422275</v>
      </c>
      <c r="AFR25" s="1037">
        <v>18869.313808954539</v>
      </c>
      <c r="AFS25" s="247">
        <v>1702.4627750480165</v>
      </c>
      <c r="AFT25" s="247">
        <v>1276.8470812860123</v>
      </c>
      <c r="AFU25" s="247">
        <v>709.35948960334031</v>
      </c>
      <c r="AFV25" s="247">
        <v>141.87189792066806</v>
      </c>
      <c r="AFW25" s="247">
        <v>0</v>
      </c>
      <c r="AFX25" s="247">
        <v>0</v>
      </c>
      <c r="AFY25" s="247">
        <v>5958.6197126680581</v>
      </c>
      <c r="AFZ25" s="247">
        <v>4398.0288355407092</v>
      </c>
      <c r="AGA25" s="247">
        <v>1881.6693829478077</v>
      </c>
      <c r="AGB25" s="247">
        <v>1411.2520372108556</v>
      </c>
      <c r="AGC25" s="247">
        <v>784.0289095615866</v>
      </c>
      <c r="AGD25" s="247">
        <v>156.80578191231731</v>
      </c>
      <c r="AGE25" s="247">
        <v>0</v>
      </c>
      <c r="AGF25" s="247">
        <v>0</v>
      </c>
      <c r="AGG25" s="247">
        <v>6585.8428403173266</v>
      </c>
      <c r="AGH25" s="247">
        <v>4860.9792392818363</v>
      </c>
      <c r="AGI25" s="247">
        <v>1971.2726868977034</v>
      </c>
      <c r="AGJ25" s="247">
        <v>1478.4545151732775</v>
      </c>
      <c r="AGK25" s="247">
        <v>821.36361954070981</v>
      </c>
      <c r="AGL25" s="247">
        <v>164.27272390814196</v>
      </c>
      <c r="AGM25" s="247">
        <v>0</v>
      </c>
      <c r="AGN25" s="247">
        <v>0</v>
      </c>
      <c r="AGO25" s="247">
        <v>6899.4544041419622</v>
      </c>
      <c r="AGP25" s="247">
        <v>5092.4544411524012</v>
      </c>
      <c r="AGQ25" s="247">
        <v>3028.5916735064716</v>
      </c>
      <c r="AGR25" s="247">
        <v>2271.4437551298538</v>
      </c>
      <c r="AGS25" s="247">
        <v>1261.9131972943633</v>
      </c>
      <c r="AGT25" s="247">
        <v>252.38263945887266</v>
      </c>
      <c r="AGU25" s="247">
        <v>0</v>
      </c>
      <c r="AGV25" s="247">
        <v>0</v>
      </c>
      <c r="AGW25" s="247">
        <v>10600.070857272651</v>
      </c>
      <c r="AGX25" s="247">
        <v>7823.8618232250519</v>
      </c>
      <c r="AGY25" s="249">
        <v>0</v>
      </c>
      <c r="AGZ25" s="249">
        <v>0</v>
      </c>
      <c r="AHA25" s="249">
        <v>0</v>
      </c>
      <c r="AHB25" s="249">
        <v>0</v>
      </c>
      <c r="AHC25" s="249">
        <v>0</v>
      </c>
      <c r="AHD25" s="249">
        <v>0</v>
      </c>
      <c r="AHE25" s="249">
        <v>0</v>
      </c>
      <c r="AHF25" s="249">
        <v>0</v>
      </c>
      <c r="AHG25" s="249">
        <v>0</v>
      </c>
      <c r="AHH25" s="249">
        <v>0</v>
      </c>
      <c r="AHI25" s="249">
        <v>0</v>
      </c>
      <c r="AHJ25" s="249">
        <v>0</v>
      </c>
      <c r="AHK25" s="249">
        <v>0</v>
      </c>
      <c r="AHL25" s="249">
        <v>0</v>
      </c>
      <c r="AHM25" s="249">
        <v>0</v>
      </c>
      <c r="AHN25" s="249">
        <v>0</v>
      </c>
      <c r="AHO25" s="249">
        <v>0</v>
      </c>
      <c r="AHP25" s="249">
        <v>0</v>
      </c>
      <c r="AHQ25" s="249">
        <v>0</v>
      </c>
      <c r="AHR25" s="249">
        <v>0</v>
      </c>
      <c r="AHS25" s="249">
        <v>0</v>
      </c>
      <c r="AHT25" s="249">
        <v>0</v>
      </c>
      <c r="AHU25" s="249">
        <v>0</v>
      </c>
      <c r="AHV25" s="249">
        <v>0</v>
      </c>
      <c r="AHW25" s="249">
        <v>0</v>
      </c>
      <c r="AHX25" s="249">
        <v>0</v>
      </c>
      <c r="AHY25" s="249">
        <v>0</v>
      </c>
      <c r="AHZ25" s="249">
        <v>0</v>
      </c>
      <c r="AIA25" s="249">
        <v>0</v>
      </c>
      <c r="AIB25" s="249">
        <v>0</v>
      </c>
      <c r="AIC25" s="249">
        <v>0</v>
      </c>
      <c r="AID25" s="249">
        <v>0</v>
      </c>
      <c r="AIE25" s="249"/>
      <c r="AIF25" s="249"/>
      <c r="AIG25" s="249"/>
      <c r="AIH25" s="249"/>
      <c r="AII25" s="249"/>
      <c r="AIJ25" s="249"/>
      <c r="AIK25" s="249"/>
      <c r="AIL25" s="249"/>
      <c r="AIM25" s="249">
        <v>0</v>
      </c>
      <c r="AIN25" s="249">
        <v>0</v>
      </c>
      <c r="AIO25" s="249">
        <v>0</v>
      </c>
      <c r="AIP25" s="249">
        <v>0</v>
      </c>
      <c r="AIQ25" s="249">
        <v>0</v>
      </c>
      <c r="AIR25" s="249">
        <v>0</v>
      </c>
      <c r="AIS25" s="249">
        <v>0</v>
      </c>
      <c r="AIT25" s="249">
        <v>0</v>
      </c>
      <c r="AIU25" s="134" t="s">
        <v>1216</v>
      </c>
      <c r="AIV25" s="134" t="s">
        <v>1219</v>
      </c>
      <c r="AIW25" s="134" t="s">
        <v>1218</v>
      </c>
      <c r="AIX25" s="134" t="s">
        <v>1217</v>
      </c>
      <c r="AIY25" s="134" t="s">
        <v>1228</v>
      </c>
      <c r="AIZ25" s="134" t="s">
        <v>1229</v>
      </c>
      <c r="AJA25" s="134" t="s">
        <v>1230</v>
      </c>
      <c r="AJB25" s="134" t="s">
        <v>1231</v>
      </c>
      <c r="AJC25" s="134" t="s">
        <v>1232</v>
      </c>
      <c r="AJD25" s="134" t="s">
        <v>1233</v>
      </c>
    </row>
    <row r="26" spans="1:940" ht="18" customHeight="1">
      <c r="A26" s="664" t="s">
        <v>32</v>
      </c>
      <c r="B26" s="670">
        <v>0.1</v>
      </c>
      <c r="C26" s="8">
        <v>0.1</v>
      </c>
      <c r="D26" s="8">
        <v>0.1</v>
      </c>
      <c r="E26" s="74">
        <v>0</v>
      </c>
      <c r="F26" s="72">
        <v>-3.5</v>
      </c>
      <c r="G26" s="11">
        <v>-4.5</v>
      </c>
      <c r="H26" s="11">
        <v>-4.5</v>
      </c>
      <c r="I26" s="266">
        <v>350</v>
      </c>
      <c r="J26" s="125">
        <v>0</v>
      </c>
      <c r="K26" s="125">
        <v>0</v>
      </c>
      <c r="L26" s="125">
        <v>0</v>
      </c>
      <c r="M26" s="1">
        <v>1935.7159196896396</v>
      </c>
      <c r="N26" s="2">
        <v>12</v>
      </c>
      <c r="O26" s="131">
        <v>0.6</v>
      </c>
      <c r="P26" s="131">
        <v>0.5</v>
      </c>
      <c r="Q26" s="131">
        <v>0.5</v>
      </c>
      <c r="R26" s="4">
        <v>0.1</v>
      </c>
      <c r="S26" s="72">
        <v>0</v>
      </c>
      <c r="T26" s="75">
        <v>98.5</v>
      </c>
      <c r="U26" s="75">
        <v>1.3</v>
      </c>
      <c r="V26" s="121">
        <v>0</v>
      </c>
      <c r="W26" s="119">
        <v>2</v>
      </c>
      <c r="X26" s="120">
        <v>1.5</v>
      </c>
      <c r="Y26" s="119">
        <v>1</v>
      </c>
      <c r="Z26" s="120">
        <v>0.8</v>
      </c>
      <c r="AA26" s="120">
        <v>0.5</v>
      </c>
      <c r="AB26" s="559">
        <v>433.01922201480062</v>
      </c>
      <c r="AC26" s="559">
        <v>470.67306740739195</v>
      </c>
      <c r="AD26" s="559">
        <v>433.37222681535616</v>
      </c>
      <c r="AE26" s="559">
        <v>649.0581599547935</v>
      </c>
      <c r="AF26" s="622">
        <v>0.82209484106305364</v>
      </c>
      <c r="AG26" s="559">
        <v>261.91600618637949</v>
      </c>
      <c r="AH26" s="559">
        <v>284.69131107215162</v>
      </c>
      <c r="AI26" s="559">
        <v>262.12952466968363</v>
      </c>
      <c r="AJ26" s="559">
        <v>392.58931796849708</v>
      </c>
      <c r="AK26" s="622">
        <v>0.96717040125065135</v>
      </c>
      <c r="AL26" s="996">
        <v>0.2</v>
      </c>
      <c r="AM26" s="996">
        <v>0.4</v>
      </c>
      <c r="AN26" s="996">
        <v>0.9</v>
      </c>
      <c r="AO26" s="996">
        <v>1.2</v>
      </c>
      <c r="AP26" s="996">
        <v>1.5</v>
      </c>
      <c r="AQ26" s="996">
        <v>1.9</v>
      </c>
      <c r="AR26" s="996">
        <v>2.2999999999999998</v>
      </c>
      <c r="AS26" s="1005">
        <v>0</v>
      </c>
      <c r="AT26" s="1005">
        <v>10</v>
      </c>
      <c r="AU26" s="1005">
        <v>20</v>
      </c>
      <c r="AV26" s="1005">
        <v>70</v>
      </c>
      <c r="AW26" s="1005">
        <v>100</v>
      </c>
      <c r="AX26" s="1"/>
      <c r="AY26" s="5">
        <f>AY19</f>
        <v>1.49</v>
      </c>
      <c r="AZ26" s="8">
        <v>0.8</v>
      </c>
      <c r="BA26" s="8">
        <v>0.5</v>
      </c>
      <c r="BB26" s="8">
        <v>0.5</v>
      </c>
      <c r="BC26" s="73">
        <v>0.20334101477037858</v>
      </c>
      <c r="BD26" s="73">
        <v>0.18486326469412234</v>
      </c>
      <c r="BE26" s="9">
        <v>0</v>
      </c>
      <c r="BF26" s="9">
        <v>0.10764613778705637</v>
      </c>
      <c r="BG26" s="9">
        <v>1.3276356993736951</v>
      </c>
      <c r="BH26" s="9">
        <v>62.614170146137781</v>
      </c>
      <c r="BI26" s="9">
        <v>2.0942066805845512</v>
      </c>
      <c r="BJ26" s="9"/>
      <c r="BK26" s="9">
        <v>32.505871607515658</v>
      </c>
      <c r="BL26" s="9">
        <v>0.12721816283924844</v>
      </c>
      <c r="BM26" s="9"/>
      <c r="BN26" s="9">
        <v>0</v>
      </c>
      <c r="BO26" s="9">
        <v>0</v>
      </c>
      <c r="BP26" s="9">
        <v>0</v>
      </c>
      <c r="BQ26" s="9">
        <v>0.21529227557411273</v>
      </c>
      <c r="BR26" s="9">
        <v>3.262004175365344E-3</v>
      </c>
      <c r="BS26" s="9">
        <v>1.0046972860125261</v>
      </c>
      <c r="BT26" s="262">
        <v>261.13475999999997</v>
      </c>
      <c r="BU26" s="262">
        <v>96.5</v>
      </c>
      <c r="BV26" s="262">
        <v>63.215999999999994</v>
      </c>
      <c r="BW26" s="262">
        <v>233.35949490734063</v>
      </c>
      <c r="BX26" s="262">
        <v>157.40783999999999</v>
      </c>
      <c r="BY26" s="68"/>
      <c r="BZ26" s="262">
        <v>256.20808011776955</v>
      </c>
      <c r="CA26" s="262">
        <v>165.17663999999999</v>
      </c>
      <c r="CB26" s="68"/>
      <c r="CC26" s="785">
        <v>0</v>
      </c>
      <c r="CD26" s="262">
        <v>6.585</v>
      </c>
      <c r="CE26" s="262">
        <v>1.3169999999999999</v>
      </c>
      <c r="CF26" s="262">
        <v>38</v>
      </c>
      <c r="CG26" s="262">
        <v>225.83915999999996</v>
      </c>
      <c r="CH26" s="68">
        <v>0.2</v>
      </c>
      <c r="CI26" s="262">
        <v>175.08124000000001</v>
      </c>
      <c r="CJ26" s="262">
        <v>60.4</v>
      </c>
      <c r="CK26" s="262">
        <v>42.384</v>
      </c>
      <c r="CL26" s="262">
        <v>156.45894761061641</v>
      </c>
      <c r="CM26" s="262">
        <v>105.53616</v>
      </c>
      <c r="CN26" s="68"/>
      <c r="CO26" s="262">
        <v>159.24945066654416</v>
      </c>
      <c r="CP26" s="262">
        <v>102.66767999999999</v>
      </c>
      <c r="CQ26" s="68"/>
      <c r="CR26" s="262">
        <v>0</v>
      </c>
      <c r="CS26" s="262">
        <v>4.415</v>
      </c>
      <c r="CT26" s="262">
        <v>0.88300000000000001</v>
      </c>
      <c r="CU26" s="262">
        <v>27</v>
      </c>
      <c r="CV26" s="262">
        <v>151.41683999999998</v>
      </c>
      <c r="CW26" s="68">
        <v>0.2</v>
      </c>
      <c r="CX26" s="120">
        <v>0.3</v>
      </c>
      <c r="CY26" s="120">
        <v>0.7</v>
      </c>
      <c r="CZ26" s="120">
        <v>1.2</v>
      </c>
      <c r="DA26" s="120">
        <v>1.2</v>
      </c>
      <c r="DB26" s="119">
        <v>3</v>
      </c>
      <c r="DC26" s="1005">
        <v>0</v>
      </c>
      <c r="DD26" s="1005">
        <v>10</v>
      </c>
      <c r="DE26" s="1005">
        <v>20</v>
      </c>
      <c r="DF26" s="1005">
        <v>70</v>
      </c>
      <c r="DG26" s="1005">
        <v>100</v>
      </c>
      <c r="DH26" s="2">
        <v>0</v>
      </c>
      <c r="DI26" s="2">
        <v>0</v>
      </c>
      <c r="DJ26" s="63">
        <v>12</v>
      </c>
      <c r="DK26" s="8">
        <v>1.6</v>
      </c>
      <c r="DL26" s="8">
        <v>1.2</v>
      </c>
      <c r="DM26" s="8">
        <v>1.2</v>
      </c>
      <c r="DN26" s="1031" t="s">
        <v>1000</v>
      </c>
      <c r="DO26" s="1030" t="s">
        <v>997</v>
      </c>
      <c r="DP26" s="1030" t="s">
        <v>997</v>
      </c>
      <c r="DQ26" s="1030" t="s">
        <v>997</v>
      </c>
      <c r="DR26" s="1030" t="s">
        <v>997</v>
      </c>
      <c r="DS26" s="1030" t="s">
        <v>997</v>
      </c>
      <c r="DT26" s="1030" t="s">
        <v>997</v>
      </c>
      <c r="DU26" s="1097">
        <v>0</v>
      </c>
      <c r="DV26" s="1097">
        <v>0</v>
      </c>
      <c r="DW26" s="1097">
        <v>0</v>
      </c>
      <c r="DX26" s="1097">
        <v>0</v>
      </c>
      <c r="DY26" s="1097">
        <v>0</v>
      </c>
      <c r="DZ26" s="1097">
        <v>0</v>
      </c>
      <c r="EA26" s="1097">
        <v>0</v>
      </c>
      <c r="EB26" s="207">
        <v>0</v>
      </c>
      <c r="EC26" s="207">
        <v>18</v>
      </c>
      <c r="ED26" s="221">
        <v>5</v>
      </c>
      <c r="EE26" s="216">
        <v>0</v>
      </c>
      <c r="EF26" s="216">
        <v>0</v>
      </c>
      <c r="EG26" s="216">
        <v>0</v>
      </c>
      <c r="EH26" s="209" t="s">
        <v>1039</v>
      </c>
      <c r="EI26" s="204" t="s">
        <v>997</v>
      </c>
      <c r="EJ26" s="204" t="s">
        <v>997</v>
      </c>
      <c r="EK26" s="204" t="s">
        <v>997</v>
      </c>
      <c r="EL26" s="204" t="s">
        <v>997</v>
      </c>
      <c r="EM26" s="204" t="s">
        <v>997</v>
      </c>
      <c r="EN26" s="204" t="s">
        <v>997</v>
      </c>
      <c r="EO26" s="204" t="s">
        <v>997</v>
      </c>
      <c r="EP26" s="204" t="s">
        <v>997</v>
      </c>
      <c r="EQ26" s="204" t="s">
        <v>997</v>
      </c>
      <c r="ER26" s="204" t="s">
        <v>997</v>
      </c>
      <c r="ES26" s="204" t="s">
        <v>997</v>
      </c>
      <c r="ET26" s="204" t="s">
        <v>997</v>
      </c>
      <c r="EU26" s="204" t="s">
        <v>997</v>
      </c>
      <c r="EV26" s="204" t="s">
        <v>997</v>
      </c>
      <c r="EW26" s="204" t="s">
        <v>997</v>
      </c>
      <c r="EX26" s="204" t="s">
        <v>997</v>
      </c>
      <c r="EY26" s="204" t="s">
        <v>997</v>
      </c>
      <c r="EZ26" s="204" t="s">
        <v>997</v>
      </c>
      <c r="FA26" s="204" t="s">
        <v>997</v>
      </c>
      <c r="FB26" s="204" t="s">
        <v>997</v>
      </c>
      <c r="FC26" s="204" t="s">
        <v>997</v>
      </c>
      <c r="FD26" s="204" t="s">
        <v>997</v>
      </c>
      <c r="FE26" s="204" t="s">
        <v>997</v>
      </c>
      <c r="FF26" s="204" t="s">
        <v>997</v>
      </c>
      <c r="FG26" s="204" t="s">
        <v>997</v>
      </c>
      <c r="FH26" s="204" t="s">
        <v>997</v>
      </c>
      <c r="FI26" s="204" t="s">
        <v>997</v>
      </c>
      <c r="FJ26" s="204" t="s">
        <v>997</v>
      </c>
      <c r="FK26" s="204" t="s">
        <v>997</v>
      </c>
      <c r="FL26" s="204" t="s">
        <v>997</v>
      </c>
      <c r="FM26" s="204" t="s">
        <v>997</v>
      </c>
      <c r="FN26" s="204" t="s">
        <v>997</v>
      </c>
      <c r="FO26" s="204" t="s">
        <v>997</v>
      </c>
      <c r="FP26" s="204" t="s">
        <v>997</v>
      </c>
      <c r="FQ26" s="204" t="s">
        <v>997</v>
      </c>
      <c r="FR26" s="204" t="s">
        <v>997</v>
      </c>
      <c r="FS26" s="204" t="s">
        <v>997</v>
      </c>
      <c r="FT26" s="204" t="s">
        <v>997</v>
      </c>
      <c r="FU26" s="204" t="s">
        <v>997</v>
      </c>
      <c r="FV26" s="204" t="s">
        <v>997</v>
      </c>
      <c r="FW26" s="204" t="s">
        <v>997</v>
      </c>
      <c r="FX26" s="204" t="s">
        <v>997</v>
      </c>
      <c r="FY26" s="204" t="s">
        <v>997</v>
      </c>
      <c r="FZ26" s="204" t="s">
        <v>997</v>
      </c>
      <c r="GA26" s="204" t="s">
        <v>997</v>
      </c>
      <c r="GB26" s="204" t="s">
        <v>997</v>
      </c>
      <c r="GC26" s="204" t="s">
        <v>997</v>
      </c>
      <c r="GD26" s="204" t="s">
        <v>997</v>
      </c>
      <c r="GE26" s="204" t="s">
        <v>997</v>
      </c>
      <c r="GF26" s="204" t="s">
        <v>997</v>
      </c>
      <c r="GG26" s="204" t="s">
        <v>997</v>
      </c>
      <c r="GH26" s="204" t="s">
        <v>997</v>
      </c>
      <c r="GI26" s="204" t="s">
        <v>997</v>
      </c>
      <c r="GJ26" s="204" t="s">
        <v>997</v>
      </c>
      <c r="GK26" s="204" t="s">
        <v>997</v>
      </c>
      <c r="GL26" s="204" t="s">
        <v>997</v>
      </c>
      <c r="GM26" s="204" t="s">
        <v>997</v>
      </c>
      <c r="GN26" s="1051">
        <v>0</v>
      </c>
      <c r="GO26" s="1051">
        <v>0</v>
      </c>
      <c r="GP26" s="1051">
        <v>0</v>
      </c>
      <c r="GQ26" s="1051">
        <v>0</v>
      </c>
      <c r="GR26" s="1051">
        <v>0</v>
      </c>
      <c r="GS26" s="1051">
        <v>0</v>
      </c>
      <c r="GT26" s="1051">
        <v>0</v>
      </c>
      <c r="GU26" s="1051">
        <v>0</v>
      </c>
      <c r="GV26" s="1051">
        <v>0</v>
      </c>
      <c r="GW26" s="1051">
        <v>0</v>
      </c>
      <c r="GX26" s="1051">
        <v>0</v>
      </c>
      <c r="GY26" s="1051">
        <v>0</v>
      </c>
      <c r="GZ26" s="1051">
        <v>0</v>
      </c>
      <c r="HA26" s="1051">
        <v>0</v>
      </c>
      <c r="HB26" s="1051">
        <v>0</v>
      </c>
      <c r="HC26" s="1051">
        <v>0</v>
      </c>
      <c r="HD26" s="1051">
        <v>0</v>
      </c>
      <c r="HE26" s="1051">
        <v>0</v>
      </c>
      <c r="HF26" s="1051">
        <v>0</v>
      </c>
      <c r="HG26" s="1051">
        <v>0</v>
      </c>
      <c r="HH26" s="1051">
        <v>0</v>
      </c>
      <c r="HI26" s="1051">
        <v>0</v>
      </c>
      <c r="HJ26" s="1051">
        <v>0</v>
      </c>
      <c r="HK26" s="1051">
        <v>0</v>
      </c>
      <c r="HL26" s="1051">
        <v>0</v>
      </c>
      <c r="HM26" s="1051">
        <v>0</v>
      </c>
      <c r="HN26" s="1051">
        <v>0</v>
      </c>
      <c r="HO26" s="1051">
        <v>0</v>
      </c>
      <c r="HP26" s="1051">
        <v>0</v>
      </c>
      <c r="HQ26" s="1051">
        <v>0</v>
      </c>
      <c r="HR26" s="1051">
        <v>0</v>
      </c>
      <c r="HS26" s="1051">
        <v>0</v>
      </c>
      <c r="HT26" s="1051">
        <v>0</v>
      </c>
      <c r="HU26" s="1051">
        <v>0</v>
      </c>
      <c r="HV26" s="1051">
        <v>0</v>
      </c>
      <c r="HW26" s="1051">
        <v>0</v>
      </c>
      <c r="HX26" s="1051">
        <v>0</v>
      </c>
      <c r="HY26" s="1051">
        <v>0</v>
      </c>
      <c r="HZ26" s="1051">
        <v>0</v>
      </c>
      <c r="IA26" s="1051">
        <v>0</v>
      </c>
      <c r="IB26" s="1051">
        <v>0</v>
      </c>
      <c r="IC26" s="1051">
        <v>0</v>
      </c>
      <c r="ID26" s="1051">
        <v>0</v>
      </c>
      <c r="IE26" s="1051">
        <v>0</v>
      </c>
      <c r="IF26" s="1051">
        <v>0</v>
      </c>
      <c r="IG26" s="1051">
        <v>0</v>
      </c>
      <c r="IH26" s="1051">
        <v>0</v>
      </c>
      <c r="II26" s="1051">
        <v>0</v>
      </c>
      <c r="IJ26" s="1051">
        <v>0</v>
      </c>
      <c r="IK26" s="1051">
        <v>0</v>
      </c>
      <c r="IL26" s="1051">
        <v>0</v>
      </c>
      <c r="IM26" s="1051">
        <v>0</v>
      </c>
      <c r="IN26" s="1051">
        <v>0</v>
      </c>
      <c r="IO26" s="1051">
        <v>0</v>
      </c>
      <c r="IP26" s="1051">
        <v>0</v>
      </c>
      <c r="IQ26" s="1051">
        <v>0</v>
      </c>
      <c r="IR26" s="1051">
        <v>0</v>
      </c>
      <c r="IS26" s="1051">
        <v>0</v>
      </c>
      <c r="IT26" s="215">
        <v>0</v>
      </c>
      <c r="IU26" s="207">
        <v>179.9</v>
      </c>
      <c r="IV26" s="216">
        <v>2647.0800000000199</v>
      </c>
      <c r="IW26" s="272">
        <v>12.64</v>
      </c>
      <c r="IX26" s="207">
        <v>50</v>
      </c>
      <c r="IY26" s="204">
        <v>1.6</v>
      </c>
      <c r="IZ26" s="204">
        <v>1.2</v>
      </c>
      <c r="JA26" s="204">
        <v>1.2</v>
      </c>
      <c r="JB26" s="52">
        <v>2</v>
      </c>
      <c r="JC26" s="24">
        <v>1.5</v>
      </c>
      <c r="JD26" s="24">
        <v>0.7</v>
      </c>
      <c r="JE26" s="24">
        <v>0.7</v>
      </c>
      <c r="JF26" s="24">
        <v>0.5</v>
      </c>
      <c r="JG26" s="1"/>
      <c r="JH26" s="216">
        <v>2647.0800000000199</v>
      </c>
      <c r="JI26" s="272">
        <v>12.64</v>
      </c>
      <c r="JJ26" s="207">
        <v>50</v>
      </c>
      <c r="JK26" s="8">
        <v>1.9</v>
      </c>
      <c r="JL26" s="8">
        <v>1.1000000000000001</v>
      </c>
      <c r="JM26" s="8">
        <v>1.1000000000000001</v>
      </c>
      <c r="JN26" s="216">
        <v>2</v>
      </c>
      <c r="JO26" s="216">
        <v>2</v>
      </c>
      <c r="JP26" s="216">
        <v>1</v>
      </c>
      <c r="JQ26" s="216">
        <v>1</v>
      </c>
      <c r="JR26" s="214">
        <v>0.5</v>
      </c>
      <c r="JS26" s="1212">
        <v>2000</v>
      </c>
      <c r="JT26" s="215"/>
      <c r="JU26" s="215">
        <v>500</v>
      </c>
      <c r="JV26" s="204">
        <v>1.5</v>
      </c>
      <c r="JW26" s="204">
        <v>0.7</v>
      </c>
      <c r="JX26" s="204">
        <v>0.7</v>
      </c>
      <c r="JY26" s="214">
        <v>2</v>
      </c>
      <c r="JZ26" s="214">
        <v>1.5</v>
      </c>
      <c r="KA26" s="214">
        <v>0.5</v>
      </c>
      <c r="KB26" s="214">
        <v>1</v>
      </c>
      <c r="KC26" s="214">
        <v>0.5</v>
      </c>
      <c r="KD26" s="1186">
        <v>20.817843866171003</v>
      </c>
      <c r="KE26" s="1186">
        <v>0</v>
      </c>
      <c r="KF26" s="1186">
        <v>77.762757688408243</v>
      </c>
      <c r="KG26" s="1186"/>
      <c r="KH26" s="1186">
        <v>0.43933761405880367</v>
      </c>
      <c r="KI26" s="1186">
        <v>0.98006083136194655</v>
      </c>
      <c r="KJ26" s="1186">
        <v>0</v>
      </c>
      <c r="KK26" s="1186">
        <v>0</v>
      </c>
      <c r="KL26" s="1186"/>
      <c r="KM26" s="1187">
        <v>580</v>
      </c>
      <c r="KN26" s="1187">
        <v>580</v>
      </c>
      <c r="KO26" s="1187">
        <v>580</v>
      </c>
      <c r="KP26" s="1187">
        <v>580</v>
      </c>
      <c r="KQ26" s="1187"/>
      <c r="KR26" s="1187">
        <v>580</v>
      </c>
      <c r="KS26" s="1187">
        <v>580</v>
      </c>
      <c r="KT26" s="1187">
        <v>580</v>
      </c>
      <c r="KU26" s="1187">
        <v>580</v>
      </c>
      <c r="KV26" s="262">
        <v>370</v>
      </c>
      <c r="KW26" s="262">
        <v>370</v>
      </c>
      <c r="KX26" s="262">
        <v>370</v>
      </c>
      <c r="KY26" s="262">
        <v>370</v>
      </c>
      <c r="KZ26" s="262"/>
      <c r="LA26" s="262">
        <v>370</v>
      </c>
      <c r="LB26" s="262">
        <v>370</v>
      </c>
      <c r="LC26" s="262">
        <v>370</v>
      </c>
      <c r="LD26" s="262">
        <v>370</v>
      </c>
      <c r="LE26" s="1213">
        <v>0</v>
      </c>
      <c r="LF26" s="1213">
        <v>10</v>
      </c>
      <c r="LG26" s="1213">
        <v>20</v>
      </c>
      <c r="LH26" s="1213">
        <v>70</v>
      </c>
      <c r="LI26" s="1213">
        <v>100</v>
      </c>
      <c r="LJ26" s="1212">
        <v>1000</v>
      </c>
      <c r="LK26" s="1"/>
      <c r="LL26" s="4">
        <v>29</v>
      </c>
      <c r="LM26" s="10">
        <v>1</v>
      </c>
      <c r="LN26" s="8">
        <v>0.7</v>
      </c>
      <c r="LO26" s="8">
        <v>0.7</v>
      </c>
      <c r="LP26" s="214">
        <v>2</v>
      </c>
      <c r="LQ26" s="214">
        <v>1</v>
      </c>
      <c r="LR26" s="214">
        <v>0.5</v>
      </c>
      <c r="LS26" s="214">
        <v>0.7</v>
      </c>
      <c r="LT26" s="214">
        <v>0.2</v>
      </c>
      <c r="LU26" s="1212">
        <v>1500</v>
      </c>
      <c r="LV26" s="122">
        <v>0</v>
      </c>
      <c r="LW26" s="122">
        <v>0</v>
      </c>
      <c r="LX26" s="122">
        <v>0</v>
      </c>
      <c r="LY26" s="165">
        <v>0</v>
      </c>
      <c r="LZ26" s="165">
        <v>0</v>
      </c>
      <c r="MA26" s="165">
        <v>0</v>
      </c>
      <c r="MB26" s="165">
        <v>0</v>
      </c>
      <c r="MC26" s="165">
        <v>0</v>
      </c>
      <c r="MD26" s="165">
        <v>0</v>
      </c>
      <c r="ME26" s="165">
        <v>0</v>
      </c>
      <c r="MF26" s="165">
        <v>0</v>
      </c>
      <c r="MG26" s="165">
        <v>0</v>
      </c>
      <c r="MH26" s="165">
        <v>0</v>
      </c>
      <c r="MI26" s="165">
        <v>0</v>
      </c>
      <c r="MJ26" s="165">
        <v>0</v>
      </c>
      <c r="MK26" s="165">
        <v>0</v>
      </c>
      <c r="ML26" s="165">
        <v>0</v>
      </c>
      <c r="MM26" s="165">
        <v>0</v>
      </c>
      <c r="MN26" s="165">
        <v>0</v>
      </c>
      <c r="MO26" s="165">
        <v>0</v>
      </c>
      <c r="MP26" s="165">
        <v>0</v>
      </c>
      <c r="MQ26" s="165">
        <v>0</v>
      </c>
      <c r="MR26" s="165">
        <v>0</v>
      </c>
      <c r="MS26" s="165">
        <v>0</v>
      </c>
      <c r="MT26" s="165">
        <v>0</v>
      </c>
      <c r="MU26" s="165">
        <v>0</v>
      </c>
      <c r="MV26" s="165">
        <v>0</v>
      </c>
      <c r="MW26" s="166">
        <v>0</v>
      </c>
      <c r="MX26" s="166">
        <v>0</v>
      </c>
      <c r="MY26" s="166">
        <v>0</v>
      </c>
      <c r="MZ26" s="166">
        <v>0</v>
      </c>
      <c r="NA26" s="166">
        <v>0</v>
      </c>
      <c r="NB26" s="166">
        <v>0</v>
      </c>
      <c r="NC26" s="166">
        <v>-3.9745054771700003E-3</v>
      </c>
      <c r="ND26" s="166">
        <v>0</v>
      </c>
      <c r="NE26" s="166">
        <v>0</v>
      </c>
      <c r="NF26" s="166">
        <v>0</v>
      </c>
      <c r="NG26" s="166">
        <v>0</v>
      </c>
      <c r="NH26" s="166">
        <v>0</v>
      </c>
      <c r="NI26" s="166">
        <v>-0.18918333333333001</v>
      </c>
      <c r="NJ26" s="166">
        <v>0</v>
      </c>
      <c r="NK26" s="166">
        <v>0</v>
      </c>
      <c r="NL26" s="166">
        <v>0</v>
      </c>
      <c r="NM26" s="166">
        <v>0</v>
      </c>
      <c r="NN26" s="166">
        <v>0</v>
      </c>
      <c r="NO26" s="166">
        <v>0.94923846153887004</v>
      </c>
      <c r="NP26" s="166">
        <v>0</v>
      </c>
      <c r="NQ26" s="166">
        <v>0</v>
      </c>
      <c r="NR26" s="166">
        <v>0</v>
      </c>
      <c r="NS26" s="166">
        <v>0</v>
      </c>
      <c r="NT26" s="166">
        <v>0</v>
      </c>
      <c r="NU26" s="166">
        <v>0.32429141716766002</v>
      </c>
      <c r="NV26" s="166">
        <v>0</v>
      </c>
      <c r="NW26" s="166">
        <v>0</v>
      </c>
      <c r="NX26" s="166">
        <v>0</v>
      </c>
      <c r="NY26" s="166">
        <v>0</v>
      </c>
      <c r="NZ26" s="166">
        <v>0</v>
      </c>
      <c r="OA26" s="166">
        <v>-113.94</v>
      </c>
      <c r="OB26" s="166">
        <v>-21.47</v>
      </c>
      <c r="OC26" s="166">
        <v>-0.76402153845999998</v>
      </c>
      <c r="OD26" s="166">
        <v>0</v>
      </c>
      <c r="OE26" s="166">
        <v>-0.78239000000000003</v>
      </c>
      <c r="OF26" s="166">
        <v>0</v>
      </c>
      <c r="OG26" s="166">
        <v>4.430891090275E-2</v>
      </c>
      <c r="OH26" s="166">
        <v>0</v>
      </c>
      <c r="OI26" s="166">
        <v>0</v>
      </c>
      <c r="OJ26" s="166">
        <v>0</v>
      </c>
      <c r="OK26" s="166">
        <v>-0.38715432234031999</v>
      </c>
      <c r="OL26" s="166">
        <v>-9.52</v>
      </c>
      <c r="OM26" s="166">
        <v>0</v>
      </c>
      <c r="ON26" s="166">
        <v>0</v>
      </c>
      <c r="OO26" s="166">
        <v>0</v>
      </c>
      <c r="OP26" s="166">
        <v>0</v>
      </c>
      <c r="OQ26" s="166">
        <v>0</v>
      </c>
      <c r="OR26" s="166">
        <v>0</v>
      </c>
      <c r="OS26" s="166">
        <v>0.24446590909102001</v>
      </c>
      <c r="OT26" s="166">
        <v>0</v>
      </c>
      <c r="OU26" s="166">
        <v>0</v>
      </c>
      <c r="OV26" s="166">
        <v>0</v>
      </c>
      <c r="OW26" s="166">
        <v>1.0303433674545599</v>
      </c>
      <c r="OX26" s="166">
        <v>0</v>
      </c>
      <c r="OY26" s="166">
        <v>0.34050000000000002</v>
      </c>
      <c r="OZ26" s="166">
        <v>0</v>
      </c>
      <c r="PA26" s="166">
        <v>0</v>
      </c>
      <c r="PB26" s="166">
        <v>0</v>
      </c>
      <c r="PC26" s="166">
        <v>2.5225</v>
      </c>
      <c r="PD26" s="166">
        <v>0</v>
      </c>
      <c r="PE26" s="166">
        <v>-113.94</v>
      </c>
      <c r="PF26" s="166">
        <v>-21.47</v>
      </c>
      <c r="PG26" s="166">
        <v>-1.3114110761020801</v>
      </c>
      <c r="PH26" s="166">
        <v>0</v>
      </c>
      <c r="PI26" s="166">
        <v>-1.2204196230965301</v>
      </c>
      <c r="PJ26" s="166">
        <v>0</v>
      </c>
      <c r="PK26" s="166">
        <v>-3.6731675605339999E-2</v>
      </c>
      <c r="PL26" s="166">
        <v>0</v>
      </c>
      <c r="PM26" s="166">
        <v>0</v>
      </c>
      <c r="PN26" s="166">
        <v>0</v>
      </c>
      <c r="PO26" s="166">
        <v>0.39887582801054999</v>
      </c>
      <c r="PP26" s="166">
        <v>-9.3559751895280296</v>
      </c>
      <c r="PQ26" s="166">
        <v>-1.3721945135929999E-2</v>
      </c>
      <c r="PR26" s="166">
        <v>0</v>
      </c>
      <c r="PS26" s="166">
        <v>0</v>
      </c>
      <c r="PT26" s="166">
        <v>0</v>
      </c>
      <c r="PU26" s="166">
        <v>-6.9827629290609997E-2</v>
      </c>
      <c r="PV26" s="166">
        <v>0</v>
      </c>
      <c r="PW26" s="166">
        <v>0.21477267286068</v>
      </c>
      <c r="PX26" s="166">
        <v>0</v>
      </c>
      <c r="PY26" s="166">
        <v>0</v>
      </c>
      <c r="PZ26" s="166">
        <v>0</v>
      </c>
      <c r="QA26" s="166">
        <v>1.7411319054315599</v>
      </c>
      <c r="QB26" s="166">
        <v>0</v>
      </c>
      <c r="QC26" s="166">
        <v>0.23056438907588001</v>
      </c>
      <c r="QD26" s="166">
        <v>0</v>
      </c>
      <c r="QE26" s="166">
        <v>0</v>
      </c>
      <c r="QF26" s="166">
        <v>0</v>
      </c>
      <c r="QG26" s="166">
        <v>1.1249847089037199</v>
      </c>
      <c r="QH26" s="166">
        <v>0</v>
      </c>
      <c r="QI26" s="162">
        <v>0</v>
      </c>
      <c r="QJ26" s="167">
        <v>0</v>
      </c>
      <c r="QK26" s="167">
        <v>0</v>
      </c>
      <c r="QL26" s="167">
        <v>0</v>
      </c>
      <c r="QM26" s="167">
        <v>0</v>
      </c>
      <c r="QN26" s="162">
        <v>0</v>
      </c>
      <c r="QO26" s="162">
        <v>0</v>
      </c>
      <c r="QP26" s="162">
        <v>0</v>
      </c>
      <c r="QQ26" s="162">
        <v>0</v>
      </c>
      <c r="QR26" s="162">
        <v>0</v>
      </c>
      <c r="QS26" s="162">
        <v>0</v>
      </c>
      <c r="QT26" s="162">
        <v>0</v>
      </c>
      <c r="QU26" s="162">
        <v>-5.8314843882105398</v>
      </c>
      <c r="QV26" s="162">
        <v>0</v>
      </c>
      <c r="QW26" s="162">
        <v>-0.99942732079088004</v>
      </c>
      <c r="QX26" s="162">
        <v>0</v>
      </c>
      <c r="QY26" s="162">
        <v>-1.57756256920988</v>
      </c>
      <c r="QZ26" s="162">
        <v>0</v>
      </c>
      <c r="RA26" s="167">
        <v>-0.1484117647058</v>
      </c>
      <c r="RB26" s="167">
        <v>0</v>
      </c>
      <c r="RC26" s="167">
        <v>0</v>
      </c>
      <c r="RD26" s="167">
        <v>0</v>
      </c>
      <c r="RE26" s="167">
        <v>-0.71013588202545996</v>
      </c>
      <c r="RF26" s="167">
        <v>0</v>
      </c>
      <c r="RG26" s="167">
        <v>-0.22680687724875001</v>
      </c>
      <c r="RH26" s="167">
        <v>0</v>
      </c>
      <c r="RI26" s="167">
        <v>0</v>
      </c>
      <c r="RJ26" s="167">
        <v>0</v>
      </c>
      <c r="RK26" s="167">
        <v>-0.72735117815029005</v>
      </c>
      <c r="RL26" s="167">
        <v>0</v>
      </c>
      <c r="RM26" s="166">
        <v>-113.94</v>
      </c>
      <c r="RN26" s="166">
        <v>-21.47</v>
      </c>
      <c r="RO26" s="166">
        <v>-0.84304410144301001</v>
      </c>
      <c r="RP26" s="166">
        <v>0</v>
      </c>
      <c r="RQ26" s="166">
        <v>-1.4898788170953301</v>
      </c>
      <c r="RR26" s="166">
        <v>0</v>
      </c>
      <c r="RS26" s="166">
        <v>-0.19082941877290999</v>
      </c>
      <c r="RT26" s="166">
        <v>0</v>
      </c>
      <c r="RU26" s="166">
        <v>0</v>
      </c>
      <c r="RV26" s="166">
        <v>0</v>
      </c>
      <c r="RW26" s="166">
        <v>-0.87016021963467005</v>
      </c>
      <c r="RX26" s="166">
        <v>0</v>
      </c>
      <c r="RY26" s="166">
        <v>-0.23366545765905</v>
      </c>
      <c r="RZ26" s="166">
        <v>0</v>
      </c>
      <c r="SA26" s="166">
        <v>0</v>
      </c>
      <c r="SB26" s="166">
        <v>0</v>
      </c>
      <c r="SC26" s="166">
        <v>-1.0936433724107799</v>
      </c>
      <c r="SD26" s="166">
        <v>0</v>
      </c>
      <c r="SE26" s="166">
        <v>-0.16269140164841001</v>
      </c>
      <c r="SF26" s="166">
        <v>0</v>
      </c>
      <c r="SG26" s="166">
        <v>0</v>
      </c>
      <c r="SH26" s="166">
        <v>0</v>
      </c>
      <c r="SI26" s="166">
        <v>-0.78669468998587</v>
      </c>
      <c r="SJ26" s="166">
        <v>0</v>
      </c>
      <c r="SK26" s="166">
        <v>0</v>
      </c>
      <c r="SL26" s="166">
        <v>0</v>
      </c>
      <c r="SM26" s="166">
        <v>0</v>
      </c>
      <c r="SN26" s="166">
        <v>0</v>
      </c>
      <c r="SO26" s="166">
        <v>0</v>
      </c>
      <c r="SP26" s="166">
        <v>0</v>
      </c>
      <c r="SQ26" s="166">
        <v>-113.94</v>
      </c>
      <c r="SR26" s="166">
        <v>-21.47</v>
      </c>
      <c r="SS26" s="166">
        <v>-1.27545802781231</v>
      </c>
      <c r="ST26" s="166">
        <v>0</v>
      </c>
      <c r="SU26" s="166">
        <v>-4.0103239650135301</v>
      </c>
      <c r="SV26" s="166">
        <v>0</v>
      </c>
      <c r="SW26" s="166">
        <v>-0.29185714285755998</v>
      </c>
      <c r="SX26" s="166">
        <v>0</v>
      </c>
      <c r="SY26" s="166">
        <v>0</v>
      </c>
      <c r="SZ26" s="166">
        <v>0</v>
      </c>
      <c r="TA26" s="166">
        <v>-2.16214285714595</v>
      </c>
      <c r="TB26" s="166">
        <v>0</v>
      </c>
      <c r="TC26" s="166">
        <v>-0.25900849341166998</v>
      </c>
      <c r="TD26" s="166">
        <v>0</v>
      </c>
      <c r="TE26" s="166">
        <v>0</v>
      </c>
      <c r="TF26" s="166">
        <v>0</v>
      </c>
      <c r="TG26" s="166">
        <v>-1.4817838678805699</v>
      </c>
      <c r="TH26" s="166">
        <v>0</v>
      </c>
      <c r="TI26" s="166">
        <v>0</v>
      </c>
      <c r="TJ26" s="166">
        <v>0</v>
      </c>
      <c r="TK26" s="166">
        <v>0</v>
      </c>
      <c r="TL26" s="166">
        <v>0</v>
      </c>
      <c r="TM26" s="166">
        <v>0</v>
      </c>
      <c r="TN26" s="166">
        <v>0</v>
      </c>
      <c r="TO26" s="166">
        <v>-0.77149999911425005</v>
      </c>
      <c r="TP26" s="166">
        <v>0</v>
      </c>
      <c r="TQ26" s="166">
        <v>0</v>
      </c>
      <c r="TR26" s="166">
        <v>0</v>
      </c>
      <c r="TS26" s="166">
        <v>-2.5288538012355701</v>
      </c>
      <c r="TT26" s="166">
        <v>0</v>
      </c>
      <c r="TU26" s="166">
        <v>4.4389195029420001E-2</v>
      </c>
      <c r="TV26" s="166">
        <v>0</v>
      </c>
      <c r="TW26" s="166">
        <v>1.278199435141E-2</v>
      </c>
      <c r="TX26" s="166">
        <v>-4.73141662096E-3</v>
      </c>
      <c r="TY26" s="166">
        <v>0</v>
      </c>
      <c r="TZ26" s="166">
        <v>0</v>
      </c>
      <c r="UA26" s="166">
        <v>0</v>
      </c>
      <c r="UB26" s="166">
        <v>0</v>
      </c>
      <c r="UC26" s="166">
        <v>0</v>
      </c>
      <c r="UD26" s="166">
        <v>0</v>
      </c>
      <c r="UE26" s="166">
        <v>0</v>
      </c>
      <c r="UF26" s="166">
        <v>-9.52</v>
      </c>
      <c r="UG26" s="166">
        <v>2.6527775270100001E-3</v>
      </c>
      <c r="UH26" s="166">
        <v>0</v>
      </c>
      <c r="UI26" s="166">
        <v>0</v>
      </c>
      <c r="UJ26" s="166">
        <v>0</v>
      </c>
      <c r="UK26" s="166">
        <v>2.0627190073559998E-2</v>
      </c>
      <c r="UL26" s="166">
        <v>-7.8031745839667099</v>
      </c>
      <c r="UM26" s="166">
        <v>0</v>
      </c>
      <c r="UN26" s="166">
        <v>0</v>
      </c>
      <c r="UO26" s="166">
        <v>0</v>
      </c>
      <c r="UP26" s="166">
        <v>0</v>
      </c>
      <c r="UQ26" s="166">
        <v>0</v>
      </c>
      <c r="UR26" s="166">
        <v>0</v>
      </c>
      <c r="US26" s="163">
        <v>0</v>
      </c>
      <c r="UT26" s="163">
        <v>0</v>
      </c>
      <c r="UU26" s="163">
        <v>0</v>
      </c>
      <c r="UV26" s="163">
        <v>0</v>
      </c>
      <c r="UW26" s="163">
        <v>0</v>
      </c>
      <c r="UX26" s="163">
        <v>0</v>
      </c>
      <c r="UY26" s="166">
        <v>-2.9642530477759998E-2</v>
      </c>
      <c r="UZ26" s="166">
        <v>0</v>
      </c>
      <c r="VA26" s="166">
        <v>0</v>
      </c>
      <c r="VB26" s="166">
        <v>0</v>
      </c>
      <c r="VC26" s="166">
        <v>-4.8893950957149997E-2</v>
      </c>
      <c r="VD26" s="166">
        <v>0</v>
      </c>
      <c r="VE26" s="267">
        <v>202</v>
      </c>
      <c r="VF26" s="267">
        <v>279</v>
      </c>
      <c r="VG26" s="267">
        <v>354</v>
      </c>
      <c r="VH26" s="267">
        <v>0</v>
      </c>
      <c r="VI26" s="267">
        <v>403</v>
      </c>
      <c r="VJ26" s="267">
        <v>0</v>
      </c>
      <c r="VK26" s="267">
        <v>0</v>
      </c>
      <c r="VL26" s="257">
        <v>0</v>
      </c>
      <c r="VM26" s="257">
        <v>0</v>
      </c>
      <c r="VN26" s="257">
        <v>0</v>
      </c>
      <c r="VO26" s="257">
        <v>0</v>
      </c>
      <c r="VP26" s="257">
        <v>0</v>
      </c>
      <c r="VQ26" s="257">
        <v>0</v>
      </c>
      <c r="VR26" s="257">
        <v>0</v>
      </c>
      <c r="VS26" s="257">
        <v>0</v>
      </c>
      <c r="VT26" s="257">
        <v>0</v>
      </c>
      <c r="VU26" s="257">
        <v>0</v>
      </c>
      <c r="VV26" s="257">
        <v>0</v>
      </c>
      <c r="VW26" s="257">
        <v>0</v>
      </c>
      <c r="VX26" s="257">
        <v>0</v>
      </c>
      <c r="VY26" s="257">
        <v>0</v>
      </c>
      <c r="VZ26" s="257">
        <v>0</v>
      </c>
      <c r="WA26" s="257">
        <v>0</v>
      </c>
      <c r="WB26" s="257">
        <v>0</v>
      </c>
      <c r="WC26" s="257">
        <v>0</v>
      </c>
      <c r="WD26" s="257">
        <v>0</v>
      </c>
      <c r="WE26" s="257">
        <v>0</v>
      </c>
      <c r="WF26" s="257">
        <v>0</v>
      </c>
      <c r="WG26" s="257">
        <v>0</v>
      </c>
      <c r="WH26" s="257">
        <v>0</v>
      </c>
      <c r="WI26" s="257">
        <v>0</v>
      </c>
      <c r="WJ26" s="257">
        <v>0</v>
      </c>
      <c r="WK26" s="257">
        <v>0</v>
      </c>
      <c r="WL26" s="257">
        <v>0</v>
      </c>
      <c r="WM26" s="257">
        <v>0</v>
      </c>
      <c r="WN26" s="257">
        <v>0</v>
      </c>
      <c r="WO26" s="257">
        <v>0</v>
      </c>
      <c r="WP26" s="257">
        <v>0</v>
      </c>
      <c r="WQ26" s="257">
        <v>0</v>
      </c>
      <c r="WR26" s="257">
        <v>0</v>
      </c>
      <c r="WS26" s="572">
        <v>87.807500000000005</v>
      </c>
      <c r="WT26" s="572">
        <v>69.65939457202505</v>
      </c>
      <c r="WU26" s="572">
        <v>76.991962421711904</v>
      </c>
      <c r="WV26" s="572">
        <v>80.65824634655533</v>
      </c>
      <c r="WW26" s="572">
        <v>123.92039665970773</v>
      </c>
      <c r="WX26" s="247">
        <v>14318.32</v>
      </c>
      <c r="WY26" s="4">
        <v>78</v>
      </c>
      <c r="WZ26" s="4">
        <v>15</v>
      </c>
      <c r="XA26" s="4">
        <v>7.0000000000000009</v>
      </c>
      <c r="XB26" s="4">
        <v>0</v>
      </c>
      <c r="XC26" s="1037">
        <v>1486.996527614348</v>
      </c>
      <c r="XD26" s="1037">
        <v>0</v>
      </c>
      <c r="XE26" s="1037">
        <v>0</v>
      </c>
      <c r="XF26" s="1037">
        <v>0</v>
      </c>
      <c r="XG26" s="1037">
        <v>0</v>
      </c>
      <c r="XH26" s="1037">
        <v>0</v>
      </c>
      <c r="XI26" s="1037">
        <v>1115.2473957107609</v>
      </c>
      <c r="XJ26" s="1037">
        <v>495.66550920478267</v>
      </c>
      <c r="XK26" s="1037">
        <v>1595.1835814810265</v>
      </c>
      <c r="XL26" s="1037">
        <v>0</v>
      </c>
      <c r="XM26" s="1037">
        <v>0</v>
      </c>
      <c r="XN26" s="1037">
        <v>0</v>
      </c>
      <c r="XO26" s="1037">
        <v>0</v>
      </c>
      <c r="XP26" s="1037">
        <v>0</v>
      </c>
      <c r="XQ26" s="1037">
        <v>1196.3876861107699</v>
      </c>
      <c r="XR26" s="1037">
        <v>531.72786049367551</v>
      </c>
      <c r="XS26" s="1037">
        <v>1671.1447044086947</v>
      </c>
      <c r="XT26" s="1037">
        <v>0</v>
      </c>
      <c r="XU26" s="1037">
        <v>0</v>
      </c>
      <c r="XV26" s="1037">
        <v>0</v>
      </c>
      <c r="XW26" s="1037">
        <v>0</v>
      </c>
      <c r="XX26" s="1037">
        <v>0</v>
      </c>
      <c r="XY26" s="1037">
        <v>1253.3585283065211</v>
      </c>
      <c r="XZ26" s="1037">
        <v>557.04823480289826</v>
      </c>
      <c r="YA26" s="1037">
        <v>2567.4859549551761</v>
      </c>
      <c r="YB26" s="1037">
        <v>0</v>
      </c>
      <c r="YC26" s="1037">
        <v>0</v>
      </c>
      <c r="YD26" s="1037">
        <v>0</v>
      </c>
      <c r="YE26" s="1037">
        <v>0</v>
      </c>
      <c r="YF26" s="1037">
        <v>0</v>
      </c>
      <c r="YG26" s="1037">
        <v>1925.614466216382</v>
      </c>
      <c r="YH26" s="1037">
        <v>855.82865165172541</v>
      </c>
      <c r="YI26" s="1037">
        <v>1024.3753856898841</v>
      </c>
      <c r="YJ26" s="1037">
        <v>1536.5630785348262</v>
      </c>
      <c r="YK26" s="1037">
        <v>469.50538510786362</v>
      </c>
      <c r="YL26" s="1037">
        <v>128.04692321123551</v>
      </c>
      <c r="YM26" s="1037">
        <v>0</v>
      </c>
      <c r="YN26" s="1037">
        <v>0</v>
      </c>
      <c r="YO26" s="1037">
        <v>768.28153926741311</v>
      </c>
      <c r="YP26" s="1037">
        <v>341.45846189662808</v>
      </c>
      <c r="YQ26" s="1037">
        <v>1098.9042450202628</v>
      </c>
      <c r="YR26" s="1037">
        <v>1648.356367530394</v>
      </c>
      <c r="YS26" s="1037">
        <v>503.66444563428712</v>
      </c>
      <c r="YT26" s="1037">
        <v>137.36303062753285</v>
      </c>
      <c r="YU26" s="1037">
        <v>0</v>
      </c>
      <c r="YV26" s="1037">
        <v>0</v>
      </c>
      <c r="YW26" s="1037">
        <v>824.17818376519699</v>
      </c>
      <c r="YX26" s="1037">
        <v>366.30141500675427</v>
      </c>
      <c r="YY26" s="1037">
        <v>1151.2330185926562</v>
      </c>
      <c r="YZ26" s="1037">
        <v>1726.8495278889843</v>
      </c>
      <c r="ZA26" s="1037">
        <v>527.64846685496741</v>
      </c>
      <c r="ZB26" s="1037">
        <v>143.90412732408203</v>
      </c>
      <c r="ZC26" s="1037">
        <v>0</v>
      </c>
      <c r="ZD26" s="1037">
        <v>0</v>
      </c>
      <c r="ZE26" s="1037">
        <v>863.42476394449216</v>
      </c>
      <c r="ZF26" s="1037">
        <v>383.74433953088544</v>
      </c>
      <c r="ZG26" s="1037">
        <v>1768.7125467468989</v>
      </c>
      <c r="ZH26" s="1037">
        <v>2653.0688201203484</v>
      </c>
      <c r="ZI26" s="1037">
        <v>810.65991725899528</v>
      </c>
      <c r="ZJ26" s="1037">
        <v>221.08906834336236</v>
      </c>
      <c r="ZK26" s="1037">
        <v>0</v>
      </c>
      <c r="ZL26" s="1037">
        <v>0</v>
      </c>
      <c r="ZM26" s="1037">
        <v>1326.5344100601742</v>
      </c>
      <c r="ZN26" s="1037">
        <v>589.57084891563295</v>
      </c>
      <c r="ZO26" s="1037">
        <v>2726.1603006263049</v>
      </c>
      <c r="ZP26" s="1037">
        <v>4089.2404509394569</v>
      </c>
      <c r="ZQ26" s="1037">
        <v>1249.4901377870565</v>
      </c>
      <c r="ZR26" s="1037">
        <v>340.77003757828811</v>
      </c>
      <c r="ZS26" s="1037">
        <v>0</v>
      </c>
      <c r="ZT26" s="1037">
        <v>0</v>
      </c>
      <c r="ZU26" s="1037">
        <v>2044.6202254697284</v>
      </c>
      <c r="ZV26" s="1037">
        <v>908.72010020876826</v>
      </c>
      <c r="ZW26" s="1037">
        <v>3013.1245427974945</v>
      </c>
      <c r="ZX26" s="1037">
        <v>4519.6868141962423</v>
      </c>
      <c r="ZY26" s="1037">
        <v>1381.0154154488519</v>
      </c>
      <c r="ZZ26" s="1037">
        <v>376.64056784968682</v>
      </c>
      <c r="AAA26" s="1037">
        <v>0</v>
      </c>
      <c r="AAB26" s="1037">
        <v>0</v>
      </c>
      <c r="AAC26" s="1037">
        <v>2259.8434070981211</v>
      </c>
      <c r="AAD26" s="1037">
        <v>1004.3748475991649</v>
      </c>
      <c r="AAE26" s="1037">
        <v>3156.6066638830898</v>
      </c>
      <c r="AAF26" s="1037">
        <v>4734.9099958246343</v>
      </c>
      <c r="AAG26" s="1037">
        <v>1446.7780542797495</v>
      </c>
      <c r="AAH26" s="1037">
        <v>394.57583298538623</v>
      </c>
      <c r="AAI26" s="1037">
        <v>0</v>
      </c>
      <c r="AAJ26" s="1037">
        <v>0</v>
      </c>
      <c r="AAK26" s="1037">
        <v>2367.4549979123171</v>
      </c>
      <c r="AAL26" s="1037">
        <v>1052.2022212943632</v>
      </c>
      <c r="AAM26" s="1037">
        <v>4849.6956926931098</v>
      </c>
      <c r="AAN26" s="1037">
        <v>7274.5435390396651</v>
      </c>
      <c r="AAO26" s="1037">
        <v>2222.7771924843423</v>
      </c>
      <c r="AAP26" s="1037">
        <v>606.21196158663872</v>
      </c>
      <c r="AAQ26" s="1037">
        <v>0</v>
      </c>
      <c r="AAR26" s="1037">
        <v>0</v>
      </c>
      <c r="AAS26" s="1037">
        <v>3637.2717695198326</v>
      </c>
      <c r="AAT26" s="1037">
        <v>1616.5652308977035</v>
      </c>
      <c r="AAU26" s="1037">
        <v>3750.5356863161887</v>
      </c>
      <c r="AAV26" s="1037">
        <v>5625.8035294742831</v>
      </c>
      <c r="AAW26" s="1037">
        <v>1718.99552289492</v>
      </c>
      <c r="AAX26" s="1037">
        <v>468.81696078952359</v>
      </c>
      <c r="AAY26" s="1037">
        <v>0</v>
      </c>
      <c r="AAZ26" s="1037">
        <v>0</v>
      </c>
      <c r="ABA26" s="1037">
        <v>2812.9017647371415</v>
      </c>
      <c r="ABB26" s="1037">
        <v>1250.1785621053964</v>
      </c>
      <c r="ABC26" s="1037">
        <v>3970.2346916861111</v>
      </c>
      <c r="ABD26" s="1037">
        <v>5955.3520375291664</v>
      </c>
      <c r="ABE26" s="1037">
        <v>1819.6909003561343</v>
      </c>
      <c r="ABF26" s="1037">
        <v>496.27933646076389</v>
      </c>
      <c r="ABG26" s="1037">
        <v>0</v>
      </c>
      <c r="ABH26" s="1037">
        <v>0</v>
      </c>
      <c r="ABI26" s="1037">
        <v>2977.6760187645832</v>
      </c>
      <c r="ABJ26" s="1037">
        <v>1323.4115638953704</v>
      </c>
      <c r="ABK26" s="1037">
        <v>4159.2934865283069</v>
      </c>
      <c r="ABL26" s="1037">
        <v>6238.9402297924598</v>
      </c>
      <c r="ABM26" s="1037">
        <v>1906.3428479921406</v>
      </c>
      <c r="ABN26" s="1037">
        <v>519.91168581603836</v>
      </c>
      <c r="ABO26" s="1037">
        <v>0</v>
      </c>
      <c r="ABP26" s="1037">
        <v>0</v>
      </c>
      <c r="ABQ26" s="1037">
        <v>3119.4701148962299</v>
      </c>
      <c r="ABR26" s="1037">
        <v>1386.4311621761024</v>
      </c>
      <c r="ABS26" s="1037">
        <v>0</v>
      </c>
      <c r="ABT26" s="1037">
        <v>0</v>
      </c>
      <c r="ABU26" s="1037">
        <v>0</v>
      </c>
      <c r="ABV26" s="1037">
        <v>0</v>
      </c>
      <c r="ABW26" s="1037">
        <v>0</v>
      </c>
      <c r="ABX26" s="1037">
        <v>0</v>
      </c>
      <c r="ABY26" s="1037">
        <v>0</v>
      </c>
      <c r="ABZ26" s="1037">
        <v>0</v>
      </c>
      <c r="ACA26" s="1037">
        <v>4857.5219902068702</v>
      </c>
      <c r="ACB26" s="1037">
        <v>7286.2829853103058</v>
      </c>
      <c r="ACC26" s="1037">
        <v>2226.3642455114823</v>
      </c>
      <c r="ACD26" s="1037">
        <v>607.19024877585878</v>
      </c>
      <c r="ACE26" s="1037">
        <v>0</v>
      </c>
      <c r="ACF26" s="1037">
        <v>0</v>
      </c>
      <c r="ACG26" s="1037">
        <v>3643.1414926551529</v>
      </c>
      <c r="ACH26" s="1037">
        <v>1619.1739967356236</v>
      </c>
      <c r="ACI26" s="1037">
        <v>5193.208770821564</v>
      </c>
      <c r="ACJ26" s="1037">
        <v>7789.813156232347</v>
      </c>
      <c r="ACK26" s="1037">
        <v>2380.2206866265506</v>
      </c>
      <c r="ACL26" s="1037">
        <v>649.1510963526955</v>
      </c>
      <c r="ACM26" s="1037">
        <v>0</v>
      </c>
      <c r="ACN26" s="1037">
        <v>0</v>
      </c>
      <c r="ACO26" s="1037">
        <v>3894.9065781161735</v>
      </c>
      <c r="ACP26" s="1037">
        <v>1731.0695902738548</v>
      </c>
      <c r="ACQ26" s="1037">
        <v>5440.5044265749721</v>
      </c>
      <c r="ACR26" s="1037">
        <v>8160.7566398624585</v>
      </c>
      <c r="ACS26" s="1037">
        <v>2493.5645288468622</v>
      </c>
      <c r="ACT26" s="1037">
        <v>680.06305332187151</v>
      </c>
      <c r="ACU26" s="1037">
        <v>0</v>
      </c>
      <c r="ACV26" s="1037">
        <v>0</v>
      </c>
      <c r="ACW26" s="1037">
        <v>4080.3783199312293</v>
      </c>
      <c r="ACX26" s="1037">
        <v>1813.5014755249908</v>
      </c>
      <c r="ACY26" s="1037">
        <v>8358.5931644651846</v>
      </c>
      <c r="ACZ26" s="1037">
        <v>12537.889746697776</v>
      </c>
      <c r="ADA26" s="1037">
        <v>3831.0218670465429</v>
      </c>
      <c r="ADB26" s="1037">
        <v>1044.8241455581481</v>
      </c>
      <c r="ADC26" s="1037">
        <v>0</v>
      </c>
      <c r="ADD26" s="1037">
        <v>0</v>
      </c>
      <c r="ADE26" s="1037">
        <v>6268.944873348888</v>
      </c>
      <c r="ADF26" s="1037">
        <v>2786.197721488395</v>
      </c>
      <c r="ADG26" s="1037">
        <v>5931.4639268172323</v>
      </c>
      <c r="ADH26" s="1037">
        <v>8897.1958902258484</v>
      </c>
      <c r="ADI26" s="1037">
        <v>2718.5876331245649</v>
      </c>
      <c r="ADJ26" s="1037">
        <v>741.43299085215403</v>
      </c>
      <c r="ADK26" s="1037">
        <v>0</v>
      </c>
      <c r="ADL26" s="1037">
        <v>0</v>
      </c>
      <c r="ADM26" s="1037">
        <v>4448.5979451129242</v>
      </c>
      <c r="ADN26" s="1037">
        <v>1977.1546422724109</v>
      </c>
      <c r="ADO26" s="1037">
        <v>6380.7343259241061</v>
      </c>
      <c r="ADP26" s="1037">
        <v>9571.1014888861591</v>
      </c>
      <c r="ADQ26" s="1037">
        <v>2924.5032327152153</v>
      </c>
      <c r="ADR26" s="1037">
        <v>797.59179074051326</v>
      </c>
      <c r="ADS26" s="1037">
        <v>0</v>
      </c>
      <c r="ADT26" s="1037">
        <v>0</v>
      </c>
      <c r="ADU26" s="1037">
        <v>4785.5507444430796</v>
      </c>
      <c r="ADV26" s="1037">
        <v>2126.911441974702</v>
      </c>
      <c r="ADW26" s="1037">
        <v>6684.5788176347787</v>
      </c>
      <c r="ADX26" s="1037">
        <v>10026.868226452169</v>
      </c>
      <c r="ADY26" s="1037">
        <v>3063.7652914159403</v>
      </c>
      <c r="ADZ26" s="1037">
        <v>835.57235220434734</v>
      </c>
      <c r="AEA26" s="1037">
        <v>0</v>
      </c>
      <c r="AEB26" s="1037">
        <v>0</v>
      </c>
      <c r="AEC26" s="1037">
        <v>5013.4341132260843</v>
      </c>
      <c r="AED26" s="1037">
        <v>2228.1929392115931</v>
      </c>
      <c r="AEE26" s="1037">
        <v>10269.943819820704</v>
      </c>
      <c r="AEF26" s="1037">
        <v>15404.915729731056</v>
      </c>
      <c r="AEG26" s="1037">
        <v>4707.0575840844895</v>
      </c>
      <c r="AEH26" s="1037">
        <v>1283.7429774775881</v>
      </c>
      <c r="AEI26" s="1037">
        <v>0</v>
      </c>
      <c r="AEJ26" s="1037">
        <v>0</v>
      </c>
      <c r="AEK26" s="1037">
        <v>7702.4578648655279</v>
      </c>
      <c r="AEL26" s="1037">
        <v>3423.3146066069016</v>
      </c>
      <c r="AEM26" s="1037">
        <v>6840.1840270260018</v>
      </c>
      <c r="AEN26" s="1037">
        <v>10260.276040539002</v>
      </c>
      <c r="AEO26" s="1037">
        <v>3135.0843457202509</v>
      </c>
      <c r="AEP26" s="1037">
        <v>855.02300337825022</v>
      </c>
      <c r="AEQ26" s="1037">
        <v>0</v>
      </c>
      <c r="AER26" s="1037">
        <v>0</v>
      </c>
      <c r="AES26" s="1037">
        <v>5130.1380202695009</v>
      </c>
      <c r="AET26" s="1037">
        <v>2280.0613423420004</v>
      </c>
      <c r="AEU26" s="1037">
        <v>7266.9474267468986</v>
      </c>
      <c r="AEV26" s="1037">
        <v>10900.421140120348</v>
      </c>
      <c r="AEW26" s="1037">
        <v>3330.6842372589954</v>
      </c>
      <c r="AEX26" s="1037">
        <v>908.36842834336232</v>
      </c>
      <c r="AEY26" s="1037">
        <v>0</v>
      </c>
      <c r="AEZ26" s="1037">
        <v>0</v>
      </c>
      <c r="AFA26" s="1037">
        <v>5450.2105700601742</v>
      </c>
      <c r="AFB26" s="1037">
        <v>2422.3158089156332</v>
      </c>
      <c r="AFC26" s="1037">
        <v>7612.9925423062741</v>
      </c>
      <c r="AFD26" s="1037">
        <v>11419.488813459411</v>
      </c>
      <c r="AFE26" s="1037">
        <v>3489.2882485570426</v>
      </c>
      <c r="AFF26" s="1037">
        <v>951.62406778828426</v>
      </c>
      <c r="AFG26" s="1037">
        <v>0</v>
      </c>
      <c r="AFH26" s="1037">
        <v>0</v>
      </c>
      <c r="AFI26" s="1037">
        <v>5709.7444067297056</v>
      </c>
      <c r="AFJ26" s="1037">
        <v>2537.6641807687583</v>
      </c>
      <c r="AFK26" s="1037">
        <v>11696.324905906913</v>
      </c>
      <c r="AFL26" s="1037">
        <v>17544.48735886037</v>
      </c>
      <c r="AFM26" s="1037">
        <v>5360.8155818740024</v>
      </c>
      <c r="AFN26" s="1037">
        <v>1462.0406132383641</v>
      </c>
      <c r="AFO26" s="1037">
        <v>0</v>
      </c>
      <c r="AFP26" s="1037">
        <v>0</v>
      </c>
      <c r="AFQ26" s="1037">
        <v>8772.2436794301848</v>
      </c>
      <c r="AFR26" s="1037">
        <v>3898.7749686356378</v>
      </c>
      <c r="AFS26" s="247">
        <v>2726.1603006263049</v>
      </c>
      <c r="AFT26" s="247">
        <v>4089.2404509394569</v>
      </c>
      <c r="AFU26" s="247">
        <v>1249.4901377870565</v>
      </c>
      <c r="AFV26" s="247">
        <v>340.77003757828811</v>
      </c>
      <c r="AFW26" s="247">
        <v>0</v>
      </c>
      <c r="AFX26" s="247">
        <v>0</v>
      </c>
      <c r="AFY26" s="247">
        <v>2044.6202254697284</v>
      </c>
      <c r="AFZ26" s="247">
        <v>908.72010020876826</v>
      </c>
      <c r="AGA26" s="247">
        <v>3013.1245427974945</v>
      </c>
      <c r="AGB26" s="247">
        <v>4519.6868141962423</v>
      </c>
      <c r="AGC26" s="247">
        <v>1381.0154154488519</v>
      </c>
      <c r="AGD26" s="247">
        <v>376.64056784968682</v>
      </c>
      <c r="AGE26" s="247">
        <v>0</v>
      </c>
      <c r="AGF26" s="247">
        <v>0</v>
      </c>
      <c r="AGG26" s="247">
        <v>2259.8434070981211</v>
      </c>
      <c r="AGH26" s="247">
        <v>1004.3748475991649</v>
      </c>
      <c r="AGI26" s="247">
        <v>3156.6066638830898</v>
      </c>
      <c r="AGJ26" s="247">
        <v>4734.9099958246343</v>
      </c>
      <c r="AGK26" s="247">
        <v>1446.7780542797495</v>
      </c>
      <c r="AGL26" s="247">
        <v>394.57583298538623</v>
      </c>
      <c r="AGM26" s="247">
        <v>0</v>
      </c>
      <c r="AGN26" s="247">
        <v>0</v>
      </c>
      <c r="AGO26" s="247">
        <v>2367.4549979123171</v>
      </c>
      <c r="AGP26" s="247">
        <v>1052.2022212943632</v>
      </c>
      <c r="AGQ26" s="247">
        <v>4849.6956926931098</v>
      </c>
      <c r="AGR26" s="247">
        <v>7274.5435390396651</v>
      </c>
      <c r="AGS26" s="247">
        <v>2222.7771924843423</v>
      </c>
      <c r="AGT26" s="247">
        <v>606.21196158663872</v>
      </c>
      <c r="AGU26" s="247">
        <v>0</v>
      </c>
      <c r="AGV26" s="247">
        <v>0</v>
      </c>
      <c r="AGW26" s="247">
        <v>3637.2717695198326</v>
      </c>
      <c r="AGX26" s="247">
        <v>1616.5652308977035</v>
      </c>
      <c r="AGY26" s="249">
        <v>0</v>
      </c>
      <c r="AGZ26" s="249">
        <v>0</v>
      </c>
      <c r="AHA26" s="249">
        <v>0</v>
      </c>
      <c r="AHB26" s="249">
        <v>0</v>
      </c>
      <c r="AHC26" s="249">
        <v>0</v>
      </c>
      <c r="AHD26" s="249">
        <v>0</v>
      </c>
      <c r="AHE26" s="249">
        <v>0</v>
      </c>
      <c r="AHF26" s="249">
        <v>0</v>
      </c>
      <c r="AHG26" s="249">
        <v>0</v>
      </c>
      <c r="AHH26" s="249">
        <v>0</v>
      </c>
      <c r="AHI26" s="249">
        <v>0</v>
      </c>
      <c r="AHJ26" s="249">
        <v>0</v>
      </c>
      <c r="AHK26" s="249">
        <v>0</v>
      </c>
      <c r="AHL26" s="249">
        <v>0</v>
      </c>
      <c r="AHM26" s="249">
        <v>0</v>
      </c>
      <c r="AHN26" s="249">
        <v>0</v>
      </c>
      <c r="AHO26" s="249">
        <v>0</v>
      </c>
      <c r="AHP26" s="249">
        <v>0</v>
      </c>
      <c r="AHQ26" s="249">
        <v>0</v>
      </c>
      <c r="AHR26" s="249">
        <v>0</v>
      </c>
      <c r="AHS26" s="249">
        <v>0</v>
      </c>
      <c r="AHT26" s="249">
        <v>0</v>
      </c>
      <c r="AHU26" s="249">
        <v>0</v>
      </c>
      <c r="AHV26" s="249">
        <v>0</v>
      </c>
      <c r="AHW26" s="249">
        <v>0</v>
      </c>
      <c r="AHX26" s="249">
        <v>0</v>
      </c>
      <c r="AHY26" s="249">
        <v>0</v>
      </c>
      <c r="AHZ26" s="249">
        <v>0</v>
      </c>
      <c r="AIA26" s="249">
        <v>0</v>
      </c>
      <c r="AIB26" s="249">
        <v>0</v>
      </c>
      <c r="AIC26" s="249">
        <v>0</v>
      </c>
      <c r="AID26" s="249">
        <v>0</v>
      </c>
      <c r="AIE26" s="249"/>
      <c r="AIF26" s="249"/>
      <c r="AIG26" s="249"/>
      <c r="AIH26" s="249"/>
      <c r="AII26" s="249"/>
      <c r="AIJ26" s="249"/>
      <c r="AIK26" s="249"/>
      <c r="AIL26" s="249"/>
      <c r="AIM26" s="249">
        <v>0</v>
      </c>
      <c r="AIN26" s="249">
        <v>0</v>
      </c>
      <c r="AIO26" s="249">
        <v>0</v>
      </c>
      <c r="AIP26" s="249">
        <v>0</v>
      </c>
      <c r="AIQ26" s="249">
        <v>0</v>
      </c>
      <c r="AIR26" s="249">
        <v>0</v>
      </c>
      <c r="AIS26" s="249">
        <v>0</v>
      </c>
      <c r="AIT26" s="249">
        <v>0</v>
      </c>
      <c r="AIU26" s="134" t="s">
        <v>1216</v>
      </c>
      <c r="AIV26" s="134" t="s">
        <v>1219</v>
      </c>
      <c r="AIW26" s="134" t="s">
        <v>1218</v>
      </c>
      <c r="AIX26" s="134" t="s">
        <v>1217</v>
      </c>
      <c r="AIY26" s="134" t="s">
        <v>1228</v>
      </c>
      <c r="AIZ26" s="134" t="s">
        <v>1229</v>
      </c>
      <c r="AJA26" s="134" t="s">
        <v>1230</v>
      </c>
      <c r="AJB26" s="134" t="s">
        <v>1231</v>
      </c>
      <c r="AJC26" s="134" t="s">
        <v>1232</v>
      </c>
      <c r="AJD26" s="134" t="s">
        <v>1233</v>
      </c>
    </row>
    <row r="27" spans="1:940" ht="18" customHeight="1">
      <c r="A27" s="664" t="s">
        <v>15</v>
      </c>
      <c r="B27" s="669">
        <v>-1.8</v>
      </c>
      <c r="C27" s="6">
        <v>-0.7</v>
      </c>
      <c r="D27" s="6">
        <v>-0.7</v>
      </c>
      <c r="E27" s="74">
        <v>134.67156862745097</v>
      </c>
      <c r="F27" s="75">
        <v>-5.4</v>
      </c>
      <c r="G27" s="7">
        <v>-1.4</v>
      </c>
      <c r="H27" s="7">
        <v>-1.4</v>
      </c>
      <c r="I27" s="266">
        <v>350</v>
      </c>
      <c r="J27" s="125">
        <v>0</v>
      </c>
      <c r="K27" s="125">
        <v>0</v>
      </c>
      <c r="L27" s="125">
        <v>0</v>
      </c>
      <c r="M27" s="1">
        <v>1031.8215536906946</v>
      </c>
      <c r="N27" s="2">
        <v>12</v>
      </c>
      <c r="O27" s="8">
        <v>0.2</v>
      </c>
      <c r="P27" s="8">
        <v>0.3</v>
      </c>
      <c r="Q27" s="8">
        <v>0.3</v>
      </c>
      <c r="R27" s="7">
        <v>0.4</v>
      </c>
      <c r="S27" s="7">
        <v>1</v>
      </c>
      <c r="T27" s="7">
        <v>95.9</v>
      </c>
      <c r="U27" s="7">
        <v>2.6</v>
      </c>
      <c r="V27" s="71">
        <v>0</v>
      </c>
      <c r="W27" s="119">
        <v>2</v>
      </c>
      <c r="X27" s="120">
        <v>1.5</v>
      </c>
      <c r="Y27" s="119">
        <v>1</v>
      </c>
      <c r="Z27" s="120">
        <v>0.8</v>
      </c>
      <c r="AA27" s="120">
        <v>0.5</v>
      </c>
      <c r="AB27" s="559">
        <v>433.01922201480062</v>
      </c>
      <c r="AC27" s="559">
        <v>470.67306740739195</v>
      </c>
      <c r="AD27" s="559">
        <v>433.37222681535616</v>
      </c>
      <c r="AE27" s="559">
        <v>649.0581599547935</v>
      </c>
      <c r="AF27" s="622">
        <v>0.82209484106305364</v>
      </c>
      <c r="AG27" s="559">
        <v>261.91600618637949</v>
      </c>
      <c r="AH27" s="559">
        <v>284.69131107215162</v>
      </c>
      <c r="AI27" s="559">
        <v>262.12952466968363</v>
      </c>
      <c r="AJ27" s="559">
        <v>392.58931796849708</v>
      </c>
      <c r="AK27" s="622">
        <v>0.96717040125065135</v>
      </c>
      <c r="AL27" s="995">
        <v>0</v>
      </c>
      <c r="AM27" s="995">
        <v>0.1</v>
      </c>
      <c r="AN27" s="995">
        <v>0.3</v>
      </c>
      <c r="AO27" s="995">
        <v>0.5</v>
      </c>
      <c r="AP27" s="995">
        <v>0.6</v>
      </c>
      <c r="AQ27" s="995">
        <v>0.7</v>
      </c>
      <c r="AR27" s="995">
        <v>0.8</v>
      </c>
      <c r="AS27" s="1005">
        <v>0</v>
      </c>
      <c r="AT27" s="1005">
        <v>10</v>
      </c>
      <c r="AU27" s="1005">
        <v>20</v>
      </c>
      <c r="AV27" s="1005">
        <v>70</v>
      </c>
      <c r="AW27" s="1005">
        <v>100</v>
      </c>
      <c r="AX27" s="1">
        <v>11001.236487658462</v>
      </c>
      <c r="AY27" s="5">
        <v>2</v>
      </c>
      <c r="AZ27" s="8">
        <v>0.7</v>
      </c>
      <c r="BA27" s="8">
        <v>0.1</v>
      </c>
      <c r="BB27" s="8">
        <v>0.1</v>
      </c>
      <c r="BC27" s="73">
        <v>0.19488356370085466</v>
      </c>
      <c r="BD27" s="73">
        <v>0.18504125998064766</v>
      </c>
      <c r="BE27" s="9">
        <v>3.6565994492789374E-3</v>
      </c>
      <c r="BF27" s="9">
        <v>2.6649792596439713E-3</v>
      </c>
      <c r="BG27" s="9">
        <v>7.1169200772720025</v>
      </c>
      <c r="BH27" s="9">
        <v>21.484566981154877</v>
      </c>
      <c r="BI27" s="9">
        <v>0</v>
      </c>
      <c r="BJ27" s="9">
        <v>1.2995182585166229</v>
      </c>
      <c r="BK27" s="9">
        <v>62.981454843165977</v>
      </c>
      <c r="BL27" s="9">
        <v>0</v>
      </c>
      <c r="BM27" s="9">
        <v>6.1976261852185368E-4</v>
      </c>
      <c r="BN27" s="9">
        <v>0</v>
      </c>
      <c r="BO27" s="9">
        <v>0</v>
      </c>
      <c r="BP27" s="9">
        <v>0</v>
      </c>
      <c r="BQ27" s="9">
        <v>0</v>
      </c>
      <c r="BR27" s="9">
        <v>7.0241416132792818</v>
      </c>
      <c r="BS27" s="9">
        <v>8.6456885283798607E-2</v>
      </c>
      <c r="BT27" s="262">
        <v>261.13475999999997</v>
      </c>
      <c r="BU27" s="262">
        <v>96.5</v>
      </c>
      <c r="BV27" s="262">
        <v>63.215999999999994</v>
      </c>
      <c r="BW27" s="262">
        <v>233.35949490734063</v>
      </c>
      <c r="BX27" s="262">
        <v>157.40783999999999</v>
      </c>
      <c r="BY27" s="68"/>
      <c r="BZ27" s="262">
        <v>256.20808011776955</v>
      </c>
      <c r="CA27" s="262">
        <v>165.17663999999999</v>
      </c>
      <c r="CB27" s="68"/>
      <c r="CC27" s="785">
        <v>0</v>
      </c>
      <c r="CD27" s="262">
        <v>6.585</v>
      </c>
      <c r="CE27" s="262">
        <v>1.3169999999999999</v>
      </c>
      <c r="CF27" s="262">
        <v>38</v>
      </c>
      <c r="CG27" s="262">
        <v>225.83915999999996</v>
      </c>
      <c r="CH27" s="68">
        <v>0.2</v>
      </c>
      <c r="CI27" s="262">
        <v>175.08124000000001</v>
      </c>
      <c r="CJ27" s="262">
        <v>60.4</v>
      </c>
      <c r="CK27" s="262">
        <v>42.384</v>
      </c>
      <c r="CL27" s="262">
        <v>156.45894761061641</v>
      </c>
      <c r="CM27" s="262">
        <v>105.53616</v>
      </c>
      <c r="CN27" s="68"/>
      <c r="CO27" s="262">
        <v>159.24945066654416</v>
      </c>
      <c r="CP27" s="262">
        <v>102.66767999999999</v>
      </c>
      <c r="CQ27" s="68"/>
      <c r="CR27" s="262">
        <v>0</v>
      </c>
      <c r="CS27" s="262">
        <v>4.415</v>
      </c>
      <c r="CT27" s="262">
        <v>0.88300000000000001</v>
      </c>
      <c r="CU27" s="262">
        <v>27</v>
      </c>
      <c r="CV27" s="262">
        <v>151.41683999999998</v>
      </c>
      <c r="CW27" s="68">
        <v>0.2</v>
      </c>
      <c r="CX27" s="120">
        <v>0.3</v>
      </c>
      <c r="CY27" s="120">
        <v>0.7</v>
      </c>
      <c r="CZ27" s="120">
        <v>1.2</v>
      </c>
      <c r="DA27" s="120">
        <v>1.2</v>
      </c>
      <c r="DB27" s="119">
        <v>3</v>
      </c>
      <c r="DC27" s="1005">
        <v>0</v>
      </c>
      <c r="DD27" s="1005">
        <v>10</v>
      </c>
      <c r="DE27" s="1005">
        <v>20</v>
      </c>
      <c r="DF27" s="1005">
        <v>70</v>
      </c>
      <c r="DG27" s="1005">
        <v>100</v>
      </c>
      <c r="DH27" s="2">
        <v>0</v>
      </c>
      <c r="DI27" s="2">
        <v>18</v>
      </c>
      <c r="DJ27" s="63">
        <v>12</v>
      </c>
      <c r="DK27" s="8">
        <v>1.2</v>
      </c>
      <c r="DL27" s="8">
        <v>0.9</v>
      </c>
      <c r="DM27" s="8">
        <v>0.9</v>
      </c>
      <c r="DN27" s="1031" t="s">
        <v>1000</v>
      </c>
      <c r="DO27" s="1030" t="s">
        <v>997</v>
      </c>
      <c r="DP27" s="1030" t="s">
        <v>997</v>
      </c>
      <c r="DQ27" s="1030" t="s">
        <v>997</v>
      </c>
      <c r="DR27" s="1030" t="s">
        <v>997</v>
      </c>
      <c r="DS27" s="1030" t="s">
        <v>997</v>
      </c>
      <c r="DT27" s="1030" t="s">
        <v>997</v>
      </c>
      <c r="DU27" s="1097">
        <v>0</v>
      </c>
      <c r="DV27" s="1097">
        <v>0</v>
      </c>
      <c r="DW27" s="1097">
        <v>0</v>
      </c>
      <c r="DX27" s="1097">
        <v>0</v>
      </c>
      <c r="DY27" s="1097">
        <v>0</v>
      </c>
      <c r="DZ27" s="1097">
        <v>0</v>
      </c>
      <c r="EA27" s="1097">
        <v>0</v>
      </c>
      <c r="EB27" s="207">
        <v>0</v>
      </c>
      <c r="EC27" s="207">
        <v>18</v>
      </c>
      <c r="ED27" s="221">
        <v>5</v>
      </c>
      <c r="EE27" s="214">
        <v>1.2</v>
      </c>
      <c r="EF27" s="214">
        <v>0.9</v>
      </c>
      <c r="EG27" s="214">
        <v>0.9</v>
      </c>
      <c r="EH27" s="209" t="s">
        <v>1039</v>
      </c>
      <c r="EI27" s="204" t="s">
        <v>997</v>
      </c>
      <c r="EJ27" s="204" t="s">
        <v>997</v>
      </c>
      <c r="EK27" s="204" t="s">
        <v>997</v>
      </c>
      <c r="EL27" s="204" t="s">
        <v>997</v>
      </c>
      <c r="EM27" s="204" t="s">
        <v>997</v>
      </c>
      <c r="EN27" s="204" t="s">
        <v>997</v>
      </c>
      <c r="EO27" s="204" t="s">
        <v>997</v>
      </c>
      <c r="EP27" s="204" t="s">
        <v>997</v>
      </c>
      <c r="EQ27" s="204" t="s">
        <v>997</v>
      </c>
      <c r="ER27" s="204" t="s">
        <v>997</v>
      </c>
      <c r="ES27" s="204" t="s">
        <v>997</v>
      </c>
      <c r="ET27" s="204" t="s">
        <v>997</v>
      </c>
      <c r="EU27" s="204" t="s">
        <v>997</v>
      </c>
      <c r="EV27" s="204" t="s">
        <v>997</v>
      </c>
      <c r="EW27" s="204" t="s">
        <v>997</v>
      </c>
      <c r="EX27" s="204" t="s">
        <v>997</v>
      </c>
      <c r="EY27" s="204" t="s">
        <v>997</v>
      </c>
      <c r="EZ27" s="204" t="s">
        <v>997</v>
      </c>
      <c r="FA27" s="204" t="s">
        <v>997</v>
      </c>
      <c r="FB27" s="204" t="s">
        <v>997</v>
      </c>
      <c r="FC27" s="204" t="s">
        <v>997</v>
      </c>
      <c r="FD27" s="204" t="s">
        <v>997</v>
      </c>
      <c r="FE27" s="204" t="s">
        <v>997</v>
      </c>
      <c r="FF27" s="204" t="s">
        <v>997</v>
      </c>
      <c r="FG27" s="204" t="s">
        <v>997</v>
      </c>
      <c r="FH27" s="204" t="s">
        <v>997</v>
      </c>
      <c r="FI27" s="204" t="s">
        <v>997</v>
      </c>
      <c r="FJ27" s="204" t="s">
        <v>997</v>
      </c>
      <c r="FK27" s="204" t="s">
        <v>997</v>
      </c>
      <c r="FL27" s="204" t="s">
        <v>997</v>
      </c>
      <c r="FM27" s="204" t="s">
        <v>997</v>
      </c>
      <c r="FN27" s="204" t="s">
        <v>997</v>
      </c>
      <c r="FO27" s="204" t="s">
        <v>997</v>
      </c>
      <c r="FP27" s="204" t="s">
        <v>997</v>
      </c>
      <c r="FQ27" s="204" t="s">
        <v>997</v>
      </c>
      <c r="FR27" s="204" t="s">
        <v>997</v>
      </c>
      <c r="FS27" s="204" t="s">
        <v>997</v>
      </c>
      <c r="FT27" s="204" t="s">
        <v>997</v>
      </c>
      <c r="FU27" s="204" t="s">
        <v>997</v>
      </c>
      <c r="FV27" s="204" t="s">
        <v>997</v>
      </c>
      <c r="FW27" s="204" t="s">
        <v>997</v>
      </c>
      <c r="FX27" s="204" t="s">
        <v>997</v>
      </c>
      <c r="FY27" s="204" t="s">
        <v>997</v>
      </c>
      <c r="FZ27" s="204" t="s">
        <v>997</v>
      </c>
      <c r="GA27" s="204" t="s">
        <v>997</v>
      </c>
      <c r="GB27" s="204" t="s">
        <v>997</v>
      </c>
      <c r="GC27" s="204" t="s">
        <v>997</v>
      </c>
      <c r="GD27" s="204" t="s">
        <v>997</v>
      </c>
      <c r="GE27" s="204" t="s">
        <v>997</v>
      </c>
      <c r="GF27" s="204" t="s">
        <v>997</v>
      </c>
      <c r="GG27" s="204" t="s">
        <v>997</v>
      </c>
      <c r="GH27" s="204" t="s">
        <v>997</v>
      </c>
      <c r="GI27" s="204" t="s">
        <v>997</v>
      </c>
      <c r="GJ27" s="204" t="s">
        <v>997</v>
      </c>
      <c r="GK27" s="204" t="s">
        <v>997</v>
      </c>
      <c r="GL27" s="204" t="s">
        <v>997</v>
      </c>
      <c r="GM27" s="204" t="s">
        <v>997</v>
      </c>
      <c r="GN27" s="1051">
        <v>0</v>
      </c>
      <c r="GO27" s="1051">
        <v>0</v>
      </c>
      <c r="GP27" s="1051">
        <v>0</v>
      </c>
      <c r="GQ27" s="1051">
        <v>0</v>
      </c>
      <c r="GR27" s="1051">
        <v>0</v>
      </c>
      <c r="GS27" s="1051">
        <v>0</v>
      </c>
      <c r="GT27" s="1051">
        <v>0</v>
      </c>
      <c r="GU27" s="1051">
        <v>0</v>
      </c>
      <c r="GV27" s="1051">
        <v>0</v>
      </c>
      <c r="GW27" s="1051">
        <v>0</v>
      </c>
      <c r="GX27" s="1051">
        <v>0</v>
      </c>
      <c r="GY27" s="1051">
        <v>0</v>
      </c>
      <c r="GZ27" s="1051">
        <v>0</v>
      </c>
      <c r="HA27" s="1051">
        <v>0</v>
      </c>
      <c r="HB27" s="1051">
        <v>0</v>
      </c>
      <c r="HC27" s="1051">
        <v>0</v>
      </c>
      <c r="HD27" s="1051">
        <v>0</v>
      </c>
      <c r="HE27" s="1051">
        <v>0</v>
      </c>
      <c r="HF27" s="1051">
        <v>0</v>
      </c>
      <c r="HG27" s="1051">
        <v>0</v>
      </c>
      <c r="HH27" s="1051">
        <v>0</v>
      </c>
      <c r="HI27" s="1051">
        <v>0</v>
      </c>
      <c r="HJ27" s="1051">
        <v>0</v>
      </c>
      <c r="HK27" s="1051">
        <v>0</v>
      </c>
      <c r="HL27" s="1051">
        <v>0</v>
      </c>
      <c r="HM27" s="1051">
        <v>0</v>
      </c>
      <c r="HN27" s="1051">
        <v>0</v>
      </c>
      <c r="HO27" s="1051">
        <v>0</v>
      </c>
      <c r="HP27" s="1051">
        <v>0</v>
      </c>
      <c r="HQ27" s="1051">
        <v>0</v>
      </c>
      <c r="HR27" s="1051">
        <v>0</v>
      </c>
      <c r="HS27" s="1051">
        <v>0</v>
      </c>
      <c r="HT27" s="1051">
        <v>0</v>
      </c>
      <c r="HU27" s="1051">
        <v>0</v>
      </c>
      <c r="HV27" s="1051">
        <v>0</v>
      </c>
      <c r="HW27" s="1051">
        <v>0</v>
      </c>
      <c r="HX27" s="1051">
        <v>0</v>
      </c>
      <c r="HY27" s="1051">
        <v>0</v>
      </c>
      <c r="HZ27" s="1051">
        <v>0</v>
      </c>
      <c r="IA27" s="1051">
        <v>0</v>
      </c>
      <c r="IB27" s="1051">
        <v>0</v>
      </c>
      <c r="IC27" s="1051">
        <v>0</v>
      </c>
      <c r="ID27" s="1051">
        <v>0</v>
      </c>
      <c r="IE27" s="1051">
        <v>0</v>
      </c>
      <c r="IF27" s="1051">
        <v>0</v>
      </c>
      <c r="IG27" s="1051">
        <v>0</v>
      </c>
      <c r="IH27" s="1051">
        <v>0</v>
      </c>
      <c r="II27" s="1051">
        <v>0</v>
      </c>
      <c r="IJ27" s="1051">
        <v>0</v>
      </c>
      <c r="IK27" s="1051">
        <v>0</v>
      </c>
      <c r="IL27" s="1051">
        <v>0</v>
      </c>
      <c r="IM27" s="1051">
        <v>0</v>
      </c>
      <c r="IN27" s="1051">
        <v>0</v>
      </c>
      <c r="IO27" s="1051">
        <v>0</v>
      </c>
      <c r="IP27" s="1051">
        <v>0</v>
      </c>
      <c r="IQ27" s="1051">
        <v>0</v>
      </c>
      <c r="IR27" s="1051">
        <v>0</v>
      </c>
      <c r="IS27" s="1051">
        <v>0</v>
      </c>
      <c r="IT27" s="215">
        <v>126.62393406970754</v>
      </c>
      <c r="IU27" s="207">
        <v>179.9</v>
      </c>
      <c r="IV27" s="216">
        <v>2647.0800000000199</v>
      </c>
      <c r="IW27" s="272">
        <v>12.64</v>
      </c>
      <c r="IX27" s="207">
        <v>24.695253119173959</v>
      </c>
      <c r="IY27" s="204">
        <v>1.2</v>
      </c>
      <c r="IZ27" s="204">
        <v>0.9</v>
      </c>
      <c r="JA27" s="204">
        <v>0.9</v>
      </c>
      <c r="JB27" s="52">
        <v>2</v>
      </c>
      <c r="JC27" s="24">
        <v>1.5</v>
      </c>
      <c r="JD27" s="24">
        <v>0.7</v>
      </c>
      <c r="JE27" s="24">
        <v>0.7</v>
      </c>
      <c r="JF27" s="24">
        <v>0.5</v>
      </c>
      <c r="JG27" s="1">
        <v>962.50300007511589</v>
      </c>
      <c r="JH27" s="216">
        <v>2647.0800000000199</v>
      </c>
      <c r="JI27" s="272">
        <v>12.64</v>
      </c>
      <c r="JJ27" s="207">
        <v>24.695253119173959</v>
      </c>
      <c r="JK27" s="8">
        <v>1.3</v>
      </c>
      <c r="JL27" s="8">
        <v>1.3</v>
      </c>
      <c r="JM27" s="8">
        <v>1.3</v>
      </c>
      <c r="JN27" s="216">
        <v>2</v>
      </c>
      <c r="JO27" s="216">
        <v>2</v>
      </c>
      <c r="JP27" s="216">
        <v>1</v>
      </c>
      <c r="JQ27" s="216">
        <v>1</v>
      </c>
      <c r="JR27" s="214">
        <v>0.5</v>
      </c>
      <c r="JS27" s="1212">
        <v>2000</v>
      </c>
      <c r="JT27" s="215">
        <v>463.67916319464319</v>
      </c>
      <c r="JU27" s="215">
        <v>500</v>
      </c>
      <c r="JV27" s="207">
        <v>0.6</v>
      </c>
      <c r="JW27" s="207">
        <v>0.7</v>
      </c>
      <c r="JX27" s="207">
        <v>0.7</v>
      </c>
      <c r="JY27" s="214">
        <v>2</v>
      </c>
      <c r="JZ27" s="214">
        <v>1.5</v>
      </c>
      <c r="KA27" s="214">
        <v>0.5</v>
      </c>
      <c r="KB27" s="214">
        <v>1</v>
      </c>
      <c r="KC27" s="214">
        <v>0.5</v>
      </c>
      <c r="KD27" s="1186"/>
      <c r="KE27" s="1186"/>
      <c r="KF27" s="1186"/>
      <c r="KG27" s="1186"/>
      <c r="KH27" s="1186"/>
      <c r="KI27" s="1186"/>
      <c r="KJ27" s="1186"/>
      <c r="KK27" s="1186"/>
      <c r="KL27" s="1186"/>
      <c r="KM27" s="1187">
        <v>580</v>
      </c>
      <c r="KN27" s="1187">
        <v>580</v>
      </c>
      <c r="KO27" s="1187">
        <v>580</v>
      </c>
      <c r="KP27" s="1187">
        <v>580</v>
      </c>
      <c r="KQ27" s="1187"/>
      <c r="KR27" s="1187">
        <v>580</v>
      </c>
      <c r="KS27" s="1187">
        <v>580</v>
      </c>
      <c r="KT27" s="1187">
        <v>580</v>
      </c>
      <c r="KU27" s="1187">
        <v>580</v>
      </c>
      <c r="KV27" s="262">
        <v>370</v>
      </c>
      <c r="KW27" s="262">
        <v>370</v>
      </c>
      <c r="KX27" s="262">
        <v>370</v>
      </c>
      <c r="KY27" s="262">
        <v>370</v>
      </c>
      <c r="KZ27" s="262"/>
      <c r="LA27" s="262">
        <v>370</v>
      </c>
      <c r="LB27" s="262">
        <v>370</v>
      </c>
      <c r="LC27" s="262">
        <v>370</v>
      </c>
      <c r="LD27" s="262">
        <v>370</v>
      </c>
      <c r="LE27" s="1213">
        <v>0</v>
      </c>
      <c r="LF27" s="1213">
        <v>10</v>
      </c>
      <c r="LG27" s="1213">
        <v>20</v>
      </c>
      <c r="LH27" s="1213">
        <v>70</v>
      </c>
      <c r="LI27" s="1213">
        <v>100</v>
      </c>
      <c r="LJ27" s="1212">
        <v>1000</v>
      </c>
      <c r="LK27" s="1"/>
      <c r="LL27" s="4">
        <v>29</v>
      </c>
      <c r="LM27" s="8">
        <v>0.6</v>
      </c>
      <c r="LN27" s="8">
        <v>0.9</v>
      </c>
      <c r="LO27" s="8">
        <v>0.9</v>
      </c>
      <c r="LP27" s="214">
        <v>2</v>
      </c>
      <c r="LQ27" s="214">
        <v>1</v>
      </c>
      <c r="LR27" s="214">
        <v>0.5</v>
      </c>
      <c r="LS27" s="214">
        <v>0.7</v>
      </c>
      <c r="LT27" s="214">
        <v>0.2</v>
      </c>
      <c r="LU27" s="1212">
        <v>1500</v>
      </c>
      <c r="LV27" s="122">
        <v>0</v>
      </c>
      <c r="LW27" s="122">
        <v>0</v>
      </c>
      <c r="LX27" s="122">
        <v>0</v>
      </c>
      <c r="LY27" s="165">
        <v>0</v>
      </c>
      <c r="LZ27" s="165">
        <v>0</v>
      </c>
      <c r="MA27" s="165">
        <v>0</v>
      </c>
      <c r="MB27" s="165">
        <v>0</v>
      </c>
      <c r="MC27" s="165">
        <v>0</v>
      </c>
      <c r="MD27" s="165">
        <v>0</v>
      </c>
      <c r="ME27" s="165">
        <v>0</v>
      </c>
      <c r="MF27" s="165">
        <v>0</v>
      </c>
      <c r="MG27" s="165">
        <v>0</v>
      </c>
      <c r="MH27" s="165">
        <v>0</v>
      </c>
      <c r="MI27" s="165">
        <v>0</v>
      </c>
      <c r="MJ27" s="165">
        <v>0</v>
      </c>
      <c r="MK27" s="165">
        <v>0</v>
      </c>
      <c r="ML27" s="165">
        <v>0</v>
      </c>
      <c r="MM27" s="165">
        <v>0</v>
      </c>
      <c r="MN27" s="165">
        <v>0</v>
      </c>
      <c r="MO27" s="165">
        <v>0</v>
      </c>
      <c r="MP27" s="165">
        <v>0</v>
      </c>
      <c r="MQ27" s="165">
        <v>0</v>
      </c>
      <c r="MR27" s="165">
        <v>0</v>
      </c>
      <c r="MS27" s="165">
        <v>0</v>
      </c>
      <c r="MT27" s="165">
        <v>0</v>
      </c>
      <c r="MU27" s="165">
        <v>0</v>
      </c>
      <c r="MV27" s="165">
        <v>0</v>
      </c>
      <c r="MW27" s="166">
        <v>1.71113395824334</v>
      </c>
      <c r="MX27" s="166">
        <v>0</v>
      </c>
      <c r="MY27" s="166">
        <v>0</v>
      </c>
      <c r="MZ27" s="166">
        <v>0.12923076923077001</v>
      </c>
      <c r="NA27" s="166">
        <v>1.08230769230769</v>
      </c>
      <c r="NB27" s="166">
        <v>0</v>
      </c>
      <c r="NC27" s="166">
        <v>1.6828792472041501</v>
      </c>
      <c r="ND27" s="166">
        <v>0</v>
      </c>
      <c r="NE27" s="166">
        <v>0</v>
      </c>
      <c r="NF27" s="166">
        <v>0.11463203463203001</v>
      </c>
      <c r="NG27" s="166">
        <v>0.56120580808081</v>
      </c>
      <c r="NH27" s="166">
        <v>0</v>
      </c>
      <c r="NI27" s="166">
        <v>1.75571824210327</v>
      </c>
      <c r="NJ27" s="166">
        <v>0</v>
      </c>
      <c r="NK27" s="166">
        <v>0</v>
      </c>
      <c r="NL27" s="166">
        <v>0.13061224489796</v>
      </c>
      <c r="NM27" s="166">
        <v>0</v>
      </c>
      <c r="NN27" s="166">
        <v>0</v>
      </c>
      <c r="NO27" s="166">
        <v>1.71409416137225</v>
      </c>
      <c r="NP27" s="166">
        <v>0</v>
      </c>
      <c r="NQ27" s="166">
        <v>0</v>
      </c>
      <c r="NR27" s="166">
        <v>0.12666666666667001</v>
      </c>
      <c r="NS27" s="166">
        <v>3.7108912037037101</v>
      </c>
      <c r="NT27" s="166">
        <v>0</v>
      </c>
      <c r="NU27" s="166">
        <v>2.3682990528616998</v>
      </c>
      <c r="NV27" s="166">
        <v>0</v>
      </c>
      <c r="NW27" s="166">
        <v>0</v>
      </c>
      <c r="NX27" s="166">
        <v>0.14000000000000001</v>
      </c>
      <c r="NY27" s="166">
        <v>0.34149305555554998</v>
      </c>
      <c r="NZ27" s="166">
        <v>0</v>
      </c>
      <c r="OA27" s="166">
        <v>-66.599999999999994</v>
      </c>
      <c r="OB27" s="166">
        <v>-15.5</v>
      </c>
      <c r="OC27" s="166">
        <v>0</v>
      </c>
      <c r="OD27" s="166">
        <v>0</v>
      </c>
      <c r="OE27" s="166">
        <v>0</v>
      </c>
      <c r="OF27" s="166">
        <v>0</v>
      </c>
      <c r="OG27" s="166">
        <v>-8.2250000000000004E-2</v>
      </c>
      <c r="OH27" s="166">
        <v>0</v>
      </c>
      <c r="OI27" s="166">
        <v>-3.9016941754790001E-2</v>
      </c>
      <c r="OJ27" s="166">
        <v>0</v>
      </c>
      <c r="OK27" s="166">
        <v>-0.245</v>
      </c>
      <c r="OL27" s="166">
        <v>0</v>
      </c>
      <c r="OM27" s="166">
        <v>0</v>
      </c>
      <c r="ON27" s="166">
        <v>0</v>
      </c>
      <c r="OO27" s="166">
        <v>0</v>
      </c>
      <c r="OP27" s="166">
        <v>0</v>
      </c>
      <c r="OQ27" s="166">
        <v>0</v>
      </c>
      <c r="OR27" s="166">
        <v>0</v>
      </c>
      <c r="OS27" s="166">
        <v>0</v>
      </c>
      <c r="OT27" s="166">
        <v>0</v>
      </c>
      <c r="OU27" s="166">
        <v>0</v>
      </c>
      <c r="OV27" s="166">
        <v>0</v>
      </c>
      <c r="OW27" s="166">
        <v>3.8050000000000002</v>
      </c>
      <c r="OX27" s="166">
        <v>0</v>
      </c>
      <c r="OY27" s="166">
        <v>0</v>
      </c>
      <c r="OZ27" s="166">
        <v>0</v>
      </c>
      <c r="PA27" s="166">
        <v>0</v>
      </c>
      <c r="PB27" s="166">
        <v>0</v>
      </c>
      <c r="PC27" s="166">
        <v>0</v>
      </c>
      <c r="PD27" s="166">
        <v>0</v>
      </c>
      <c r="PE27" s="166">
        <v>-66.599999999999994</v>
      </c>
      <c r="PF27" s="166">
        <v>-15.5</v>
      </c>
      <c r="PG27" s="166">
        <v>-0.890625</v>
      </c>
      <c r="PH27" s="166">
        <v>0</v>
      </c>
      <c r="PI27" s="166">
        <v>-0.45037993180816999</v>
      </c>
      <c r="PJ27" s="166">
        <v>0</v>
      </c>
      <c r="PK27" s="166">
        <v>2.802499122751E-2</v>
      </c>
      <c r="PL27" s="166">
        <v>0</v>
      </c>
      <c r="PM27" s="166">
        <v>4.0131711519220001E-2</v>
      </c>
      <c r="PN27" s="166">
        <v>0</v>
      </c>
      <c r="PO27" s="166">
        <v>0.245</v>
      </c>
      <c r="PP27" s="166">
        <v>0</v>
      </c>
      <c r="PQ27" s="166">
        <v>0</v>
      </c>
      <c r="PR27" s="166">
        <v>0</v>
      </c>
      <c r="PS27" s="166">
        <v>4.0131711519220001E-2</v>
      </c>
      <c r="PT27" s="166">
        <v>0</v>
      </c>
      <c r="PU27" s="166">
        <v>0</v>
      </c>
      <c r="PV27" s="166">
        <v>0</v>
      </c>
      <c r="PW27" s="166">
        <v>0</v>
      </c>
      <c r="PX27" s="166">
        <v>0</v>
      </c>
      <c r="PY27" s="166">
        <v>4.0409489296990002E-2</v>
      </c>
      <c r="PZ27" s="166">
        <v>0</v>
      </c>
      <c r="QA27" s="166">
        <v>4.05</v>
      </c>
      <c r="QB27" s="166">
        <v>0</v>
      </c>
      <c r="QC27" s="166">
        <v>0</v>
      </c>
      <c r="QD27" s="166">
        <v>0</v>
      </c>
      <c r="QE27" s="166">
        <v>4.0131711519220001E-2</v>
      </c>
      <c r="QF27" s="166">
        <v>0</v>
      </c>
      <c r="QG27" s="166">
        <v>4.05</v>
      </c>
      <c r="QH27" s="166">
        <v>0</v>
      </c>
      <c r="QI27" s="162">
        <v>0</v>
      </c>
      <c r="QJ27" s="167">
        <v>0</v>
      </c>
      <c r="QK27" s="167">
        <v>0</v>
      </c>
      <c r="QL27" s="167">
        <v>0</v>
      </c>
      <c r="QM27" s="167">
        <v>0</v>
      </c>
      <c r="QN27" s="162">
        <v>0</v>
      </c>
      <c r="QO27" s="162">
        <v>0</v>
      </c>
      <c r="QP27" s="162">
        <v>0</v>
      </c>
      <c r="QQ27" s="162">
        <v>0</v>
      </c>
      <c r="QR27" s="162">
        <v>0</v>
      </c>
      <c r="QS27" s="162">
        <v>0</v>
      </c>
      <c r="QT27" s="162">
        <v>0</v>
      </c>
      <c r="QU27" s="162">
        <v>0</v>
      </c>
      <c r="QV27" s="162">
        <v>0</v>
      </c>
      <c r="QW27" s="162">
        <v>0</v>
      </c>
      <c r="QX27" s="162">
        <v>0</v>
      </c>
      <c r="QY27" s="162">
        <v>0</v>
      </c>
      <c r="QZ27" s="162">
        <v>0</v>
      </c>
      <c r="RA27" s="167">
        <v>-2.7099415583978401</v>
      </c>
      <c r="RB27" s="167">
        <v>0</v>
      </c>
      <c r="RC27" s="167">
        <v>0</v>
      </c>
      <c r="RD27" s="167">
        <v>0</v>
      </c>
      <c r="RE27" s="167">
        <v>0</v>
      </c>
      <c r="RF27" s="167">
        <v>0</v>
      </c>
      <c r="RG27" s="167">
        <v>0</v>
      </c>
      <c r="RH27" s="167">
        <v>0</v>
      </c>
      <c r="RI27" s="167">
        <v>0</v>
      </c>
      <c r="RJ27" s="167">
        <v>0</v>
      </c>
      <c r="RK27" s="167">
        <v>0</v>
      </c>
      <c r="RL27" s="167">
        <v>0</v>
      </c>
      <c r="RM27" s="166">
        <v>-66.599999999999994</v>
      </c>
      <c r="RN27" s="166">
        <v>-15.5</v>
      </c>
      <c r="RO27" s="166">
        <v>-1.52943820224719</v>
      </c>
      <c r="RP27" s="166">
        <v>0</v>
      </c>
      <c r="RQ27" s="166">
        <v>-16.617096028892782</v>
      </c>
      <c r="RR27" s="166">
        <v>-32.336435991880627</v>
      </c>
      <c r="RS27" s="166">
        <v>0</v>
      </c>
      <c r="RT27" s="166">
        <v>0</v>
      </c>
      <c r="RU27" s="166">
        <v>0</v>
      </c>
      <c r="RV27" s="166">
        <v>0</v>
      </c>
      <c r="RW27" s="166">
        <v>-3.8050000000000002</v>
      </c>
      <c r="RX27" s="166">
        <v>-5</v>
      </c>
      <c r="RY27" s="166">
        <v>-0.42613333333332998</v>
      </c>
      <c r="RZ27" s="166">
        <v>0</v>
      </c>
      <c r="SA27" s="166">
        <v>-5.3508948692289997E-2</v>
      </c>
      <c r="SB27" s="166">
        <v>0</v>
      </c>
      <c r="SC27" s="166">
        <v>-4.05</v>
      </c>
      <c r="SD27" s="166">
        <v>-0.24621212121211999</v>
      </c>
      <c r="SE27" s="166">
        <v>0</v>
      </c>
      <c r="SF27" s="166">
        <v>0</v>
      </c>
      <c r="SG27" s="166">
        <v>0</v>
      </c>
      <c r="SH27" s="166">
        <v>0</v>
      </c>
      <c r="SI27" s="166">
        <v>0</v>
      </c>
      <c r="SJ27" s="166">
        <v>0</v>
      </c>
      <c r="SK27" s="166">
        <v>0</v>
      </c>
      <c r="SL27" s="166">
        <v>0</v>
      </c>
      <c r="SM27" s="166">
        <v>0</v>
      </c>
      <c r="SN27" s="166">
        <v>0</v>
      </c>
      <c r="SO27" s="166">
        <v>0</v>
      </c>
      <c r="SP27" s="166">
        <v>0</v>
      </c>
      <c r="SQ27" s="166">
        <v>-66.599999999999994</v>
      </c>
      <c r="SR27" s="166">
        <v>-15.5</v>
      </c>
      <c r="SS27" s="166">
        <v>-7.6471910543258703</v>
      </c>
      <c r="ST27" s="166">
        <v>0</v>
      </c>
      <c r="SU27" s="166">
        <v>-83.085479780482245</v>
      </c>
      <c r="SV27" s="166">
        <v>-161.6821756986964</v>
      </c>
      <c r="SW27" s="166">
        <v>0</v>
      </c>
      <c r="SX27" s="166">
        <v>0</v>
      </c>
      <c r="SY27" s="166">
        <v>0</v>
      </c>
      <c r="SZ27" s="166">
        <v>0</v>
      </c>
      <c r="TA27" s="166">
        <v>0</v>
      </c>
      <c r="TB27" s="166">
        <v>0</v>
      </c>
      <c r="TC27" s="166">
        <v>0</v>
      </c>
      <c r="TD27" s="166">
        <v>0</v>
      </c>
      <c r="TE27" s="166">
        <v>0</v>
      </c>
      <c r="TF27" s="166">
        <v>0</v>
      </c>
      <c r="TG27" s="166">
        <v>-4.05</v>
      </c>
      <c r="TH27" s="166">
        <v>-0.23484848484848</v>
      </c>
      <c r="TI27" s="166">
        <v>0</v>
      </c>
      <c r="TJ27" s="166">
        <v>0</v>
      </c>
      <c r="TK27" s="166">
        <v>0</v>
      </c>
      <c r="TL27" s="166">
        <v>0</v>
      </c>
      <c r="TM27" s="166">
        <v>0</v>
      </c>
      <c r="TN27" s="166">
        <v>0</v>
      </c>
      <c r="TO27" s="166">
        <v>0</v>
      </c>
      <c r="TP27" s="166">
        <v>0</v>
      </c>
      <c r="TQ27" s="166">
        <v>0</v>
      </c>
      <c r="TR27" s="166">
        <v>0</v>
      </c>
      <c r="TS27" s="166">
        <v>0</v>
      </c>
      <c r="TT27" s="166">
        <v>0</v>
      </c>
      <c r="TU27" s="166">
        <v>0.73296266515386999</v>
      </c>
      <c r="TV27" s="166">
        <v>0</v>
      </c>
      <c r="TW27" s="166">
        <v>4.6871812646769997E-2</v>
      </c>
      <c r="TX27" s="166">
        <v>0</v>
      </c>
      <c r="TY27" s="166">
        <v>0</v>
      </c>
      <c r="TZ27" s="166">
        <v>0</v>
      </c>
      <c r="UA27" s="166">
        <v>-1.515790158136E-2</v>
      </c>
      <c r="UB27" s="166">
        <v>0</v>
      </c>
      <c r="UC27" s="166">
        <v>0</v>
      </c>
      <c r="UD27" s="166">
        <v>0</v>
      </c>
      <c r="UE27" s="166">
        <v>0.24340487382727999</v>
      </c>
      <c r="UF27" s="166">
        <v>0</v>
      </c>
      <c r="UG27" s="166">
        <v>0</v>
      </c>
      <c r="UH27" s="166">
        <v>0</v>
      </c>
      <c r="UI27" s="166">
        <v>0</v>
      </c>
      <c r="UJ27" s="166">
        <v>0</v>
      </c>
      <c r="UK27" s="166">
        <v>0</v>
      </c>
      <c r="UL27" s="166">
        <v>0</v>
      </c>
      <c r="UM27" s="166">
        <v>0</v>
      </c>
      <c r="UN27" s="166">
        <v>0</v>
      </c>
      <c r="UO27" s="166">
        <v>0</v>
      </c>
      <c r="UP27" s="166">
        <v>0</v>
      </c>
      <c r="UQ27" s="166">
        <v>0</v>
      </c>
      <c r="UR27" s="166">
        <v>-16.100146533651412</v>
      </c>
      <c r="US27" s="163">
        <v>0</v>
      </c>
      <c r="UT27" s="163">
        <v>0</v>
      </c>
      <c r="UU27" s="163">
        <v>0</v>
      </c>
      <c r="UV27" s="163">
        <v>0</v>
      </c>
      <c r="UW27" s="163">
        <v>0</v>
      </c>
      <c r="UX27" s="163">
        <v>-0.63666359857266996</v>
      </c>
      <c r="UY27" s="166">
        <v>0</v>
      </c>
      <c r="UZ27" s="166">
        <v>0</v>
      </c>
      <c r="VA27" s="166">
        <v>0</v>
      </c>
      <c r="VB27" s="166">
        <v>0</v>
      </c>
      <c r="VC27" s="166">
        <v>0</v>
      </c>
      <c r="VD27" s="166">
        <v>0</v>
      </c>
      <c r="VE27" s="267">
        <v>202</v>
      </c>
      <c r="VF27" s="267">
        <v>279</v>
      </c>
      <c r="VG27" s="267">
        <v>354</v>
      </c>
      <c r="VH27" s="267">
        <v>0</v>
      </c>
      <c r="VI27" s="267">
        <v>403</v>
      </c>
      <c r="VJ27" s="267">
        <v>0</v>
      </c>
      <c r="VK27" s="267">
        <v>0</v>
      </c>
      <c r="VL27" s="257">
        <v>0</v>
      </c>
      <c r="VM27" s="257">
        <v>0</v>
      </c>
      <c r="VN27" s="257">
        <v>0</v>
      </c>
      <c r="VO27" s="257">
        <v>0</v>
      </c>
      <c r="VP27" s="257">
        <v>0</v>
      </c>
      <c r="VQ27" s="257">
        <v>0</v>
      </c>
      <c r="VR27" s="257">
        <v>0</v>
      </c>
      <c r="VS27" s="257">
        <v>0</v>
      </c>
      <c r="VT27" s="257">
        <v>0</v>
      </c>
      <c r="VU27" s="257">
        <v>0</v>
      </c>
      <c r="VV27" s="257">
        <v>0</v>
      </c>
      <c r="VW27" s="257">
        <v>0</v>
      </c>
      <c r="VX27" s="257">
        <v>0</v>
      </c>
      <c r="VY27" s="257">
        <v>0</v>
      </c>
      <c r="VZ27" s="257">
        <v>0</v>
      </c>
      <c r="WA27" s="257">
        <v>0</v>
      </c>
      <c r="WB27" s="257">
        <v>0</v>
      </c>
      <c r="WC27" s="257">
        <v>0</v>
      </c>
      <c r="WD27" s="257">
        <v>0</v>
      </c>
      <c r="WE27" s="257">
        <v>0</v>
      </c>
      <c r="WF27" s="257">
        <v>0</v>
      </c>
      <c r="WG27" s="257">
        <v>0</v>
      </c>
      <c r="WH27" s="257">
        <v>0</v>
      </c>
      <c r="WI27" s="257">
        <v>0</v>
      </c>
      <c r="WJ27" s="257">
        <v>0</v>
      </c>
      <c r="WK27" s="257">
        <v>0</v>
      </c>
      <c r="WL27" s="257">
        <v>0</v>
      </c>
      <c r="WM27" s="257">
        <v>0</v>
      </c>
      <c r="WN27" s="257">
        <v>0</v>
      </c>
      <c r="WO27" s="257">
        <v>0</v>
      </c>
      <c r="WP27" s="257">
        <v>0</v>
      </c>
      <c r="WQ27" s="257">
        <v>0</v>
      </c>
      <c r="WR27" s="257">
        <v>0</v>
      </c>
      <c r="WS27" s="572">
        <v>66.599999999999994</v>
      </c>
      <c r="WT27" s="572">
        <v>52.835073068893522</v>
      </c>
      <c r="WU27" s="572">
        <v>58.396659707724417</v>
      </c>
      <c r="WV27" s="572">
        <v>61.177453027139869</v>
      </c>
      <c r="WW27" s="572">
        <v>93.990814196242169</v>
      </c>
      <c r="WX27" s="247">
        <v>12613.49042</v>
      </c>
      <c r="WY27" s="4">
        <v>78</v>
      </c>
      <c r="WZ27" s="4">
        <v>15</v>
      </c>
      <c r="XA27" s="4">
        <v>7.0000000000000009</v>
      </c>
      <c r="XB27" s="4">
        <v>0</v>
      </c>
      <c r="XC27" s="1037">
        <v>565.77923412967698</v>
      </c>
      <c r="XD27" s="1037">
        <v>0</v>
      </c>
      <c r="XE27" s="1037">
        <v>0</v>
      </c>
      <c r="XF27" s="1037">
        <v>0</v>
      </c>
      <c r="XG27" s="1037">
        <v>0</v>
      </c>
      <c r="XH27" s="1037">
        <v>0</v>
      </c>
      <c r="XI27" s="1037">
        <v>1064.9962054205685</v>
      </c>
      <c r="XJ27" s="1037">
        <v>1098.2773368399612</v>
      </c>
      <c r="XK27" s="1037">
        <v>606.94273877997853</v>
      </c>
      <c r="XL27" s="1037">
        <v>0</v>
      </c>
      <c r="XM27" s="1037">
        <v>0</v>
      </c>
      <c r="XN27" s="1037">
        <v>0</v>
      </c>
      <c r="XO27" s="1037">
        <v>0</v>
      </c>
      <c r="XP27" s="1037">
        <v>0</v>
      </c>
      <c r="XQ27" s="1037">
        <v>1142.4804494681948</v>
      </c>
      <c r="XR27" s="1037">
        <v>1178.1829635140759</v>
      </c>
      <c r="XS27" s="1037">
        <v>635.8447739599776</v>
      </c>
      <c r="XT27" s="1037">
        <v>0</v>
      </c>
      <c r="XU27" s="1037">
        <v>0</v>
      </c>
      <c r="XV27" s="1037">
        <v>0</v>
      </c>
      <c r="XW27" s="1037">
        <v>0</v>
      </c>
      <c r="XX27" s="1037">
        <v>0</v>
      </c>
      <c r="XY27" s="1037">
        <v>1196.8842803952518</v>
      </c>
      <c r="XZ27" s="1037">
        <v>1234.2869141576036</v>
      </c>
      <c r="YA27" s="1037">
        <v>976.88878908396555</v>
      </c>
      <c r="YB27" s="1037">
        <v>0</v>
      </c>
      <c r="YC27" s="1037">
        <v>0</v>
      </c>
      <c r="YD27" s="1037">
        <v>0</v>
      </c>
      <c r="YE27" s="1037">
        <v>0</v>
      </c>
      <c r="YF27" s="1037">
        <v>0</v>
      </c>
      <c r="YG27" s="1037">
        <v>1838.8494853345235</v>
      </c>
      <c r="YH27" s="1037">
        <v>1896.3135317512274</v>
      </c>
      <c r="YI27" s="1037">
        <v>639.20480584783968</v>
      </c>
      <c r="YJ27" s="1037">
        <v>413.60310966624917</v>
      </c>
      <c r="YK27" s="1037">
        <v>150.40113078772697</v>
      </c>
      <c r="YL27" s="1037">
        <v>112.80084809079521</v>
      </c>
      <c r="YM27" s="1037">
        <v>0</v>
      </c>
      <c r="YN27" s="1037">
        <v>0</v>
      </c>
      <c r="YO27" s="1037">
        <v>1203.2090463018158</v>
      </c>
      <c r="YP27" s="1037">
        <v>1240.8093289987476</v>
      </c>
      <c r="YQ27" s="1037">
        <v>685.71041865720247</v>
      </c>
      <c r="YR27" s="1037">
        <v>443.69497677818981</v>
      </c>
      <c r="YS27" s="1037">
        <v>161.34362791934174</v>
      </c>
      <c r="YT27" s="1037">
        <v>121.0077209395063</v>
      </c>
      <c r="YU27" s="1037">
        <v>0</v>
      </c>
      <c r="YV27" s="1037">
        <v>0</v>
      </c>
      <c r="YW27" s="1037">
        <v>1290.7490233547339</v>
      </c>
      <c r="YX27" s="1037">
        <v>1331.0849303345694</v>
      </c>
      <c r="YY27" s="1037">
        <v>718.36329573611704</v>
      </c>
      <c r="YZ27" s="1037">
        <v>464.82330900572271</v>
      </c>
      <c r="ZA27" s="1037">
        <v>169.02665782026281</v>
      </c>
      <c r="ZB27" s="1037">
        <v>126.7699933651971</v>
      </c>
      <c r="ZC27" s="1037">
        <v>0</v>
      </c>
      <c r="ZD27" s="1037">
        <v>0</v>
      </c>
      <c r="ZE27" s="1037">
        <v>1352.2132625621025</v>
      </c>
      <c r="ZF27" s="1037">
        <v>1394.4699270171682</v>
      </c>
      <c r="ZG27" s="1037">
        <v>1103.667245267307</v>
      </c>
      <c r="ZH27" s="1037">
        <v>714.13762929061033</v>
      </c>
      <c r="ZI27" s="1037">
        <v>259.68641065113104</v>
      </c>
      <c r="ZJ27" s="1037">
        <v>194.76480798834828</v>
      </c>
      <c r="ZK27" s="1037">
        <v>0</v>
      </c>
      <c r="ZL27" s="1037">
        <v>0</v>
      </c>
      <c r="ZM27" s="1037">
        <v>2077.4912852090483</v>
      </c>
      <c r="ZN27" s="1037">
        <v>2142.4128878718311</v>
      </c>
      <c r="ZO27" s="1037">
        <v>1701.1095639498958</v>
      </c>
      <c r="ZP27" s="1037">
        <v>1100.7179531440502</v>
      </c>
      <c r="ZQ27" s="1037">
        <v>400.26107387056373</v>
      </c>
      <c r="ZR27" s="1037">
        <v>300.19580540292276</v>
      </c>
      <c r="ZS27" s="1037">
        <v>0</v>
      </c>
      <c r="ZT27" s="1037">
        <v>0</v>
      </c>
      <c r="ZU27" s="1037">
        <v>3202.0885909645099</v>
      </c>
      <c r="ZV27" s="1037">
        <v>3302.1538594321505</v>
      </c>
      <c r="ZW27" s="1037">
        <v>1880.1737285762003</v>
      </c>
      <c r="ZX27" s="1037">
        <v>1216.5830008434236</v>
      </c>
      <c r="ZY27" s="1037">
        <v>442.39381848851775</v>
      </c>
      <c r="ZZ27" s="1037">
        <v>331.7953638663883</v>
      </c>
      <c r="AAA27" s="1037">
        <v>0</v>
      </c>
      <c r="AAB27" s="1037">
        <v>0</v>
      </c>
      <c r="AAC27" s="1037">
        <v>3539.150547908142</v>
      </c>
      <c r="AAD27" s="1037">
        <v>3649.7490025302714</v>
      </c>
      <c r="AAE27" s="1037">
        <v>1969.705810889353</v>
      </c>
      <c r="AAF27" s="1037">
        <v>1274.5155246931106</v>
      </c>
      <c r="AAG27" s="1037">
        <v>463.46019079749482</v>
      </c>
      <c r="AAH27" s="1037">
        <v>347.59514309812107</v>
      </c>
      <c r="AAI27" s="1037">
        <v>0</v>
      </c>
      <c r="AAJ27" s="1037">
        <v>0</v>
      </c>
      <c r="AAK27" s="1037">
        <v>3707.6815263799585</v>
      </c>
      <c r="AAL27" s="1037">
        <v>3823.5465740793325</v>
      </c>
      <c r="AAM27" s="1037">
        <v>3026.1843821845519</v>
      </c>
      <c r="AAN27" s="1037">
        <v>1958.1193061194156</v>
      </c>
      <c r="AAO27" s="1037">
        <v>712.04338404342388</v>
      </c>
      <c r="AAP27" s="1037">
        <v>534.03253803256791</v>
      </c>
      <c r="AAQ27" s="1037">
        <v>0</v>
      </c>
      <c r="AAR27" s="1037">
        <v>0</v>
      </c>
      <c r="AAS27" s="1037">
        <v>5696.3470723473911</v>
      </c>
      <c r="AAT27" s="1037">
        <v>5874.3579183582469</v>
      </c>
      <c r="AAU27" s="1037">
        <v>2340.3143697977353</v>
      </c>
      <c r="AAV27" s="1037">
        <v>1514.3210628102993</v>
      </c>
      <c r="AAW27" s="1037">
        <v>550.66220465829065</v>
      </c>
      <c r="AAX27" s="1037">
        <v>412.99665349371799</v>
      </c>
      <c r="AAY27" s="1037">
        <v>0</v>
      </c>
      <c r="AAZ27" s="1037">
        <v>0</v>
      </c>
      <c r="ABA27" s="1037">
        <v>4405.2976372663252</v>
      </c>
      <c r="ABB27" s="1037">
        <v>4542.9631884308983</v>
      </c>
      <c r="ABC27" s="1037">
        <v>2477.4053835356995</v>
      </c>
      <c r="ABD27" s="1037">
        <v>1603.0270128760405</v>
      </c>
      <c r="ABE27" s="1037">
        <v>582.91891377310571</v>
      </c>
      <c r="ABF27" s="1037">
        <v>437.18918532982923</v>
      </c>
      <c r="ABG27" s="1037">
        <v>0</v>
      </c>
      <c r="ABH27" s="1037">
        <v>0</v>
      </c>
      <c r="ABI27" s="1037">
        <v>4663.3513101848457</v>
      </c>
      <c r="ABJ27" s="1037">
        <v>4809.0810386281219</v>
      </c>
      <c r="ABK27" s="1037">
        <v>2595.3770684659708</v>
      </c>
      <c r="ABL27" s="1037">
        <v>1679.3616325368046</v>
      </c>
      <c r="ABM27" s="1037">
        <v>610.67695728611079</v>
      </c>
      <c r="ABN27" s="1037">
        <v>458.00771796458304</v>
      </c>
      <c r="ABO27" s="1037">
        <v>0</v>
      </c>
      <c r="ABP27" s="1037">
        <v>0</v>
      </c>
      <c r="ABQ27" s="1037">
        <v>4885.4156582888863</v>
      </c>
      <c r="ABR27" s="1037">
        <v>5038.0848976104144</v>
      </c>
      <c r="ABS27" s="1037">
        <v>6408.3904563908154</v>
      </c>
      <c r="ABT27" s="1037">
        <v>4146.6055894293504</v>
      </c>
      <c r="ABU27" s="1037">
        <v>1507.8565779743094</v>
      </c>
      <c r="ABV27" s="1037">
        <v>1130.8924334807321</v>
      </c>
      <c r="ABW27" s="1037">
        <v>0</v>
      </c>
      <c r="ABX27" s="1037">
        <v>0</v>
      </c>
      <c r="ABY27" s="1037">
        <v>12062.852623794475</v>
      </c>
      <c r="ABZ27" s="1037">
        <v>12439.816768288052</v>
      </c>
      <c r="ACA27" s="1037">
        <v>3031.0679503107235</v>
      </c>
      <c r="ACB27" s="1037">
        <v>1961.2792619657621</v>
      </c>
      <c r="ACC27" s="1037">
        <v>713.1924588966408</v>
      </c>
      <c r="ACD27" s="1037">
        <v>534.89434417248049</v>
      </c>
      <c r="ACE27" s="1037">
        <v>0</v>
      </c>
      <c r="ACF27" s="1037">
        <v>0</v>
      </c>
      <c r="ACG27" s="1037">
        <v>5705.5396711731264</v>
      </c>
      <c r="ACH27" s="1037">
        <v>5883.8377858972863</v>
      </c>
      <c r="ACI27" s="1037">
        <v>3240.5347204283926</v>
      </c>
      <c r="ACJ27" s="1037">
        <v>2096.816583806607</v>
      </c>
      <c r="ACK27" s="1037">
        <v>762.478757747857</v>
      </c>
      <c r="ACL27" s="1037">
        <v>571.85906831089278</v>
      </c>
      <c r="ACM27" s="1037">
        <v>0</v>
      </c>
      <c r="ACN27" s="1037">
        <v>0</v>
      </c>
      <c r="ACO27" s="1037">
        <v>6099.830061982856</v>
      </c>
      <c r="ACP27" s="1037">
        <v>6290.449751419821</v>
      </c>
      <c r="ACQ27" s="1037">
        <v>3394.8458975916496</v>
      </c>
      <c r="ACR27" s="1037">
        <v>2196.6649925593028</v>
      </c>
      <c r="ACS27" s="1037">
        <v>798.78727002156461</v>
      </c>
      <c r="ACT27" s="1037">
        <v>599.0904525161734</v>
      </c>
      <c r="ACU27" s="1037">
        <v>0</v>
      </c>
      <c r="ACV27" s="1037">
        <v>0</v>
      </c>
      <c r="ACW27" s="1037">
        <v>6390.2981601725169</v>
      </c>
      <c r="ACX27" s="1037">
        <v>6589.9949776779085</v>
      </c>
      <c r="ACY27" s="1037">
        <v>5215.7177881180805</v>
      </c>
      <c r="ACZ27" s="1037">
        <v>3374.8762158411105</v>
      </c>
      <c r="ADA27" s="1037">
        <v>1227.2277148513128</v>
      </c>
      <c r="ADB27" s="1037">
        <v>920.42078613848469</v>
      </c>
      <c r="ADC27" s="1037">
        <v>0</v>
      </c>
      <c r="ADD27" s="1037">
        <v>0</v>
      </c>
      <c r="ADE27" s="1037">
        <v>9817.8217188105027</v>
      </c>
      <c r="ADF27" s="1037">
        <v>10124.628647523332</v>
      </c>
      <c r="ADG27" s="1037">
        <v>3701.2020209576522</v>
      </c>
      <c r="ADH27" s="1037">
        <v>2394.8954253255397</v>
      </c>
      <c r="ADI27" s="1037">
        <v>870.87106375474161</v>
      </c>
      <c r="ADJ27" s="1037">
        <v>653.15329781605624</v>
      </c>
      <c r="ADK27" s="1037">
        <v>0</v>
      </c>
      <c r="ADL27" s="1037">
        <v>0</v>
      </c>
      <c r="ADM27" s="1037">
        <v>6966.9685100379329</v>
      </c>
      <c r="ADN27" s="1037">
        <v>7184.6862759766191</v>
      </c>
      <c r="ADO27" s="1037">
        <v>3981.5443663966598</v>
      </c>
      <c r="ADP27" s="1037">
        <v>2576.2934135507799</v>
      </c>
      <c r="ADQ27" s="1037">
        <v>936.83396856391994</v>
      </c>
      <c r="ADR27" s="1037">
        <v>702.62547642293987</v>
      </c>
      <c r="ADS27" s="1037">
        <v>0</v>
      </c>
      <c r="ADT27" s="1037">
        <v>0</v>
      </c>
      <c r="ADU27" s="1037">
        <v>7494.6717485113595</v>
      </c>
      <c r="ADV27" s="1037">
        <v>7728.88024065234</v>
      </c>
      <c r="ADW27" s="1037">
        <v>4171.1417171774538</v>
      </c>
      <c r="ADX27" s="1037">
        <v>2698.9740522912934</v>
      </c>
      <c r="ADY27" s="1037">
        <v>981.44510992410665</v>
      </c>
      <c r="ADZ27" s="1037">
        <v>736.08383244307993</v>
      </c>
      <c r="AEA27" s="1037">
        <v>0</v>
      </c>
      <c r="AEB27" s="1037">
        <v>0</v>
      </c>
      <c r="AEC27" s="1037">
        <v>7851.5608793928532</v>
      </c>
      <c r="AED27" s="1037">
        <v>8096.9221568738803</v>
      </c>
      <c r="AEE27" s="1037">
        <v>6408.3904563908154</v>
      </c>
      <c r="AEF27" s="1037">
        <v>4146.6055894293504</v>
      </c>
      <c r="AEG27" s="1037">
        <v>1507.8565779743094</v>
      </c>
      <c r="AEH27" s="1037">
        <v>1130.8924334807321</v>
      </c>
      <c r="AEI27" s="1037">
        <v>0</v>
      </c>
      <c r="AEJ27" s="1037">
        <v>0</v>
      </c>
      <c r="AEK27" s="1037">
        <v>12062.852623794475</v>
      </c>
      <c r="AEL27" s="1037">
        <v>12439.816768288052</v>
      </c>
      <c r="AEM27" s="1037">
        <v>4268.2385422742846</v>
      </c>
      <c r="AEN27" s="1037">
        <v>2761.8014097068899</v>
      </c>
      <c r="AEO27" s="1037">
        <v>1004.2914217115964</v>
      </c>
      <c r="AEP27" s="1037">
        <v>753.21856628369721</v>
      </c>
      <c r="AEQ27" s="1037">
        <v>0</v>
      </c>
      <c r="AER27" s="1037">
        <v>0</v>
      </c>
      <c r="AES27" s="1037">
        <v>8034.3313736927712</v>
      </c>
      <c r="AET27" s="1037">
        <v>8285.4042291206697</v>
      </c>
      <c r="AEU27" s="1037">
        <v>4534.536639507307</v>
      </c>
      <c r="AEV27" s="1037">
        <v>2934.1119432106102</v>
      </c>
      <c r="AEW27" s="1037">
        <v>1066.949797531131</v>
      </c>
      <c r="AEX27" s="1037">
        <v>800.21234814834816</v>
      </c>
      <c r="AEY27" s="1037">
        <v>0</v>
      </c>
      <c r="AEZ27" s="1037">
        <v>0</v>
      </c>
      <c r="AFA27" s="1037">
        <v>8535.5983802490482</v>
      </c>
      <c r="AFB27" s="1037">
        <v>8802.3358296318311</v>
      </c>
      <c r="AFC27" s="1037">
        <v>4750.466955674322</v>
      </c>
      <c r="AFD27" s="1037">
        <v>3073.8315595539725</v>
      </c>
      <c r="AFE27" s="1037">
        <v>1117.7569307468991</v>
      </c>
      <c r="AFF27" s="1037">
        <v>838.31769806017439</v>
      </c>
      <c r="AFG27" s="1037">
        <v>0</v>
      </c>
      <c r="AFH27" s="1037">
        <v>0</v>
      </c>
      <c r="AFI27" s="1037">
        <v>8942.0554459751929</v>
      </c>
      <c r="AFJ27" s="1037">
        <v>9221.4946786619184</v>
      </c>
      <c r="AFK27" s="1037">
        <v>7298.4446864450947</v>
      </c>
      <c r="AFL27" s="1037">
        <v>4722.5230324056492</v>
      </c>
      <c r="AFM27" s="1037">
        <v>1717.2811026929633</v>
      </c>
      <c r="AFN27" s="1037">
        <v>1287.9608270197225</v>
      </c>
      <c r="AFO27" s="1037">
        <v>0</v>
      </c>
      <c r="AFP27" s="1037">
        <v>0</v>
      </c>
      <c r="AFQ27" s="1037">
        <v>13738.248821543706</v>
      </c>
      <c r="AFR27" s="1037">
        <v>14167.569097216949</v>
      </c>
      <c r="AFS27" s="247">
        <v>1701.1095639498958</v>
      </c>
      <c r="AFT27" s="247">
        <v>1100.7179531440502</v>
      </c>
      <c r="AFU27" s="247">
        <v>400.26107387056373</v>
      </c>
      <c r="AFV27" s="247">
        <v>300.19580540292276</v>
      </c>
      <c r="AFW27" s="247">
        <v>0</v>
      </c>
      <c r="AFX27" s="247">
        <v>0</v>
      </c>
      <c r="AFY27" s="247">
        <v>3202.0885909645099</v>
      </c>
      <c r="AFZ27" s="247">
        <v>3302.1538594321505</v>
      </c>
      <c r="AGA27" s="247">
        <v>1880.1737285762003</v>
      </c>
      <c r="AGB27" s="247">
        <v>1216.5830008434236</v>
      </c>
      <c r="AGC27" s="247">
        <v>442.39381848851775</v>
      </c>
      <c r="AGD27" s="247">
        <v>331.7953638663883</v>
      </c>
      <c r="AGE27" s="247">
        <v>0</v>
      </c>
      <c r="AGF27" s="247">
        <v>0</v>
      </c>
      <c r="AGG27" s="247">
        <v>3539.150547908142</v>
      </c>
      <c r="AGH27" s="247">
        <v>3649.7490025302714</v>
      </c>
      <c r="AGI27" s="247">
        <v>1969.705810889353</v>
      </c>
      <c r="AGJ27" s="247">
        <v>1274.5155246931106</v>
      </c>
      <c r="AGK27" s="247">
        <v>463.46019079749482</v>
      </c>
      <c r="AGL27" s="247">
        <v>347.59514309812107</v>
      </c>
      <c r="AGM27" s="247">
        <v>0</v>
      </c>
      <c r="AGN27" s="247">
        <v>0</v>
      </c>
      <c r="AGO27" s="247">
        <v>3707.6815263799585</v>
      </c>
      <c r="AGP27" s="247">
        <v>3823.5465740793325</v>
      </c>
      <c r="AGQ27" s="247">
        <v>3026.1843821845519</v>
      </c>
      <c r="AGR27" s="247">
        <v>1958.1193061194156</v>
      </c>
      <c r="AGS27" s="247">
        <v>712.04338404342388</v>
      </c>
      <c r="AGT27" s="247">
        <v>534.03253803256791</v>
      </c>
      <c r="AGU27" s="247">
        <v>0</v>
      </c>
      <c r="AGV27" s="247">
        <v>0</v>
      </c>
      <c r="AGW27" s="247">
        <v>5696.3470723473911</v>
      </c>
      <c r="AGX27" s="247">
        <v>5874.3579183582469</v>
      </c>
      <c r="AGY27" s="249">
        <v>0</v>
      </c>
      <c r="AGZ27" s="249">
        <v>0</v>
      </c>
      <c r="AHA27" s="249">
        <v>0</v>
      </c>
      <c r="AHB27" s="249">
        <v>0</v>
      </c>
      <c r="AHC27" s="249">
        <v>0</v>
      </c>
      <c r="AHD27" s="249">
        <v>0</v>
      </c>
      <c r="AHE27" s="249">
        <v>0</v>
      </c>
      <c r="AHF27" s="249">
        <v>0</v>
      </c>
      <c r="AHG27" s="249">
        <v>0</v>
      </c>
      <c r="AHH27" s="249">
        <v>0</v>
      </c>
      <c r="AHI27" s="249">
        <v>0</v>
      </c>
      <c r="AHJ27" s="249">
        <v>0</v>
      </c>
      <c r="AHK27" s="249">
        <v>0</v>
      </c>
      <c r="AHL27" s="249">
        <v>0</v>
      </c>
      <c r="AHM27" s="249">
        <v>0</v>
      </c>
      <c r="AHN27" s="249">
        <v>0</v>
      </c>
      <c r="AHO27" s="249">
        <v>0</v>
      </c>
      <c r="AHP27" s="249">
        <v>0</v>
      </c>
      <c r="AHQ27" s="249">
        <v>0</v>
      </c>
      <c r="AHR27" s="249">
        <v>0</v>
      </c>
      <c r="AHS27" s="249">
        <v>0</v>
      </c>
      <c r="AHT27" s="249">
        <v>0</v>
      </c>
      <c r="AHU27" s="249">
        <v>0</v>
      </c>
      <c r="AHV27" s="249">
        <v>0</v>
      </c>
      <c r="AHW27" s="249">
        <v>0</v>
      </c>
      <c r="AHX27" s="249">
        <v>0</v>
      </c>
      <c r="AHY27" s="249">
        <v>0</v>
      </c>
      <c r="AHZ27" s="249">
        <v>0</v>
      </c>
      <c r="AIA27" s="249">
        <v>0</v>
      </c>
      <c r="AIB27" s="249">
        <v>0</v>
      </c>
      <c r="AIC27" s="249">
        <v>0</v>
      </c>
      <c r="AID27" s="249">
        <v>0</v>
      </c>
      <c r="AIE27" s="249"/>
      <c r="AIF27" s="249"/>
      <c r="AIG27" s="249"/>
      <c r="AIH27" s="249"/>
      <c r="AII27" s="249"/>
      <c r="AIJ27" s="249"/>
      <c r="AIK27" s="249"/>
      <c r="AIL27" s="249"/>
      <c r="AIM27" s="249">
        <v>0</v>
      </c>
      <c r="AIN27" s="249">
        <v>0</v>
      </c>
      <c r="AIO27" s="249">
        <v>0</v>
      </c>
      <c r="AIP27" s="249">
        <v>0</v>
      </c>
      <c r="AIQ27" s="249">
        <v>0</v>
      </c>
      <c r="AIR27" s="249">
        <v>0</v>
      </c>
      <c r="AIS27" s="249">
        <v>0</v>
      </c>
      <c r="AIT27" s="249">
        <v>0</v>
      </c>
      <c r="AIU27" s="134" t="s">
        <v>1216</v>
      </c>
      <c r="AIV27" s="134" t="s">
        <v>1219</v>
      </c>
      <c r="AIW27" s="134" t="s">
        <v>1218</v>
      </c>
      <c r="AIX27" s="134" t="s">
        <v>1217</v>
      </c>
      <c r="AIY27" s="134" t="s">
        <v>1228</v>
      </c>
      <c r="AIZ27" s="134" t="s">
        <v>1229</v>
      </c>
      <c r="AJA27" s="134" t="s">
        <v>1230</v>
      </c>
      <c r="AJB27" s="134" t="s">
        <v>1231</v>
      </c>
      <c r="AJC27" s="134" t="s">
        <v>1232</v>
      </c>
      <c r="AJD27" s="134" t="s">
        <v>1233</v>
      </c>
    </row>
    <row r="28" spans="1:940" ht="18" customHeight="1">
      <c r="A28" s="664" t="s">
        <v>16</v>
      </c>
      <c r="B28" s="669">
        <v>2.2000000000000002</v>
      </c>
      <c r="C28" s="6">
        <v>1.4</v>
      </c>
      <c r="D28" s="6">
        <v>1.4</v>
      </c>
      <c r="E28" s="74">
        <v>204.61340206185568</v>
      </c>
      <c r="F28" s="75">
        <v>0.9</v>
      </c>
      <c r="G28" s="7">
        <v>0</v>
      </c>
      <c r="H28" s="7">
        <v>0</v>
      </c>
      <c r="I28" s="266">
        <v>350</v>
      </c>
      <c r="J28" s="125">
        <v>0</v>
      </c>
      <c r="K28" s="125">
        <v>0</v>
      </c>
      <c r="L28" s="125">
        <v>0</v>
      </c>
      <c r="M28" s="1">
        <v>1935.7159196896396</v>
      </c>
      <c r="N28" s="2">
        <v>12</v>
      </c>
      <c r="O28" s="8">
        <v>1.5</v>
      </c>
      <c r="P28" s="8">
        <v>1.2</v>
      </c>
      <c r="Q28" s="8">
        <v>1.2</v>
      </c>
      <c r="R28" s="7">
        <v>0.1</v>
      </c>
      <c r="S28" s="7">
        <v>0</v>
      </c>
      <c r="T28" s="7">
        <v>99.9</v>
      </c>
      <c r="U28" s="7">
        <v>0</v>
      </c>
      <c r="V28" s="71">
        <v>0</v>
      </c>
      <c r="W28" s="119">
        <v>2</v>
      </c>
      <c r="X28" s="120">
        <v>1.5</v>
      </c>
      <c r="Y28" s="119">
        <v>1</v>
      </c>
      <c r="Z28" s="120">
        <v>0.8</v>
      </c>
      <c r="AA28" s="120">
        <v>0.5</v>
      </c>
      <c r="AB28" s="559">
        <v>433.01922201480062</v>
      </c>
      <c r="AC28" s="559">
        <v>470.67306740739195</v>
      </c>
      <c r="AD28" s="559">
        <v>433.37222681535616</v>
      </c>
      <c r="AE28" s="559">
        <v>649.0581599547935</v>
      </c>
      <c r="AF28" s="622">
        <v>0.82209484106305364</v>
      </c>
      <c r="AG28" s="559">
        <v>261.91600618637949</v>
      </c>
      <c r="AH28" s="559">
        <v>284.69131107215162</v>
      </c>
      <c r="AI28" s="559">
        <v>262.12952466968363</v>
      </c>
      <c r="AJ28" s="559">
        <v>392.58931796849708</v>
      </c>
      <c r="AK28" s="622">
        <v>0.96717040125065135</v>
      </c>
      <c r="AL28" s="995">
        <v>0.1</v>
      </c>
      <c r="AM28" s="995">
        <v>0.2</v>
      </c>
      <c r="AN28" s="995">
        <v>0.5</v>
      </c>
      <c r="AO28" s="995">
        <v>0.4</v>
      </c>
      <c r="AP28" s="995">
        <v>0.6</v>
      </c>
      <c r="AQ28" s="995">
        <v>0.9</v>
      </c>
      <c r="AR28" s="995">
        <v>1</v>
      </c>
      <c r="AS28" s="1005">
        <v>0</v>
      </c>
      <c r="AT28" s="1005">
        <v>10</v>
      </c>
      <c r="AU28" s="1005">
        <v>20</v>
      </c>
      <c r="AV28" s="1005">
        <v>70</v>
      </c>
      <c r="AW28" s="1005">
        <v>100</v>
      </c>
      <c r="AX28" s="1">
        <v>12765.498891072868</v>
      </c>
      <c r="AY28" s="5">
        <v>1.51</v>
      </c>
      <c r="AZ28" s="10">
        <v>2</v>
      </c>
      <c r="BA28" s="8">
        <v>1.6</v>
      </c>
      <c r="BB28" s="8">
        <v>1.6</v>
      </c>
      <c r="BC28" s="73">
        <f>BC39</f>
        <v>0.19257506503275143</v>
      </c>
      <c r="BD28" s="73">
        <v>0.18193358900561235</v>
      </c>
      <c r="BE28" s="9">
        <v>6.7718733821462915E-2</v>
      </c>
      <c r="BF28" s="9">
        <v>2.8428000887508322E-2</v>
      </c>
      <c r="BG28" s="9">
        <v>1.471784631314252</v>
      </c>
      <c r="BH28" s="9">
        <v>40.979309962280894</v>
      </c>
      <c r="BI28" s="9">
        <v>1.1627745728866208</v>
      </c>
      <c r="BJ28" s="9"/>
      <c r="BK28" s="9">
        <v>54.924053324458256</v>
      </c>
      <c r="BL28" s="9"/>
      <c r="BM28" s="9"/>
      <c r="BN28" s="9"/>
      <c r="BO28" s="9"/>
      <c r="BP28" s="9"/>
      <c r="BQ28" s="9"/>
      <c r="BR28" s="9">
        <v>0.85861807558612524</v>
      </c>
      <c r="BS28" s="9">
        <v>0.50731269876488427</v>
      </c>
      <c r="BT28" s="262">
        <v>261.13475999999997</v>
      </c>
      <c r="BU28" s="262">
        <v>96.5</v>
      </c>
      <c r="BV28" s="262">
        <v>63.215999999999994</v>
      </c>
      <c r="BW28" s="262">
        <v>233.35949490734063</v>
      </c>
      <c r="BX28" s="262">
        <v>157.40783999999999</v>
      </c>
      <c r="BY28" s="68"/>
      <c r="BZ28" s="262">
        <v>256.20808011776955</v>
      </c>
      <c r="CA28" s="262">
        <v>165.17663999999999</v>
      </c>
      <c r="CB28" s="68"/>
      <c r="CC28" s="785">
        <v>0</v>
      </c>
      <c r="CD28" s="262">
        <v>6.585</v>
      </c>
      <c r="CE28" s="262">
        <v>1.3169999999999999</v>
      </c>
      <c r="CF28" s="262">
        <v>38</v>
      </c>
      <c r="CG28" s="262">
        <v>225.83915999999996</v>
      </c>
      <c r="CH28" s="68">
        <v>0.2</v>
      </c>
      <c r="CI28" s="262">
        <v>175.08124000000001</v>
      </c>
      <c r="CJ28" s="262">
        <v>60.4</v>
      </c>
      <c r="CK28" s="262">
        <v>42.384</v>
      </c>
      <c r="CL28" s="262">
        <v>156.45894761061641</v>
      </c>
      <c r="CM28" s="262">
        <v>105.53616</v>
      </c>
      <c r="CN28" s="68"/>
      <c r="CO28" s="262">
        <v>159.24945066654416</v>
      </c>
      <c r="CP28" s="262">
        <v>102.66767999999999</v>
      </c>
      <c r="CQ28" s="68"/>
      <c r="CR28" s="262">
        <v>0</v>
      </c>
      <c r="CS28" s="262">
        <v>4.415</v>
      </c>
      <c r="CT28" s="262">
        <v>0.88300000000000001</v>
      </c>
      <c r="CU28" s="262">
        <v>27</v>
      </c>
      <c r="CV28" s="262">
        <v>151.41683999999998</v>
      </c>
      <c r="CW28" s="68">
        <v>0.2</v>
      </c>
      <c r="CX28" s="120">
        <v>0.3</v>
      </c>
      <c r="CY28" s="120">
        <v>0.7</v>
      </c>
      <c r="CZ28" s="120">
        <v>1.2</v>
      </c>
      <c r="DA28" s="120">
        <v>1.2</v>
      </c>
      <c r="DB28" s="119">
        <v>3</v>
      </c>
      <c r="DC28" s="1005">
        <v>0</v>
      </c>
      <c r="DD28" s="1005">
        <v>10</v>
      </c>
      <c r="DE28" s="1005">
        <v>20</v>
      </c>
      <c r="DF28" s="1005">
        <v>70</v>
      </c>
      <c r="DG28" s="1005">
        <v>100</v>
      </c>
      <c r="DH28" s="2">
        <v>0</v>
      </c>
      <c r="DI28" s="2">
        <v>18</v>
      </c>
      <c r="DJ28" s="63">
        <v>12</v>
      </c>
      <c r="DK28" s="10">
        <v>2.5</v>
      </c>
      <c r="DL28" s="8">
        <v>1.7</v>
      </c>
      <c r="DM28" s="8">
        <v>1.7</v>
      </c>
      <c r="DN28" s="1031" t="s">
        <v>1000</v>
      </c>
      <c r="DO28" s="1030" t="s">
        <v>997</v>
      </c>
      <c r="DP28" s="1030" t="s">
        <v>997</v>
      </c>
      <c r="DQ28" s="1030" t="s">
        <v>997</v>
      </c>
      <c r="DR28" s="1030" t="s">
        <v>997</v>
      </c>
      <c r="DS28" s="1030" t="s">
        <v>997</v>
      </c>
      <c r="DT28" s="1030" t="s">
        <v>997</v>
      </c>
      <c r="DU28" s="1097">
        <v>0</v>
      </c>
      <c r="DV28" s="1097">
        <v>0</v>
      </c>
      <c r="DW28" s="1097">
        <v>0</v>
      </c>
      <c r="DX28" s="1097">
        <v>0</v>
      </c>
      <c r="DY28" s="1097">
        <v>0</v>
      </c>
      <c r="DZ28" s="1097">
        <v>0</v>
      </c>
      <c r="EA28" s="1097">
        <v>0</v>
      </c>
      <c r="EB28" s="207">
        <v>9.6000000000000002E-2</v>
      </c>
      <c r="EC28" s="207">
        <v>18</v>
      </c>
      <c r="ED28" s="221">
        <v>5</v>
      </c>
      <c r="EE28" s="216">
        <v>2.5</v>
      </c>
      <c r="EF28" s="214">
        <v>1.7</v>
      </c>
      <c r="EG28" s="214">
        <v>1.7</v>
      </c>
      <c r="EH28" s="208" t="s">
        <v>16</v>
      </c>
      <c r="EI28" s="204" t="s">
        <v>997</v>
      </c>
      <c r="EJ28" s="204" t="s">
        <v>997</v>
      </c>
      <c r="EK28" s="204" t="s">
        <v>997</v>
      </c>
      <c r="EL28" s="204" t="s">
        <v>997</v>
      </c>
      <c r="EM28" s="204" t="s">
        <v>997</v>
      </c>
      <c r="EN28" s="204" t="s">
        <v>997</v>
      </c>
      <c r="EO28" s="204" t="s">
        <v>997</v>
      </c>
      <c r="EP28" s="204" t="s">
        <v>997</v>
      </c>
      <c r="EQ28" s="204" t="s">
        <v>997</v>
      </c>
      <c r="ER28" s="204" t="s">
        <v>997</v>
      </c>
      <c r="ES28" s="204" t="s">
        <v>997</v>
      </c>
      <c r="ET28" s="204" t="s">
        <v>997</v>
      </c>
      <c r="EU28" s="204" t="s">
        <v>997</v>
      </c>
      <c r="EV28" s="204" t="s">
        <v>997</v>
      </c>
      <c r="EW28" s="204" t="s">
        <v>997</v>
      </c>
      <c r="EX28" s="204" t="s">
        <v>997</v>
      </c>
      <c r="EY28" s="204" t="s">
        <v>997</v>
      </c>
      <c r="EZ28" s="204" t="s">
        <v>997</v>
      </c>
      <c r="FA28" s="204" t="s">
        <v>997</v>
      </c>
      <c r="FB28" s="204" t="s">
        <v>997</v>
      </c>
      <c r="FC28" s="204" t="s">
        <v>997</v>
      </c>
      <c r="FD28" s="204" t="s">
        <v>997</v>
      </c>
      <c r="FE28" s="204" t="s">
        <v>997</v>
      </c>
      <c r="FF28" s="204" t="s">
        <v>997</v>
      </c>
      <c r="FG28" s="204" t="s">
        <v>997</v>
      </c>
      <c r="FH28" s="204" t="s">
        <v>997</v>
      </c>
      <c r="FI28" s="204" t="s">
        <v>997</v>
      </c>
      <c r="FJ28" s="204" t="s">
        <v>997</v>
      </c>
      <c r="FK28" s="204" t="s">
        <v>997</v>
      </c>
      <c r="FL28" s="204" t="s">
        <v>997</v>
      </c>
      <c r="FM28" s="204" t="s">
        <v>997</v>
      </c>
      <c r="FN28" s="204" t="s">
        <v>997</v>
      </c>
      <c r="FO28" s="204" t="s">
        <v>997</v>
      </c>
      <c r="FP28" s="204" t="s">
        <v>997</v>
      </c>
      <c r="FQ28" s="204" t="s">
        <v>997</v>
      </c>
      <c r="FR28" s="204" t="s">
        <v>997</v>
      </c>
      <c r="FS28" s="204" t="s">
        <v>997</v>
      </c>
      <c r="FT28" s="204" t="s">
        <v>997</v>
      </c>
      <c r="FU28" s="204" t="s">
        <v>997</v>
      </c>
      <c r="FV28" s="204" t="s">
        <v>997</v>
      </c>
      <c r="FW28" s="204" t="s">
        <v>997</v>
      </c>
      <c r="FX28" s="204" t="s">
        <v>997</v>
      </c>
      <c r="FY28" s="204" t="s">
        <v>997</v>
      </c>
      <c r="FZ28" s="204" t="s">
        <v>997</v>
      </c>
      <c r="GA28" s="204" t="s">
        <v>997</v>
      </c>
      <c r="GB28" s="204" t="s">
        <v>997</v>
      </c>
      <c r="GC28" s="204" t="s">
        <v>997</v>
      </c>
      <c r="GD28" s="204" t="s">
        <v>997</v>
      </c>
      <c r="GE28" s="204" t="s">
        <v>997</v>
      </c>
      <c r="GF28" s="204" t="s">
        <v>997</v>
      </c>
      <c r="GG28" s="204" t="s">
        <v>997</v>
      </c>
      <c r="GH28" s="204" t="s">
        <v>997</v>
      </c>
      <c r="GI28" s="204" t="s">
        <v>997</v>
      </c>
      <c r="GJ28" s="204" t="s">
        <v>997</v>
      </c>
      <c r="GK28" s="204" t="s">
        <v>997</v>
      </c>
      <c r="GL28" s="204" t="s">
        <v>997</v>
      </c>
      <c r="GM28" s="204" t="s">
        <v>997</v>
      </c>
      <c r="GN28" s="1051">
        <v>96</v>
      </c>
      <c r="GO28" s="1051">
        <v>0</v>
      </c>
      <c r="GP28" s="1051">
        <v>0</v>
      </c>
      <c r="GQ28" s="1051">
        <v>0</v>
      </c>
      <c r="GR28" s="1051">
        <v>0</v>
      </c>
      <c r="GS28" s="1051">
        <v>0</v>
      </c>
      <c r="GT28" s="1051">
        <v>0</v>
      </c>
      <c r="GU28" s="1051">
        <v>0</v>
      </c>
      <c r="GV28" s="1051">
        <v>0</v>
      </c>
      <c r="GW28" s="1051">
        <v>0</v>
      </c>
      <c r="GX28" s="1051">
        <v>0</v>
      </c>
      <c r="GY28" s="1051">
        <v>0</v>
      </c>
      <c r="GZ28" s="1051">
        <v>0</v>
      </c>
      <c r="HA28" s="1051">
        <v>0</v>
      </c>
      <c r="HB28" s="1051">
        <v>0</v>
      </c>
      <c r="HC28" s="1051">
        <v>0</v>
      </c>
      <c r="HD28" s="1051">
        <v>0</v>
      </c>
      <c r="HE28" s="1051">
        <v>0</v>
      </c>
      <c r="HF28" s="1051">
        <v>0</v>
      </c>
      <c r="HG28" s="1051">
        <v>0</v>
      </c>
      <c r="HH28" s="1051">
        <v>0</v>
      </c>
      <c r="HI28" s="1051">
        <v>0</v>
      </c>
      <c r="HJ28" s="1051">
        <v>0</v>
      </c>
      <c r="HK28" s="1051">
        <v>0</v>
      </c>
      <c r="HL28" s="1051">
        <v>0</v>
      </c>
      <c r="HM28" s="1051">
        <v>0</v>
      </c>
      <c r="HN28" s="1051">
        <v>0</v>
      </c>
      <c r="HO28" s="1051">
        <v>0</v>
      </c>
      <c r="HP28" s="1051">
        <v>0</v>
      </c>
      <c r="HQ28" s="1051">
        <v>0</v>
      </c>
      <c r="HR28" s="1051">
        <v>0</v>
      </c>
      <c r="HS28" s="1051">
        <v>0</v>
      </c>
      <c r="HT28" s="1051">
        <v>0</v>
      </c>
      <c r="HU28" s="1051">
        <v>0</v>
      </c>
      <c r="HV28" s="1051">
        <v>0</v>
      </c>
      <c r="HW28" s="1051">
        <v>0</v>
      </c>
      <c r="HX28" s="1051">
        <v>0</v>
      </c>
      <c r="HY28" s="1051">
        <v>0</v>
      </c>
      <c r="HZ28" s="1051">
        <v>0</v>
      </c>
      <c r="IA28" s="1051">
        <v>0</v>
      </c>
      <c r="IB28" s="1051">
        <v>0</v>
      </c>
      <c r="IC28" s="1051">
        <v>0</v>
      </c>
      <c r="ID28" s="1051">
        <v>0</v>
      </c>
      <c r="IE28" s="1051">
        <v>0</v>
      </c>
      <c r="IF28" s="1051">
        <v>0</v>
      </c>
      <c r="IG28" s="1051">
        <v>0</v>
      </c>
      <c r="IH28" s="1051">
        <v>0</v>
      </c>
      <c r="II28" s="1051">
        <v>0</v>
      </c>
      <c r="IJ28" s="1051">
        <v>0</v>
      </c>
      <c r="IK28" s="1051">
        <v>0</v>
      </c>
      <c r="IL28" s="1051">
        <v>0</v>
      </c>
      <c r="IM28" s="1051">
        <v>0</v>
      </c>
      <c r="IN28" s="1051">
        <v>0</v>
      </c>
      <c r="IO28" s="1051">
        <v>0</v>
      </c>
      <c r="IP28" s="1051">
        <v>0</v>
      </c>
      <c r="IQ28" s="1051">
        <v>0</v>
      </c>
      <c r="IR28" s="1051">
        <v>0</v>
      </c>
      <c r="IS28" s="1051">
        <v>0</v>
      </c>
      <c r="IT28" s="215">
        <v>697.93455485009372</v>
      </c>
      <c r="IU28" s="207">
        <v>179.9</v>
      </c>
      <c r="IV28" s="216">
        <v>2647.0800000000199</v>
      </c>
      <c r="IW28" s="272">
        <v>12.64</v>
      </c>
      <c r="IX28" s="207">
        <v>50</v>
      </c>
      <c r="IY28" s="207">
        <v>2.5</v>
      </c>
      <c r="IZ28" s="204">
        <v>1.7</v>
      </c>
      <c r="JA28" s="204">
        <v>1.7</v>
      </c>
      <c r="JB28" s="52">
        <v>2</v>
      </c>
      <c r="JC28" s="24">
        <v>1.5</v>
      </c>
      <c r="JD28" s="24">
        <v>0.7</v>
      </c>
      <c r="JE28" s="24">
        <v>0.7</v>
      </c>
      <c r="JF28" s="24">
        <v>0.5</v>
      </c>
      <c r="JG28" s="1">
        <v>67.447515762607736</v>
      </c>
      <c r="JH28" s="216">
        <v>2647.0800000000199</v>
      </c>
      <c r="JI28" s="272">
        <v>12.64</v>
      </c>
      <c r="JJ28" s="207">
        <v>50</v>
      </c>
      <c r="JK28" s="10">
        <v>3.2</v>
      </c>
      <c r="JL28" s="8">
        <v>2.7</v>
      </c>
      <c r="JM28" s="8">
        <v>2.7</v>
      </c>
      <c r="JN28" s="216">
        <v>2</v>
      </c>
      <c r="JO28" s="216">
        <v>2</v>
      </c>
      <c r="JP28" s="216">
        <v>1</v>
      </c>
      <c r="JQ28" s="216">
        <v>1</v>
      </c>
      <c r="JR28" s="214">
        <v>0.5</v>
      </c>
      <c r="JS28" s="1212">
        <v>2000</v>
      </c>
      <c r="JT28" s="215">
        <v>835.65371732862798</v>
      </c>
      <c r="JU28" s="215">
        <v>500</v>
      </c>
      <c r="JV28" s="207">
        <v>1.6</v>
      </c>
      <c r="JW28" s="207">
        <v>1.4</v>
      </c>
      <c r="JX28" s="207">
        <v>1.4</v>
      </c>
      <c r="JY28" s="214">
        <v>2</v>
      </c>
      <c r="JZ28" s="214">
        <v>1.5</v>
      </c>
      <c r="KA28" s="214">
        <v>0.5</v>
      </c>
      <c r="KB28" s="214">
        <v>1</v>
      </c>
      <c r="KC28" s="214">
        <v>0.5</v>
      </c>
      <c r="KD28" s="1186">
        <v>3.5424374620354517</v>
      </c>
      <c r="KE28" s="1186">
        <v>0.27886686178143466</v>
      </c>
      <c r="KF28" s="1186">
        <v>95.54641338560937</v>
      </c>
      <c r="KG28" s="1186"/>
      <c r="KH28" s="1186">
        <v>0.63228229057374785</v>
      </c>
      <c r="KI28" s="1186"/>
      <c r="KJ28" s="1186"/>
      <c r="KK28" s="1186"/>
      <c r="KL28" s="1186"/>
      <c r="KM28" s="1187">
        <v>580</v>
      </c>
      <c r="KN28" s="1187">
        <v>580</v>
      </c>
      <c r="KO28" s="1187">
        <v>580</v>
      </c>
      <c r="KP28" s="1187">
        <v>580</v>
      </c>
      <c r="KQ28" s="1187"/>
      <c r="KR28" s="1187">
        <v>580</v>
      </c>
      <c r="KS28" s="1187">
        <v>580</v>
      </c>
      <c r="KT28" s="1187">
        <v>580</v>
      </c>
      <c r="KU28" s="1187">
        <v>580</v>
      </c>
      <c r="KV28" s="262">
        <v>370</v>
      </c>
      <c r="KW28" s="262">
        <v>370</v>
      </c>
      <c r="KX28" s="262">
        <v>370</v>
      </c>
      <c r="KY28" s="262">
        <v>370</v>
      </c>
      <c r="KZ28" s="262"/>
      <c r="LA28" s="262">
        <v>370</v>
      </c>
      <c r="LB28" s="262">
        <v>370</v>
      </c>
      <c r="LC28" s="262">
        <v>370</v>
      </c>
      <c r="LD28" s="262">
        <v>370</v>
      </c>
      <c r="LE28" s="1213">
        <v>0</v>
      </c>
      <c r="LF28" s="1213">
        <v>10</v>
      </c>
      <c r="LG28" s="1213">
        <v>20</v>
      </c>
      <c r="LH28" s="1213">
        <v>70</v>
      </c>
      <c r="LI28" s="1213">
        <v>100</v>
      </c>
      <c r="LJ28" s="1212">
        <v>1000</v>
      </c>
      <c r="LK28" s="1">
        <v>316.67008019157754</v>
      </c>
      <c r="LL28" s="4">
        <v>29</v>
      </c>
      <c r="LM28" s="10">
        <v>1.6</v>
      </c>
      <c r="LN28" s="8">
        <v>1.3</v>
      </c>
      <c r="LO28" s="8">
        <v>1.3</v>
      </c>
      <c r="LP28" s="214">
        <v>2</v>
      </c>
      <c r="LQ28" s="214">
        <v>1</v>
      </c>
      <c r="LR28" s="214">
        <v>0.5</v>
      </c>
      <c r="LS28" s="214">
        <v>0.7</v>
      </c>
      <c r="LT28" s="214">
        <v>0.2</v>
      </c>
      <c r="LU28" s="1212">
        <v>1500</v>
      </c>
      <c r="LV28" s="122">
        <v>0</v>
      </c>
      <c r="LW28" s="122">
        <v>0</v>
      </c>
      <c r="LX28" s="122">
        <v>0</v>
      </c>
      <c r="LY28" s="165">
        <v>0</v>
      </c>
      <c r="LZ28" s="165">
        <v>0</v>
      </c>
      <c r="MA28" s="165">
        <v>0</v>
      </c>
      <c r="MB28" s="165">
        <v>0</v>
      </c>
      <c r="MC28" s="165">
        <v>0</v>
      </c>
      <c r="MD28" s="165">
        <v>0</v>
      </c>
      <c r="ME28" s="165">
        <v>0</v>
      </c>
      <c r="MF28" s="165">
        <v>0</v>
      </c>
      <c r="MG28" s="165">
        <v>0</v>
      </c>
      <c r="MH28" s="165">
        <v>0</v>
      </c>
      <c r="MI28" s="165">
        <v>0</v>
      </c>
      <c r="MJ28" s="165">
        <v>0</v>
      </c>
      <c r="MK28" s="165">
        <v>0</v>
      </c>
      <c r="ML28" s="165">
        <v>0</v>
      </c>
      <c r="MM28" s="165">
        <v>0</v>
      </c>
      <c r="MN28" s="165">
        <v>0</v>
      </c>
      <c r="MO28" s="165">
        <v>0</v>
      </c>
      <c r="MP28" s="165">
        <v>0</v>
      </c>
      <c r="MQ28" s="165">
        <v>0</v>
      </c>
      <c r="MR28" s="165">
        <v>0</v>
      </c>
      <c r="MS28" s="165">
        <v>0</v>
      </c>
      <c r="MT28" s="165">
        <v>0</v>
      </c>
      <c r="MU28" s="165">
        <v>0</v>
      </c>
      <c r="MV28" s="165">
        <v>0</v>
      </c>
      <c r="MW28" s="166">
        <v>2.9384850190166798</v>
      </c>
      <c r="MX28" s="166">
        <v>0</v>
      </c>
      <c r="MY28" s="166">
        <v>0.32823136010656001</v>
      </c>
      <c r="MZ28" s="166">
        <v>0.95999999999997998</v>
      </c>
      <c r="NA28" s="166">
        <v>1.6241600380185699</v>
      </c>
      <c r="NB28" s="166">
        <v>0</v>
      </c>
      <c r="NC28" s="166">
        <v>2.9252779137978799</v>
      </c>
      <c r="ND28" s="166">
        <v>0</v>
      </c>
      <c r="NE28" s="166">
        <v>0.32823136010657999</v>
      </c>
      <c r="NF28" s="166">
        <v>0.96</v>
      </c>
      <c r="NG28" s="166">
        <v>0.47572651625175</v>
      </c>
      <c r="NH28" s="166">
        <v>0</v>
      </c>
      <c r="NI28" s="166">
        <v>3.1236143837908599</v>
      </c>
      <c r="NJ28" s="166">
        <v>0</v>
      </c>
      <c r="NK28" s="166">
        <v>0.32823136010630999</v>
      </c>
      <c r="NL28" s="166">
        <v>0.96</v>
      </c>
      <c r="NM28" s="166">
        <v>5.5544716037520399</v>
      </c>
      <c r="NN28" s="166">
        <v>0</v>
      </c>
      <c r="NO28" s="166">
        <v>3.1078455681796702</v>
      </c>
      <c r="NP28" s="166">
        <v>0</v>
      </c>
      <c r="NQ28" s="166">
        <v>0.32823136010657999</v>
      </c>
      <c r="NR28" s="166">
        <v>0.96</v>
      </c>
      <c r="NS28" s="166">
        <v>3.3926924929534099</v>
      </c>
      <c r="NT28" s="166">
        <v>0</v>
      </c>
      <c r="NU28" s="166">
        <v>3.1236143837896599</v>
      </c>
      <c r="NV28" s="166">
        <v>0</v>
      </c>
      <c r="NW28" s="166">
        <v>0.32823136010673998</v>
      </c>
      <c r="NX28" s="166">
        <v>0.96000000000026997</v>
      </c>
      <c r="NY28" s="166">
        <v>5.5544716037497501</v>
      </c>
      <c r="NZ28" s="166">
        <v>0</v>
      </c>
      <c r="OA28" s="166">
        <v>-84.93</v>
      </c>
      <c r="OB28" s="166">
        <v>-16.989999999999998</v>
      </c>
      <c r="OC28" s="166">
        <v>-0.71131642500633996</v>
      </c>
      <c r="OD28" s="166">
        <v>0</v>
      </c>
      <c r="OE28" s="166">
        <v>-1.6326079651501499</v>
      </c>
      <c r="OF28" s="166">
        <v>0</v>
      </c>
      <c r="OG28" s="166">
        <v>-4.5432352120979999E-2</v>
      </c>
      <c r="OH28" s="166">
        <v>0</v>
      </c>
      <c r="OI28" s="166">
        <v>0</v>
      </c>
      <c r="OJ28" s="166">
        <v>0</v>
      </c>
      <c r="OK28" s="166">
        <v>-1.3240720656532901</v>
      </c>
      <c r="OL28" s="166">
        <v>0</v>
      </c>
      <c r="OM28" s="166">
        <v>1.9592923831650001E-2</v>
      </c>
      <c r="ON28" s="166">
        <v>0</v>
      </c>
      <c r="OO28" s="166">
        <v>0</v>
      </c>
      <c r="OP28" s="166">
        <v>0</v>
      </c>
      <c r="OQ28" s="166">
        <v>3.77089512175387</v>
      </c>
      <c r="OR28" s="166">
        <v>0</v>
      </c>
      <c r="OS28" s="166">
        <v>8.2309626014040002E-2</v>
      </c>
      <c r="OT28" s="166">
        <v>0</v>
      </c>
      <c r="OU28" s="166">
        <v>0</v>
      </c>
      <c r="OV28" s="166">
        <v>0</v>
      </c>
      <c r="OW28" s="166">
        <v>1.6122084744224801</v>
      </c>
      <c r="OX28" s="166">
        <v>0</v>
      </c>
      <c r="OY28" s="166">
        <v>0</v>
      </c>
      <c r="OZ28" s="166">
        <v>0</v>
      </c>
      <c r="PA28" s="166">
        <v>0</v>
      </c>
      <c r="PB28" s="166">
        <v>0</v>
      </c>
      <c r="PC28" s="166">
        <v>0</v>
      </c>
      <c r="PD28" s="166">
        <v>0</v>
      </c>
      <c r="PE28" s="166">
        <v>-84.93</v>
      </c>
      <c r="PF28" s="166">
        <v>-16.989999999999998</v>
      </c>
      <c r="PG28" s="166">
        <v>-0.75473379425353004</v>
      </c>
      <c r="PH28" s="166">
        <v>0</v>
      </c>
      <c r="PI28" s="166">
        <v>-0.47572651625175999</v>
      </c>
      <c r="PJ28" s="166">
        <v>0</v>
      </c>
      <c r="PK28" s="166">
        <v>0.13995275729695</v>
      </c>
      <c r="PL28" s="166">
        <v>0</v>
      </c>
      <c r="PM28" s="166">
        <v>0</v>
      </c>
      <c r="PN28" s="166">
        <v>0</v>
      </c>
      <c r="PO28" s="166">
        <v>1.31328415802264</v>
      </c>
      <c r="PP28" s="166">
        <v>0</v>
      </c>
      <c r="PQ28" s="166">
        <v>1.367498143036E-2</v>
      </c>
      <c r="PR28" s="166">
        <v>0</v>
      </c>
      <c r="PS28" s="166">
        <v>0</v>
      </c>
      <c r="PT28" s="166">
        <v>0</v>
      </c>
      <c r="PU28" s="166">
        <v>5.0787450875007298</v>
      </c>
      <c r="PV28" s="166">
        <v>0</v>
      </c>
      <c r="PW28" s="166">
        <v>5.1414270343499999E-3</v>
      </c>
      <c r="PX28" s="166">
        <v>0</v>
      </c>
      <c r="PY28" s="166">
        <v>0</v>
      </c>
      <c r="PZ28" s="166">
        <v>0</v>
      </c>
      <c r="QA28" s="166">
        <v>2.91696597670167</v>
      </c>
      <c r="QB28" s="166">
        <v>0</v>
      </c>
      <c r="QC28" s="166">
        <v>0</v>
      </c>
      <c r="QD28" s="166">
        <v>0</v>
      </c>
      <c r="QE28" s="166">
        <v>0</v>
      </c>
      <c r="QF28" s="166">
        <v>0</v>
      </c>
      <c r="QG28" s="166">
        <v>5.0787450875444904</v>
      </c>
      <c r="QH28" s="166">
        <v>0</v>
      </c>
      <c r="QI28" s="162">
        <v>0</v>
      </c>
      <c r="QJ28" s="167">
        <v>0</v>
      </c>
      <c r="QK28" s="167">
        <v>0</v>
      </c>
      <c r="QL28" s="167">
        <v>0</v>
      </c>
      <c r="QM28" s="167">
        <v>0</v>
      </c>
      <c r="QN28" s="162">
        <v>0</v>
      </c>
      <c r="QO28" s="162">
        <v>0</v>
      </c>
      <c r="QP28" s="162">
        <v>0</v>
      </c>
      <c r="QQ28" s="162">
        <v>0</v>
      </c>
      <c r="QR28" s="162">
        <v>0</v>
      </c>
      <c r="QS28" s="162">
        <v>0</v>
      </c>
      <c r="QT28" s="162">
        <v>0</v>
      </c>
      <c r="QU28" s="162">
        <v>-1.0851591941733101</v>
      </c>
      <c r="QV28" s="162">
        <v>0</v>
      </c>
      <c r="QW28" s="162">
        <v>-0.21722187733081999</v>
      </c>
      <c r="QX28" s="162">
        <v>0</v>
      </c>
      <c r="QY28" s="162">
        <v>-5.5544716037531598</v>
      </c>
      <c r="QZ28" s="162">
        <v>0</v>
      </c>
      <c r="RA28" s="167">
        <v>-3.1127276059340001E-2</v>
      </c>
      <c r="RB28" s="167">
        <v>0</v>
      </c>
      <c r="RC28" s="167">
        <v>0</v>
      </c>
      <c r="RD28" s="167">
        <v>0</v>
      </c>
      <c r="RE28" s="167">
        <v>-3.7707303405524502</v>
      </c>
      <c r="RF28" s="167">
        <v>0</v>
      </c>
      <c r="RG28" s="167">
        <v>-7.8375219646000006E-3</v>
      </c>
      <c r="RH28" s="167">
        <v>0</v>
      </c>
      <c r="RI28" s="167">
        <v>0</v>
      </c>
      <c r="RJ28" s="167">
        <v>0</v>
      </c>
      <c r="RK28" s="167">
        <v>-5.0787450875008204</v>
      </c>
      <c r="RL28" s="167">
        <v>0</v>
      </c>
      <c r="RM28" s="166">
        <v>-84.93</v>
      </c>
      <c r="RN28" s="166">
        <v>-16.989999999999998</v>
      </c>
      <c r="RO28" s="166">
        <v>-0.54775109632098995</v>
      </c>
      <c r="RP28" s="166">
        <v>0</v>
      </c>
      <c r="RQ28" s="166">
        <v>-3.3926924929534099</v>
      </c>
      <c r="RR28" s="166">
        <v>0</v>
      </c>
      <c r="RS28" s="166">
        <v>2.060767301146E-2</v>
      </c>
      <c r="RT28" s="166">
        <v>0</v>
      </c>
      <c r="RU28" s="166">
        <v>0</v>
      </c>
      <c r="RV28" s="166">
        <v>0</v>
      </c>
      <c r="RW28" s="166">
        <v>-1.61010161122111</v>
      </c>
      <c r="RX28" s="166">
        <v>0</v>
      </c>
      <c r="RY28" s="166">
        <v>-5.7487579023499996E-3</v>
      </c>
      <c r="RZ28" s="166">
        <v>0</v>
      </c>
      <c r="SA28" s="166">
        <v>0</v>
      </c>
      <c r="SB28" s="166">
        <v>0</v>
      </c>
      <c r="SC28" s="166">
        <v>-2.91696597670167</v>
      </c>
      <c r="SD28" s="166">
        <v>0</v>
      </c>
      <c r="SE28" s="166">
        <v>0.18611553964405</v>
      </c>
      <c r="SF28" s="166">
        <v>0</v>
      </c>
      <c r="SG28" s="166">
        <v>0</v>
      </c>
      <c r="SH28" s="166">
        <v>0</v>
      </c>
      <c r="SI28" s="166">
        <v>2.1617791107987498</v>
      </c>
      <c r="SJ28" s="166">
        <v>0</v>
      </c>
      <c r="SK28" s="166">
        <v>0.15243993273434001</v>
      </c>
      <c r="SL28" s="166">
        <v>0</v>
      </c>
      <c r="SM28" s="166">
        <v>0</v>
      </c>
      <c r="SN28" s="166">
        <v>0</v>
      </c>
      <c r="SO28" s="166">
        <v>2.1617791107923998</v>
      </c>
      <c r="SP28" s="166">
        <v>0</v>
      </c>
      <c r="SQ28" s="166">
        <v>-84.93</v>
      </c>
      <c r="SR28" s="166">
        <v>-16.989999999999998</v>
      </c>
      <c r="SS28" s="166">
        <v>-0.75326673910252995</v>
      </c>
      <c r="ST28" s="166">
        <v>0</v>
      </c>
      <c r="SU28" s="166">
        <v>-5.5544716037510797</v>
      </c>
      <c r="SV28" s="166">
        <v>0</v>
      </c>
      <c r="SW28" s="166">
        <v>0</v>
      </c>
      <c r="SX28" s="166">
        <v>0</v>
      </c>
      <c r="SY28" s="166">
        <v>0</v>
      </c>
      <c r="SZ28" s="166">
        <v>0</v>
      </c>
      <c r="TA28" s="166">
        <v>-3.77186847029252</v>
      </c>
      <c r="TB28" s="166">
        <v>0</v>
      </c>
      <c r="TC28" s="166">
        <v>0</v>
      </c>
      <c r="TD28" s="166">
        <v>0</v>
      </c>
      <c r="TE28" s="166">
        <v>0</v>
      </c>
      <c r="TF28" s="166">
        <v>0</v>
      </c>
      <c r="TG28" s="166">
        <v>-5.0787450875013</v>
      </c>
      <c r="TH28" s="166">
        <v>0</v>
      </c>
      <c r="TI28" s="166">
        <v>0</v>
      </c>
      <c r="TJ28" s="166">
        <v>0</v>
      </c>
      <c r="TK28" s="166">
        <v>0</v>
      </c>
      <c r="TL28" s="166">
        <v>0</v>
      </c>
      <c r="TM28" s="166">
        <v>0</v>
      </c>
      <c r="TN28" s="166">
        <v>0</v>
      </c>
      <c r="TO28" s="166">
        <v>0</v>
      </c>
      <c r="TP28" s="166">
        <v>0</v>
      </c>
      <c r="TQ28" s="166">
        <v>0</v>
      </c>
      <c r="TR28" s="166">
        <v>0</v>
      </c>
      <c r="TS28" s="166">
        <v>-2.16177911078998</v>
      </c>
      <c r="TT28" s="166">
        <v>0</v>
      </c>
      <c r="TU28" s="166">
        <v>0.86319425106004</v>
      </c>
      <c r="TV28" s="166">
        <v>0</v>
      </c>
      <c r="TW28" s="166">
        <v>0.10652247385344001</v>
      </c>
      <c r="TX28" s="166">
        <v>0</v>
      </c>
      <c r="TY28" s="166">
        <v>0</v>
      </c>
      <c r="TZ28" s="166">
        <v>0</v>
      </c>
      <c r="UA28" s="166">
        <v>-5.0734108002500004E-3</v>
      </c>
      <c r="UB28" s="166">
        <v>0</v>
      </c>
      <c r="UC28" s="166">
        <v>0</v>
      </c>
      <c r="UD28" s="166">
        <v>0</v>
      </c>
      <c r="UE28" s="166">
        <v>4.4045074863999998E-4</v>
      </c>
      <c r="UF28" s="166">
        <v>0</v>
      </c>
      <c r="UG28" s="166">
        <v>0</v>
      </c>
      <c r="UH28" s="166">
        <v>0</v>
      </c>
      <c r="UI28" s="166">
        <v>0</v>
      </c>
      <c r="UJ28" s="166">
        <v>0</v>
      </c>
      <c r="UK28" s="166">
        <v>0</v>
      </c>
      <c r="UL28" s="166">
        <v>0</v>
      </c>
      <c r="UM28" s="166">
        <v>0</v>
      </c>
      <c r="UN28" s="166">
        <v>0</v>
      </c>
      <c r="UO28" s="166">
        <v>0</v>
      </c>
      <c r="UP28" s="166">
        <v>0</v>
      </c>
      <c r="UQ28" s="166">
        <v>0</v>
      </c>
      <c r="UR28" s="166">
        <v>0</v>
      </c>
      <c r="US28" s="163">
        <v>0</v>
      </c>
      <c r="UT28" s="163">
        <v>0</v>
      </c>
      <c r="UU28" s="163">
        <v>0</v>
      </c>
      <c r="UV28" s="163">
        <v>0</v>
      </c>
      <c r="UW28" s="163">
        <v>0</v>
      </c>
      <c r="UX28" s="163">
        <v>0</v>
      </c>
      <c r="UY28" s="166">
        <v>0</v>
      </c>
      <c r="UZ28" s="166">
        <v>0</v>
      </c>
      <c r="VA28" s="166">
        <v>0</v>
      </c>
      <c r="VB28" s="166">
        <v>0</v>
      </c>
      <c r="VC28" s="166">
        <v>0</v>
      </c>
      <c r="VD28" s="166">
        <v>0</v>
      </c>
      <c r="VE28" s="267">
        <v>202</v>
      </c>
      <c r="VF28" s="267">
        <v>279</v>
      </c>
      <c r="VG28" s="267">
        <v>354</v>
      </c>
      <c r="VH28" s="267">
        <v>0</v>
      </c>
      <c r="VI28" s="267">
        <v>403</v>
      </c>
      <c r="VJ28" s="267">
        <v>0</v>
      </c>
      <c r="VK28" s="267">
        <v>0</v>
      </c>
      <c r="VL28" s="257">
        <v>0</v>
      </c>
      <c r="VM28" s="257">
        <v>0</v>
      </c>
      <c r="VN28" s="257">
        <v>0</v>
      </c>
      <c r="VO28" s="257">
        <v>0</v>
      </c>
      <c r="VP28" s="257">
        <v>0</v>
      </c>
      <c r="VQ28" s="257">
        <v>0</v>
      </c>
      <c r="VR28" s="257">
        <v>0</v>
      </c>
      <c r="VS28" s="257">
        <v>0</v>
      </c>
      <c r="VT28" s="257">
        <v>0</v>
      </c>
      <c r="VU28" s="257">
        <v>0</v>
      </c>
      <c r="VV28" s="257">
        <v>0</v>
      </c>
      <c r="VW28" s="257">
        <v>0</v>
      </c>
      <c r="VX28" s="257">
        <v>0</v>
      </c>
      <c r="VY28" s="257">
        <v>0</v>
      </c>
      <c r="VZ28" s="257">
        <v>0</v>
      </c>
      <c r="WA28" s="257">
        <v>0</v>
      </c>
      <c r="WB28" s="257">
        <v>0</v>
      </c>
      <c r="WC28" s="257">
        <v>0</v>
      </c>
      <c r="WD28" s="257">
        <v>0</v>
      </c>
      <c r="WE28" s="257">
        <v>0</v>
      </c>
      <c r="WF28" s="257">
        <v>0</v>
      </c>
      <c r="WG28" s="257">
        <v>0</v>
      </c>
      <c r="WH28" s="257">
        <v>0</v>
      </c>
      <c r="WI28" s="257">
        <v>0</v>
      </c>
      <c r="WJ28" s="257">
        <v>0</v>
      </c>
      <c r="WK28" s="257">
        <v>0</v>
      </c>
      <c r="WL28" s="257">
        <v>0</v>
      </c>
      <c r="WM28" s="257">
        <v>0</v>
      </c>
      <c r="WN28" s="257">
        <v>0</v>
      </c>
      <c r="WO28" s="257">
        <v>0</v>
      </c>
      <c r="WP28" s="257">
        <v>0</v>
      </c>
      <c r="WQ28" s="257">
        <v>0</v>
      </c>
      <c r="WR28" s="257">
        <v>0</v>
      </c>
      <c r="WS28" s="572">
        <v>146</v>
      </c>
      <c r="WT28" s="572">
        <v>115.82463465553236</v>
      </c>
      <c r="WU28" s="572">
        <v>128.01670146137786</v>
      </c>
      <c r="WV28" s="572">
        <v>134.11273486430062</v>
      </c>
      <c r="WW28" s="572">
        <v>206.04592901878914</v>
      </c>
      <c r="WX28" s="247">
        <v>24898.30082</v>
      </c>
      <c r="WY28" s="4">
        <v>78</v>
      </c>
      <c r="WZ28" s="4">
        <v>15</v>
      </c>
      <c r="XA28" s="4">
        <v>7.0000000000000009</v>
      </c>
      <c r="XB28" s="4">
        <v>0</v>
      </c>
      <c r="XC28" s="1037">
        <v>3847.8517114659871</v>
      </c>
      <c r="XD28" s="1037">
        <v>0</v>
      </c>
      <c r="XE28" s="1037">
        <v>0</v>
      </c>
      <c r="XF28" s="1037">
        <v>0</v>
      </c>
      <c r="XG28" s="1037">
        <v>0</v>
      </c>
      <c r="XH28" s="1037">
        <v>0</v>
      </c>
      <c r="XI28" s="1037">
        <v>1539.1406845863949</v>
      </c>
      <c r="XJ28" s="1037">
        <v>0</v>
      </c>
      <c r="XK28" s="1037">
        <v>4127.8037709689306</v>
      </c>
      <c r="XL28" s="1037">
        <v>0</v>
      </c>
      <c r="XM28" s="1037">
        <v>0</v>
      </c>
      <c r="XN28" s="1037">
        <v>0</v>
      </c>
      <c r="XO28" s="1037">
        <v>0</v>
      </c>
      <c r="XP28" s="1037">
        <v>0</v>
      </c>
      <c r="XQ28" s="1037">
        <v>1651.1215083875722</v>
      </c>
      <c r="XR28" s="1037">
        <v>0</v>
      </c>
      <c r="XS28" s="1037">
        <v>4324.3658553007845</v>
      </c>
      <c r="XT28" s="1037">
        <v>0</v>
      </c>
      <c r="XU28" s="1037">
        <v>0</v>
      </c>
      <c r="XV28" s="1037">
        <v>0</v>
      </c>
      <c r="XW28" s="1037">
        <v>0</v>
      </c>
      <c r="XX28" s="1037">
        <v>0</v>
      </c>
      <c r="XY28" s="1037">
        <v>1729.7463421203138</v>
      </c>
      <c r="XZ28" s="1037">
        <v>0</v>
      </c>
      <c r="YA28" s="1037">
        <v>6643.7984504166589</v>
      </c>
      <c r="YB28" s="1037">
        <v>0</v>
      </c>
      <c r="YC28" s="1037">
        <v>0</v>
      </c>
      <c r="YD28" s="1037">
        <v>0</v>
      </c>
      <c r="YE28" s="1037">
        <v>0</v>
      </c>
      <c r="YF28" s="1037">
        <v>0</v>
      </c>
      <c r="YG28" s="1037">
        <v>2657.5193801666633</v>
      </c>
      <c r="YH28" s="1037">
        <v>0</v>
      </c>
      <c r="YI28" s="1037">
        <v>1113.3117618508254</v>
      </c>
      <c r="YJ28" s="1037">
        <v>3414.1560696758652</v>
      </c>
      <c r="YK28" s="1037">
        <v>2449.2858760718163</v>
      </c>
      <c r="YL28" s="1037">
        <v>0</v>
      </c>
      <c r="YM28" s="1037">
        <v>0</v>
      </c>
      <c r="YN28" s="1037">
        <v>0</v>
      </c>
      <c r="YO28" s="1037">
        <v>445.32470474033016</v>
      </c>
      <c r="YP28" s="1037">
        <v>0</v>
      </c>
      <c r="YQ28" s="1037">
        <v>1194.3112244003437</v>
      </c>
      <c r="YR28" s="1037">
        <v>3662.554421494388</v>
      </c>
      <c r="YS28" s="1037">
        <v>2627.4846936807567</v>
      </c>
      <c r="YT28" s="1037">
        <v>0</v>
      </c>
      <c r="YU28" s="1037">
        <v>0</v>
      </c>
      <c r="YV28" s="1037">
        <v>0</v>
      </c>
      <c r="YW28" s="1037">
        <v>477.72448976013749</v>
      </c>
      <c r="YX28" s="1037">
        <v>0</v>
      </c>
      <c r="YY28" s="1037">
        <v>1251.1831874670268</v>
      </c>
      <c r="YZ28" s="1037">
        <v>3836.9617748988826</v>
      </c>
      <c r="ZA28" s="1037">
        <v>2752.6030124274594</v>
      </c>
      <c r="ZB28" s="1037">
        <v>0</v>
      </c>
      <c r="ZC28" s="1037">
        <v>0</v>
      </c>
      <c r="ZD28" s="1037">
        <v>0</v>
      </c>
      <c r="ZE28" s="1037">
        <v>500.47327498681074</v>
      </c>
      <c r="ZF28" s="1037">
        <v>0</v>
      </c>
      <c r="ZG28" s="1037">
        <v>1922.2723516538865</v>
      </c>
      <c r="ZH28" s="1037">
        <v>5894.9685450719189</v>
      </c>
      <c r="ZI28" s="1037">
        <v>4228.9991736385509</v>
      </c>
      <c r="ZJ28" s="1037">
        <v>0</v>
      </c>
      <c r="ZK28" s="1037">
        <v>0</v>
      </c>
      <c r="ZL28" s="1037">
        <v>0</v>
      </c>
      <c r="ZM28" s="1037">
        <v>768.90894066155465</v>
      </c>
      <c r="ZN28" s="1037">
        <v>0</v>
      </c>
      <c r="ZO28" s="1037">
        <v>2962.8458178288101</v>
      </c>
      <c r="ZP28" s="1037">
        <v>9086.0605080083515</v>
      </c>
      <c r="ZQ28" s="1037">
        <v>6518.2607992233825</v>
      </c>
      <c r="ZR28" s="1037">
        <v>0</v>
      </c>
      <c r="ZS28" s="1037">
        <v>0</v>
      </c>
      <c r="ZT28" s="1037">
        <v>0</v>
      </c>
      <c r="ZU28" s="1037">
        <v>1185.138327131524</v>
      </c>
      <c r="ZV28" s="1037">
        <v>0</v>
      </c>
      <c r="ZW28" s="1037">
        <v>3274.7243249686849</v>
      </c>
      <c r="ZX28" s="1037">
        <v>10042.487929903968</v>
      </c>
      <c r="ZY28" s="1037">
        <v>7204.3935149311064</v>
      </c>
      <c r="ZZ28" s="1037">
        <v>0</v>
      </c>
      <c r="AAA28" s="1037">
        <v>0</v>
      </c>
      <c r="AAB28" s="1037">
        <v>0</v>
      </c>
      <c r="AAC28" s="1037">
        <v>1309.8897299874739</v>
      </c>
      <c r="AAD28" s="1037">
        <v>0</v>
      </c>
      <c r="AAE28" s="1037">
        <v>3430.663578538622</v>
      </c>
      <c r="AAF28" s="1037">
        <v>10520.701640851776</v>
      </c>
      <c r="AAG28" s="1037">
        <v>7547.4598727849689</v>
      </c>
      <c r="AAH28" s="1037">
        <v>0</v>
      </c>
      <c r="AAI28" s="1037">
        <v>0</v>
      </c>
      <c r="AAJ28" s="1037">
        <v>0</v>
      </c>
      <c r="AAK28" s="1037">
        <v>1372.2654314154488</v>
      </c>
      <c r="AAL28" s="1037">
        <v>0</v>
      </c>
      <c r="AAM28" s="1037">
        <v>5270.7467706638827</v>
      </c>
      <c r="AAN28" s="1037">
        <v>16163.62343003591</v>
      </c>
      <c r="AAO28" s="1037">
        <v>11595.642895460544</v>
      </c>
      <c r="AAP28" s="1037">
        <v>0</v>
      </c>
      <c r="AAQ28" s="1037">
        <v>0</v>
      </c>
      <c r="AAR28" s="1037">
        <v>0</v>
      </c>
      <c r="AAS28" s="1037">
        <v>2108.2987082655532</v>
      </c>
      <c r="AAT28" s="1037">
        <v>0</v>
      </c>
      <c r="AAU28" s="1037">
        <v>4076.1575796796355</v>
      </c>
      <c r="AAV28" s="1037">
        <v>12500.216577684216</v>
      </c>
      <c r="AAW28" s="1037">
        <v>8967.5466752951979</v>
      </c>
      <c r="AAX28" s="1037">
        <v>0</v>
      </c>
      <c r="AAY28" s="1037">
        <v>0</v>
      </c>
      <c r="AAZ28" s="1037">
        <v>0</v>
      </c>
      <c r="ABA28" s="1037">
        <v>1630.4630318718541</v>
      </c>
      <c r="ABB28" s="1037">
        <v>0</v>
      </c>
      <c r="ABC28" s="1037">
        <v>4314.930875252855</v>
      </c>
      <c r="ABD28" s="1037">
        <v>13232.454684108756</v>
      </c>
      <c r="ABE28" s="1037">
        <v>9492.8479255562816</v>
      </c>
      <c r="ABF28" s="1037">
        <v>0</v>
      </c>
      <c r="ABG28" s="1037">
        <v>0</v>
      </c>
      <c r="ABH28" s="1037">
        <v>0</v>
      </c>
      <c r="ABI28" s="1037">
        <v>1725.972350101142</v>
      </c>
      <c r="ABJ28" s="1037">
        <v>0</v>
      </c>
      <c r="ABK28" s="1037">
        <v>4520.4037740744197</v>
      </c>
      <c r="ABL28" s="1037">
        <v>13862.57157382822</v>
      </c>
      <c r="ABM28" s="1037">
        <v>9944.8883029637236</v>
      </c>
      <c r="ABN28" s="1037">
        <v>0</v>
      </c>
      <c r="ABO28" s="1037">
        <v>0</v>
      </c>
      <c r="ABP28" s="1037">
        <v>0</v>
      </c>
      <c r="ABQ28" s="1037">
        <v>1808.1615096297678</v>
      </c>
      <c r="ABR28" s="1037">
        <v>0</v>
      </c>
      <c r="ABS28" s="1037">
        <v>11161.581396699987</v>
      </c>
      <c r="ABT28" s="1037">
        <v>34228.849616546628</v>
      </c>
      <c r="ABU28" s="1037">
        <v>24555.479072739974</v>
      </c>
      <c r="ABV28" s="1037">
        <v>0</v>
      </c>
      <c r="ABW28" s="1037">
        <v>0</v>
      </c>
      <c r="ABX28" s="1037">
        <v>0</v>
      </c>
      <c r="ABY28" s="1037">
        <v>4464.6325586799949</v>
      </c>
      <c r="ABZ28" s="1037">
        <v>0</v>
      </c>
      <c r="ACA28" s="1037">
        <v>5279.2525481313342</v>
      </c>
      <c r="ACB28" s="1037">
        <v>16189.707814269426</v>
      </c>
      <c r="ACC28" s="1037">
        <v>11614.355605888935</v>
      </c>
      <c r="ACD28" s="1037">
        <v>0</v>
      </c>
      <c r="ACE28" s="1037">
        <v>0</v>
      </c>
      <c r="ACF28" s="1037">
        <v>0</v>
      </c>
      <c r="ACG28" s="1037">
        <v>2111.7010192525336</v>
      </c>
      <c r="ACH28" s="1037">
        <v>0</v>
      </c>
      <c r="ACI28" s="1037">
        <v>5644.0836895048515</v>
      </c>
      <c r="ACJ28" s="1037">
        <v>17308.523314481543</v>
      </c>
      <c r="ACK28" s="1037">
        <v>12416.984116910673</v>
      </c>
      <c r="ACL28" s="1037">
        <v>0</v>
      </c>
      <c r="ACM28" s="1037">
        <v>0</v>
      </c>
      <c r="ACN28" s="1037">
        <v>0</v>
      </c>
      <c r="ACO28" s="1037">
        <v>2257.6334758019402</v>
      </c>
      <c r="ACP28" s="1037">
        <v>0</v>
      </c>
      <c r="ACQ28" s="1037">
        <v>5912.8495794812725</v>
      </c>
      <c r="ACR28" s="1037">
        <v>18132.738710409234</v>
      </c>
      <c r="ACS28" s="1037">
        <v>13008.269074858799</v>
      </c>
      <c r="ACT28" s="1037">
        <v>0</v>
      </c>
      <c r="ACU28" s="1037">
        <v>0</v>
      </c>
      <c r="ACV28" s="1037">
        <v>0</v>
      </c>
      <c r="ACW28" s="1037">
        <v>2365.1398317925086</v>
      </c>
      <c r="ACX28" s="1037">
        <v>0</v>
      </c>
      <c r="ACY28" s="1037">
        <v>9084.2870812030451</v>
      </c>
      <c r="ACZ28" s="1037">
        <v>27858.480382356007</v>
      </c>
      <c r="ADA28" s="1037">
        <v>19985.431578646701</v>
      </c>
      <c r="ADB28" s="1037">
        <v>0</v>
      </c>
      <c r="ADC28" s="1037">
        <v>0</v>
      </c>
      <c r="ADD28" s="1037">
        <v>0</v>
      </c>
      <c r="ADE28" s="1037">
        <v>3633.7148324812183</v>
      </c>
      <c r="ADF28" s="1037">
        <v>0</v>
      </c>
      <c r="ADG28" s="1037">
        <v>6446.4342339426839</v>
      </c>
      <c r="ADH28" s="1037">
        <v>19769.064984090899</v>
      </c>
      <c r="ADI28" s="1037">
        <v>14182.155314673906</v>
      </c>
      <c r="ADJ28" s="1037">
        <v>0</v>
      </c>
      <c r="ADK28" s="1037">
        <v>0</v>
      </c>
      <c r="ADL28" s="1037">
        <v>0</v>
      </c>
      <c r="ADM28" s="1037">
        <v>2578.5736935770738</v>
      </c>
      <c r="ADN28" s="1037">
        <v>0</v>
      </c>
      <c r="ADO28" s="1037">
        <v>6934.7103352278036</v>
      </c>
      <c r="ADP28" s="1037">
        <v>21266.445028031932</v>
      </c>
      <c r="ADQ28" s="1037">
        <v>15256.362737501167</v>
      </c>
      <c r="ADR28" s="1037">
        <v>0</v>
      </c>
      <c r="ADS28" s="1037">
        <v>0</v>
      </c>
      <c r="ADT28" s="1037">
        <v>0</v>
      </c>
      <c r="ADU28" s="1037">
        <v>2773.8841340911213</v>
      </c>
      <c r="ADV28" s="1037">
        <v>0</v>
      </c>
      <c r="ADW28" s="1037">
        <v>7264.9346369053173</v>
      </c>
      <c r="ADX28" s="1037">
        <v>22279.132886509644</v>
      </c>
      <c r="ADY28" s="1037">
        <v>15982.8562011917</v>
      </c>
      <c r="ADZ28" s="1037">
        <v>0</v>
      </c>
      <c r="AEA28" s="1037">
        <v>0</v>
      </c>
      <c r="AEB28" s="1037">
        <v>0</v>
      </c>
      <c r="AEC28" s="1037">
        <v>2905.9738547621268</v>
      </c>
      <c r="AED28" s="1037">
        <v>0</v>
      </c>
      <c r="AEE28" s="1037">
        <v>11161.581396699987</v>
      </c>
      <c r="AEF28" s="1037">
        <v>34228.849616546628</v>
      </c>
      <c r="AEG28" s="1037">
        <v>24555.479072739974</v>
      </c>
      <c r="AEH28" s="1037">
        <v>0</v>
      </c>
      <c r="AEI28" s="1037">
        <v>0</v>
      </c>
      <c r="AEJ28" s="1037">
        <v>0</v>
      </c>
      <c r="AEK28" s="1037">
        <v>4464.6325586799949</v>
      </c>
      <c r="AEL28" s="1037">
        <v>0</v>
      </c>
      <c r="AEM28" s="1037">
        <v>7434.0495065522873</v>
      </c>
      <c r="AEN28" s="1037">
        <v>22797.751820093683</v>
      </c>
      <c r="AEO28" s="1037">
        <v>16354.908914415035</v>
      </c>
      <c r="AEP28" s="1037">
        <v>0</v>
      </c>
      <c r="AEQ28" s="1037">
        <v>0</v>
      </c>
      <c r="AER28" s="1037">
        <v>0</v>
      </c>
      <c r="AES28" s="1037">
        <v>2973.6198026209149</v>
      </c>
      <c r="AET28" s="1037">
        <v>0</v>
      </c>
      <c r="AEU28" s="1037">
        <v>7897.8645484538865</v>
      </c>
      <c r="AEV28" s="1037">
        <v>24220.11794859192</v>
      </c>
      <c r="AEW28" s="1037">
        <v>17375.302006598551</v>
      </c>
      <c r="AEX28" s="1037">
        <v>0</v>
      </c>
      <c r="AEY28" s="1037">
        <v>0</v>
      </c>
      <c r="AEZ28" s="1037">
        <v>0</v>
      </c>
      <c r="AFA28" s="1037">
        <v>3159.1458193815547</v>
      </c>
      <c r="AFB28" s="1037">
        <v>0</v>
      </c>
      <c r="AFC28" s="1037">
        <v>8273.9533364754989</v>
      </c>
      <c r="AFD28" s="1037">
        <v>25373.456898524866</v>
      </c>
      <c r="AFE28" s="1037">
        <v>18202.697340246101</v>
      </c>
      <c r="AFF28" s="1037">
        <v>0</v>
      </c>
      <c r="AFG28" s="1037">
        <v>0</v>
      </c>
      <c r="AFH28" s="1037">
        <v>0</v>
      </c>
      <c r="AFI28" s="1037">
        <v>3309.5813345901997</v>
      </c>
      <c r="AFJ28" s="1037">
        <v>0</v>
      </c>
      <c r="AFK28" s="1037">
        <v>12711.801035130542</v>
      </c>
      <c r="AFL28" s="1037">
        <v>38982.856507733661</v>
      </c>
      <c r="AFM28" s="1037">
        <v>27965.962277287195</v>
      </c>
      <c r="AFN28" s="1037">
        <v>0</v>
      </c>
      <c r="AFO28" s="1037">
        <v>0</v>
      </c>
      <c r="AFP28" s="1037">
        <v>0</v>
      </c>
      <c r="AFQ28" s="1037">
        <v>5084.7204140522163</v>
      </c>
      <c r="AFR28" s="1037">
        <v>0</v>
      </c>
      <c r="AFS28" s="247">
        <v>2962.8458178288101</v>
      </c>
      <c r="AFT28" s="247">
        <v>9086.0605080083515</v>
      </c>
      <c r="AFU28" s="247">
        <v>6518.2607992233825</v>
      </c>
      <c r="AFV28" s="247">
        <v>0</v>
      </c>
      <c r="AFW28" s="247">
        <v>0</v>
      </c>
      <c r="AFX28" s="247">
        <v>0</v>
      </c>
      <c r="AFY28" s="247">
        <v>1185.138327131524</v>
      </c>
      <c r="AFZ28" s="247">
        <v>0</v>
      </c>
      <c r="AGA28" s="247">
        <v>3274.7243249686849</v>
      </c>
      <c r="AGB28" s="247">
        <v>10042.487929903968</v>
      </c>
      <c r="AGC28" s="247">
        <v>7204.3935149311064</v>
      </c>
      <c r="AGD28" s="247">
        <v>0</v>
      </c>
      <c r="AGE28" s="247">
        <v>0</v>
      </c>
      <c r="AGF28" s="247">
        <v>0</v>
      </c>
      <c r="AGG28" s="247">
        <v>1309.8897299874739</v>
      </c>
      <c r="AGH28" s="247">
        <v>0</v>
      </c>
      <c r="AGI28" s="247">
        <v>3430.663578538622</v>
      </c>
      <c r="AGJ28" s="247">
        <v>10520.701640851776</v>
      </c>
      <c r="AGK28" s="247">
        <v>7547.4598727849689</v>
      </c>
      <c r="AGL28" s="247">
        <v>0</v>
      </c>
      <c r="AGM28" s="247">
        <v>0</v>
      </c>
      <c r="AGN28" s="247">
        <v>0</v>
      </c>
      <c r="AGO28" s="247">
        <v>1372.2654314154488</v>
      </c>
      <c r="AGP28" s="247">
        <v>0</v>
      </c>
      <c r="AGQ28" s="247">
        <v>5270.7467706638827</v>
      </c>
      <c r="AGR28" s="247">
        <v>16163.62343003591</v>
      </c>
      <c r="AGS28" s="247">
        <v>11595.642895460544</v>
      </c>
      <c r="AGT28" s="247">
        <v>0</v>
      </c>
      <c r="AGU28" s="247">
        <v>0</v>
      </c>
      <c r="AGV28" s="247">
        <v>0</v>
      </c>
      <c r="AGW28" s="247">
        <v>2108.2987082655532</v>
      </c>
      <c r="AGX28" s="247">
        <v>0</v>
      </c>
      <c r="AGY28" s="249">
        <v>0</v>
      </c>
      <c r="AGZ28" s="249">
        <v>0</v>
      </c>
      <c r="AHA28" s="249">
        <v>0</v>
      </c>
      <c r="AHB28" s="249">
        <v>0</v>
      </c>
      <c r="AHC28" s="249">
        <v>0</v>
      </c>
      <c r="AHD28" s="249">
        <v>0</v>
      </c>
      <c r="AHE28" s="249">
        <v>0</v>
      </c>
      <c r="AHF28" s="249">
        <v>0</v>
      </c>
      <c r="AHG28" s="249">
        <v>0</v>
      </c>
      <c r="AHH28" s="249">
        <v>0</v>
      </c>
      <c r="AHI28" s="249">
        <v>0</v>
      </c>
      <c r="AHJ28" s="249">
        <v>0</v>
      </c>
      <c r="AHK28" s="249">
        <v>0</v>
      </c>
      <c r="AHL28" s="249">
        <v>0</v>
      </c>
      <c r="AHM28" s="249">
        <v>0</v>
      </c>
      <c r="AHN28" s="249">
        <v>0</v>
      </c>
      <c r="AHO28" s="249">
        <v>0</v>
      </c>
      <c r="AHP28" s="249">
        <v>0</v>
      </c>
      <c r="AHQ28" s="249">
        <v>0</v>
      </c>
      <c r="AHR28" s="249">
        <v>0</v>
      </c>
      <c r="AHS28" s="249">
        <v>0</v>
      </c>
      <c r="AHT28" s="249">
        <v>0</v>
      </c>
      <c r="AHU28" s="249">
        <v>0</v>
      </c>
      <c r="AHV28" s="249">
        <v>0</v>
      </c>
      <c r="AHW28" s="249">
        <v>0</v>
      </c>
      <c r="AHX28" s="249">
        <v>0</v>
      </c>
      <c r="AHY28" s="249">
        <v>0</v>
      </c>
      <c r="AHZ28" s="249">
        <v>0</v>
      </c>
      <c r="AIA28" s="249">
        <v>0</v>
      </c>
      <c r="AIB28" s="249">
        <v>0</v>
      </c>
      <c r="AIC28" s="249">
        <v>0</v>
      </c>
      <c r="AID28" s="249">
        <v>0</v>
      </c>
      <c r="AIE28" s="249"/>
      <c r="AIF28" s="249"/>
      <c r="AIG28" s="249"/>
      <c r="AIH28" s="249"/>
      <c r="AII28" s="249"/>
      <c r="AIJ28" s="249"/>
      <c r="AIK28" s="249"/>
      <c r="AIL28" s="249"/>
      <c r="AIM28" s="249">
        <v>0</v>
      </c>
      <c r="AIN28" s="249">
        <v>0</v>
      </c>
      <c r="AIO28" s="249">
        <v>0</v>
      </c>
      <c r="AIP28" s="249">
        <v>0</v>
      </c>
      <c r="AIQ28" s="249">
        <v>0</v>
      </c>
      <c r="AIR28" s="249">
        <v>0</v>
      </c>
      <c r="AIS28" s="249">
        <v>0</v>
      </c>
      <c r="AIT28" s="249">
        <v>0</v>
      </c>
      <c r="AIU28" s="134" t="s">
        <v>1216</v>
      </c>
      <c r="AIV28" s="134" t="s">
        <v>1219</v>
      </c>
      <c r="AIW28" s="134" t="s">
        <v>1218</v>
      </c>
      <c r="AIX28" s="134" t="s">
        <v>1217</v>
      </c>
      <c r="AIY28" s="134" t="s">
        <v>1228</v>
      </c>
      <c r="AIZ28" s="134" t="s">
        <v>1229</v>
      </c>
      <c r="AJA28" s="134" t="s">
        <v>1230</v>
      </c>
      <c r="AJB28" s="134" t="s">
        <v>1231</v>
      </c>
      <c r="AJC28" s="134" t="s">
        <v>1232</v>
      </c>
      <c r="AJD28" s="134" t="s">
        <v>1233</v>
      </c>
    </row>
    <row r="29" spans="1:940" ht="18" customHeight="1">
      <c r="A29" s="664" t="s">
        <v>18</v>
      </c>
      <c r="B29" s="669">
        <v>0.4</v>
      </c>
      <c r="C29" s="6">
        <v>0.1</v>
      </c>
      <c r="D29" s="6">
        <v>0.1</v>
      </c>
      <c r="E29" s="74">
        <v>443.44186046511624</v>
      </c>
      <c r="F29" s="75">
        <v>-1.2</v>
      </c>
      <c r="G29" s="7">
        <v>-0.5</v>
      </c>
      <c r="H29" s="7">
        <v>-0.5</v>
      </c>
      <c r="I29" s="266">
        <v>350</v>
      </c>
      <c r="J29" s="125">
        <v>0</v>
      </c>
      <c r="K29" s="125">
        <v>0</v>
      </c>
      <c r="L29" s="125">
        <v>0</v>
      </c>
      <c r="M29" s="1">
        <v>1115.0423678962534</v>
      </c>
      <c r="N29" s="2">
        <v>12</v>
      </c>
      <c r="O29" s="8">
        <v>0.3</v>
      </c>
      <c r="P29" s="8">
        <v>0.1</v>
      </c>
      <c r="Q29" s="8">
        <v>0.1</v>
      </c>
      <c r="R29" s="7">
        <v>0.6</v>
      </c>
      <c r="S29" s="7">
        <v>0</v>
      </c>
      <c r="T29" s="7">
        <v>99.4</v>
      </c>
      <c r="U29" s="7">
        <v>0</v>
      </c>
      <c r="V29" s="71">
        <v>0</v>
      </c>
      <c r="W29" s="119">
        <v>2</v>
      </c>
      <c r="X29" s="120">
        <v>1.5</v>
      </c>
      <c r="Y29" s="119">
        <v>1</v>
      </c>
      <c r="Z29" s="120">
        <v>0.8</v>
      </c>
      <c r="AA29" s="120">
        <v>0.5</v>
      </c>
      <c r="AB29" s="559">
        <v>433.01922201480062</v>
      </c>
      <c r="AC29" s="559">
        <v>470.67306740739195</v>
      </c>
      <c r="AD29" s="559">
        <v>433.37222681535616</v>
      </c>
      <c r="AE29" s="559">
        <v>649.0581599547935</v>
      </c>
      <c r="AF29" s="622">
        <v>0.82209484106305364</v>
      </c>
      <c r="AG29" s="559">
        <v>261.91600618637949</v>
      </c>
      <c r="AH29" s="559">
        <v>284.69131107215162</v>
      </c>
      <c r="AI29" s="559">
        <v>262.12952466968363</v>
      </c>
      <c r="AJ29" s="559">
        <v>392.58931796849708</v>
      </c>
      <c r="AK29" s="622">
        <v>0.96717040125065135</v>
      </c>
      <c r="AL29" s="995">
        <v>0.1</v>
      </c>
      <c r="AM29" s="995">
        <v>0.2</v>
      </c>
      <c r="AN29" s="995">
        <v>0.5</v>
      </c>
      <c r="AO29" s="995">
        <v>0.8</v>
      </c>
      <c r="AP29" s="995">
        <v>1</v>
      </c>
      <c r="AQ29" s="995">
        <v>1.4</v>
      </c>
      <c r="AR29" s="995">
        <v>1.7</v>
      </c>
      <c r="AS29" s="1005">
        <v>0</v>
      </c>
      <c r="AT29" s="1005">
        <v>10</v>
      </c>
      <c r="AU29" s="1005">
        <v>20</v>
      </c>
      <c r="AV29" s="1005">
        <v>70</v>
      </c>
      <c r="AW29" s="1005">
        <v>100</v>
      </c>
      <c r="AX29" s="1">
        <v>5270.8573058485272</v>
      </c>
      <c r="AY29" s="5">
        <v>1.51</v>
      </c>
      <c r="AZ29" s="10">
        <v>0.4</v>
      </c>
      <c r="BA29" s="10">
        <v>0.3</v>
      </c>
      <c r="BB29" s="10">
        <v>0.3</v>
      </c>
      <c r="BC29" s="73">
        <v>0.16268213204308543</v>
      </c>
      <c r="BD29" s="73">
        <v>0.17432127713198234</v>
      </c>
      <c r="BE29" s="9">
        <v>1.614736733322999E-3</v>
      </c>
      <c r="BF29" s="9">
        <v>0</v>
      </c>
      <c r="BG29" s="9">
        <v>0.81318141890146223</v>
      </c>
      <c r="BH29" s="9">
        <v>66.199361856042998</v>
      </c>
      <c r="BI29" s="9">
        <v>0.69239911124890197</v>
      </c>
      <c r="BJ29" s="9">
        <v>8.8164625639435751E-2</v>
      </c>
      <c r="BK29" s="9">
        <v>31.376272412545859</v>
      </c>
      <c r="BL29" s="9">
        <v>1.7439156719888389E-2</v>
      </c>
      <c r="BM29" s="9">
        <v>0</v>
      </c>
      <c r="BN29" s="9">
        <v>0</v>
      </c>
      <c r="BO29" s="9">
        <v>0</v>
      </c>
      <c r="BP29" s="9">
        <v>0</v>
      </c>
      <c r="BQ29" s="9">
        <v>0.49410944039683768</v>
      </c>
      <c r="BR29" s="9">
        <v>0</v>
      </c>
      <c r="BS29" s="9">
        <v>0.31745724177130163</v>
      </c>
      <c r="BT29" s="262">
        <v>261.13475999999997</v>
      </c>
      <c r="BU29" s="262">
        <v>96.5</v>
      </c>
      <c r="BV29" s="262">
        <v>63.215999999999994</v>
      </c>
      <c r="BW29" s="262">
        <v>233.35949490734063</v>
      </c>
      <c r="BX29" s="262">
        <v>157.40783999999999</v>
      </c>
      <c r="BY29" s="68"/>
      <c r="BZ29" s="262">
        <v>256.20808011776955</v>
      </c>
      <c r="CA29" s="262">
        <v>165.17663999999999</v>
      </c>
      <c r="CB29" s="68"/>
      <c r="CC29" s="785">
        <v>0</v>
      </c>
      <c r="CD29" s="262">
        <v>6.585</v>
      </c>
      <c r="CE29" s="262">
        <v>1.3169999999999999</v>
      </c>
      <c r="CF29" s="262">
        <v>38</v>
      </c>
      <c r="CG29" s="262">
        <v>225.83915999999996</v>
      </c>
      <c r="CH29" s="68">
        <v>0.2</v>
      </c>
      <c r="CI29" s="262">
        <v>175.08124000000001</v>
      </c>
      <c r="CJ29" s="262">
        <v>60.4</v>
      </c>
      <c r="CK29" s="262">
        <v>42.384</v>
      </c>
      <c r="CL29" s="262">
        <v>156.45894761061641</v>
      </c>
      <c r="CM29" s="262">
        <v>105.53616</v>
      </c>
      <c r="CN29" s="68"/>
      <c r="CO29" s="262">
        <v>159.24945066654416</v>
      </c>
      <c r="CP29" s="262">
        <v>102.66767999999999</v>
      </c>
      <c r="CQ29" s="68"/>
      <c r="CR29" s="262">
        <v>0</v>
      </c>
      <c r="CS29" s="262">
        <v>4.415</v>
      </c>
      <c r="CT29" s="262">
        <v>0.88300000000000001</v>
      </c>
      <c r="CU29" s="262">
        <v>27</v>
      </c>
      <c r="CV29" s="262">
        <v>151.41683999999998</v>
      </c>
      <c r="CW29" s="68">
        <v>0.2</v>
      </c>
      <c r="CX29" s="120">
        <v>0.3</v>
      </c>
      <c r="CY29" s="120">
        <v>0.7</v>
      </c>
      <c r="CZ29" s="120">
        <v>1.2</v>
      </c>
      <c r="DA29" s="120">
        <v>1.2</v>
      </c>
      <c r="DB29" s="119">
        <v>3</v>
      </c>
      <c r="DC29" s="1005">
        <v>0</v>
      </c>
      <c r="DD29" s="1005">
        <v>10</v>
      </c>
      <c r="DE29" s="1005">
        <v>20</v>
      </c>
      <c r="DF29" s="1005">
        <v>70</v>
      </c>
      <c r="DG29" s="1005">
        <v>100</v>
      </c>
      <c r="DH29" s="2">
        <v>0</v>
      </c>
      <c r="DI29" s="2">
        <v>18</v>
      </c>
      <c r="DJ29" s="63">
        <v>12</v>
      </c>
      <c r="DK29" s="10">
        <v>0</v>
      </c>
      <c r="DL29" s="10">
        <v>0</v>
      </c>
      <c r="DM29" s="10">
        <v>0</v>
      </c>
      <c r="DN29" s="1031" t="s">
        <v>1000</v>
      </c>
      <c r="DO29" s="1030" t="s">
        <v>997</v>
      </c>
      <c r="DP29" s="1030" t="s">
        <v>997</v>
      </c>
      <c r="DQ29" s="1030" t="s">
        <v>997</v>
      </c>
      <c r="DR29" s="1030" t="s">
        <v>997</v>
      </c>
      <c r="DS29" s="1030" t="s">
        <v>997</v>
      </c>
      <c r="DT29" s="1030" t="s">
        <v>997</v>
      </c>
      <c r="DU29" s="1097">
        <v>0</v>
      </c>
      <c r="DV29" s="1097">
        <v>0</v>
      </c>
      <c r="DW29" s="1097">
        <v>0</v>
      </c>
      <c r="DX29" s="1097">
        <v>0</v>
      </c>
      <c r="DY29" s="1097">
        <v>0</v>
      </c>
      <c r="DZ29" s="1097">
        <v>0</v>
      </c>
      <c r="EA29" s="1097">
        <v>0</v>
      </c>
      <c r="EB29" s="207">
        <v>0</v>
      </c>
      <c r="EC29" s="207">
        <v>18</v>
      </c>
      <c r="ED29" s="221">
        <v>5</v>
      </c>
      <c r="EE29" s="216">
        <v>0</v>
      </c>
      <c r="EF29" s="216">
        <v>0</v>
      </c>
      <c r="EG29" s="216">
        <v>0</v>
      </c>
      <c r="EH29" s="209" t="s">
        <v>1039</v>
      </c>
      <c r="EI29" s="204" t="s">
        <v>997</v>
      </c>
      <c r="EJ29" s="204" t="s">
        <v>997</v>
      </c>
      <c r="EK29" s="204" t="s">
        <v>997</v>
      </c>
      <c r="EL29" s="204" t="s">
        <v>997</v>
      </c>
      <c r="EM29" s="204" t="s">
        <v>997</v>
      </c>
      <c r="EN29" s="204" t="s">
        <v>997</v>
      </c>
      <c r="EO29" s="204" t="s">
        <v>997</v>
      </c>
      <c r="EP29" s="204" t="s">
        <v>997</v>
      </c>
      <c r="EQ29" s="204" t="s">
        <v>997</v>
      </c>
      <c r="ER29" s="204" t="s">
        <v>997</v>
      </c>
      <c r="ES29" s="204" t="s">
        <v>997</v>
      </c>
      <c r="ET29" s="204" t="s">
        <v>997</v>
      </c>
      <c r="EU29" s="204" t="s">
        <v>997</v>
      </c>
      <c r="EV29" s="204" t="s">
        <v>997</v>
      </c>
      <c r="EW29" s="204" t="s">
        <v>997</v>
      </c>
      <c r="EX29" s="204" t="s">
        <v>997</v>
      </c>
      <c r="EY29" s="204" t="s">
        <v>997</v>
      </c>
      <c r="EZ29" s="204" t="s">
        <v>997</v>
      </c>
      <c r="FA29" s="204" t="s">
        <v>997</v>
      </c>
      <c r="FB29" s="204" t="s">
        <v>997</v>
      </c>
      <c r="FC29" s="204" t="s">
        <v>997</v>
      </c>
      <c r="FD29" s="204" t="s">
        <v>997</v>
      </c>
      <c r="FE29" s="204" t="s">
        <v>997</v>
      </c>
      <c r="FF29" s="204" t="s">
        <v>997</v>
      </c>
      <c r="FG29" s="204" t="s">
        <v>997</v>
      </c>
      <c r="FH29" s="204" t="s">
        <v>997</v>
      </c>
      <c r="FI29" s="204" t="s">
        <v>997</v>
      </c>
      <c r="FJ29" s="204" t="s">
        <v>997</v>
      </c>
      <c r="FK29" s="204" t="s">
        <v>997</v>
      </c>
      <c r="FL29" s="204" t="s">
        <v>997</v>
      </c>
      <c r="FM29" s="204" t="s">
        <v>997</v>
      </c>
      <c r="FN29" s="204" t="s">
        <v>997</v>
      </c>
      <c r="FO29" s="204" t="s">
        <v>997</v>
      </c>
      <c r="FP29" s="204" t="s">
        <v>997</v>
      </c>
      <c r="FQ29" s="204" t="s">
        <v>997</v>
      </c>
      <c r="FR29" s="204" t="s">
        <v>997</v>
      </c>
      <c r="FS29" s="204" t="s">
        <v>997</v>
      </c>
      <c r="FT29" s="204" t="s">
        <v>997</v>
      </c>
      <c r="FU29" s="204" t="s">
        <v>997</v>
      </c>
      <c r="FV29" s="204" t="s">
        <v>997</v>
      </c>
      <c r="FW29" s="204" t="s">
        <v>997</v>
      </c>
      <c r="FX29" s="204" t="s">
        <v>997</v>
      </c>
      <c r="FY29" s="204" t="s">
        <v>997</v>
      </c>
      <c r="FZ29" s="204" t="s">
        <v>997</v>
      </c>
      <c r="GA29" s="204" t="s">
        <v>997</v>
      </c>
      <c r="GB29" s="204" t="s">
        <v>997</v>
      </c>
      <c r="GC29" s="204" t="s">
        <v>997</v>
      </c>
      <c r="GD29" s="204" t="s">
        <v>997</v>
      </c>
      <c r="GE29" s="204" t="s">
        <v>997</v>
      </c>
      <c r="GF29" s="204" t="s">
        <v>997</v>
      </c>
      <c r="GG29" s="204" t="s">
        <v>997</v>
      </c>
      <c r="GH29" s="204" t="s">
        <v>997</v>
      </c>
      <c r="GI29" s="204" t="s">
        <v>997</v>
      </c>
      <c r="GJ29" s="204" t="s">
        <v>997</v>
      </c>
      <c r="GK29" s="204" t="s">
        <v>997</v>
      </c>
      <c r="GL29" s="204" t="s">
        <v>997</v>
      </c>
      <c r="GM29" s="204" t="s">
        <v>997</v>
      </c>
      <c r="GN29" s="1051">
        <v>0</v>
      </c>
      <c r="GO29" s="1051">
        <v>0</v>
      </c>
      <c r="GP29" s="1051">
        <v>0</v>
      </c>
      <c r="GQ29" s="1051">
        <v>0</v>
      </c>
      <c r="GR29" s="1051">
        <v>0</v>
      </c>
      <c r="GS29" s="1051">
        <v>0</v>
      </c>
      <c r="GT29" s="1051">
        <v>0</v>
      </c>
      <c r="GU29" s="1051">
        <v>0</v>
      </c>
      <c r="GV29" s="1051">
        <v>0</v>
      </c>
      <c r="GW29" s="1051">
        <v>0</v>
      </c>
      <c r="GX29" s="1051">
        <v>0</v>
      </c>
      <c r="GY29" s="1051">
        <v>0</v>
      </c>
      <c r="GZ29" s="1051">
        <v>0</v>
      </c>
      <c r="HA29" s="1051">
        <v>0</v>
      </c>
      <c r="HB29" s="1051">
        <v>0</v>
      </c>
      <c r="HC29" s="1051">
        <v>0</v>
      </c>
      <c r="HD29" s="1051">
        <v>0</v>
      </c>
      <c r="HE29" s="1051">
        <v>0</v>
      </c>
      <c r="HF29" s="1051">
        <v>0</v>
      </c>
      <c r="HG29" s="1051">
        <v>0</v>
      </c>
      <c r="HH29" s="1051">
        <v>0</v>
      </c>
      <c r="HI29" s="1051">
        <v>0</v>
      </c>
      <c r="HJ29" s="1051">
        <v>0</v>
      </c>
      <c r="HK29" s="1051">
        <v>0</v>
      </c>
      <c r="HL29" s="1051">
        <v>0</v>
      </c>
      <c r="HM29" s="1051">
        <v>0</v>
      </c>
      <c r="HN29" s="1051">
        <v>0</v>
      </c>
      <c r="HO29" s="1051">
        <v>0</v>
      </c>
      <c r="HP29" s="1051">
        <v>0</v>
      </c>
      <c r="HQ29" s="1051">
        <v>0</v>
      </c>
      <c r="HR29" s="1051">
        <v>0</v>
      </c>
      <c r="HS29" s="1051">
        <v>0</v>
      </c>
      <c r="HT29" s="1051">
        <v>0</v>
      </c>
      <c r="HU29" s="1051">
        <v>0</v>
      </c>
      <c r="HV29" s="1051">
        <v>0</v>
      </c>
      <c r="HW29" s="1051">
        <v>0</v>
      </c>
      <c r="HX29" s="1051">
        <v>0</v>
      </c>
      <c r="HY29" s="1051">
        <v>0</v>
      </c>
      <c r="HZ29" s="1051">
        <v>0</v>
      </c>
      <c r="IA29" s="1051">
        <v>0</v>
      </c>
      <c r="IB29" s="1051">
        <v>0</v>
      </c>
      <c r="IC29" s="1051">
        <v>0</v>
      </c>
      <c r="ID29" s="1051">
        <v>0</v>
      </c>
      <c r="IE29" s="1051">
        <v>0</v>
      </c>
      <c r="IF29" s="1051">
        <v>0</v>
      </c>
      <c r="IG29" s="1051">
        <v>0</v>
      </c>
      <c r="IH29" s="1051">
        <v>0</v>
      </c>
      <c r="II29" s="1051">
        <v>0</v>
      </c>
      <c r="IJ29" s="1051">
        <v>0</v>
      </c>
      <c r="IK29" s="1051">
        <v>0</v>
      </c>
      <c r="IL29" s="1051">
        <v>0</v>
      </c>
      <c r="IM29" s="1051">
        <v>0</v>
      </c>
      <c r="IN29" s="1051">
        <v>0</v>
      </c>
      <c r="IO29" s="1051">
        <v>0</v>
      </c>
      <c r="IP29" s="1051">
        <v>0</v>
      </c>
      <c r="IQ29" s="1051">
        <v>0</v>
      </c>
      <c r="IR29" s="1051">
        <v>0</v>
      </c>
      <c r="IS29" s="1051">
        <v>0</v>
      </c>
      <c r="IT29" s="215">
        <v>0</v>
      </c>
      <c r="IU29" s="207">
        <v>179.9</v>
      </c>
      <c r="IV29" s="216">
        <v>2647.0800000000199</v>
      </c>
      <c r="IW29" s="272">
        <v>12.64</v>
      </c>
      <c r="IX29" s="207">
        <v>50</v>
      </c>
      <c r="IY29" s="207">
        <v>0</v>
      </c>
      <c r="IZ29" s="207">
        <v>0</v>
      </c>
      <c r="JA29" s="207">
        <v>0</v>
      </c>
      <c r="JB29" s="52">
        <v>2</v>
      </c>
      <c r="JC29" s="24">
        <v>1.5</v>
      </c>
      <c r="JD29" s="24">
        <v>0.7</v>
      </c>
      <c r="JE29" s="24">
        <v>0.7</v>
      </c>
      <c r="JF29" s="24">
        <v>0.5</v>
      </c>
      <c r="JG29" s="1">
        <v>0</v>
      </c>
      <c r="JH29" s="216">
        <v>2647.0800000000199</v>
      </c>
      <c r="JI29" s="272">
        <v>12.64</v>
      </c>
      <c r="JJ29" s="207">
        <v>50</v>
      </c>
      <c r="JK29" s="10">
        <v>0</v>
      </c>
      <c r="JL29" s="10">
        <v>0</v>
      </c>
      <c r="JM29" s="10">
        <v>0</v>
      </c>
      <c r="JN29" s="216">
        <v>2</v>
      </c>
      <c r="JO29" s="216">
        <v>2</v>
      </c>
      <c r="JP29" s="216">
        <v>1</v>
      </c>
      <c r="JQ29" s="216">
        <v>1</v>
      </c>
      <c r="JR29" s="214">
        <v>0.5</v>
      </c>
      <c r="JS29" s="1212">
        <v>2000</v>
      </c>
      <c r="JT29" s="215"/>
      <c r="JU29" s="215">
        <v>500</v>
      </c>
      <c r="JV29" s="207">
        <v>1.6</v>
      </c>
      <c r="JW29" s="207">
        <v>1.5</v>
      </c>
      <c r="JX29" s="207">
        <v>1.5</v>
      </c>
      <c r="JY29" s="214">
        <v>2</v>
      </c>
      <c r="JZ29" s="214">
        <v>1.5</v>
      </c>
      <c r="KA29" s="214">
        <v>0.5</v>
      </c>
      <c r="KB29" s="214">
        <v>1</v>
      </c>
      <c r="KC29" s="214">
        <v>0.5</v>
      </c>
      <c r="KD29" s="1186">
        <v>3.1507245614496493</v>
      </c>
      <c r="KE29" s="1186">
        <v>1.0519948452252584E-2</v>
      </c>
      <c r="KF29" s="1186">
        <v>96.420587539121058</v>
      </c>
      <c r="KG29" s="1186"/>
      <c r="KH29" s="1186">
        <v>0.17357914946216763</v>
      </c>
      <c r="KI29" s="1186">
        <v>0.24458880151487258</v>
      </c>
      <c r="KJ29" s="1186">
        <v>0</v>
      </c>
      <c r="KK29" s="1186">
        <v>0</v>
      </c>
      <c r="KL29" s="1186"/>
      <c r="KM29" s="1187">
        <v>580</v>
      </c>
      <c r="KN29" s="1187">
        <v>580</v>
      </c>
      <c r="KO29" s="1187">
        <v>580</v>
      </c>
      <c r="KP29" s="1187">
        <v>580</v>
      </c>
      <c r="KQ29" s="1187"/>
      <c r="KR29" s="1187">
        <v>580</v>
      </c>
      <c r="KS29" s="1187">
        <v>580</v>
      </c>
      <c r="KT29" s="1187">
        <v>580</v>
      </c>
      <c r="KU29" s="1187">
        <v>580</v>
      </c>
      <c r="KV29" s="262">
        <v>370</v>
      </c>
      <c r="KW29" s="262">
        <v>370</v>
      </c>
      <c r="KX29" s="262">
        <v>370</v>
      </c>
      <c r="KY29" s="262">
        <v>370</v>
      </c>
      <c r="KZ29" s="262"/>
      <c r="LA29" s="262">
        <v>370</v>
      </c>
      <c r="LB29" s="262">
        <v>370</v>
      </c>
      <c r="LC29" s="262">
        <v>370</v>
      </c>
      <c r="LD29" s="262">
        <v>370</v>
      </c>
      <c r="LE29" s="1213">
        <v>0</v>
      </c>
      <c r="LF29" s="1213">
        <v>10</v>
      </c>
      <c r="LG29" s="1213">
        <v>20</v>
      </c>
      <c r="LH29" s="1213">
        <v>70</v>
      </c>
      <c r="LI29" s="1213">
        <v>100</v>
      </c>
      <c r="LJ29" s="1212">
        <v>1000</v>
      </c>
      <c r="LK29" s="1"/>
      <c r="LL29" s="4">
        <v>29</v>
      </c>
      <c r="LM29" s="10">
        <v>0</v>
      </c>
      <c r="LN29" s="10">
        <v>0</v>
      </c>
      <c r="LO29" s="10">
        <v>0</v>
      </c>
      <c r="LP29" s="214">
        <v>2</v>
      </c>
      <c r="LQ29" s="214">
        <v>1</v>
      </c>
      <c r="LR29" s="214">
        <v>0.5</v>
      </c>
      <c r="LS29" s="214">
        <v>0.7</v>
      </c>
      <c r="LT29" s="214">
        <v>0.2</v>
      </c>
      <c r="LU29" s="1212">
        <v>1500</v>
      </c>
      <c r="LV29" s="122">
        <v>0</v>
      </c>
      <c r="LW29" s="122">
        <v>0</v>
      </c>
      <c r="LX29" s="122">
        <v>0</v>
      </c>
      <c r="LY29" s="165">
        <v>0</v>
      </c>
      <c r="LZ29" s="165">
        <v>0</v>
      </c>
      <c r="MA29" s="165">
        <v>0</v>
      </c>
      <c r="MB29" s="165">
        <v>0</v>
      </c>
      <c r="MC29" s="165">
        <v>0</v>
      </c>
      <c r="MD29" s="165">
        <v>0</v>
      </c>
      <c r="ME29" s="165">
        <v>0</v>
      </c>
      <c r="MF29" s="165">
        <v>0</v>
      </c>
      <c r="MG29" s="165">
        <v>0</v>
      </c>
      <c r="MH29" s="165">
        <v>0</v>
      </c>
      <c r="MI29" s="165">
        <v>0</v>
      </c>
      <c r="MJ29" s="165">
        <v>0</v>
      </c>
      <c r="MK29" s="165">
        <v>0</v>
      </c>
      <c r="ML29" s="165">
        <v>0</v>
      </c>
      <c r="MM29" s="165">
        <v>0</v>
      </c>
      <c r="MN29" s="165">
        <v>0</v>
      </c>
      <c r="MO29" s="165">
        <v>0</v>
      </c>
      <c r="MP29" s="165">
        <v>0</v>
      </c>
      <c r="MQ29" s="165">
        <v>0</v>
      </c>
      <c r="MR29" s="165">
        <v>0</v>
      </c>
      <c r="MS29" s="165">
        <v>0</v>
      </c>
      <c r="MT29" s="165">
        <v>0</v>
      </c>
      <c r="MU29" s="165">
        <v>0</v>
      </c>
      <c r="MV29" s="165">
        <v>0</v>
      </c>
      <c r="MW29" s="166">
        <v>0</v>
      </c>
      <c r="MX29" s="166">
        <v>0</v>
      </c>
      <c r="MY29" s="166">
        <v>0</v>
      </c>
      <c r="MZ29" s="166">
        <v>0</v>
      </c>
      <c r="NA29" s="166">
        <v>0</v>
      </c>
      <c r="NB29" s="166">
        <v>0</v>
      </c>
      <c r="NC29" s="166">
        <v>0</v>
      </c>
      <c r="ND29" s="166">
        <v>0</v>
      </c>
      <c r="NE29" s="166">
        <v>0</v>
      </c>
      <c r="NF29" s="166">
        <v>0</v>
      </c>
      <c r="NG29" s="166">
        <v>0</v>
      </c>
      <c r="NH29" s="166">
        <v>0</v>
      </c>
      <c r="NI29" s="166">
        <v>0</v>
      </c>
      <c r="NJ29" s="166">
        <v>0</v>
      </c>
      <c r="NK29" s="166">
        <v>0</v>
      </c>
      <c r="NL29" s="166">
        <v>0</v>
      </c>
      <c r="NM29" s="166">
        <v>0</v>
      </c>
      <c r="NN29" s="166">
        <v>0</v>
      </c>
      <c r="NO29" s="166">
        <v>0</v>
      </c>
      <c r="NP29" s="166">
        <v>0</v>
      </c>
      <c r="NQ29" s="166">
        <v>0</v>
      </c>
      <c r="NR29" s="166">
        <v>0</v>
      </c>
      <c r="NS29" s="166">
        <v>0</v>
      </c>
      <c r="NT29" s="166">
        <v>0</v>
      </c>
      <c r="NU29" s="166">
        <v>0</v>
      </c>
      <c r="NV29" s="166">
        <v>0</v>
      </c>
      <c r="NW29" s="166">
        <v>0</v>
      </c>
      <c r="NX29" s="166">
        <v>0</v>
      </c>
      <c r="NY29" s="166">
        <v>0</v>
      </c>
      <c r="NZ29" s="166">
        <v>0</v>
      </c>
      <c r="OA29" s="166">
        <v>0</v>
      </c>
      <c r="OB29" s="166">
        <v>0</v>
      </c>
      <c r="OC29" s="166">
        <v>0</v>
      </c>
      <c r="OD29" s="166">
        <v>0</v>
      </c>
      <c r="OE29" s="166">
        <v>0</v>
      </c>
      <c r="OF29" s="166">
        <v>0</v>
      </c>
      <c r="OG29" s="166">
        <v>2.9262068965499998E-3</v>
      </c>
      <c r="OH29" s="166">
        <v>0</v>
      </c>
      <c r="OI29" s="166">
        <v>0</v>
      </c>
      <c r="OJ29" s="166">
        <v>0</v>
      </c>
      <c r="OK29" s="166">
        <v>6.3836206896549993E-2</v>
      </c>
      <c r="OL29" s="166">
        <v>0</v>
      </c>
      <c r="OM29" s="166">
        <v>0</v>
      </c>
      <c r="ON29" s="166">
        <v>0</v>
      </c>
      <c r="OO29" s="166">
        <v>0</v>
      </c>
      <c r="OP29" s="166">
        <v>0</v>
      </c>
      <c r="OQ29" s="166">
        <v>0</v>
      </c>
      <c r="OR29" s="166">
        <v>0</v>
      </c>
      <c r="OS29" s="166">
        <v>0</v>
      </c>
      <c r="OT29" s="166">
        <v>0</v>
      </c>
      <c r="OU29" s="166">
        <v>0</v>
      </c>
      <c r="OV29" s="166">
        <v>0</v>
      </c>
      <c r="OW29" s="166">
        <v>0</v>
      </c>
      <c r="OX29" s="166">
        <v>0</v>
      </c>
      <c r="OY29" s="166">
        <v>0</v>
      </c>
      <c r="OZ29" s="166">
        <v>0</v>
      </c>
      <c r="PA29" s="166">
        <v>0</v>
      </c>
      <c r="PB29" s="166">
        <v>0</v>
      </c>
      <c r="PC29" s="166">
        <v>0</v>
      </c>
      <c r="PD29" s="166">
        <v>0</v>
      </c>
      <c r="PE29" s="166">
        <v>0</v>
      </c>
      <c r="PF29" s="166">
        <v>0</v>
      </c>
      <c r="PG29" s="166">
        <v>0</v>
      </c>
      <c r="PH29" s="166">
        <v>0</v>
      </c>
      <c r="PI29" s="166">
        <v>0</v>
      </c>
      <c r="PJ29" s="166">
        <v>0</v>
      </c>
      <c r="PK29" s="166">
        <v>0</v>
      </c>
      <c r="PL29" s="166">
        <v>0</v>
      </c>
      <c r="PM29" s="166">
        <v>0</v>
      </c>
      <c r="PN29" s="166">
        <v>0</v>
      </c>
      <c r="PO29" s="166">
        <v>-1.01</v>
      </c>
      <c r="PP29" s="166">
        <v>0</v>
      </c>
      <c r="PQ29" s="166">
        <v>0</v>
      </c>
      <c r="PR29" s="166">
        <v>0</v>
      </c>
      <c r="PS29" s="166">
        <v>0</v>
      </c>
      <c r="PT29" s="166">
        <v>0</v>
      </c>
      <c r="PU29" s="166">
        <v>0</v>
      </c>
      <c r="PV29" s="166">
        <v>0</v>
      </c>
      <c r="PW29" s="166">
        <v>0</v>
      </c>
      <c r="PX29" s="166">
        <v>0</v>
      </c>
      <c r="PY29" s="166">
        <v>0</v>
      </c>
      <c r="PZ29" s="166">
        <v>0</v>
      </c>
      <c r="QA29" s="166">
        <v>0</v>
      </c>
      <c r="QB29" s="166">
        <v>0</v>
      </c>
      <c r="QC29" s="166">
        <v>0</v>
      </c>
      <c r="QD29" s="166">
        <v>0</v>
      </c>
      <c r="QE29" s="166">
        <v>0</v>
      </c>
      <c r="QF29" s="166">
        <v>0</v>
      </c>
      <c r="QG29" s="166">
        <v>0</v>
      </c>
      <c r="QH29" s="166">
        <v>0</v>
      </c>
      <c r="QI29" s="162">
        <v>0</v>
      </c>
      <c r="QJ29" s="167">
        <v>0</v>
      </c>
      <c r="QK29" s="167">
        <v>0</v>
      </c>
      <c r="QL29" s="167">
        <v>0</v>
      </c>
      <c r="QM29" s="167">
        <v>0</v>
      </c>
      <c r="QN29" s="162">
        <v>0</v>
      </c>
      <c r="QO29" s="162">
        <v>0</v>
      </c>
      <c r="QP29" s="162">
        <v>0</v>
      </c>
      <c r="QQ29" s="162">
        <v>0</v>
      </c>
      <c r="QR29" s="162">
        <v>0</v>
      </c>
      <c r="QS29" s="162">
        <v>0</v>
      </c>
      <c r="QT29" s="162">
        <v>0</v>
      </c>
      <c r="QU29" s="162">
        <v>0</v>
      </c>
      <c r="QV29" s="162">
        <v>0</v>
      </c>
      <c r="QW29" s="162">
        <v>0</v>
      </c>
      <c r="QX29" s="162">
        <v>0</v>
      </c>
      <c r="QY29" s="162">
        <v>0</v>
      </c>
      <c r="QZ29" s="162">
        <v>0</v>
      </c>
      <c r="RA29" s="167">
        <v>0</v>
      </c>
      <c r="RB29" s="167">
        <v>0</v>
      </c>
      <c r="RC29" s="167">
        <v>0</v>
      </c>
      <c r="RD29" s="167">
        <v>0</v>
      </c>
      <c r="RE29" s="167">
        <v>0</v>
      </c>
      <c r="RF29" s="167">
        <v>0</v>
      </c>
      <c r="RG29" s="167">
        <v>0</v>
      </c>
      <c r="RH29" s="167">
        <v>0</v>
      </c>
      <c r="RI29" s="167">
        <v>0</v>
      </c>
      <c r="RJ29" s="167">
        <v>0</v>
      </c>
      <c r="RK29" s="167">
        <v>0</v>
      </c>
      <c r="RL29" s="167">
        <v>0</v>
      </c>
      <c r="RM29" s="166">
        <v>0</v>
      </c>
      <c r="RN29" s="166">
        <v>0</v>
      </c>
      <c r="RO29" s="166">
        <v>0</v>
      </c>
      <c r="RP29" s="166">
        <v>0</v>
      </c>
      <c r="RQ29" s="166">
        <v>0</v>
      </c>
      <c r="RR29" s="166">
        <v>0</v>
      </c>
      <c r="RS29" s="166">
        <v>0</v>
      </c>
      <c r="RT29" s="166">
        <v>0</v>
      </c>
      <c r="RU29" s="166">
        <v>0</v>
      </c>
      <c r="RV29" s="166">
        <v>0</v>
      </c>
      <c r="RW29" s="166">
        <v>-1.768</v>
      </c>
      <c r="RX29" s="166">
        <v>0</v>
      </c>
      <c r="RY29" s="166">
        <v>-2.2352941175999999E-4</v>
      </c>
      <c r="RZ29" s="166">
        <v>0</v>
      </c>
      <c r="SA29" s="166">
        <v>0</v>
      </c>
      <c r="SB29" s="166">
        <v>0</v>
      </c>
      <c r="SC29" s="166">
        <v>-1.788</v>
      </c>
      <c r="SD29" s="166">
        <v>0</v>
      </c>
      <c r="SE29" s="166">
        <v>0</v>
      </c>
      <c r="SF29" s="166">
        <v>0</v>
      </c>
      <c r="SG29" s="166">
        <v>0</v>
      </c>
      <c r="SH29" s="166">
        <v>0</v>
      </c>
      <c r="SI29" s="166">
        <v>0</v>
      </c>
      <c r="SJ29" s="166">
        <v>0</v>
      </c>
      <c r="SK29" s="166">
        <v>0</v>
      </c>
      <c r="SL29" s="166">
        <v>0</v>
      </c>
      <c r="SM29" s="166">
        <v>0</v>
      </c>
      <c r="SN29" s="166">
        <v>0</v>
      </c>
      <c r="SO29" s="166">
        <v>0</v>
      </c>
      <c r="SP29" s="166">
        <v>0</v>
      </c>
      <c r="SQ29" s="166">
        <v>0</v>
      </c>
      <c r="SR29" s="166">
        <v>0</v>
      </c>
      <c r="SS29" s="166">
        <v>0</v>
      </c>
      <c r="ST29" s="166">
        <v>0</v>
      </c>
      <c r="SU29" s="166">
        <v>0</v>
      </c>
      <c r="SV29" s="166">
        <v>0</v>
      </c>
      <c r="SW29" s="166">
        <v>0</v>
      </c>
      <c r="SX29" s="166">
        <v>0</v>
      </c>
      <c r="SY29" s="166">
        <v>0</v>
      </c>
      <c r="SZ29" s="166">
        <v>0</v>
      </c>
      <c r="TA29" s="166">
        <v>0</v>
      </c>
      <c r="TB29" s="166">
        <v>0</v>
      </c>
      <c r="TC29" s="166">
        <v>-9.9122807018000008E-4</v>
      </c>
      <c r="TD29" s="166">
        <v>0</v>
      </c>
      <c r="TE29" s="166">
        <v>0</v>
      </c>
      <c r="TF29" s="166">
        <v>0</v>
      </c>
      <c r="TG29" s="166">
        <v>-2.2349999999999999</v>
      </c>
      <c r="TH29" s="166">
        <v>0</v>
      </c>
      <c r="TI29" s="166">
        <v>0</v>
      </c>
      <c r="TJ29" s="166">
        <v>0</v>
      </c>
      <c r="TK29" s="166">
        <v>0</v>
      </c>
      <c r="TL29" s="166">
        <v>0</v>
      </c>
      <c r="TM29" s="166">
        <v>0</v>
      </c>
      <c r="TN29" s="166">
        <v>0</v>
      </c>
      <c r="TO29" s="166">
        <v>0</v>
      </c>
      <c r="TP29" s="166">
        <v>0</v>
      </c>
      <c r="TQ29" s="166">
        <v>0</v>
      </c>
      <c r="TR29" s="166">
        <v>0</v>
      </c>
      <c r="TS29" s="166">
        <v>0</v>
      </c>
      <c r="TT29" s="166">
        <v>0</v>
      </c>
      <c r="TU29" s="166">
        <v>0</v>
      </c>
      <c r="TV29" s="166">
        <v>0</v>
      </c>
      <c r="TW29" s="166">
        <v>0</v>
      </c>
      <c r="TX29" s="166">
        <v>0</v>
      </c>
      <c r="TY29" s="166">
        <v>0</v>
      </c>
      <c r="TZ29" s="166">
        <v>0</v>
      </c>
      <c r="UA29" s="166">
        <v>2.439119007569E-2</v>
      </c>
      <c r="UB29" s="166">
        <v>0</v>
      </c>
      <c r="UC29" s="166">
        <v>0</v>
      </c>
      <c r="UD29" s="166">
        <v>0</v>
      </c>
      <c r="UE29" s="166">
        <v>-8.9886459209000005E-4</v>
      </c>
      <c r="UF29" s="166">
        <v>0</v>
      </c>
      <c r="UG29" s="166">
        <v>7.7993254600000005E-6</v>
      </c>
      <c r="UH29" s="166">
        <v>0</v>
      </c>
      <c r="UI29" s="166">
        <v>0</v>
      </c>
      <c r="UJ29" s="166">
        <v>0</v>
      </c>
      <c r="UK29" s="166">
        <v>8.6177276559900005E-3</v>
      </c>
      <c r="UL29" s="166">
        <v>0</v>
      </c>
      <c r="UM29" s="166">
        <v>0</v>
      </c>
      <c r="UN29" s="166">
        <v>0</v>
      </c>
      <c r="UO29" s="166">
        <v>0</v>
      </c>
      <c r="UP29" s="166">
        <v>0</v>
      </c>
      <c r="UQ29" s="166">
        <v>0</v>
      </c>
      <c r="UR29" s="166">
        <v>0</v>
      </c>
      <c r="US29" s="163">
        <v>0</v>
      </c>
      <c r="UT29" s="163">
        <v>0</v>
      </c>
      <c r="UU29" s="163">
        <v>0</v>
      </c>
      <c r="UV29" s="163">
        <v>0</v>
      </c>
      <c r="UW29" s="163">
        <v>0</v>
      </c>
      <c r="UX29" s="163">
        <v>0</v>
      </c>
      <c r="UY29" s="166">
        <v>0</v>
      </c>
      <c r="UZ29" s="166">
        <v>0</v>
      </c>
      <c r="VA29" s="166">
        <v>0</v>
      </c>
      <c r="VB29" s="166">
        <v>0</v>
      </c>
      <c r="VC29" s="166">
        <v>0</v>
      </c>
      <c r="VD29" s="166">
        <v>0</v>
      </c>
      <c r="VE29" s="267">
        <v>202</v>
      </c>
      <c r="VF29" s="267">
        <v>279</v>
      </c>
      <c r="VG29" s="267">
        <v>354</v>
      </c>
      <c r="VH29" s="267">
        <v>0</v>
      </c>
      <c r="VI29" s="267">
        <v>403</v>
      </c>
      <c r="VJ29" s="267">
        <v>0</v>
      </c>
      <c r="VK29" s="267">
        <v>0</v>
      </c>
      <c r="VL29" s="257">
        <v>0</v>
      </c>
      <c r="VM29" s="257">
        <v>0</v>
      </c>
      <c r="VN29" s="257">
        <v>0</v>
      </c>
      <c r="VO29" s="257">
        <v>0</v>
      </c>
      <c r="VP29" s="257">
        <v>0</v>
      </c>
      <c r="VQ29" s="257">
        <v>0</v>
      </c>
      <c r="VR29" s="257">
        <v>0</v>
      </c>
      <c r="VS29" s="257">
        <v>0</v>
      </c>
      <c r="VT29" s="257">
        <v>0</v>
      </c>
      <c r="VU29" s="257">
        <v>0</v>
      </c>
      <c r="VV29" s="257">
        <v>0</v>
      </c>
      <c r="VW29" s="257">
        <v>0</v>
      </c>
      <c r="VX29" s="257">
        <v>0</v>
      </c>
      <c r="VY29" s="257">
        <v>0</v>
      </c>
      <c r="VZ29" s="257">
        <v>0</v>
      </c>
      <c r="WA29" s="257">
        <v>0</v>
      </c>
      <c r="WB29" s="257">
        <v>0</v>
      </c>
      <c r="WC29" s="257">
        <v>0</v>
      </c>
      <c r="WD29" s="257">
        <v>0</v>
      </c>
      <c r="WE29" s="257">
        <v>0</v>
      </c>
      <c r="WF29" s="257">
        <v>0</v>
      </c>
      <c r="WG29" s="257">
        <v>0</v>
      </c>
      <c r="WH29" s="257">
        <v>0</v>
      </c>
      <c r="WI29" s="257">
        <v>0</v>
      </c>
      <c r="WJ29" s="257">
        <v>0</v>
      </c>
      <c r="WK29" s="257">
        <v>0</v>
      </c>
      <c r="WL29" s="257">
        <v>0</v>
      </c>
      <c r="WM29" s="257">
        <v>0</v>
      </c>
      <c r="WN29" s="257">
        <v>0</v>
      </c>
      <c r="WO29" s="257">
        <v>0</v>
      </c>
      <c r="WP29" s="257">
        <v>0</v>
      </c>
      <c r="WQ29" s="257">
        <v>0</v>
      </c>
      <c r="WR29" s="257">
        <v>0</v>
      </c>
      <c r="WS29" s="572">
        <v>106.4</v>
      </c>
      <c r="WT29" s="572">
        <v>84.409185803757836</v>
      </c>
      <c r="WU29" s="572">
        <v>93.294363256784976</v>
      </c>
      <c r="WV29" s="572">
        <v>97.736951983298539</v>
      </c>
      <c r="WW29" s="572">
        <v>150.15949895615867</v>
      </c>
      <c r="WX29" s="247">
        <v>4848.0304169999999</v>
      </c>
      <c r="WY29" s="4">
        <v>38</v>
      </c>
      <c r="WZ29" s="4">
        <v>24</v>
      </c>
      <c r="XA29" s="4">
        <v>38</v>
      </c>
      <c r="XB29" s="4">
        <v>0</v>
      </c>
      <c r="XC29" s="1037">
        <v>884.63055625790287</v>
      </c>
      <c r="XD29" s="1037">
        <v>0</v>
      </c>
      <c r="XE29" s="1037">
        <v>0</v>
      </c>
      <c r="XF29" s="1037">
        <v>0</v>
      </c>
      <c r="XG29" s="1037">
        <v>0</v>
      </c>
      <c r="XH29" s="1037">
        <v>0</v>
      </c>
      <c r="XI29" s="1037">
        <v>164.28853187646769</v>
      </c>
      <c r="XJ29" s="1037">
        <v>0</v>
      </c>
      <c r="XK29" s="1037">
        <v>948.99222211567621</v>
      </c>
      <c r="XL29" s="1037">
        <v>0</v>
      </c>
      <c r="XM29" s="1037">
        <v>0</v>
      </c>
      <c r="XN29" s="1037">
        <v>0</v>
      </c>
      <c r="XO29" s="1037">
        <v>0</v>
      </c>
      <c r="XP29" s="1037">
        <v>0</v>
      </c>
      <c r="XQ29" s="1037">
        <v>176.24141267862561</v>
      </c>
      <c r="XR29" s="1037">
        <v>0</v>
      </c>
      <c r="XS29" s="1037">
        <v>994.18232793070842</v>
      </c>
      <c r="XT29" s="1037">
        <v>0</v>
      </c>
      <c r="XU29" s="1037">
        <v>0</v>
      </c>
      <c r="XV29" s="1037">
        <v>0</v>
      </c>
      <c r="XW29" s="1037">
        <v>0</v>
      </c>
      <c r="XX29" s="1037">
        <v>0</v>
      </c>
      <c r="XY29" s="1037">
        <v>184.63386090141731</v>
      </c>
      <c r="XZ29" s="1037">
        <v>0</v>
      </c>
      <c r="YA29" s="1037">
        <v>1527.4255765480884</v>
      </c>
      <c r="YB29" s="1037">
        <v>0</v>
      </c>
      <c r="YC29" s="1037">
        <v>0</v>
      </c>
      <c r="YD29" s="1037">
        <v>0</v>
      </c>
      <c r="YE29" s="1037">
        <v>0</v>
      </c>
      <c r="YF29" s="1037">
        <v>0</v>
      </c>
      <c r="YG29" s="1037">
        <v>283.66474993035933</v>
      </c>
      <c r="YH29" s="1037">
        <v>0</v>
      </c>
      <c r="YI29" s="1037">
        <v>1011.6241872229264</v>
      </c>
      <c r="YJ29" s="1037">
        <v>0</v>
      </c>
      <c r="YK29" s="1037">
        <v>245.68015975413931</v>
      </c>
      <c r="YL29" s="1037">
        <v>0</v>
      </c>
      <c r="YM29" s="1037">
        <v>0</v>
      </c>
      <c r="YN29" s="1037">
        <v>0</v>
      </c>
      <c r="YO29" s="1037">
        <v>187.87306334140064</v>
      </c>
      <c r="YP29" s="1037">
        <v>0</v>
      </c>
      <c r="YQ29" s="1037">
        <v>1085.2253277793934</v>
      </c>
      <c r="YR29" s="1037">
        <v>0</v>
      </c>
      <c r="YS29" s="1037">
        <v>263.55472246070985</v>
      </c>
      <c r="YT29" s="1037">
        <v>0</v>
      </c>
      <c r="YU29" s="1037">
        <v>0</v>
      </c>
      <c r="YV29" s="1037">
        <v>0</v>
      </c>
      <c r="YW29" s="1037">
        <v>201.54184658760164</v>
      </c>
      <c r="YX29" s="1037">
        <v>0</v>
      </c>
      <c r="YY29" s="1037">
        <v>1136.9027243403166</v>
      </c>
      <c r="YZ29" s="1037">
        <v>0</v>
      </c>
      <c r="ZA29" s="1037">
        <v>276.10494733979124</v>
      </c>
      <c r="ZB29" s="1037">
        <v>0</v>
      </c>
      <c r="ZC29" s="1037">
        <v>0</v>
      </c>
      <c r="ZD29" s="1037">
        <v>0</v>
      </c>
      <c r="ZE29" s="1037">
        <v>211.13907737748741</v>
      </c>
      <c r="ZF29" s="1037">
        <v>0</v>
      </c>
      <c r="ZG29" s="1037">
        <v>1746.6960037592139</v>
      </c>
      <c r="ZH29" s="1037">
        <v>0</v>
      </c>
      <c r="ZI29" s="1037">
        <v>424.197600912952</v>
      </c>
      <c r="ZJ29" s="1037">
        <v>0</v>
      </c>
      <c r="ZK29" s="1037">
        <v>0</v>
      </c>
      <c r="ZL29" s="1037">
        <v>0</v>
      </c>
      <c r="ZM29" s="1037">
        <v>324.38640069813977</v>
      </c>
      <c r="ZN29" s="1037">
        <v>0</v>
      </c>
      <c r="ZO29" s="1037">
        <v>2692.2256595448848</v>
      </c>
      <c r="ZP29" s="1037">
        <v>0</v>
      </c>
      <c r="ZQ29" s="1037">
        <v>653.82623160375783</v>
      </c>
      <c r="ZR29" s="1037">
        <v>0</v>
      </c>
      <c r="ZS29" s="1037">
        <v>0</v>
      </c>
      <c r="ZT29" s="1037">
        <v>0</v>
      </c>
      <c r="ZU29" s="1037">
        <v>499.98476534405012</v>
      </c>
      <c r="ZV29" s="1037">
        <v>0</v>
      </c>
      <c r="ZW29" s="1037">
        <v>2975.6178342338203</v>
      </c>
      <c r="ZX29" s="1037">
        <v>0</v>
      </c>
      <c r="ZY29" s="1037">
        <v>722.65004545678505</v>
      </c>
      <c r="ZZ29" s="1037">
        <v>0</v>
      </c>
      <c r="AAA29" s="1037">
        <v>0</v>
      </c>
      <c r="AAB29" s="1037">
        <v>0</v>
      </c>
      <c r="AAC29" s="1037">
        <v>552.61474064342383</v>
      </c>
      <c r="AAD29" s="1037">
        <v>0</v>
      </c>
      <c r="AAE29" s="1037">
        <v>3117.3139215782876</v>
      </c>
      <c r="AAF29" s="1037">
        <v>0</v>
      </c>
      <c r="AAG29" s="1037">
        <v>757.0619523832986</v>
      </c>
      <c r="AAH29" s="1037">
        <v>0</v>
      </c>
      <c r="AAI29" s="1037">
        <v>0</v>
      </c>
      <c r="AAJ29" s="1037">
        <v>0</v>
      </c>
      <c r="AAK29" s="1037">
        <v>578.92972829311066</v>
      </c>
      <c r="AAL29" s="1037">
        <v>0</v>
      </c>
      <c r="AAM29" s="1037">
        <v>4789.3277522430062</v>
      </c>
      <c r="AAN29" s="1037">
        <v>0</v>
      </c>
      <c r="AAO29" s="1037">
        <v>1163.1224541161587</v>
      </c>
      <c r="AAP29" s="1037">
        <v>0</v>
      </c>
      <c r="AAQ29" s="1037">
        <v>0</v>
      </c>
      <c r="AAR29" s="1037">
        <v>0</v>
      </c>
      <c r="AAS29" s="1037">
        <v>889.44658255941556</v>
      </c>
      <c r="AAT29" s="1037">
        <v>0</v>
      </c>
      <c r="AAU29" s="1037">
        <v>3703.8498467678114</v>
      </c>
      <c r="AAV29" s="1037">
        <v>0</v>
      </c>
      <c r="AAW29" s="1037">
        <v>899.5063913578972</v>
      </c>
      <c r="AAX29" s="1037">
        <v>0</v>
      </c>
      <c r="AAY29" s="1037">
        <v>0</v>
      </c>
      <c r="AAZ29" s="1037">
        <v>0</v>
      </c>
      <c r="ABA29" s="1037">
        <v>687.85782868545073</v>
      </c>
      <c r="ABB29" s="1037">
        <v>0</v>
      </c>
      <c r="ABC29" s="1037">
        <v>3920.8140874610344</v>
      </c>
      <c r="ABD29" s="1037">
        <v>0</v>
      </c>
      <c r="ABE29" s="1037">
        <v>952.19770695482271</v>
      </c>
      <c r="ABF29" s="1037">
        <v>0</v>
      </c>
      <c r="ABG29" s="1037">
        <v>0</v>
      </c>
      <c r="ABH29" s="1037">
        <v>0</v>
      </c>
      <c r="ABI29" s="1037">
        <v>728.15118767133504</v>
      </c>
      <c r="ABJ29" s="1037">
        <v>0</v>
      </c>
      <c r="ABK29" s="1037">
        <v>4107.5195201972729</v>
      </c>
      <c r="ABL29" s="1037">
        <v>0</v>
      </c>
      <c r="ABM29" s="1037">
        <v>997.54045490505212</v>
      </c>
      <c r="ABN29" s="1037">
        <v>0</v>
      </c>
      <c r="ABO29" s="1037">
        <v>0</v>
      </c>
      <c r="ABP29" s="1037">
        <v>0</v>
      </c>
      <c r="ABQ29" s="1037">
        <v>762.82505375092217</v>
      </c>
      <c r="ABR29" s="1037">
        <v>0</v>
      </c>
      <c r="ABS29" s="1037">
        <v>0</v>
      </c>
      <c r="ABT29" s="1037">
        <v>0</v>
      </c>
      <c r="ABU29" s="1037">
        <v>0</v>
      </c>
      <c r="ABV29" s="1037">
        <v>0</v>
      </c>
      <c r="ABW29" s="1037">
        <v>0</v>
      </c>
      <c r="ABX29" s="1037">
        <v>0</v>
      </c>
      <c r="ABY29" s="1037">
        <v>0</v>
      </c>
      <c r="ABZ29" s="1037">
        <v>0</v>
      </c>
      <c r="ACA29" s="1037">
        <v>4797.0566297345222</v>
      </c>
      <c r="ACB29" s="1037">
        <v>0</v>
      </c>
      <c r="ACC29" s="1037">
        <v>1164.9994672212413</v>
      </c>
      <c r="ACD29" s="1037">
        <v>0</v>
      </c>
      <c r="ACE29" s="1037">
        <v>0</v>
      </c>
      <c r="ACF29" s="1037">
        <v>0</v>
      </c>
      <c r="ACG29" s="1037">
        <v>890.88194552212565</v>
      </c>
      <c r="ACH29" s="1037">
        <v>0</v>
      </c>
      <c r="ACI29" s="1037">
        <v>5128.5648554735844</v>
      </c>
      <c r="ACJ29" s="1037">
        <v>0</v>
      </c>
      <c r="ACK29" s="1037">
        <v>1245.5086077578708</v>
      </c>
      <c r="ACL29" s="1037">
        <v>0</v>
      </c>
      <c r="ACM29" s="1037">
        <v>0</v>
      </c>
      <c r="ACN29" s="1037">
        <v>0</v>
      </c>
      <c r="ACO29" s="1037">
        <v>952.44775887366586</v>
      </c>
      <c r="ACP29" s="1037">
        <v>0</v>
      </c>
      <c r="ACQ29" s="1037">
        <v>5372.7822295437554</v>
      </c>
      <c r="ACR29" s="1037">
        <v>0</v>
      </c>
      <c r="ACS29" s="1037">
        <v>1304.8185414606264</v>
      </c>
      <c r="ACT29" s="1037">
        <v>0</v>
      </c>
      <c r="ACU29" s="1037">
        <v>0</v>
      </c>
      <c r="ACV29" s="1037">
        <v>0</v>
      </c>
      <c r="ACW29" s="1037">
        <v>997.80241405812603</v>
      </c>
      <c r="ACX29" s="1037">
        <v>0</v>
      </c>
      <c r="ACY29" s="1037">
        <v>8254.5472435717693</v>
      </c>
      <c r="ACZ29" s="1037">
        <v>0</v>
      </c>
      <c r="ADA29" s="1037">
        <v>2004.6757591531443</v>
      </c>
      <c r="ADB29" s="1037">
        <v>0</v>
      </c>
      <c r="ADC29" s="1037">
        <v>0</v>
      </c>
      <c r="ADD29" s="1037">
        <v>0</v>
      </c>
      <c r="ADE29" s="1037">
        <v>1532.9873452347574</v>
      </c>
      <c r="ADF29" s="1037">
        <v>0</v>
      </c>
      <c r="ADG29" s="1037">
        <v>5857.6303744037195</v>
      </c>
      <c r="ADH29" s="1037">
        <v>0</v>
      </c>
      <c r="ADI29" s="1037">
        <v>1422.5673766409036</v>
      </c>
      <c r="ADJ29" s="1037">
        <v>0</v>
      </c>
      <c r="ADK29" s="1037">
        <v>0</v>
      </c>
      <c r="ADL29" s="1037">
        <v>0</v>
      </c>
      <c r="ADM29" s="1037">
        <v>1087.8456409606908</v>
      </c>
      <c r="ADN29" s="1037">
        <v>0</v>
      </c>
      <c r="ADO29" s="1037">
        <v>6301.3083548480899</v>
      </c>
      <c r="ADP29" s="1037">
        <v>0</v>
      </c>
      <c r="ADQ29" s="1037">
        <v>1530.3177433202507</v>
      </c>
      <c r="ADR29" s="1037">
        <v>0</v>
      </c>
      <c r="ADS29" s="1037">
        <v>0</v>
      </c>
      <c r="ADT29" s="1037">
        <v>0</v>
      </c>
      <c r="ADU29" s="1037">
        <v>1170.242980186074</v>
      </c>
      <c r="ADV29" s="1037">
        <v>0</v>
      </c>
      <c r="ADW29" s="1037">
        <v>6601.3706574599046</v>
      </c>
      <c r="ADX29" s="1037">
        <v>0</v>
      </c>
      <c r="ADY29" s="1037">
        <v>1603.1900168116913</v>
      </c>
      <c r="ADZ29" s="1037">
        <v>0</v>
      </c>
      <c r="AEA29" s="1037">
        <v>0</v>
      </c>
      <c r="AEB29" s="1037">
        <v>0</v>
      </c>
      <c r="AEC29" s="1037">
        <v>1225.9688363854109</v>
      </c>
      <c r="AED29" s="1037">
        <v>0</v>
      </c>
      <c r="AEE29" s="1037">
        <v>10142.105828279307</v>
      </c>
      <c r="AEF29" s="1037">
        <v>0</v>
      </c>
      <c r="AEG29" s="1037">
        <v>2463.0828440106893</v>
      </c>
      <c r="AEH29" s="1037">
        <v>0</v>
      </c>
      <c r="AEI29" s="1037">
        <v>0</v>
      </c>
      <c r="AEJ29" s="1037">
        <v>0</v>
      </c>
      <c r="AEK29" s="1037">
        <v>1883.5339395375859</v>
      </c>
      <c r="AEL29" s="1037">
        <v>0</v>
      </c>
      <c r="AEM29" s="1037">
        <v>6755.0389275853486</v>
      </c>
      <c r="AEN29" s="1037">
        <v>0</v>
      </c>
      <c r="AEO29" s="1037">
        <v>1640.5094538421563</v>
      </c>
      <c r="AEP29" s="1037">
        <v>0</v>
      </c>
      <c r="AEQ29" s="1037">
        <v>0</v>
      </c>
      <c r="AER29" s="1037">
        <v>0</v>
      </c>
      <c r="AES29" s="1037">
        <v>1254.5072294087076</v>
      </c>
      <c r="AET29" s="1037">
        <v>0</v>
      </c>
      <c r="AEU29" s="1037">
        <v>7176.4900707992138</v>
      </c>
      <c r="AEV29" s="1037">
        <v>0</v>
      </c>
      <c r="AEW29" s="1037">
        <v>1742.8618743369523</v>
      </c>
      <c r="AEX29" s="1037">
        <v>0</v>
      </c>
      <c r="AEY29" s="1037">
        <v>0</v>
      </c>
      <c r="AEZ29" s="1037">
        <v>0</v>
      </c>
      <c r="AFA29" s="1037">
        <v>1332.77672743414</v>
      </c>
      <c r="AFB29" s="1037">
        <v>0</v>
      </c>
      <c r="AFC29" s="1037">
        <v>7518.2276932182222</v>
      </c>
      <c r="AFD29" s="1037">
        <v>0</v>
      </c>
      <c r="AFE29" s="1037">
        <v>1825.8552969244258</v>
      </c>
      <c r="AFF29" s="1037">
        <v>0</v>
      </c>
      <c r="AFG29" s="1037">
        <v>0</v>
      </c>
      <c r="AFH29" s="1037">
        <v>0</v>
      </c>
      <c r="AFI29" s="1037">
        <v>1396.2422858833843</v>
      </c>
      <c r="AFJ29" s="1037">
        <v>0</v>
      </c>
      <c r="AFK29" s="1037">
        <v>11550.731637762545</v>
      </c>
      <c r="AFL29" s="1037">
        <v>0</v>
      </c>
      <c r="AFM29" s="1037">
        <v>2805.1776834566185</v>
      </c>
      <c r="AFN29" s="1037">
        <v>0</v>
      </c>
      <c r="AFO29" s="1037">
        <v>0</v>
      </c>
      <c r="AFP29" s="1037">
        <v>0</v>
      </c>
      <c r="AFQ29" s="1037">
        <v>2145.1358755844726</v>
      </c>
      <c r="AFR29" s="1037">
        <v>0</v>
      </c>
      <c r="AFS29" s="247">
        <v>2692.2256595448848</v>
      </c>
      <c r="AFT29" s="247">
        <v>0</v>
      </c>
      <c r="AFU29" s="247">
        <v>653.82623160375783</v>
      </c>
      <c r="AFV29" s="247">
        <v>0</v>
      </c>
      <c r="AFW29" s="247">
        <v>0</v>
      </c>
      <c r="AFX29" s="247">
        <v>0</v>
      </c>
      <c r="AFY29" s="247">
        <v>499.98476534405012</v>
      </c>
      <c r="AFZ29" s="247">
        <v>0</v>
      </c>
      <c r="AGA29" s="247">
        <v>2975.6178342338203</v>
      </c>
      <c r="AGB29" s="247">
        <v>0</v>
      </c>
      <c r="AGC29" s="247">
        <v>722.65004545678505</v>
      </c>
      <c r="AGD29" s="247">
        <v>0</v>
      </c>
      <c r="AGE29" s="247">
        <v>0</v>
      </c>
      <c r="AGF29" s="247">
        <v>0</v>
      </c>
      <c r="AGG29" s="247">
        <v>552.61474064342383</v>
      </c>
      <c r="AGH29" s="247">
        <v>0</v>
      </c>
      <c r="AGI29" s="247">
        <v>3117.3139215782876</v>
      </c>
      <c r="AGJ29" s="247">
        <v>0</v>
      </c>
      <c r="AGK29" s="247">
        <v>757.0619523832986</v>
      </c>
      <c r="AGL29" s="247">
        <v>0</v>
      </c>
      <c r="AGM29" s="247">
        <v>0</v>
      </c>
      <c r="AGN29" s="247">
        <v>0</v>
      </c>
      <c r="AGO29" s="247">
        <v>578.92972829311066</v>
      </c>
      <c r="AGP29" s="247">
        <v>0</v>
      </c>
      <c r="AGQ29" s="247">
        <v>4789.3277522430062</v>
      </c>
      <c r="AGR29" s="247">
        <v>0</v>
      </c>
      <c r="AGS29" s="247">
        <v>1163.1224541161587</v>
      </c>
      <c r="AGT29" s="247">
        <v>0</v>
      </c>
      <c r="AGU29" s="247">
        <v>0</v>
      </c>
      <c r="AGV29" s="247">
        <v>0</v>
      </c>
      <c r="AGW29" s="247">
        <v>889.44658255941556</v>
      </c>
      <c r="AGX29" s="247">
        <v>0</v>
      </c>
      <c r="AGY29" s="249">
        <v>0</v>
      </c>
      <c r="AGZ29" s="249">
        <v>0</v>
      </c>
      <c r="AHA29" s="249">
        <v>0</v>
      </c>
      <c r="AHB29" s="249">
        <v>0</v>
      </c>
      <c r="AHC29" s="249">
        <v>0</v>
      </c>
      <c r="AHD29" s="249">
        <v>0</v>
      </c>
      <c r="AHE29" s="249">
        <v>0</v>
      </c>
      <c r="AHF29" s="249">
        <v>0</v>
      </c>
      <c r="AHG29" s="249">
        <v>0.20231737823734308</v>
      </c>
      <c r="AHH29" s="249">
        <v>0</v>
      </c>
      <c r="AHI29" s="249">
        <v>5.057934455933577E-2</v>
      </c>
      <c r="AHJ29" s="249">
        <v>0</v>
      </c>
      <c r="AHK29" s="249">
        <v>0</v>
      </c>
      <c r="AHL29" s="249">
        <v>0</v>
      </c>
      <c r="AHM29" s="249">
        <v>0</v>
      </c>
      <c r="AHN29" s="249">
        <v>0</v>
      </c>
      <c r="AHO29" s="249">
        <v>0.40990209718057846</v>
      </c>
      <c r="AHP29" s="249">
        <v>0</v>
      </c>
      <c r="AHQ29" s="249">
        <v>0.10247552429514462</v>
      </c>
      <c r="AHR29" s="249">
        <v>0</v>
      </c>
      <c r="AHS29" s="249">
        <v>0</v>
      </c>
      <c r="AHT29" s="249">
        <v>0</v>
      </c>
      <c r="AHU29" s="249">
        <v>0</v>
      </c>
      <c r="AHV29" s="249">
        <v>0</v>
      </c>
      <c r="AHW29" s="249">
        <v>377.49165362646158</v>
      </c>
      <c r="AHX29" s="249">
        <v>0</v>
      </c>
      <c r="AHY29" s="249">
        <v>94.372913406615396</v>
      </c>
      <c r="AHZ29" s="249">
        <v>0</v>
      </c>
      <c r="AIA29" s="249">
        <v>0</v>
      </c>
      <c r="AIB29" s="249">
        <v>0</v>
      </c>
      <c r="AIC29" s="249">
        <v>0</v>
      </c>
      <c r="AID29" s="249">
        <v>0</v>
      </c>
      <c r="AIE29" s="249"/>
      <c r="AIF29" s="249"/>
      <c r="AIG29" s="249"/>
      <c r="AIH29" s="249"/>
      <c r="AII29" s="249"/>
      <c r="AIJ29" s="249"/>
      <c r="AIK29" s="249"/>
      <c r="AIL29" s="249"/>
      <c r="AIM29" s="249">
        <v>0.17322227297324613</v>
      </c>
      <c r="AIN29" s="249">
        <v>0</v>
      </c>
      <c r="AIO29" s="249">
        <v>4.3305568243311533E-2</v>
      </c>
      <c r="AIP29" s="249">
        <v>0</v>
      </c>
      <c r="AIQ29" s="249">
        <v>0</v>
      </c>
      <c r="AIR29" s="249">
        <v>0</v>
      </c>
      <c r="AIS29" s="249">
        <v>0</v>
      </c>
      <c r="AIT29" s="249">
        <v>0</v>
      </c>
      <c r="AIU29" s="134" t="s">
        <v>1216</v>
      </c>
      <c r="AIV29" s="134" t="s">
        <v>1219</v>
      </c>
      <c r="AIW29" s="134" t="s">
        <v>1218</v>
      </c>
      <c r="AIX29" s="134" t="s">
        <v>1217</v>
      </c>
      <c r="AIY29" s="134" t="s">
        <v>1228</v>
      </c>
      <c r="AIZ29" s="134" t="s">
        <v>1229</v>
      </c>
      <c r="AJA29" s="134" t="s">
        <v>1230</v>
      </c>
      <c r="AJB29" s="134" t="s">
        <v>1231</v>
      </c>
      <c r="AJC29" s="134" t="s">
        <v>1232</v>
      </c>
      <c r="AJD29" s="134" t="s">
        <v>1233</v>
      </c>
    </row>
    <row r="30" spans="1:940" ht="18" customHeight="1">
      <c r="A30" s="664" t="s">
        <v>19</v>
      </c>
      <c r="B30" s="669">
        <v>0.2</v>
      </c>
      <c r="C30" s="6">
        <v>-0.1</v>
      </c>
      <c r="D30" s="6">
        <v>-0.1</v>
      </c>
      <c r="E30" s="74">
        <v>408.17796610169495</v>
      </c>
      <c r="F30" s="75">
        <v>-1.1000000000000001</v>
      </c>
      <c r="G30" s="7">
        <v>-2.2000000000000002</v>
      </c>
      <c r="H30" s="7">
        <v>-2.2000000000000002</v>
      </c>
      <c r="I30" s="266">
        <v>350</v>
      </c>
      <c r="J30" s="125">
        <v>0</v>
      </c>
      <c r="K30" s="125">
        <v>0</v>
      </c>
      <c r="L30" s="125">
        <v>0</v>
      </c>
      <c r="M30" s="1">
        <v>308.46428466997793</v>
      </c>
      <c r="N30" s="2">
        <v>12</v>
      </c>
      <c r="O30" s="8">
        <v>0.7</v>
      </c>
      <c r="P30" s="8">
        <v>0.6</v>
      </c>
      <c r="Q30" s="8">
        <v>0.6</v>
      </c>
      <c r="R30" s="7">
        <v>1.3</v>
      </c>
      <c r="S30" s="7">
        <v>0</v>
      </c>
      <c r="T30" s="7">
        <v>92.1</v>
      </c>
      <c r="U30" s="7">
        <v>6.6</v>
      </c>
      <c r="V30" s="71">
        <v>0</v>
      </c>
      <c r="W30" s="119">
        <v>2</v>
      </c>
      <c r="X30" s="120">
        <v>1.5</v>
      </c>
      <c r="Y30" s="119">
        <v>1</v>
      </c>
      <c r="Z30" s="120">
        <v>0.8</v>
      </c>
      <c r="AA30" s="120">
        <v>0.5</v>
      </c>
      <c r="AB30" s="559">
        <v>433.01922201480062</v>
      </c>
      <c r="AC30" s="559">
        <v>470.67306740739195</v>
      </c>
      <c r="AD30" s="559">
        <v>433.37222681535616</v>
      </c>
      <c r="AE30" s="559">
        <v>649.0581599547935</v>
      </c>
      <c r="AF30" s="622">
        <v>0.82209484106305364</v>
      </c>
      <c r="AG30" s="559">
        <v>261.91600618637949</v>
      </c>
      <c r="AH30" s="559">
        <v>284.69131107215162</v>
      </c>
      <c r="AI30" s="559">
        <v>262.12952466968363</v>
      </c>
      <c r="AJ30" s="559">
        <v>392.58931796849708</v>
      </c>
      <c r="AK30" s="622">
        <v>0.96717040125065135</v>
      </c>
      <c r="AL30" s="995">
        <v>0.4</v>
      </c>
      <c r="AM30" s="995">
        <v>0.7</v>
      </c>
      <c r="AN30" s="995">
        <v>1.1000000000000001</v>
      </c>
      <c r="AO30" s="995">
        <v>1.5</v>
      </c>
      <c r="AP30" s="995">
        <v>1.9</v>
      </c>
      <c r="AQ30" s="995">
        <v>2.2999999999999998</v>
      </c>
      <c r="AR30" s="995">
        <v>2.6</v>
      </c>
      <c r="AS30" s="1005">
        <v>0</v>
      </c>
      <c r="AT30" s="1005">
        <v>10</v>
      </c>
      <c r="AU30" s="1005">
        <v>20</v>
      </c>
      <c r="AV30" s="1005">
        <v>70</v>
      </c>
      <c r="AW30" s="1005">
        <v>100</v>
      </c>
      <c r="AX30" s="1">
        <v>8446.9117123570486</v>
      </c>
      <c r="AY30" s="5">
        <v>1.33</v>
      </c>
      <c r="AZ30" s="8">
        <v>0.6</v>
      </c>
      <c r="BA30" s="8">
        <v>0.4</v>
      </c>
      <c r="BB30" s="8">
        <v>0.4</v>
      </c>
      <c r="BC30" s="73">
        <v>0.17424004435335025</v>
      </c>
      <c r="BD30" s="73">
        <v>0.17685328942052908</v>
      </c>
      <c r="BE30" s="9">
        <v>1.2907215009659738</v>
      </c>
      <c r="BF30" s="9">
        <v>0.11006682885348625</v>
      </c>
      <c r="BG30" s="9">
        <v>2.6350627139697469</v>
      </c>
      <c r="BH30" s="9">
        <v>78.025948619547663</v>
      </c>
      <c r="BI30" s="9">
        <v>2.224370950121326</v>
      </c>
      <c r="BJ30" s="9">
        <v>0.87060505452459369</v>
      </c>
      <c r="BK30" s="9">
        <v>13.38681915503906</v>
      </c>
      <c r="BL30" s="9">
        <v>7.1851984911083175E-2</v>
      </c>
      <c r="BM30" s="9">
        <v>0.15027880791677825</v>
      </c>
      <c r="BN30" s="9">
        <v>2.0195748413483712E-4</v>
      </c>
      <c r="BO30" s="9">
        <v>3.8506560308375612E-2</v>
      </c>
      <c r="BP30" s="9">
        <v>0</v>
      </c>
      <c r="BQ30" s="9">
        <v>0</v>
      </c>
      <c r="BR30" s="9">
        <v>0</v>
      </c>
      <c r="BS30" s="9">
        <v>1.1955658663577764</v>
      </c>
      <c r="BT30" s="262">
        <v>261.13475999999997</v>
      </c>
      <c r="BU30" s="262">
        <v>96.5</v>
      </c>
      <c r="BV30" s="262">
        <v>63.215999999999994</v>
      </c>
      <c r="BW30" s="262">
        <v>233.35949490734063</v>
      </c>
      <c r="BX30" s="262">
        <v>157.40783999999999</v>
      </c>
      <c r="BY30" s="68"/>
      <c r="BZ30" s="262">
        <v>256.20808011776955</v>
      </c>
      <c r="CA30" s="262">
        <v>165.17663999999999</v>
      </c>
      <c r="CB30" s="68"/>
      <c r="CC30" s="785">
        <v>0</v>
      </c>
      <c r="CD30" s="262">
        <v>6.585</v>
      </c>
      <c r="CE30" s="262">
        <v>1.3169999999999999</v>
      </c>
      <c r="CF30" s="262">
        <v>38</v>
      </c>
      <c r="CG30" s="262">
        <v>225.83915999999996</v>
      </c>
      <c r="CH30" s="68">
        <v>0.2</v>
      </c>
      <c r="CI30" s="262">
        <v>175.08124000000001</v>
      </c>
      <c r="CJ30" s="262">
        <v>60.4</v>
      </c>
      <c r="CK30" s="262">
        <v>42.384</v>
      </c>
      <c r="CL30" s="262">
        <v>156.45894761061641</v>
      </c>
      <c r="CM30" s="262">
        <v>105.53616</v>
      </c>
      <c r="CN30" s="68"/>
      <c r="CO30" s="262">
        <v>159.24945066654416</v>
      </c>
      <c r="CP30" s="262">
        <v>102.66767999999999</v>
      </c>
      <c r="CQ30" s="68"/>
      <c r="CR30" s="262">
        <v>0</v>
      </c>
      <c r="CS30" s="262">
        <v>4.415</v>
      </c>
      <c r="CT30" s="262">
        <v>0.88300000000000001</v>
      </c>
      <c r="CU30" s="262">
        <v>27</v>
      </c>
      <c r="CV30" s="262">
        <v>151.41683999999998</v>
      </c>
      <c r="CW30" s="68">
        <v>0.2</v>
      </c>
      <c r="CX30" s="120">
        <v>0.3</v>
      </c>
      <c r="CY30" s="120">
        <v>0.7</v>
      </c>
      <c r="CZ30" s="120">
        <v>1.2</v>
      </c>
      <c r="DA30" s="120">
        <v>1.2</v>
      </c>
      <c r="DB30" s="119">
        <v>3</v>
      </c>
      <c r="DC30" s="1005">
        <v>0</v>
      </c>
      <c r="DD30" s="1005">
        <v>10</v>
      </c>
      <c r="DE30" s="1005">
        <v>20</v>
      </c>
      <c r="DF30" s="1005">
        <v>70</v>
      </c>
      <c r="DG30" s="1005">
        <v>100</v>
      </c>
      <c r="DH30" s="2">
        <v>1.6547055773305908</v>
      </c>
      <c r="DI30" s="2">
        <v>18</v>
      </c>
      <c r="DJ30" s="63">
        <v>12</v>
      </c>
      <c r="DK30" s="8">
        <v>1.3</v>
      </c>
      <c r="DL30" s="8">
        <v>0.9</v>
      </c>
      <c r="DM30" s="8">
        <v>0.9</v>
      </c>
      <c r="DN30" s="1030" t="s">
        <v>1023</v>
      </c>
      <c r="DO30" s="1030" t="s">
        <v>1024</v>
      </c>
      <c r="DP30" s="1030" t="s">
        <v>997</v>
      </c>
      <c r="DQ30" s="1030" t="s">
        <v>997</v>
      </c>
      <c r="DR30" s="1030" t="s">
        <v>997</v>
      </c>
      <c r="DS30" s="1030" t="s">
        <v>997</v>
      </c>
      <c r="DT30" s="1030" t="s">
        <v>997</v>
      </c>
      <c r="DU30" s="1097">
        <v>213.35139051807917</v>
      </c>
      <c r="DV30" s="1097">
        <v>307.1486094819208</v>
      </c>
      <c r="DW30" s="1097">
        <v>0</v>
      </c>
      <c r="DX30" s="1097">
        <v>0</v>
      </c>
      <c r="DY30" s="1097">
        <v>0</v>
      </c>
      <c r="DZ30" s="1097">
        <v>0</v>
      </c>
      <c r="EA30" s="1097">
        <v>0</v>
      </c>
      <c r="EB30" s="207">
        <v>0.52049999999999996</v>
      </c>
      <c r="EC30" s="207">
        <v>18</v>
      </c>
      <c r="ED30" s="221">
        <v>5</v>
      </c>
      <c r="EE30" s="214">
        <v>1.3</v>
      </c>
      <c r="EF30" s="214">
        <v>0.9</v>
      </c>
      <c r="EG30" s="214">
        <v>0.9</v>
      </c>
      <c r="EH30" s="208" t="s">
        <v>1023</v>
      </c>
      <c r="EI30" s="208" t="s">
        <v>1024</v>
      </c>
      <c r="EJ30" s="208" t="s">
        <v>1079</v>
      </c>
      <c r="EK30" s="208" t="s">
        <v>1094</v>
      </c>
      <c r="EL30" s="204" t="s">
        <v>997</v>
      </c>
      <c r="EM30" s="204" t="s">
        <v>997</v>
      </c>
      <c r="EN30" s="204" t="s">
        <v>997</v>
      </c>
      <c r="EO30" s="204" t="s">
        <v>997</v>
      </c>
      <c r="EP30" s="204" t="s">
        <v>997</v>
      </c>
      <c r="EQ30" s="204" t="s">
        <v>997</v>
      </c>
      <c r="ER30" s="204" t="s">
        <v>997</v>
      </c>
      <c r="ES30" s="204" t="s">
        <v>997</v>
      </c>
      <c r="ET30" s="204" t="s">
        <v>997</v>
      </c>
      <c r="EU30" s="204" t="s">
        <v>997</v>
      </c>
      <c r="EV30" s="204" t="s">
        <v>997</v>
      </c>
      <c r="EW30" s="204" t="s">
        <v>997</v>
      </c>
      <c r="EX30" s="204" t="s">
        <v>997</v>
      </c>
      <c r="EY30" s="204" t="s">
        <v>997</v>
      </c>
      <c r="EZ30" s="204" t="s">
        <v>997</v>
      </c>
      <c r="FA30" s="204" t="s">
        <v>997</v>
      </c>
      <c r="FB30" s="204" t="s">
        <v>997</v>
      </c>
      <c r="FC30" s="204" t="s">
        <v>997</v>
      </c>
      <c r="FD30" s="204" t="s">
        <v>997</v>
      </c>
      <c r="FE30" s="204" t="s">
        <v>997</v>
      </c>
      <c r="FF30" s="204" t="s">
        <v>997</v>
      </c>
      <c r="FG30" s="204" t="s">
        <v>997</v>
      </c>
      <c r="FH30" s="204" t="s">
        <v>997</v>
      </c>
      <c r="FI30" s="204" t="s">
        <v>997</v>
      </c>
      <c r="FJ30" s="204" t="s">
        <v>997</v>
      </c>
      <c r="FK30" s="204" t="s">
        <v>997</v>
      </c>
      <c r="FL30" s="204" t="s">
        <v>997</v>
      </c>
      <c r="FM30" s="204" t="s">
        <v>997</v>
      </c>
      <c r="FN30" s="204" t="s">
        <v>997</v>
      </c>
      <c r="FO30" s="204" t="s">
        <v>997</v>
      </c>
      <c r="FP30" s="204" t="s">
        <v>997</v>
      </c>
      <c r="FQ30" s="204" t="s">
        <v>997</v>
      </c>
      <c r="FR30" s="204" t="s">
        <v>997</v>
      </c>
      <c r="FS30" s="204" t="s">
        <v>997</v>
      </c>
      <c r="FT30" s="204" t="s">
        <v>997</v>
      </c>
      <c r="FU30" s="204" t="s">
        <v>997</v>
      </c>
      <c r="FV30" s="204" t="s">
        <v>997</v>
      </c>
      <c r="FW30" s="204" t="s">
        <v>997</v>
      </c>
      <c r="FX30" s="204" t="s">
        <v>997</v>
      </c>
      <c r="FY30" s="204" t="s">
        <v>997</v>
      </c>
      <c r="FZ30" s="204" t="s">
        <v>997</v>
      </c>
      <c r="GA30" s="204" t="s">
        <v>997</v>
      </c>
      <c r="GB30" s="204" t="s">
        <v>997</v>
      </c>
      <c r="GC30" s="204" t="s">
        <v>997</v>
      </c>
      <c r="GD30" s="204" t="s">
        <v>997</v>
      </c>
      <c r="GE30" s="204" t="s">
        <v>997</v>
      </c>
      <c r="GF30" s="204" t="s">
        <v>997</v>
      </c>
      <c r="GG30" s="204" t="s">
        <v>997</v>
      </c>
      <c r="GH30" s="204" t="s">
        <v>997</v>
      </c>
      <c r="GI30" s="204" t="s">
        <v>997</v>
      </c>
      <c r="GJ30" s="204" t="s">
        <v>997</v>
      </c>
      <c r="GK30" s="204" t="s">
        <v>997</v>
      </c>
      <c r="GL30" s="204" t="s">
        <v>997</v>
      </c>
      <c r="GM30" s="204" t="s">
        <v>997</v>
      </c>
      <c r="GN30" s="1051">
        <v>154.61346863468634</v>
      </c>
      <c r="GO30" s="1051">
        <v>144.049815498155</v>
      </c>
      <c r="GP30" s="1051">
        <v>201.66974169741701</v>
      </c>
      <c r="GQ30" s="1051">
        <v>20.166974169741696</v>
      </c>
      <c r="GR30" s="1051">
        <v>0</v>
      </c>
      <c r="GS30" s="1051">
        <v>0</v>
      </c>
      <c r="GT30" s="1051">
        <v>0</v>
      </c>
      <c r="GU30" s="1051">
        <v>0</v>
      </c>
      <c r="GV30" s="1051">
        <v>0</v>
      </c>
      <c r="GW30" s="1051">
        <v>0</v>
      </c>
      <c r="GX30" s="1051">
        <v>0</v>
      </c>
      <c r="GY30" s="1051">
        <v>0</v>
      </c>
      <c r="GZ30" s="1051">
        <v>0</v>
      </c>
      <c r="HA30" s="1051">
        <v>0</v>
      </c>
      <c r="HB30" s="1051">
        <v>0</v>
      </c>
      <c r="HC30" s="1051">
        <v>0</v>
      </c>
      <c r="HD30" s="1051">
        <v>0</v>
      </c>
      <c r="HE30" s="1051">
        <v>0</v>
      </c>
      <c r="HF30" s="1051">
        <v>0</v>
      </c>
      <c r="HG30" s="1051">
        <v>0</v>
      </c>
      <c r="HH30" s="1051">
        <v>0</v>
      </c>
      <c r="HI30" s="1051">
        <v>0</v>
      </c>
      <c r="HJ30" s="1051">
        <v>0</v>
      </c>
      <c r="HK30" s="1051">
        <v>0</v>
      </c>
      <c r="HL30" s="1051">
        <v>0</v>
      </c>
      <c r="HM30" s="1051">
        <v>0</v>
      </c>
      <c r="HN30" s="1051">
        <v>0</v>
      </c>
      <c r="HO30" s="1051">
        <v>0</v>
      </c>
      <c r="HP30" s="1051">
        <v>0</v>
      </c>
      <c r="HQ30" s="1051">
        <v>0</v>
      </c>
      <c r="HR30" s="1051">
        <v>0</v>
      </c>
      <c r="HS30" s="1051">
        <v>0</v>
      </c>
      <c r="HT30" s="1051">
        <v>0</v>
      </c>
      <c r="HU30" s="1051">
        <v>0</v>
      </c>
      <c r="HV30" s="1051">
        <v>0</v>
      </c>
      <c r="HW30" s="1051">
        <v>0</v>
      </c>
      <c r="HX30" s="1051">
        <v>0</v>
      </c>
      <c r="HY30" s="1051">
        <v>0</v>
      </c>
      <c r="HZ30" s="1051">
        <v>0</v>
      </c>
      <c r="IA30" s="1051">
        <v>0</v>
      </c>
      <c r="IB30" s="1051">
        <v>0</v>
      </c>
      <c r="IC30" s="1051">
        <v>0</v>
      </c>
      <c r="ID30" s="1051">
        <v>0</v>
      </c>
      <c r="IE30" s="1051">
        <v>0</v>
      </c>
      <c r="IF30" s="1051">
        <v>0</v>
      </c>
      <c r="IG30" s="1051">
        <v>0</v>
      </c>
      <c r="IH30" s="1051">
        <v>0</v>
      </c>
      <c r="II30" s="1051">
        <v>0</v>
      </c>
      <c r="IJ30" s="1051">
        <v>0</v>
      </c>
      <c r="IK30" s="1051">
        <v>0</v>
      </c>
      <c r="IL30" s="1051">
        <v>0</v>
      </c>
      <c r="IM30" s="1051">
        <v>0</v>
      </c>
      <c r="IN30" s="1051">
        <v>0</v>
      </c>
      <c r="IO30" s="1051">
        <v>0</v>
      </c>
      <c r="IP30" s="1051">
        <v>0</v>
      </c>
      <c r="IQ30" s="1051">
        <v>0</v>
      </c>
      <c r="IR30" s="1051">
        <v>0</v>
      </c>
      <c r="IS30" s="1051">
        <v>0</v>
      </c>
      <c r="IT30" s="215">
        <v>1081.2332639882943</v>
      </c>
      <c r="IU30" s="207">
        <v>179.9</v>
      </c>
      <c r="IV30" s="216">
        <v>2647.0800000000199</v>
      </c>
      <c r="IW30" s="272">
        <v>12.64</v>
      </c>
      <c r="IX30" s="207">
        <v>50</v>
      </c>
      <c r="IY30" s="204">
        <v>1.3</v>
      </c>
      <c r="IZ30" s="204">
        <v>0.9</v>
      </c>
      <c r="JA30" s="204">
        <v>0.9</v>
      </c>
      <c r="JB30" s="52">
        <v>2</v>
      </c>
      <c r="JC30" s="24">
        <v>1.5</v>
      </c>
      <c r="JD30" s="24">
        <v>0.7</v>
      </c>
      <c r="JE30" s="24">
        <v>0.7</v>
      </c>
      <c r="JF30" s="24">
        <v>0.5</v>
      </c>
      <c r="JG30" s="1">
        <v>26.945270806158252</v>
      </c>
      <c r="JH30" s="216">
        <v>2647.0800000000199</v>
      </c>
      <c r="JI30" s="272">
        <v>12.64</v>
      </c>
      <c r="JJ30" s="207">
        <v>50</v>
      </c>
      <c r="JK30" s="8">
        <v>1.5</v>
      </c>
      <c r="JL30" s="8">
        <v>0.8</v>
      </c>
      <c r="JM30" s="8">
        <v>0.8</v>
      </c>
      <c r="JN30" s="216">
        <v>2</v>
      </c>
      <c r="JO30" s="216">
        <v>2</v>
      </c>
      <c r="JP30" s="216">
        <v>1</v>
      </c>
      <c r="JQ30" s="216">
        <v>1</v>
      </c>
      <c r="JR30" s="214">
        <v>0.5</v>
      </c>
      <c r="JS30" s="1212">
        <v>2000</v>
      </c>
      <c r="JT30" s="215">
        <v>216.20140914250103</v>
      </c>
      <c r="JU30" s="215">
        <v>500</v>
      </c>
      <c r="JV30" s="207">
        <v>1</v>
      </c>
      <c r="JW30" s="207">
        <v>0.5</v>
      </c>
      <c r="JX30" s="207">
        <v>0.5</v>
      </c>
      <c r="JY30" s="214">
        <v>2</v>
      </c>
      <c r="JZ30" s="214">
        <v>1.5</v>
      </c>
      <c r="KA30" s="214">
        <v>0.5</v>
      </c>
      <c r="KB30" s="214">
        <v>1</v>
      </c>
      <c r="KC30" s="214">
        <v>0.5</v>
      </c>
      <c r="KD30" s="1186">
        <v>3.1077955195869986</v>
      </c>
      <c r="KE30" s="1186">
        <v>1.8911549356660247</v>
      </c>
      <c r="KF30" s="1186">
        <v>91.783623360995591</v>
      </c>
      <c r="KG30" s="1186"/>
      <c r="KH30" s="1186">
        <v>0.44818678155544611</v>
      </c>
      <c r="KI30" s="1186">
        <v>2.768304164302593</v>
      </c>
      <c r="KJ30" s="1186">
        <v>9.3523789334547063E-4</v>
      </c>
      <c r="KK30" s="1186">
        <v>0</v>
      </c>
      <c r="KL30" s="1186"/>
      <c r="KM30" s="1187">
        <v>580</v>
      </c>
      <c r="KN30" s="1187">
        <v>580</v>
      </c>
      <c r="KO30" s="1187">
        <v>580</v>
      </c>
      <c r="KP30" s="1187">
        <v>580</v>
      </c>
      <c r="KQ30" s="1187"/>
      <c r="KR30" s="1187">
        <v>580</v>
      </c>
      <c r="KS30" s="1187">
        <v>580</v>
      </c>
      <c r="KT30" s="1187">
        <v>580</v>
      </c>
      <c r="KU30" s="1187">
        <v>580</v>
      </c>
      <c r="KV30" s="262">
        <v>370</v>
      </c>
      <c r="KW30" s="262">
        <v>370</v>
      </c>
      <c r="KX30" s="262">
        <v>370</v>
      </c>
      <c r="KY30" s="262">
        <v>370</v>
      </c>
      <c r="KZ30" s="262"/>
      <c r="LA30" s="262">
        <v>370</v>
      </c>
      <c r="LB30" s="262">
        <v>370</v>
      </c>
      <c r="LC30" s="262">
        <v>370</v>
      </c>
      <c r="LD30" s="262">
        <v>370</v>
      </c>
      <c r="LE30" s="1213">
        <v>0</v>
      </c>
      <c r="LF30" s="1213">
        <v>10</v>
      </c>
      <c r="LG30" s="1213">
        <v>20</v>
      </c>
      <c r="LH30" s="1213">
        <v>70</v>
      </c>
      <c r="LI30" s="1213">
        <v>100</v>
      </c>
      <c r="LJ30" s="1212">
        <v>1000</v>
      </c>
      <c r="LK30" s="1">
        <v>2585.5752209604179</v>
      </c>
      <c r="LL30" s="4">
        <v>29</v>
      </c>
      <c r="LM30" s="10">
        <v>1</v>
      </c>
      <c r="LN30" s="8">
        <v>0.5</v>
      </c>
      <c r="LO30" s="8">
        <v>0.5</v>
      </c>
      <c r="LP30" s="214">
        <v>2</v>
      </c>
      <c r="LQ30" s="214">
        <v>1</v>
      </c>
      <c r="LR30" s="214">
        <v>0.5</v>
      </c>
      <c r="LS30" s="214">
        <v>0.7</v>
      </c>
      <c r="LT30" s="214">
        <v>0.2</v>
      </c>
      <c r="LU30" s="1212">
        <v>1500</v>
      </c>
      <c r="LV30" s="122">
        <v>0</v>
      </c>
      <c r="LW30" s="122">
        <v>0</v>
      </c>
      <c r="LX30" s="122">
        <v>0</v>
      </c>
      <c r="LY30" s="165">
        <v>0</v>
      </c>
      <c r="LZ30" s="165">
        <v>0</v>
      </c>
      <c r="MA30" s="165">
        <v>0</v>
      </c>
      <c r="MB30" s="165">
        <v>0</v>
      </c>
      <c r="MC30" s="165">
        <v>0</v>
      </c>
      <c r="MD30" s="165">
        <v>0</v>
      </c>
      <c r="ME30" s="165">
        <v>0</v>
      </c>
      <c r="MF30" s="165">
        <v>0</v>
      </c>
      <c r="MG30" s="165">
        <v>0</v>
      </c>
      <c r="MH30" s="165">
        <v>0</v>
      </c>
      <c r="MI30" s="165">
        <v>0</v>
      </c>
      <c r="MJ30" s="165">
        <v>0</v>
      </c>
      <c r="MK30" s="165">
        <v>0</v>
      </c>
      <c r="ML30" s="165">
        <v>0</v>
      </c>
      <c r="MM30" s="165">
        <v>0</v>
      </c>
      <c r="MN30" s="165">
        <v>0</v>
      </c>
      <c r="MO30" s="165">
        <v>0</v>
      </c>
      <c r="MP30" s="165">
        <v>0</v>
      </c>
      <c r="MQ30" s="165">
        <v>0</v>
      </c>
      <c r="MR30" s="165">
        <v>0</v>
      </c>
      <c r="MS30" s="165">
        <v>0</v>
      </c>
      <c r="MT30" s="165">
        <v>0</v>
      </c>
      <c r="MU30" s="165">
        <v>0</v>
      </c>
      <c r="MV30" s="165">
        <v>0</v>
      </c>
      <c r="MW30" s="166">
        <v>3.6358211014852202</v>
      </c>
      <c r="MX30" s="166">
        <v>0</v>
      </c>
      <c r="MY30" s="166">
        <v>0</v>
      </c>
      <c r="MZ30" s="166">
        <v>0</v>
      </c>
      <c r="NA30" s="166">
        <v>0.45616571014473001</v>
      </c>
      <c r="NB30" s="166">
        <v>-0.96546213423218996</v>
      </c>
      <c r="NC30" s="166">
        <v>3.1697445903980799</v>
      </c>
      <c r="ND30" s="166">
        <v>0</v>
      </c>
      <c r="NE30" s="166">
        <v>0</v>
      </c>
      <c r="NF30" s="166">
        <v>0</v>
      </c>
      <c r="NG30" s="166">
        <v>-0.29592888619646002</v>
      </c>
      <c r="NH30" s="166">
        <v>-1.0599344105440101</v>
      </c>
      <c r="NI30" s="166">
        <v>3.6488259498495199</v>
      </c>
      <c r="NJ30" s="166">
        <v>0</v>
      </c>
      <c r="NK30" s="166">
        <v>0</v>
      </c>
      <c r="NL30" s="166">
        <v>0</v>
      </c>
      <c r="NM30" s="166">
        <v>5.5236867199469998E-2</v>
      </c>
      <c r="NN30" s="166">
        <v>-0.97051351341920999</v>
      </c>
      <c r="NO30" s="166">
        <v>3.7400575666007501</v>
      </c>
      <c r="NP30" s="166">
        <v>0</v>
      </c>
      <c r="NQ30" s="166">
        <v>0</v>
      </c>
      <c r="NR30" s="166">
        <v>0</v>
      </c>
      <c r="NS30" s="166">
        <v>0.34565334542839998</v>
      </c>
      <c r="NT30" s="166">
        <v>-1.03443848322828</v>
      </c>
      <c r="NU30" s="166">
        <v>3.7134354583048501</v>
      </c>
      <c r="NV30" s="166">
        <v>0</v>
      </c>
      <c r="NW30" s="166">
        <v>0</v>
      </c>
      <c r="NX30" s="166">
        <v>0</v>
      </c>
      <c r="NY30" s="166">
        <v>2.2330203115437</v>
      </c>
      <c r="NZ30" s="166">
        <v>-0.67609019840208995</v>
      </c>
      <c r="OA30" s="166">
        <v>-27.56</v>
      </c>
      <c r="OB30" s="166">
        <v>-5.54</v>
      </c>
      <c r="OC30" s="166">
        <v>-2.3524730097356201</v>
      </c>
      <c r="OD30" s="166">
        <v>0</v>
      </c>
      <c r="OE30" s="166">
        <v>0.19335786119726001</v>
      </c>
      <c r="OF30" s="166">
        <v>-3.3293780956852599</v>
      </c>
      <c r="OG30" s="166">
        <v>-0.16113055473137</v>
      </c>
      <c r="OH30" s="166">
        <v>0</v>
      </c>
      <c r="OI30" s="166">
        <v>0</v>
      </c>
      <c r="OJ30" s="166">
        <v>0</v>
      </c>
      <c r="OK30" s="166">
        <v>-0.54786502165686002</v>
      </c>
      <c r="OL30" s="166">
        <v>-3.68568859109679</v>
      </c>
      <c r="OM30" s="166">
        <v>0.36933919282527</v>
      </c>
      <c r="ON30" s="166">
        <v>0</v>
      </c>
      <c r="OO30" s="166">
        <v>0</v>
      </c>
      <c r="OP30" s="166">
        <v>0</v>
      </c>
      <c r="OQ30" s="166">
        <v>-0.97953303475836995</v>
      </c>
      <c r="OR30" s="166">
        <v>-3.56218003232211</v>
      </c>
      <c r="OS30" s="166">
        <v>0.41454062328777003</v>
      </c>
      <c r="OT30" s="166">
        <v>0</v>
      </c>
      <c r="OU30" s="166">
        <v>0</v>
      </c>
      <c r="OV30" s="166">
        <v>0</v>
      </c>
      <c r="OW30" s="166">
        <v>-0.23857055922434001</v>
      </c>
      <c r="OX30" s="166">
        <v>-3.77080599576276</v>
      </c>
      <c r="OY30" s="166">
        <v>0.52766727725132001</v>
      </c>
      <c r="OZ30" s="166">
        <v>0</v>
      </c>
      <c r="PA30" s="166">
        <v>0</v>
      </c>
      <c r="PB30" s="166">
        <v>0</v>
      </c>
      <c r="PC30" s="166">
        <v>1.95994204392883</v>
      </c>
      <c r="PD30" s="166">
        <v>-3.13351403274666</v>
      </c>
      <c r="PE30" s="166">
        <v>-27.56</v>
      </c>
      <c r="PF30" s="166">
        <v>-5.54</v>
      </c>
      <c r="PG30" s="166">
        <v>-1.8569002448283201</v>
      </c>
      <c r="PH30" s="166">
        <v>0</v>
      </c>
      <c r="PI30" s="166">
        <v>0.53865508275587004</v>
      </c>
      <c r="PJ30" s="166">
        <v>-2.51677161034472</v>
      </c>
      <c r="PK30" s="166">
        <v>0.17403071465195999</v>
      </c>
      <c r="PL30" s="166">
        <v>0</v>
      </c>
      <c r="PM30" s="166">
        <v>0</v>
      </c>
      <c r="PN30" s="166">
        <v>0</v>
      </c>
      <c r="PO30" s="166">
        <v>0.80203562060813005</v>
      </c>
      <c r="PP30" s="166">
        <v>-3.82240755931003</v>
      </c>
      <c r="PQ30" s="166">
        <v>0.51601012102014998</v>
      </c>
      <c r="PR30" s="166">
        <v>0</v>
      </c>
      <c r="PS30" s="166">
        <v>0</v>
      </c>
      <c r="PT30" s="166">
        <v>0</v>
      </c>
      <c r="PU30" s="166">
        <v>3.8283303435180001E-2</v>
      </c>
      <c r="PV30" s="166">
        <v>-3.9106613962667298</v>
      </c>
      <c r="PW30" s="166">
        <v>0.65092783745229998</v>
      </c>
      <c r="PX30" s="166">
        <v>0</v>
      </c>
      <c r="PY30" s="166">
        <v>0</v>
      </c>
      <c r="PZ30" s="166">
        <v>0</v>
      </c>
      <c r="QA30" s="166">
        <v>0.60368320831258004</v>
      </c>
      <c r="QB30" s="166">
        <v>-3.9000447607480302</v>
      </c>
      <c r="QC30" s="166">
        <v>0.62596001704596005</v>
      </c>
      <c r="QD30" s="166">
        <v>0</v>
      </c>
      <c r="QE30" s="166">
        <v>0</v>
      </c>
      <c r="QF30" s="166">
        <v>0</v>
      </c>
      <c r="QG30" s="166">
        <v>3.7317643357441201</v>
      </c>
      <c r="QH30" s="166">
        <v>-2.0678749611287199</v>
      </c>
      <c r="QI30" s="162">
        <v>0</v>
      </c>
      <c r="QJ30" s="167">
        <v>0</v>
      </c>
      <c r="QK30" s="167">
        <v>0</v>
      </c>
      <c r="QL30" s="167">
        <v>0</v>
      </c>
      <c r="QM30" s="167">
        <v>0</v>
      </c>
      <c r="QN30" s="162">
        <v>0</v>
      </c>
      <c r="QO30" s="162">
        <v>0</v>
      </c>
      <c r="QP30" s="162">
        <v>0</v>
      </c>
      <c r="QQ30" s="162">
        <v>0</v>
      </c>
      <c r="QR30" s="162">
        <v>0</v>
      </c>
      <c r="QS30" s="162">
        <v>0</v>
      </c>
      <c r="QT30" s="162">
        <v>0</v>
      </c>
      <c r="QU30" s="162">
        <v>0</v>
      </c>
      <c r="QV30" s="162">
        <v>0</v>
      </c>
      <c r="QW30" s="162">
        <v>0</v>
      </c>
      <c r="QX30" s="162">
        <v>0</v>
      </c>
      <c r="QY30" s="162">
        <v>0</v>
      </c>
      <c r="QZ30" s="162">
        <v>0</v>
      </c>
      <c r="RA30" s="167">
        <v>0</v>
      </c>
      <c r="RB30" s="167">
        <v>0</v>
      </c>
      <c r="RC30" s="167">
        <v>0</v>
      </c>
      <c r="RD30" s="167">
        <v>0</v>
      </c>
      <c r="RE30" s="167">
        <v>0</v>
      </c>
      <c r="RF30" s="167">
        <v>0</v>
      </c>
      <c r="RG30" s="167">
        <v>0</v>
      </c>
      <c r="RH30" s="167">
        <v>0</v>
      </c>
      <c r="RI30" s="167">
        <v>0</v>
      </c>
      <c r="RJ30" s="167">
        <v>0</v>
      </c>
      <c r="RK30" s="167">
        <v>0</v>
      </c>
      <c r="RL30" s="167">
        <v>0</v>
      </c>
      <c r="RM30" s="166">
        <v>-27.56</v>
      </c>
      <c r="RN30" s="166">
        <v>-5.54</v>
      </c>
      <c r="RO30" s="166">
        <v>-1.59522879524831</v>
      </c>
      <c r="RP30" s="166">
        <v>0</v>
      </c>
      <c r="RQ30" s="166">
        <v>-0.38943478784282998</v>
      </c>
      <c r="RR30" s="166">
        <v>-3.8099081716794099</v>
      </c>
      <c r="RS30" s="166">
        <v>-0.22169077748180999</v>
      </c>
      <c r="RT30" s="166">
        <v>0</v>
      </c>
      <c r="RU30" s="166">
        <v>0</v>
      </c>
      <c r="RV30" s="166">
        <v>0</v>
      </c>
      <c r="RW30" s="166">
        <v>0.50954337771586999</v>
      </c>
      <c r="RX30" s="166">
        <v>-3.9099581825871801</v>
      </c>
      <c r="RY30" s="166">
        <v>-0.62115512192885003</v>
      </c>
      <c r="RZ30" s="166">
        <v>0</v>
      </c>
      <c r="SA30" s="166">
        <v>0</v>
      </c>
      <c r="SB30" s="166">
        <v>0</v>
      </c>
      <c r="SC30" s="166">
        <v>-0.50027656657091002</v>
      </c>
      <c r="SD30" s="166">
        <v>-4.0697918930116304</v>
      </c>
      <c r="SE30" s="166">
        <v>0</v>
      </c>
      <c r="SF30" s="166">
        <v>0</v>
      </c>
      <c r="SG30" s="166">
        <v>0</v>
      </c>
      <c r="SH30" s="166">
        <v>0</v>
      </c>
      <c r="SI30" s="166">
        <v>-0.31534795084201001</v>
      </c>
      <c r="SJ30" s="166">
        <v>-3.9684064260777099</v>
      </c>
      <c r="SK30" s="166">
        <v>0</v>
      </c>
      <c r="SL30" s="166">
        <v>0</v>
      </c>
      <c r="SM30" s="166">
        <v>0</v>
      </c>
      <c r="SN30" s="166">
        <v>0</v>
      </c>
      <c r="SO30" s="166">
        <v>2.1624109063356798</v>
      </c>
      <c r="SP30" s="166">
        <v>-3.1470774722458499</v>
      </c>
      <c r="SQ30" s="166">
        <v>-27.56</v>
      </c>
      <c r="SR30" s="166">
        <v>-5.54</v>
      </c>
      <c r="SS30" s="166">
        <v>-1.91468251832532</v>
      </c>
      <c r="ST30" s="166">
        <v>0</v>
      </c>
      <c r="SU30" s="166">
        <v>-2.4873198669381398</v>
      </c>
      <c r="SV30" s="166">
        <v>0</v>
      </c>
      <c r="SW30" s="166">
        <v>-0.25203688015914</v>
      </c>
      <c r="SX30" s="166">
        <v>0</v>
      </c>
      <c r="SY30" s="166">
        <v>0</v>
      </c>
      <c r="SZ30" s="166">
        <v>0</v>
      </c>
      <c r="TA30" s="166">
        <v>-4.3657936855605204</v>
      </c>
      <c r="TB30" s="166">
        <v>-0.10958678654091</v>
      </c>
      <c r="TC30" s="166">
        <v>-0.73283485971197004</v>
      </c>
      <c r="TD30" s="166">
        <v>0</v>
      </c>
      <c r="TE30" s="166">
        <v>0</v>
      </c>
      <c r="TF30" s="166">
        <v>0</v>
      </c>
      <c r="TG30" s="166">
        <v>-3.2098755972350599</v>
      </c>
      <c r="TH30" s="166">
        <v>-0.14323668673720999</v>
      </c>
      <c r="TI30" s="166">
        <v>0</v>
      </c>
      <c r="TJ30" s="166">
        <v>0</v>
      </c>
      <c r="TK30" s="166">
        <v>0</v>
      </c>
      <c r="TL30" s="166">
        <v>0</v>
      </c>
      <c r="TM30" s="166">
        <v>-3.3827820031395102</v>
      </c>
      <c r="TN30" s="166">
        <v>0</v>
      </c>
      <c r="TO30" s="166">
        <v>0</v>
      </c>
      <c r="TP30" s="166">
        <v>0</v>
      </c>
      <c r="TQ30" s="166">
        <v>0</v>
      </c>
      <c r="TR30" s="166">
        <v>0</v>
      </c>
      <c r="TS30" s="166">
        <v>-3.3722357631046398</v>
      </c>
      <c r="TT30" s="166">
        <v>-0.35331221975526</v>
      </c>
      <c r="TU30" s="166">
        <v>1.1499482091772499</v>
      </c>
      <c r="TV30" s="166">
        <v>0</v>
      </c>
      <c r="TW30" s="166">
        <v>6.6056941618499995E-2</v>
      </c>
      <c r="TX30" s="166">
        <v>0</v>
      </c>
      <c r="TY30" s="166">
        <v>0</v>
      </c>
      <c r="TZ30" s="166">
        <v>-0.92507611327306005</v>
      </c>
      <c r="UA30" s="166">
        <v>0</v>
      </c>
      <c r="UB30" s="166">
        <v>0</v>
      </c>
      <c r="UC30" s="166">
        <v>0</v>
      </c>
      <c r="UD30" s="166">
        <v>0</v>
      </c>
      <c r="UE30" s="166">
        <v>0</v>
      </c>
      <c r="UF30" s="166">
        <v>-3.54802561452551</v>
      </c>
      <c r="UG30" s="166">
        <v>9.0352687375200007E-3</v>
      </c>
      <c r="UH30" s="166">
        <v>0</v>
      </c>
      <c r="UI30" s="166">
        <v>0</v>
      </c>
      <c r="UJ30" s="166">
        <v>0</v>
      </c>
      <c r="UK30" s="166">
        <v>3.45164488617E-3</v>
      </c>
      <c r="UL30" s="166">
        <v>-4.0851846853549603</v>
      </c>
      <c r="UM30" s="166">
        <v>0</v>
      </c>
      <c r="UN30" s="166">
        <v>0</v>
      </c>
      <c r="UO30" s="166">
        <v>0</v>
      </c>
      <c r="UP30" s="166">
        <v>0</v>
      </c>
      <c r="UQ30" s="166">
        <v>0</v>
      </c>
      <c r="UR30" s="166">
        <v>0</v>
      </c>
      <c r="US30" s="163">
        <v>0</v>
      </c>
      <c r="UT30" s="163">
        <v>0</v>
      </c>
      <c r="UU30" s="163">
        <v>0</v>
      </c>
      <c r="UV30" s="163">
        <v>0</v>
      </c>
      <c r="UW30" s="163">
        <v>6.8716358730999997E-4</v>
      </c>
      <c r="UX30" s="163">
        <v>0</v>
      </c>
      <c r="UY30" s="166">
        <v>0</v>
      </c>
      <c r="UZ30" s="166">
        <v>0</v>
      </c>
      <c r="VA30" s="166">
        <v>0</v>
      </c>
      <c r="VB30" s="166">
        <v>0</v>
      </c>
      <c r="VC30" s="166">
        <v>0</v>
      </c>
      <c r="VD30" s="166">
        <v>-4.1257994968027996</v>
      </c>
      <c r="VE30" s="267">
        <v>202</v>
      </c>
      <c r="VF30" s="267">
        <v>279</v>
      </c>
      <c r="VG30" s="267">
        <v>354</v>
      </c>
      <c r="VH30" s="267">
        <v>0</v>
      </c>
      <c r="VI30" s="267">
        <v>403</v>
      </c>
      <c r="VJ30" s="267">
        <v>0</v>
      </c>
      <c r="VK30" s="267">
        <v>0</v>
      </c>
      <c r="VL30" s="257">
        <v>0</v>
      </c>
      <c r="VM30" s="257">
        <v>0</v>
      </c>
      <c r="VN30" s="257">
        <v>0</v>
      </c>
      <c r="VO30" s="257">
        <v>0</v>
      </c>
      <c r="VP30" s="257">
        <v>0</v>
      </c>
      <c r="VQ30" s="257">
        <v>0</v>
      </c>
      <c r="VR30" s="257">
        <v>0</v>
      </c>
      <c r="VS30" s="257">
        <v>0</v>
      </c>
      <c r="VT30" s="257">
        <v>0</v>
      </c>
      <c r="VU30" s="257">
        <v>0</v>
      </c>
      <c r="VV30" s="257">
        <v>0</v>
      </c>
      <c r="VW30" s="257">
        <v>0</v>
      </c>
      <c r="VX30" s="257">
        <v>0</v>
      </c>
      <c r="VY30" s="257">
        <v>0</v>
      </c>
      <c r="VZ30" s="257">
        <v>0</v>
      </c>
      <c r="WA30" s="257">
        <v>0</v>
      </c>
      <c r="WB30" s="257">
        <v>0</v>
      </c>
      <c r="WC30" s="257">
        <v>0</v>
      </c>
      <c r="WD30" s="257">
        <v>0</v>
      </c>
      <c r="WE30" s="257">
        <v>0</v>
      </c>
      <c r="WF30" s="257">
        <v>0</v>
      </c>
      <c r="WG30" s="257">
        <v>0</v>
      </c>
      <c r="WH30" s="257">
        <v>0</v>
      </c>
      <c r="WI30" s="257">
        <v>0</v>
      </c>
      <c r="WJ30" s="257">
        <v>0</v>
      </c>
      <c r="WK30" s="257">
        <v>0</v>
      </c>
      <c r="WL30" s="257">
        <v>0</v>
      </c>
      <c r="WM30" s="257">
        <v>0</v>
      </c>
      <c r="WN30" s="257">
        <v>0</v>
      </c>
      <c r="WO30" s="257">
        <v>0</v>
      </c>
      <c r="WP30" s="257">
        <v>0</v>
      </c>
      <c r="WQ30" s="257">
        <v>0</v>
      </c>
      <c r="WR30" s="257">
        <v>0</v>
      </c>
      <c r="WS30" s="572">
        <v>117</v>
      </c>
      <c r="WT30" s="572">
        <v>92.818371607515658</v>
      </c>
      <c r="WU30" s="572">
        <v>102.58872651356994</v>
      </c>
      <c r="WV30" s="572">
        <v>107.47390396659708</v>
      </c>
      <c r="WW30" s="572">
        <v>165.11899791231733</v>
      </c>
      <c r="WX30" s="247">
        <v>14640.781629999999</v>
      </c>
      <c r="WY30" s="4">
        <v>79</v>
      </c>
      <c r="WZ30" s="4">
        <v>15</v>
      </c>
      <c r="XA30" s="4">
        <v>6</v>
      </c>
      <c r="XB30" s="4">
        <v>0</v>
      </c>
      <c r="XC30" s="1037">
        <v>2184.6049513026742</v>
      </c>
      <c r="XD30" s="1037">
        <v>0</v>
      </c>
      <c r="XE30" s="1037">
        <v>0</v>
      </c>
      <c r="XF30" s="1037">
        <v>0</v>
      </c>
      <c r="XG30" s="1037">
        <v>0</v>
      </c>
      <c r="XH30" s="1037">
        <v>0</v>
      </c>
      <c r="XI30" s="1037">
        <v>655.38148539080225</v>
      </c>
      <c r="XJ30" s="1037">
        <v>327.69074269540113</v>
      </c>
      <c r="XK30" s="1037">
        <v>2343.5467976048817</v>
      </c>
      <c r="XL30" s="1037">
        <v>0</v>
      </c>
      <c r="XM30" s="1037">
        <v>0</v>
      </c>
      <c r="XN30" s="1037">
        <v>0</v>
      </c>
      <c r="XO30" s="1037">
        <v>0</v>
      </c>
      <c r="XP30" s="1037">
        <v>0</v>
      </c>
      <c r="XQ30" s="1037">
        <v>703.06403928146437</v>
      </c>
      <c r="XR30" s="1037">
        <v>351.53201964073219</v>
      </c>
      <c r="XS30" s="1037">
        <v>2455.1442641574949</v>
      </c>
      <c r="XT30" s="1037">
        <v>0</v>
      </c>
      <c r="XU30" s="1037">
        <v>0</v>
      </c>
      <c r="XV30" s="1037">
        <v>0</v>
      </c>
      <c r="XW30" s="1037">
        <v>0</v>
      </c>
      <c r="XX30" s="1037">
        <v>0</v>
      </c>
      <c r="XY30" s="1037">
        <v>736.54327924724839</v>
      </c>
      <c r="XZ30" s="1037">
        <v>368.2716396236242</v>
      </c>
      <c r="YA30" s="1037">
        <v>3771.9943694783337</v>
      </c>
      <c r="YB30" s="1037">
        <v>0</v>
      </c>
      <c r="YC30" s="1037">
        <v>0</v>
      </c>
      <c r="YD30" s="1037">
        <v>0</v>
      </c>
      <c r="YE30" s="1037">
        <v>0</v>
      </c>
      <c r="YF30" s="1037">
        <v>0</v>
      </c>
      <c r="YG30" s="1037">
        <v>1131.5983108435</v>
      </c>
      <c r="YH30" s="1037">
        <v>565.79915542175002</v>
      </c>
      <c r="YI30" s="1037">
        <v>872.87104498715746</v>
      </c>
      <c r="YJ30" s="1037">
        <v>3098.6922097044089</v>
      </c>
      <c r="YK30" s="1037">
        <v>0</v>
      </c>
      <c r="YL30" s="1037">
        <v>0</v>
      </c>
      <c r="YM30" s="1037">
        <v>0</v>
      </c>
      <c r="YN30" s="1037">
        <v>0</v>
      </c>
      <c r="YO30" s="1037">
        <v>261.8613134961472</v>
      </c>
      <c r="YP30" s="1037">
        <v>130.9306567480736</v>
      </c>
      <c r="YQ30" s="1037">
        <v>936.37714268746151</v>
      </c>
      <c r="YR30" s="1037">
        <v>3324.1388565404882</v>
      </c>
      <c r="YS30" s="1037">
        <v>0</v>
      </c>
      <c r="YT30" s="1037">
        <v>0</v>
      </c>
      <c r="YU30" s="1037">
        <v>0</v>
      </c>
      <c r="YV30" s="1037">
        <v>0</v>
      </c>
      <c r="YW30" s="1037">
        <v>280.91314280623845</v>
      </c>
      <c r="YX30" s="1037">
        <v>140.45657140311923</v>
      </c>
      <c r="YY30" s="1037">
        <v>980.9665304344835</v>
      </c>
      <c r="YZ30" s="1037">
        <v>3482.4311830424163</v>
      </c>
      <c r="ZA30" s="1037">
        <v>0</v>
      </c>
      <c r="ZB30" s="1037">
        <v>0</v>
      </c>
      <c r="ZC30" s="1037">
        <v>0</v>
      </c>
      <c r="ZD30" s="1037">
        <v>0</v>
      </c>
      <c r="ZE30" s="1037">
        <v>294.28995913034504</v>
      </c>
      <c r="ZF30" s="1037">
        <v>147.14497956517252</v>
      </c>
      <c r="ZG30" s="1037">
        <v>1507.1213058493431</v>
      </c>
      <c r="ZH30" s="1037">
        <v>5350.2806357651671</v>
      </c>
      <c r="ZI30" s="1037">
        <v>0</v>
      </c>
      <c r="ZJ30" s="1037">
        <v>0</v>
      </c>
      <c r="ZK30" s="1037">
        <v>0</v>
      </c>
      <c r="ZL30" s="1037">
        <v>0</v>
      </c>
      <c r="ZM30" s="1037">
        <v>452.13639175480284</v>
      </c>
      <c r="ZN30" s="1037">
        <v>226.06819587740142</v>
      </c>
      <c r="ZO30" s="1037">
        <v>2322.9632648851775</v>
      </c>
      <c r="ZP30" s="1037">
        <v>8246.5195903423792</v>
      </c>
      <c r="ZQ30" s="1037">
        <v>0</v>
      </c>
      <c r="ZR30" s="1037">
        <v>0</v>
      </c>
      <c r="ZS30" s="1037">
        <v>0</v>
      </c>
      <c r="ZT30" s="1037">
        <v>0</v>
      </c>
      <c r="ZU30" s="1037">
        <v>696.88897946555312</v>
      </c>
      <c r="ZV30" s="1037">
        <v>348.44448973277656</v>
      </c>
      <c r="ZW30" s="1037">
        <v>2567.4857138204593</v>
      </c>
      <c r="ZX30" s="1037">
        <v>9114.5742840626299</v>
      </c>
      <c r="ZY30" s="1037">
        <v>0</v>
      </c>
      <c r="ZZ30" s="1037">
        <v>0</v>
      </c>
      <c r="AAA30" s="1037">
        <v>0</v>
      </c>
      <c r="AAB30" s="1037">
        <v>0</v>
      </c>
      <c r="AAC30" s="1037">
        <v>770.24571414613774</v>
      </c>
      <c r="AAD30" s="1037">
        <v>385.12285707306887</v>
      </c>
      <c r="AAE30" s="1037">
        <v>2689.7469382881004</v>
      </c>
      <c r="AAF30" s="1037">
        <v>9548.6016309227543</v>
      </c>
      <c r="AAG30" s="1037">
        <v>0</v>
      </c>
      <c r="AAH30" s="1037">
        <v>0</v>
      </c>
      <c r="AAI30" s="1037">
        <v>0</v>
      </c>
      <c r="AAJ30" s="1037">
        <v>0</v>
      </c>
      <c r="AAK30" s="1037">
        <v>806.92408148643005</v>
      </c>
      <c r="AAL30" s="1037">
        <v>403.46204074321503</v>
      </c>
      <c r="AAM30" s="1037">
        <v>4132.4293870062638</v>
      </c>
      <c r="AAN30" s="1037">
        <v>14670.124323872235</v>
      </c>
      <c r="AAO30" s="1037">
        <v>0</v>
      </c>
      <c r="AAP30" s="1037">
        <v>0</v>
      </c>
      <c r="AAQ30" s="1037">
        <v>0</v>
      </c>
      <c r="AAR30" s="1037">
        <v>0</v>
      </c>
      <c r="AAS30" s="1037">
        <v>1239.7288161018789</v>
      </c>
      <c r="AAT30" s="1037">
        <v>619.86440805093946</v>
      </c>
      <c r="AAU30" s="1037">
        <v>3195.8343098723349</v>
      </c>
      <c r="AAV30" s="1037">
        <v>11345.211800046787</v>
      </c>
      <c r="AAW30" s="1037">
        <v>0</v>
      </c>
      <c r="AAX30" s="1037">
        <v>0</v>
      </c>
      <c r="AAY30" s="1037">
        <v>0</v>
      </c>
      <c r="AAZ30" s="1037">
        <v>0</v>
      </c>
      <c r="ABA30" s="1037">
        <v>958.75029296170044</v>
      </c>
      <c r="ABB30" s="1037">
        <v>479.37514648085022</v>
      </c>
      <c r="ABC30" s="1037">
        <v>3383.0399993869578</v>
      </c>
      <c r="ABD30" s="1037">
        <v>12009.791997823699</v>
      </c>
      <c r="ABE30" s="1037">
        <v>0</v>
      </c>
      <c r="ABF30" s="1037">
        <v>0</v>
      </c>
      <c r="ABG30" s="1037">
        <v>0</v>
      </c>
      <c r="ABH30" s="1037">
        <v>0</v>
      </c>
      <c r="ABI30" s="1037">
        <v>1014.9119998160872</v>
      </c>
      <c r="ABJ30" s="1037">
        <v>507.45599990804362</v>
      </c>
      <c r="ABK30" s="1037">
        <v>3544.1371422149082</v>
      </c>
      <c r="ABL30" s="1037">
        <v>12581.686854862923</v>
      </c>
      <c r="ABM30" s="1037">
        <v>0</v>
      </c>
      <c r="ABN30" s="1037">
        <v>0</v>
      </c>
      <c r="ABO30" s="1037">
        <v>0</v>
      </c>
      <c r="ABP30" s="1037">
        <v>0</v>
      </c>
      <c r="ABQ30" s="1037">
        <v>1063.2411426644724</v>
      </c>
      <c r="ABR30" s="1037">
        <v>531.62057133223618</v>
      </c>
      <c r="ABS30" s="1037">
        <v>0</v>
      </c>
      <c r="ABT30" s="1037">
        <v>0</v>
      </c>
      <c r="ABU30" s="1037">
        <v>0</v>
      </c>
      <c r="ABV30" s="1037">
        <v>0</v>
      </c>
      <c r="ABW30" s="1037">
        <v>0</v>
      </c>
      <c r="ABX30" s="1037">
        <v>0</v>
      </c>
      <c r="ABY30" s="1037">
        <v>0</v>
      </c>
      <c r="ABZ30" s="1037">
        <v>0</v>
      </c>
      <c r="ACA30" s="1037">
        <v>4139.0981810681342</v>
      </c>
      <c r="ACB30" s="1037">
        <v>14693.798542791876</v>
      </c>
      <c r="ACC30" s="1037">
        <v>0</v>
      </c>
      <c r="ACD30" s="1037">
        <v>0</v>
      </c>
      <c r="ACE30" s="1037">
        <v>0</v>
      </c>
      <c r="ACF30" s="1037">
        <v>0</v>
      </c>
      <c r="ACG30" s="1037">
        <v>1241.7294543204403</v>
      </c>
      <c r="ACH30" s="1037">
        <v>620.86472716022013</v>
      </c>
      <c r="ACI30" s="1037">
        <v>4425.1371420552623</v>
      </c>
      <c r="ACJ30" s="1037">
        <v>15709.236854296179</v>
      </c>
      <c r="ACK30" s="1037">
        <v>0</v>
      </c>
      <c r="ACL30" s="1037">
        <v>0</v>
      </c>
      <c r="ACM30" s="1037">
        <v>0</v>
      </c>
      <c r="ACN30" s="1037">
        <v>0</v>
      </c>
      <c r="ACO30" s="1037">
        <v>1327.5411426165786</v>
      </c>
      <c r="ACP30" s="1037">
        <v>663.77057130828928</v>
      </c>
      <c r="ACQ30" s="1037">
        <v>4635.8579583436085</v>
      </c>
      <c r="ACR30" s="1037">
        <v>16457.295752119808</v>
      </c>
      <c r="ACS30" s="1037">
        <v>0</v>
      </c>
      <c r="ACT30" s="1037">
        <v>0</v>
      </c>
      <c r="ACU30" s="1037">
        <v>0</v>
      </c>
      <c r="ACV30" s="1037">
        <v>0</v>
      </c>
      <c r="ACW30" s="1037">
        <v>1390.7573875030826</v>
      </c>
      <c r="ACX30" s="1037">
        <v>695.37869375154128</v>
      </c>
      <c r="ACY30" s="1037">
        <v>7122.3635905460897</v>
      </c>
      <c r="ACZ30" s="1037">
        <v>25284.390746438614</v>
      </c>
      <c r="ADA30" s="1037">
        <v>0</v>
      </c>
      <c r="ADB30" s="1037">
        <v>0</v>
      </c>
      <c r="ADC30" s="1037">
        <v>0</v>
      </c>
      <c r="ADD30" s="1037">
        <v>0</v>
      </c>
      <c r="ADE30" s="1037">
        <v>2136.7090771638268</v>
      </c>
      <c r="ADF30" s="1037">
        <v>1068.3545385819134</v>
      </c>
      <c r="ADG30" s="1037">
        <v>5054.2049217804779</v>
      </c>
      <c r="ADH30" s="1037">
        <v>17942.427472320695</v>
      </c>
      <c r="ADI30" s="1037">
        <v>0</v>
      </c>
      <c r="ADJ30" s="1037">
        <v>0</v>
      </c>
      <c r="ADK30" s="1037">
        <v>0</v>
      </c>
      <c r="ADL30" s="1037">
        <v>0</v>
      </c>
      <c r="ADM30" s="1037">
        <v>1516.2614765341432</v>
      </c>
      <c r="ADN30" s="1037">
        <v>758.13073826707159</v>
      </c>
      <c r="ADO30" s="1037">
        <v>5437.0285704433263</v>
      </c>
      <c r="ADP30" s="1037">
        <v>19301.451425073807</v>
      </c>
      <c r="ADQ30" s="1037">
        <v>0</v>
      </c>
      <c r="ADR30" s="1037">
        <v>0</v>
      </c>
      <c r="ADS30" s="1037">
        <v>0</v>
      </c>
      <c r="ADT30" s="1037">
        <v>0</v>
      </c>
      <c r="ADU30" s="1037">
        <v>1631.1085711329977</v>
      </c>
      <c r="ADV30" s="1037">
        <v>815.55428556649883</v>
      </c>
      <c r="ADW30" s="1037">
        <v>5695.9346928453888</v>
      </c>
      <c r="ADX30" s="1037">
        <v>20220.568159601131</v>
      </c>
      <c r="ADY30" s="1037">
        <v>0</v>
      </c>
      <c r="ADZ30" s="1037">
        <v>0</v>
      </c>
      <c r="AEA30" s="1037">
        <v>0</v>
      </c>
      <c r="AEB30" s="1037">
        <v>0</v>
      </c>
      <c r="AEC30" s="1037">
        <v>1708.7804078536167</v>
      </c>
      <c r="AED30" s="1037">
        <v>854.39020392680834</v>
      </c>
      <c r="AEE30" s="1037">
        <v>8751.0269371897357</v>
      </c>
      <c r="AEF30" s="1037">
        <v>31066.145627023558</v>
      </c>
      <c r="AEG30" s="1037">
        <v>0</v>
      </c>
      <c r="AEH30" s="1037">
        <v>0</v>
      </c>
      <c r="AEI30" s="1037">
        <v>0</v>
      </c>
      <c r="AEJ30" s="1037">
        <v>0</v>
      </c>
      <c r="AEK30" s="1037">
        <v>2625.3080811569203</v>
      </c>
      <c r="AEL30" s="1037">
        <v>1312.6540405784601</v>
      </c>
      <c r="AEM30" s="1037">
        <v>5828.5260100755368</v>
      </c>
      <c r="AEN30" s="1037">
        <v>20691.267335768152</v>
      </c>
      <c r="AEO30" s="1037">
        <v>0</v>
      </c>
      <c r="AEP30" s="1037">
        <v>0</v>
      </c>
      <c r="AEQ30" s="1037">
        <v>0</v>
      </c>
      <c r="AER30" s="1037">
        <v>0</v>
      </c>
      <c r="AES30" s="1037">
        <v>1748.5578030226607</v>
      </c>
      <c r="AET30" s="1037">
        <v>874.27890151133033</v>
      </c>
      <c r="AEU30" s="1037">
        <v>6192.1714274493424</v>
      </c>
      <c r="AEV30" s="1037">
        <v>21982.208567445163</v>
      </c>
      <c r="AEW30" s="1037">
        <v>0</v>
      </c>
      <c r="AEX30" s="1037">
        <v>0</v>
      </c>
      <c r="AEY30" s="1037">
        <v>0</v>
      </c>
      <c r="AEZ30" s="1037">
        <v>0</v>
      </c>
      <c r="AFA30" s="1037">
        <v>1857.6514282348026</v>
      </c>
      <c r="AFB30" s="1037">
        <v>928.82571411740128</v>
      </c>
      <c r="AFC30" s="1037">
        <v>6487.0367335183591</v>
      </c>
      <c r="AFD30" s="1037">
        <v>23028.980403990172</v>
      </c>
      <c r="AFE30" s="1037">
        <v>0</v>
      </c>
      <c r="AFF30" s="1037">
        <v>0</v>
      </c>
      <c r="AFG30" s="1037">
        <v>0</v>
      </c>
      <c r="AFH30" s="1037">
        <v>0</v>
      </c>
      <c r="AFI30" s="1037">
        <v>1946.1110200555077</v>
      </c>
      <c r="AFJ30" s="1037">
        <v>973.05551002775383</v>
      </c>
      <c r="AFK30" s="1037">
        <v>9966.4473451327522</v>
      </c>
      <c r="AFL30" s="1037">
        <v>35380.888075221264</v>
      </c>
      <c r="AFM30" s="1037">
        <v>0</v>
      </c>
      <c r="AFN30" s="1037">
        <v>0</v>
      </c>
      <c r="AFO30" s="1037">
        <v>0</v>
      </c>
      <c r="AFP30" s="1037">
        <v>0</v>
      </c>
      <c r="AFQ30" s="1037">
        <v>2989.9342035398254</v>
      </c>
      <c r="AFR30" s="1037">
        <v>1494.9671017699127</v>
      </c>
      <c r="AFS30" s="247">
        <v>2322.9632648851775</v>
      </c>
      <c r="AFT30" s="247">
        <v>8246.5195903423792</v>
      </c>
      <c r="AFU30" s="247">
        <v>0</v>
      </c>
      <c r="AFV30" s="247">
        <v>0</v>
      </c>
      <c r="AFW30" s="247">
        <v>0</v>
      </c>
      <c r="AFX30" s="247">
        <v>0</v>
      </c>
      <c r="AFY30" s="247">
        <v>696.88897946555312</v>
      </c>
      <c r="AFZ30" s="247">
        <v>348.44448973277656</v>
      </c>
      <c r="AGA30" s="247">
        <v>2567.4857138204593</v>
      </c>
      <c r="AGB30" s="247">
        <v>9114.5742840626299</v>
      </c>
      <c r="AGC30" s="247">
        <v>0</v>
      </c>
      <c r="AGD30" s="247">
        <v>0</v>
      </c>
      <c r="AGE30" s="247">
        <v>0</v>
      </c>
      <c r="AGF30" s="247">
        <v>0</v>
      </c>
      <c r="AGG30" s="247">
        <v>770.24571414613774</v>
      </c>
      <c r="AGH30" s="247">
        <v>385.12285707306887</v>
      </c>
      <c r="AGI30" s="247">
        <v>2689.7469382881004</v>
      </c>
      <c r="AGJ30" s="247">
        <v>9548.6016309227543</v>
      </c>
      <c r="AGK30" s="247">
        <v>0</v>
      </c>
      <c r="AGL30" s="247">
        <v>0</v>
      </c>
      <c r="AGM30" s="247">
        <v>0</v>
      </c>
      <c r="AGN30" s="247">
        <v>0</v>
      </c>
      <c r="AGO30" s="247">
        <v>806.92408148643005</v>
      </c>
      <c r="AGP30" s="247">
        <v>403.46204074321503</v>
      </c>
      <c r="AGQ30" s="247">
        <v>4132.4293870062638</v>
      </c>
      <c r="AGR30" s="247">
        <v>14670.124323872235</v>
      </c>
      <c r="AGS30" s="247">
        <v>0</v>
      </c>
      <c r="AGT30" s="247">
        <v>0</v>
      </c>
      <c r="AGU30" s="247">
        <v>0</v>
      </c>
      <c r="AGV30" s="247">
        <v>0</v>
      </c>
      <c r="AGW30" s="247">
        <v>1239.7288161018789</v>
      </c>
      <c r="AGX30" s="247">
        <v>619.86440805093946</v>
      </c>
      <c r="AGY30" s="249">
        <v>0</v>
      </c>
      <c r="AGZ30" s="249">
        <v>0</v>
      </c>
      <c r="AHA30" s="249">
        <v>0</v>
      </c>
      <c r="AHB30" s="249">
        <v>0</v>
      </c>
      <c r="AHC30" s="249">
        <v>0</v>
      </c>
      <c r="AHD30" s="249">
        <v>0</v>
      </c>
      <c r="AHE30" s="249">
        <v>0</v>
      </c>
      <c r="AHF30" s="249">
        <v>0</v>
      </c>
      <c r="AHG30" s="249">
        <v>55.905010539093148</v>
      </c>
      <c r="AHH30" s="249">
        <v>87.85073084714638</v>
      </c>
      <c r="AHI30" s="249">
        <v>4.7918580462079836</v>
      </c>
      <c r="AHJ30" s="249">
        <v>0</v>
      </c>
      <c r="AHK30" s="249">
        <v>0</v>
      </c>
      <c r="AHL30" s="249">
        <v>0</v>
      </c>
      <c r="AHM30" s="249">
        <v>1.5972860154026614</v>
      </c>
      <c r="AHN30" s="249">
        <v>9.5837160924159672</v>
      </c>
      <c r="AHO30" s="249">
        <v>79.819286380790828</v>
      </c>
      <c r="AHP30" s="249">
        <v>125.43030716981417</v>
      </c>
      <c r="AHQ30" s="249">
        <v>6.8416531183534994</v>
      </c>
      <c r="AHR30" s="249">
        <v>0</v>
      </c>
      <c r="AHS30" s="249">
        <v>0</v>
      </c>
      <c r="AHT30" s="249">
        <v>0</v>
      </c>
      <c r="AHU30" s="249">
        <v>2.2805510394511668</v>
      </c>
      <c r="AHV30" s="249">
        <v>13.683306236706999</v>
      </c>
      <c r="AHW30" s="249">
        <v>79.117638257287737</v>
      </c>
      <c r="AHX30" s="249">
        <v>124.32771726145218</v>
      </c>
      <c r="AHY30" s="249">
        <v>6.7815118506246632</v>
      </c>
      <c r="AHZ30" s="249">
        <v>0</v>
      </c>
      <c r="AIA30" s="249">
        <v>0</v>
      </c>
      <c r="AIB30" s="249">
        <v>0</v>
      </c>
      <c r="AIC30" s="249">
        <v>2.2605039502082214</v>
      </c>
      <c r="AID30" s="249">
        <v>13.563023701249326</v>
      </c>
      <c r="AIE30" s="249"/>
      <c r="AIF30" s="249"/>
      <c r="AIG30" s="249"/>
      <c r="AIH30" s="249"/>
      <c r="AII30" s="249"/>
      <c r="AIJ30" s="249"/>
      <c r="AIK30" s="249"/>
      <c r="AIL30" s="249"/>
      <c r="AIM30" s="249">
        <v>33.523082083064949</v>
      </c>
      <c r="AIN30" s="249">
        <v>52.679128987673501</v>
      </c>
      <c r="AIO30" s="249">
        <v>2.8734070356912818</v>
      </c>
      <c r="AIP30" s="249">
        <v>0</v>
      </c>
      <c r="AIQ30" s="249">
        <v>0</v>
      </c>
      <c r="AIR30" s="249">
        <v>0</v>
      </c>
      <c r="AIS30" s="249">
        <v>0.95780234523042729</v>
      </c>
      <c r="AIT30" s="249">
        <v>5.7468140713825635</v>
      </c>
      <c r="AIU30" s="134" t="s">
        <v>1216</v>
      </c>
      <c r="AIV30" s="134" t="s">
        <v>1219</v>
      </c>
      <c r="AIW30" s="134" t="s">
        <v>1218</v>
      </c>
      <c r="AIX30" s="134" t="s">
        <v>1217</v>
      </c>
      <c r="AIY30" s="134" t="s">
        <v>1228</v>
      </c>
      <c r="AIZ30" s="134" t="s">
        <v>1229</v>
      </c>
      <c r="AJA30" s="134" t="s">
        <v>1230</v>
      </c>
      <c r="AJB30" s="134" t="s">
        <v>1231</v>
      </c>
      <c r="AJC30" s="134" t="s">
        <v>1232</v>
      </c>
      <c r="AJD30" s="134" t="s">
        <v>1233</v>
      </c>
    </row>
    <row r="31" spans="1:940" ht="18" customHeight="1">
      <c r="A31" s="664" t="s">
        <v>26</v>
      </c>
      <c r="B31" s="670">
        <v>0.1</v>
      </c>
      <c r="C31" s="8">
        <v>0.1</v>
      </c>
      <c r="D31" s="8">
        <v>0.1</v>
      </c>
      <c r="E31" s="1">
        <v>0</v>
      </c>
      <c r="F31" s="72">
        <v>-3.5</v>
      </c>
      <c r="G31" s="11">
        <v>-4.5</v>
      </c>
      <c r="H31" s="11">
        <v>-4.5</v>
      </c>
      <c r="I31" s="266">
        <v>350</v>
      </c>
      <c r="J31" s="125">
        <v>0</v>
      </c>
      <c r="K31" s="125">
        <v>0</v>
      </c>
      <c r="L31" s="125">
        <v>0</v>
      </c>
      <c r="M31" s="1">
        <v>827.56904158479972</v>
      </c>
      <c r="N31" s="2">
        <v>12</v>
      </c>
      <c r="O31" s="8">
        <v>0.6</v>
      </c>
      <c r="P31" s="8">
        <v>0.5</v>
      </c>
      <c r="Q31" s="8">
        <v>0.5</v>
      </c>
      <c r="R31" s="7">
        <v>1.3</v>
      </c>
      <c r="S31" s="7">
        <v>0</v>
      </c>
      <c r="T31" s="7">
        <v>93.6</v>
      </c>
      <c r="U31" s="7">
        <v>5.2</v>
      </c>
      <c r="V31" s="71">
        <v>0</v>
      </c>
      <c r="W31" s="119">
        <v>2</v>
      </c>
      <c r="X31" s="120">
        <v>1.5</v>
      </c>
      <c r="Y31" s="119">
        <v>1</v>
      </c>
      <c r="Z31" s="120">
        <v>0.8</v>
      </c>
      <c r="AA31" s="120">
        <v>0.5</v>
      </c>
      <c r="AB31" s="559">
        <v>433.01922201480062</v>
      </c>
      <c r="AC31" s="559">
        <v>470.67306740739195</v>
      </c>
      <c r="AD31" s="559">
        <v>433.37222681535616</v>
      </c>
      <c r="AE31" s="559">
        <v>649.0581599547935</v>
      </c>
      <c r="AF31" s="622">
        <v>0.82209484106305364</v>
      </c>
      <c r="AG31" s="559">
        <v>261.91600618637949</v>
      </c>
      <c r="AH31" s="559">
        <v>284.69131107215162</v>
      </c>
      <c r="AI31" s="559">
        <v>262.12952466968363</v>
      </c>
      <c r="AJ31" s="559">
        <v>392.58931796849708</v>
      </c>
      <c r="AK31" s="622">
        <v>0.96717040125065135</v>
      </c>
      <c r="AL31" s="996">
        <v>0.2</v>
      </c>
      <c r="AM31" s="996">
        <v>0.4</v>
      </c>
      <c r="AN31" s="996">
        <v>0.9</v>
      </c>
      <c r="AO31" s="996">
        <v>1.2</v>
      </c>
      <c r="AP31" s="996">
        <v>1.5</v>
      </c>
      <c r="AQ31" s="996">
        <v>1.9</v>
      </c>
      <c r="AR31" s="996">
        <v>2.2999999999999998</v>
      </c>
      <c r="AS31" s="1005">
        <v>0</v>
      </c>
      <c r="AT31" s="1005">
        <v>10</v>
      </c>
      <c r="AU31" s="1005">
        <v>20</v>
      </c>
      <c r="AV31" s="1005">
        <v>70</v>
      </c>
      <c r="AW31" s="1005">
        <v>100</v>
      </c>
      <c r="AX31" s="1">
        <v>12671.393227642182</v>
      </c>
      <c r="AY31" s="5">
        <v>1.7</v>
      </c>
      <c r="AZ31" s="8">
        <v>0.8</v>
      </c>
      <c r="BA31" s="8">
        <v>0.5</v>
      </c>
      <c r="BB31" s="8">
        <v>0.5</v>
      </c>
      <c r="BC31" s="73">
        <v>0.19156923089066447</v>
      </c>
      <c r="BD31" s="73">
        <v>0.1807891790858096</v>
      </c>
      <c r="BE31" s="9">
        <v>0</v>
      </c>
      <c r="BF31" s="9">
        <v>7.6062111079409495E-3</v>
      </c>
      <c r="BG31" s="9">
        <v>8.5554531963388332</v>
      </c>
      <c r="BH31" s="9">
        <v>33.667408136230179</v>
      </c>
      <c r="BI31" s="9">
        <v>3.5262459985779975</v>
      </c>
      <c r="BJ31" s="9">
        <v>3.544004706057482</v>
      </c>
      <c r="BK31" s="9">
        <v>41.852148313934769</v>
      </c>
      <c r="BL31" s="9">
        <v>5.5593894921989004E-2</v>
      </c>
      <c r="BM31" s="9">
        <v>0.24369255759991068</v>
      </c>
      <c r="BN31" s="9">
        <v>4.8640577471382044E-3</v>
      </c>
      <c r="BO31" s="9">
        <v>0</v>
      </c>
      <c r="BP31" s="9">
        <v>0</v>
      </c>
      <c r="BQ31" s="9">
        <v>0</v>
      </c>
      <c r="BR31" s="9">
        <v>3.2873195646766253E-2</v>
      </c>
      <c r="BS31" s="9">
        <v>8.5101097318369892</v>
      </c>
      <c r="BT31" s="262">
        <v>261.13475999999997</v>
      </c>
      <c r="BU31" s="262">
        <v>96.5</v>
      </c>
      <c r="BV31" s="262">
        <v>63.215999999999994</v>
      </c>
      <c r="BW31" s="262">
        <v>233.35949490734063</v>
      </c>
      <c r="BX31" s="262">
        <v>157.40783999999999</v>
      </c>
      <c r="BY31" s="68"/>
      <c r="BZ31" s="262">
        <v>256.20808011776955</v>
      </c>
      <c r="CA31" s="262">
        <v>165.17663999999999</v>
      </c>
      <c r="CB31" s="68"/>
      <c r="CC31" s="785">
        <v>0</v>
      </c>
      <c r="CD31" s="262">
        <v>6.585</v>
      </c>
      <c r="CE31" s="262">
        <v>1.3169999999999999</v>
      </c>
      <c r="CF31" s="262">
        <v>38</v>
      </c>
      <c r="CG31" s="262">
        <v>225.83915999999996</v>
      </c>
      <c r="CH31" s="68">
        <v>0.2</v>
      </c>
      <c r="CI31" s="262">
        <v>175.08124000000001</v>
      </c>
      <c r="CJ31" s="262">
        <v>60.4</v>
      </c>
      <c r="CK31" s="262">
        <v>42.384</v>
      </c>
      <c r="CL31" s="262">
        <v>156.45894761061641</v>
      </c>
      <c r="CM31" s="262">
        <v>105.53616</v>
      </c>
      <c r="CN31" s="68"/>
      <c r="CO31" s="262">
        <v>159.24945066654416</v>
      </c>
      <c r="CP31" s="262">
        <v>102.66767999999999</v>
      </c>
      <c r="CQ31" s="68"/>
      <c r="CR31" s="262">
        <v>0</v>
      </c>
      <c r="CS31" s="262">
        <v>4.415</v>
      </c>
      <c r="CT31" s="262">
        <v>0.88300000000000001</v>
      </c>
      <c r="CU31" s="262">
        <v>27</v>
      </c>
      <c r="CV31" s="262">
        <v>151.41683999999998</v>
      </c>
      <c r="CW31" s="68">
        <v>0.2</v>
      </c>
      <c r="CX31" s="120">
        <v>0.3</v>
      </c>
      <c r="CY31" s="120">
        <v>0.7</v>
      </c>
      <c r="CZ31" s="120">
        <v>1.2</v>
      </c>
      <c r="DA31" s="120">
        <v>1.2</v>
      </c>
      <c r="DB31" s="119">
        <v>3</v>
      </c>
      <c r="DC31" s="1005">
        <v>0</v>
      </c>
      <c r="DD31" s="1005">
        <v>10</v>
      </c>
      <c r="DE31" s="1005">
        <v>20</v>
      </c>
      <c r="DF31" s="1005">
        <v>70</v>
      </c>
      <c r="DG31" s="1005">
        <v>100</v>
      </c>
      <c r="DH31" s="2">
        <v>5.1316588915851735</v>
      </c>
      <c r="DI31" s="2">
        <v>18</v>
      </c>
      <c r="DJ31" s="63">
        <v>12</v>
      </c>
      <c r="DK31" s="8">
        <v>1.6</v>
      </c>
      <c r="DL31" s="8">
        <v>1.2</v>
      </c>
      <c r="DM31" s="8">
        <v>1.2</v>
      </c>
      <c r="DN31" s="1030" t="s">
        <v>1025</v>
      </c>
      <c r="DO31" s="1030" t="s">
        <v>997</v>
      </c>
      <c r="DP31" s="1030" t="s">
        <v>997</v>
      </c>
      <c r="DQ31" s="1030" t="s">
        <v>997</v>
      </c>
      <c r="DR31" s="1030" t="s">
        <v>997</v>
      </c>
      <c r="DS31" s="1030" t="s">
        <v>997</v>
      </c>
      <c r="DT31" s="1030" t="s">
        <v>997</v>
      </c>
      <c r="DU31" s="1097">
        <v>498</v>
      </c>
      <c r="DV31" s="1097">
        <v>0</v>
      </c>
      <c r="DW31" s="1097">
        <v>0</v>
      </c>
      <c r="DX31" s="1097">
        <v>0</v>
      </c>
      <c r="DY31" s="1097">
        <v>0</v>
      </c>
      <c r="DZ31" s="1097">
        <v>0</v>
      </c>
      <c r="EA31" s="1097">
        <v>0</v>
      </c>
      <c r="EB31" s="207">
        <v>0.498</v>
      </c>
      <c r="EC31" s="207">
        <v>18</v>
      </c>
      <c r="ED31" s="221">
        <v>5</v>
      </c>
      <c r="EE31" s="1038">
        <v>1.6</v>
      </c>
      <c r="EF31" s="1038">
        <v>1.2</v>
      </c>
      <c r="EG31" s="1038">
        <v>1.2</v>
      </c>
      <c r="EH31" s="208" t="s">
        <v>1048</v>
      </c>
      <c r="EI31" s="208" t="s">
        <v>1025</v>
      </c>
      <c r="EJ31" s="208" t="s">
        <v>1080</v>
      </c>
      <c r="EK31" s="204" t="s">
        <v>997</v>
      </c>
      <c r="EL31" s="204" t="s">
        <v>997</v>
      </c>
      <c r="EM31" s="204" t="s">
        <v>997</v>
      </c>
      <c r="EN31" s="204" t="s">
        <v>997</v>
      </c>
      <c r="EO31" s="204" t="s">
        <v>997</v>
      </c>
      <c r="EP31" s="204" t="s">
        <v>997</v>
      </c>
      <c r="EQ31" s="204" t="s">
        <v>997</v>
      </c>
      <c r="ER31" s="204" t="s">
        <v>997</v>
      </c>
      <c r="ES31" s="204" t="s">
        <v>997</v>
      </c>
      <c r="ET31" s="204" t="s">
        <v>997</v>
      </c>
      <c r="EU31" s="204" t="s">
        <v>997</v>
      </c>
      <c r="EV31" s="204" t="s">
        <v>997</v>
      </c>
      <c r="EW31" s="204" t="s">
        <v>997</v>
      </c>
      <c r="EX31" s="204" t="s">
        <v>997</v>
      </c>
      <c r="EY31" s="204" t="s">
        <v>997</v>
      </c>
      <c r="EZ31" s="204" t="s">
        <v>997</v>
      </c>
      <c r="FA31" s="204" t="s">
        <v>997</v>
      </c>
      <c r="FB31" s="204" t="s">
        <v>997</v>
      </c>
      <c r="FC31" s="204" t="s">
        <v>997</v>
      </c>
      <c r="FD31" s="204" t="s">
        <v>997</v>
      </c>
      <c r="FE31" s="204" t="s">
        <v>997</v>
      </c>
      <c r="FF31" s="204" t="s">
        <v>997</v>
      </c>
      <c r="FG31" s="204" t="s">
        <v>997</v>
      </c>
      <c r="FH31" s="204" t="s">
        <v>997</v>
      </c>
      <c r="FI31" s="204" t="s">
        <v>997</v>
      </c>
      <c r="FJ31" s="204" t="s">
        <v>997</v>
      </c>
      <c r="FK31" s="204" t="s">
        <v>997</v>
      </c>
      <c r="FL31" s="204" t="s">
        <v>997</v>
      </c>
      <c r="FM31" s="204" t="s">
        <v>997</v>
      </c>
      <c r="FN31" s="204" t="s">
        <v>997</v>
      </c>
      <c r="FO31" s="204" t="s">
        <v>997</v>
      </c>
      <c r="FP31" s="204" t="s">
        <v>997</v>
      </c>
      <c r="FQ31" s="204" t="s">
        <v>997</v>
      </c>
      <c r="FR31" s="204" t="s">
        <v>997</v>
      </c>
      <c r="FS31" s="204" t="s">
        <v>997</v>
      </c>
      <c r="FT31" s="204" t="s">
        <v>997</v>
      </c>
      <c r="FU31" s="204" t="s">
        <v>997</v>
      </c>
      <c r="FV31" s="204" t="s">
        <v>997</v>
      </c>
      <c r="FW31" s="204" t="s">
        <v>997</v>
      </c>
      <c r="FX31" s="204" t="s">
        <v>997</v>
      </c>
      <c r="FY31" s="204" t="s">
        <v>997</v>
      </c>
      <c r="FZ31" s="204" t="s">
        <v>997</v>
      </c>
      <c r="GA31" s="204" t="s">
        <v>997</v>
      </c>
      <c r="GB31" s="204" t="s">
        <v>997</v>
      </c>
      <c r="GC31" s="204" t="s">
        <v>997</v>
      </c>
      <c r="GD31" s="204" t="s">
        <v>997</v>
      </c>
      <c r="GE31" s="204" t="s">
        <v>997</v>
      </c>
      <c r="GF31" s="204" t="s">
        <v>997</v>
      </c>
      <c r="GG31" s="204" t="s">
        <v>997</v>
      </c>
      <c r="GH31" s="204" t="s">
        <v>997</v>
      </c>
      <c r="GI31" s="204" t="s">
        <v>997</v>
      </c>
      <c r="GJ31" s="204" t="s">
        <v>997</v>
      </c>
      <c r="GK31" s="204" t="s">
        <v>997</v>
      </c>
      <c r="GL31" s="204" t="s">
        <v>997</v>
      </c>
      <c r="GM31" s="204" t="s">
        <v>997</v>
      </c>
      <c r="GN31" s="1051">
        <v>61.900062460961898</v>
      </c>
      <c r="GO31" s="1051">
        <v>408.72704559650225</v>
      </c>
      <c r="GP31" s="1051">
        <v>27.372891942535922</v>
      </c>
      <c r="GQ31" s="1051">
        <v>0</v>
      </c>
      <c r="GR31" s="1051">
        <v>0</v>
      </c>
      <c r="GS31" s="1051">
        <v>0</v>
      </c>
      <c r="GT31" s="1051">
        <v>0</v>
      </c>
      <c r="GU31" s="1051">
        <v>0</v>
      </c>
      <c r="GV31" s="1051">
        <v>0</v>
      </c>
      <c r="GW31" s="1051">
        <v>0</v>
      </c>
      <c r="GX31" s="1051">
        <v>0</v>
      </c>
      <c r="GY31" s="1051">
        <v>0</v>
      </c>
      <c r="GZ31" s="1051">
        <v>0</v>
      </c>
      <c r="HA31" s="1051">
        <v>0</v>
      </c>
      <c r="HB31" s="1051">
        <v>0</v>
      </c>
      <c r="HC31" s="1051">
        <v>0</v>
      </c>
      <c r="HD31" s="1051">
        <v>0</v>
      </c>
      <c r="HE31" s="1051">
        <v>0</v>
      </c>
      <c r="HF31" s="1051">
        <v>0</v>
      </c>
      <c r="HG31" s="1051">
        <v>0</v>
      </c>
      <c r="HH31" s="1051">
        <v>0</v>
      </c>
      <c r="HI31" s="1051">
        <v>0</v>
      </c>
      <c r="HJ31" s="1051">
        <v>0</v>
      </c>
      <c r="HK31" s="1051">
        <v>0</v>
      </c>
      <c r="HL31" s="1051">
        <v>0</v>
      </c>
      <c r="HM31" s="1051">
        <v>0</v>
      </c>
      <c r="HN31" s="1051">
        <v>0</v>
      </c>
      <c r="HO31" s="1051">
        <v>0</v>
      </c>
      <c r="HP31" s="1051">
        <v>0</v>
      </c>
      <c r="HQ31" s="1051">
        <v>0</v>
      </c>
      <c r="HR31" s="1051">
        <v>0</v>
      </c>
      <c r="HS31" s="1051">
        <v>0</v>
      </c>
      <c r="HT31" s="1051">
        <v>0</v>
      </c>
      <c r="HU31" s="1051">
        <v>0</v>
      </c>
      <c r="HV31" s="1051">
        <v>0</v>
      </c>
      <c r="HW31" s="1051">
        <v>0</v>
      </c>
      <c r="HX31" s="1051">
        <v>0</v>
      </c>
      <c r="HY31" s="1051">
        <v>0</v>
      </c>
      <c r="HZ31" s="1051">
        <v>0</v>
      </c>
      <c r="IA31" s="1051">
        <v>0</v>
      </c>
      <c r="IB31" s="1051">
        <v>0</v>
      </c>
      <c r="IC31" s="1051">
        <v>0</v>
      </c>
      <c r="ID31" s="1051">
        <v>0</v>
      </c>
      <c r="IE31" s="1051">
        <v>0</v>
      </c>
      <c r="IF31" s="1051">
        <v>0</v>
      </c>
      <c r="IG31" s="1051">
        <v>0</v>
      </c>
      <c r="IH31" s="1051">
        <v>0</v>
      </c>
      <c r="II31" s="1051">
        <v>0</v>
      </c>
      <c r="IJ31" s="1051">
        <v>0</v>
      </c>
      <c r="IK31" s="1051">
        <v>0</v>
      </c>
      <c r="IL31" s="1051">
        <v>0</v>
      </c>
      <c r="IM31" s="1051">
        <v>0</v>
      </c>
      <c r="IN31" s="1051">
        <v>0</v>
      </c>
      <c r="IO31" s="1051">
        <v>0</v>
      </c>
      <c r="IP31" s="1051">
        <v>0</v>
      </c>
      <c r="IQ31" s="1051">
        <v>0</v>
      </c>
      <c r="IR31" s="1051">
        <v>0</v>
      </c>
      <c r="IS31" s="1051">
        <v>0</v>
      </c>
      <c r="IT31" s="215">
        <v>697.22550988440969</v>
      </c>
      <c r="IU31" s="207">
        <v>179.9</v>
      </c>
      <c r="IV31" s="216">
        <v>2647.0800000000199</v>
      </c>
      <c r="IW31" s="272">
        <v>12.64</v>
      </c>
      <c r="IX31" s="207">
        <v>50</v>
      </c>
      <c r="IY31" s="204">
        <v>1.6</v>
      </c>
      <c r="IZ31" s="204">
        <v>1.2</v>
      </c>
      <c r="JA31" s="204">
        <v>1.2</v>
      </c>
      <c r="JB31" s="52">
        <v>2</v>
      </c>
      <c r="JC31" s="24">
        <v>1.5</v>
      </c>
      <c r="JD31" s="24">
        <v>0.7</v>
      </c>
      <c r="JE31" s="24">
        <v>0.7</v>
      </c>
      <c r="JF31" s="24">
        <v>0.5</v>
      </c>
      <c r="JG31" s="1"/>
      <c r="JH31" s="216">
        <v>2647.0800000000199</v>
      </c>
      <c r="JI31" s="272">
        <v>12.64</v>
      </c>
      <c r="JJ31" s="207">
        <v>50</v>
      </c>
      <c r="JK31" s="8">
        <v>1.9</v>
      </c>
      <c r="JL31" s="8">
        <v>1.1000000000000001</v>
      </c>
      <c r="JM31" s="8">
        <v>1.1000000000000001</v>
      </c>
      <c r="JN31" s="216">
        <v>2</v>
      </c>
      <c r="JO31" s="216">
        <v>2</v>
      </c>
      <c r="JP31" s="216">
        <v>1</v>
      </c>
      <c r="JQ31" s="216">
        <v>1</v>
      </c>
      <c r="JR31" s="214">
        <v>0.5</v>
      </c>
      <c r="JS31" s="1212">
        <v>2000</v>
      </c>
      <c r="JT31" s="215"/>
      <c r="JU31" s="215">
        <v>500</v>
      </c>
      <c r="JV31" s="207">
        <v>1.5</v>
      </c>
      <c r="JW31" s="207">
        <v>0.7</v>
      </c>
      <c r="JX31" s="207">
        <v>0.7</v>
      </c>
      <c r="JY31" s="214">
        <v>2</v>
      </c>
      <c r="JZ31" s="214">
        <v>1.5</v>
      </c>
      <c r="KA31" s="214">
        <v>0.5</v>
      </c>
      <c r="KB31" s="214">
        <v>1</v>
      </c>
      <c r="KC31" s="214">
        <v>0.5</v>
      </c>
      <c r="KD31" s="1186">
        <v>4.9335904321574917</v>
      </c>
      <c r="KE31" s="1186">
        <v>0</v>
      </c>
      <c r="KF31" s="1186">
        <v>92.08106851631355</v>
      </c>
      <c r="KG31" s="1186"/>
      <c r="KH31" s="1186">
        <v>1.4390210890345261</v>
      </c>
      <c r="KI31" s="1186">
        <v>1.5463199624944339</v>
      </c>
      <c r="KJ31" s="1186">
        <v>0</v>
      </c>
      <c r="KK31" s="1186">
        <v>0</v>
      </c>
      <c r="KL31" s="1186"/>
      <c r="KM31" s="1187">
        <v>580</v>
      </c>
      <c r="KN31" s="1187">
        <v>580</v>
      </c>
      <c r="KO31" s="1187">
        <v>580</v>
      </c>
      <c r="KP31" s="1187">
        <v>580</v>
      </c>
      <c r="KQ31" s="1187"/>
      <c r="KR31" s="1187">
        <v>580</v>
      </c>
      <c r="KS31" s="1187">
        <v>580</v>
      </c>
      <c r="KT31" s="1187">
        <v>580</v>
      </c>
      <c r="KU31" s="1187">
        <v>580</v>
      </c>
      <c r="KV31" s="262">
        <v>370</v>
      </c>
      <c r="KW31" s="262">
        <v>370</v>
      </c>
      <c r="KX31" s="262">
        <v>370</v>
      </c>
      <c r="KY31" s="262">
        <v>370</v>
      </c>
      <c r="KZ31" s="262"/>
      <c r="LA31" s="262">
        <v>370</v>
      </c>
      <c r="LB31" s="262">
        <v>370</v>
      </c>
      <c r="LC31" s="262">
        <v>370</v>
      </c>
      <c r="LD31" s="262">
        <v>370</v>
      </c>
      <c r="LE31" s="1213">
        <v>0</v>
      </c>
      <c r="LF31" s="1213">
        <v>10</v>
      </c>
      <c r="LG31" s="1213">
        <v>20</v>
      </c>
      <c r="LH31" s="1213">
        <v>70</v>
      </c>
      <c r="LI31" s="1213">
        <v>100</v>
      </c>
      <c r="LJ31" s="1212">
        <v>1000</v>
      </c>
      <c r="LK31" s="1"/>
      <c r="LL31" s="4">
        <v>29</v>
      </c>
      <c r="LM31" s="10">
        <v>1</v>
      </c>
      <c r="LN31" s="8">
        <v>0.7</v>
      </c>
      <c r="LO31" s="8">
        <v>0.7</v>
      </c>
      <c r="LP31" s="214">
        <v>2</v>
      </c>
      <c r="LQ31" s="214">
        <v>1</v>
      </c>
      <c r="LR31" s="214">
        <v>0.5</v>
      </c>
      <c r="LS31" s="214">
        <v>0.7</v>
      </c>
      <c r="LT31" s="214">
        <v>0.2</v>
      </c>
      <c r="LU31" s="1212">
        <v>1500</v>
      </c>
      <c r="LV31" s="122">
        <v>0</v>
      </c>
      <c r="LW31" s="122">
        <v>0</v>
      </c>
      <c r="LX31" s="122">
        <v>0</v>
      </c>
      <c r="LY31" s="165">
        <v>0</v>
      </c>
      <c r="LZ31" s="165">
        <v>0</v>
      </c>
      <c r="MA31" s="165">
        <v>0</v>
      </c>
      <c r="MB31" s="165">
        <v>0</v>
      </c>
      <c r="MC31" s="165">
        <v>0</v>
      </c>
      <c r="MD31" s="165">
        <v>0</v>
      </c>
      <c r="ME31" s="165">
        <v>0</v>
      </c>
      <c r="MF31" s="165">
        <v>0</v>
      </c>
      <c r="MG31" s="165">
        <v>0</v>
      </c>
      <c r="MH31" s="165">
        <v>0</v>
      </c>
      <c r="MI31" s="165">
        <v>0</v>
      </c>
      <c r="MJ31" s="165">
        <v>0</v>
      </c>
      <c r="MK31" s="165">
        <v>0</v>
      </c>
      <c r="ML31" s="165">
        <v>0</v>
      </c>
      <c r="MM31" s="165">
        <v>0</v>
      </c>
      <c r="MN31" s="165">
        <v>0</v>
      </c>
      <c r="MO31" s="165">
        <v>0</v>
      </c>
      <c r="MP31" s="165">
        <v>0</v>
      </c>
      <c r="MQ31" s="165">
        <v>0</v>
      </c>
      <c r="MR31" s="165">
        <v>0</v>
      </c>
      <c r="MS31" s="165">
        <v>0</v>
      </c>
      <c r="MT31" s="165">
        <v>0</v>
      </c>
      <c r="MU31" s="165">
        <v>0</v>
      </c>
      <c r="MV31" s="165">
        <v>0</v>
      </c>
      <c r="MW31" s="166">
        <v>1.5879033492308401</v>
      </c>
      <c r="MX31" s="166">
        <v>0</v>
      </c>
      <c r="MY31" s="166">
        <v>1.2374119467068201</v>
      </c>
      <c r="MZ31" s="166">
        <v>1.7473909752354599</v>
      </c>
      <c r="NA31" s="166">
        <v>0.48305527472544002</v>
      </c>
      <c r="NB31" s="166">
        <v>-0.92999878258752</v>
      </c>
      <c r="NC31" s="166">
        <v>4.2236312705159998E-2</v>
      </c>
      <c r="ND31" s="166">
        <v>0</v>
      </c>
      <c r="NE31" s="166">
        <v>0.60433761737880998</v>
      </c>
      <c r="NF31" s="166">
        <v>0.86865437500107001</v>
      </c>
      <c r="NG31" s="166">
        <v>-0.12147479502984999</v>
      </c>
      <c r="NH31" s="166">
        <v>0</v>
      </c>
      <c r="NI31" s="166">
        <v>0.59790308308494999</v>
      </c>
      <c r="NJ31" s="166">
        <v>0</v>
      </c>
      <c r="NK31" s="166">
        <v>1.05336834016393</v>
      </c>
      <c r="NL31" s="166">
        <v>1.92164213859911</v>
      </c>
      <c r="NM31" s="166">
        <v>0</v>
      </c>
      <c r="NN31" s="166">
        <v>-0.93000022644596003</v>
      </c>
      <c r="NO31" s="166">
        <v>0.90524964380529005</v>
      </c>
      <c r="NP31" s="166">
        <v>0</v>
      </c>
      <c r="NQ31" s="166">
        <v>1.20833393126211</v>
      </c>
      <c r="NR31" s="166">
        <v>2.2571367070183199</v>
      </c>
      <c r="NS31" s="166">
        <v>1.0774480058221201</v>
      </c>
      <c r="NT31" s="166">
        <v>0</v>
      </c>
      <c r="NU31" s="166">
        <v>0</v>
      </c>
      <c r="NV31" s="166">
        <v>0</v>
      </c>
      <c r="NW31" s="166">
        <v>0</v>
      </c>
      <c r="NX31" s="166">
        <v>0</v>
      </c>
      <c r="NY31" s="166">
        <v>0</v>
      </c>
      <c r="NZ31" s="166">
        <v>0</v>
      </c>
      <c r="OA31" s="166">
        <v>-32.08</v>
      </c>
      <c r="OB31" s="166">
        <v>-8.5399999999999991</v>
      </c>
      <c r="OC31" s="166">
        <v>-4.4565069068566103</v>
      </c>
      <c r="OD31" s="166">
        <v>0</v>
      </c>
      <c r="OE31" s="166">
        <v>-0.41091065696852003</v>
      </c>
      <c r="OF31" s="166">
        <v>-7.8999879393106101</v>
      </c>
      <c r="OG31" s="166">
        <v>-0.13339441431321</v>
      </c>
      <c r="OH31" s="166">
        <v>0</v>
      </c>
      <c r="OI31" s="166">
        <v>0</v>
      </c>
      <c r="OJ31" s="166">
        <v>0</v>
      </c>
      <c r="OK31" s="166">
        <v>-0.34359432407297003</v>
      </c>
      <c r="OL31" s="166">
        <v>0</v>
      </c>
      <c r="OM31" s="166">
        <v>0.18571568293497001</v>
      </c>
      <c r="ON31" s="166">
        <v>0</v>
      </c>
      <c r="OO31" s="166">
        <v>0</v>
      </c>
      <c r="OP31" s="166">
        <v>0</v>
      </c>
      <c r="OQ31" s="166">
        <v>0</v>
      </c>
      <c r="OR31" s="166">
        <v>-7.9000091060244797</v>
      </c>
      <c r="OS31" s="166">
        <v>0.64091248386055999</v>
      </c>
      <c r="OT31" s="166">
        <v>0</v>
      </c>
      <c r="OU31" s="166">
        <v>0</v>
      </c>
      <c r="OV31" s="166">
        <v>0</v>
      </c>
      <c r="OW31" s="166">
        <v>0.51530725468044003</v>
      </c>
      <c r="OX31" s="166">
        <v>0</v>
      </c>
      <c r="OY31" s="166">
        <v>0</v>
      </c>
      <c r="OZ31" s="166">
        <v>0</v>
      </c>
      <c r="PA31" s="166">
        <v>0</v>
      </c>
      <c r="PB31" s="166">
        <v>0</v>
      </c>
      <c r="PC31" s="166">
        <v>0</v>
      </c>
      <c r="PD31" s="166">
        <v>0</v>
      </c>
      <c r="PE31" s="166">
        <v>-32.08</v>
      </c>
      <c r="PF31" s="166">
        <v>-8.5399999999999991</v>
      </c>
      <c r="PG31" s="166">
        <v>-3.3907754499817102</v>
      </c>
      <c r="PH31" s="166">
        <v>0</v>
      </c>
      <c r="PI31" s="166">
        <v>0.18975143296406999</v>
      </c>
      <c r="PJ31" s="166">
        <v>0</v>
      </c>
      <c r="PK31" s="166">
        <v>0</v>
      </c>
      <c r="PL31" s="166">
        <v>0</v>
      </c>
      <c r="PM31" s="166">
        <v>0</v>
      </c>
      <c r="PN31" s="166">
        <v>0</v>
      </c>
      <c r="PO31" s="166">
        <v>0</v>
      </c>
      <c r="PP31" s="166">
        <v>0</v>
      </c>
      <c r="PQ31" s="166">
        <v>0.42668001501689001</v>
      </c>
      <c r="PR31" s="166">
        <v>0</v>
      </c>
      <c r="PS31" s="166">
        <v>0</v>
      </c>
      <c r="PT31" s="166">
        <v>0</v>
      </c>
      <c r="PU31" s="166">
        <v>0</v>
      </c>
      <c r="PV31" s="166">
        <v>-3.5999916572811101</v>
      </c>
      <c r="PW31" s="166">
        <v>0.22941946804461999</v>
      </c>
      <c r="PX31" s="166">
        <v>0</v>
      </c>
      <c r="PY31" s="166">
        <v>0</v>
      </c>
      <c r="PZ31" s="166">
        <v>0</v>
      </c>
      <c r="QA31" s="166">
        <v>1.24483107868372</v>
      </c>
      <c r="QB31" s="166">
        <v>0</v>
      </c>
      <c r="QC31" s="166">
        <v>0</v>
      </c>
      <c r="QD31" s="166">
        <v>0</v>
      </c>
      <c r="QE31" s="166">
        <v>0</v>
      </c>
      <c r="QF31" s="166">
        <v>0</v>
      </c>
      <c r="QG31" s="166">
        <v>0</v>
      </c>
      <c r="QH31" s="166">
        <v>0</v>
      </c>
      <c r="QI31" s="162">
        <v>0</v>
      </c>
      <c r="QJ31" s="167">
        <v>0</v>
      </c>
      <c r="QK31" s="167">
        <v>0</v>
      </c>
      <c r="QL31" s="167">
        <v>0</v>
      </c>
      <c r="QM31" s="167">
        <v>0</v>
      </c>
      <c r="QN31" s="162">
        <v>0</v>
      </c>
      <c r="QO31" s="162">
        <v>0</v>
      </c>
      <c r="QP31" s="162">
        <v>0</v>
      </c>
      <c r="QQ31" s="162">
        <v>0</v>
      </c>
      <c r="QR31" s="162">
        <v>0</v>
      </c>
      <c r="QS31" s="162">
        <v>0</v>
      </c>
      <c r="QT31" s="162">
        <v>0</v>
      </c>
      <c r="QU31" s="162">
        <v>-1.2689099357037401</v>
      </c>
      <c r="QV31" s="162">
        <v>0</v>
      </c>
      <c r="QW31" s="162">
        <v>-2.8781145047999299</v>
      </c>
      <c r="QX31" s="162">
        <v>0</v>
      </c>
      <c r="QY31" s="162">
        <v>0</v>
      </c>
      <c r="QZ31" s="162">
        <v>-0.24998613037448</v>
      </c>
      <c r="RA31" s="167">
        <v>-0.30438021768994999</v>
      </c>
      <c r="RB31" s="167">
        <v>0</v>
      </c>
      <c r="RC31" s="167">
        <v>0</v>
      </c>
      <c r="RD31" s="167">
        <v>0</v>
      </c>
      <c r="RE31" s="167">
        <v>-0.10340801014477</v>
      </c>
      <c r="RF31" s="167">
        <v>0</v>
      </c>
      <c r="RG31" s="167">
        <v>0</v>
      </c>
      <c r="RH31" s="167">
        <v>0</v>
      </c>
      <c r="RI31" s="167">
        <v>0</v>
      </c>
      <c r="RJ31" s="167">
        <v>0</v>
      </c>
      <c r="RK31" s="167">
        <v>0</v>
      </c>
      <c r="RL31" s="167">
        <v>0</v>
      </c>
      <c r="RM31" s="166">
        <v>-32.08</v>
      </c>
      <c r="RN31" s="166">
        <v>-8.5399999999999991</v>
      </c>
      <c r="RO31" s="166">
        <v>-3.6131506468816301</v>
      </c>
      <c r="RP31" s="166">
        <v>0</v>
      </c>
      <c r="RQ31" s="166">
        <v>-1.1097337473256801</v>
      </c>
      <c r="RR31" s="166">
        <v>-7.9000036285925503</v>
      </c>
      <c r="RS31" s="166">
        <v>-0.25324437798651001</v>
      </c>
      <c r="RT31" s="166">
        <v>0</v>
      </c>
      <c r="RU31" s="166">
        <v>0</v>
      </c>
      <c r="RV31" s="166">
        <v>0</v>
      </c>
      <c r="RW31" s="166">
        <v>-0.84122717749562004</v>
      </c>
      <c r="RX31" s="166">
        <v>0</v>
      </c>
      <c r="RY31" s="166">
        <v>-0.41127477038100002</v>
      </c>
      <c r="RZ31" s="166">
        <v>0</v>
      </c>
      <c r="SA31" s="166">
        <v>0</v>
      </c>
      <c r="SB31" s="166">
        <v>0</v>
      </c>
      <c r="SC31" s="166">
        <v>-0.88393036854300999</v>
      </c>
      <c r="SD31" s="166">
        <v>0</v>
      </c>
      <c r="SE31" s="166">
        <v>-1.41237443138741</v>
      </c>
      <c r="SF31" s="166">
        <v>0</v>
      </c>
      <c r="SG31" s="166">
        <v>0</v>
      </c>
      <c r="SH31" s="166">
        <v>0</v>
      </c>
      <c r="SI31" s="166">
        <v>0</v>
      </c>
      <c r="SJ31" s="166">
        <v>-7.8999994002243197</v>
      </c>
      <c r="SK31" s="166">
        <v>0</v>
      </c>
      <c r="SL31" s="166">
        <v>0</v>
      </c>
      <c r="SM31" s="166">
        <v>0</v>
      </c>
      <c r="SN31" s="166">
        <v>0</v>
      </c>
      <c r="SO31" s="166">
        <v>0</v>
      </c>
      <c r="SP31" s="166">
        <v>0</v>
      </c>
      <c r="SQ31" s="166">
        <v>-32.08</v>
      </c>
      <c r="SR31" s="166">
        <v>-8.5399999999999991</v>
      </c>
      <c r="SS31" s="166">
        <v>0</v>
      </c>
      <c r="ST31" s="166">
        <v>0</v>
      </c>
      <c r="SU31" s="166">
        <v>0</v>
      </c>
      <c r="SV31" s="166">
        <v>0</v>
      </c>
      <c r="SW31" s="166">
        <v>0</v>
      </c>
      <c r="SX31" s="166">
        <v>0</v>
      </c>
      <c r="SY31" s="166">
        <v>0</v>
      </c>
      <c r="SZ31" s="166">
        <v>0</v>
      </c>
      <c r="TA31" s="166">
        <v>0</v>
      </c>
      <c r="TB31" s="166">
        <v>0</v>
      </c>
      <c r="TC31" s="166">
        <v>0</v>
      </c>
      <c r="TD31" s="166">
        <v>0</v>
      </c>
      <c r="TE31" s="166">
        <v>0</v>
      </c>
      <c r="TF31" s="166">
        <v>0</v>
      </c>
      <c r="TG31" s="166">
        <v>0</v>
      </c>
      <c r="TH31" s="166">
        <v>0</v>
      </c>
      <c r="TI31" s="166">
        <v>0</v>
      </c>
      <c r="TJ31" s="166">
        <v>0</v>
      </c>
      <c r="TK31" s="166">
        <v>0</v>
      </c>
      <c r="TL31" s="166">
        <v>0</v>
      </c>
      <c r="TM31" s="166">
        <v>0</v>
      </c>
      <c r="TN31" s="166">
        <v>0</v>
      </c>
      <c r="TO31" s="166">
        <v>0</v>
      </c>
      <c r="TP31" s="166">
        <v>0</v>
      </c>
      <c r="TQ31" s="166">
        <v>0</v>
      </c>
      <c r="TR31" s="166">
        <v>0</v>
      </c>
      <c r="TS31" s="166">
        <v>0</v>
      </c>
      <c r="TT31" s="166">
        <v>0</v>
      </c>
      <c r="TU31" s="166">
        <v>0.40270562347528999</v>
      </c>
      <c r="TV31" s="166">
        <v>0</v>
      </c>
      <c r="TW31" s="166">
        <v>2.0814418693299998E-2</v>
      </c>
      <c r="TX31" s="166">
        <v>0.1029367621416</v>
      </c>
      <c r="TY31" s="166">
        <v>2.5458626522600002E-3</v>
      </c>
      <c r="TZ31" s="166">
        <v>-0.24598570082926</v>
      </c>
      <c r="UA31" s="166">
        <v>3.8283566542999999E-4</v>
      </c>
      <c r="UB31" s="166">
        <v>0</v>
      </c>
      <c r="UC31" s="166">
        <v>0</v>
      </c>
      <c r="UD31" s="166">
        <v>0</v>
      </c>
      <c r="UE31" s="166">
        <v>1.406254926586E-2</v>
      </c>
      <c r="UF31" s="166">
        <v>-7.9000003829155601</v>
      </c>
      <c r="UG31" s="166">
        <v>9.0613540435200007E-3</v>
      </c>
      <c r="UH31" s="166">
        <v>0</v>
      </c>
      <c r="UI31" s="166">
        <v>0</v>
      </c>
      <c r="UJ31" s="166">
        <v>0</v>
      </c>
      <c r="UK31" s="166">
        <v>-9.0671841366999999E-4</v>
      </c>
      <c r="UL31" s="166">
        <v>-3.59999967365161</v>
      </c>
      <c r="UM31" s="166">
        <v>0</v>
      </c>
      <c r="UN31" s="166">
        <v>0</v>
      </c>
      <c r="UO31" s="166">
        <v>0</v>
      </c>
      <c r="UP31" s="166">
        <v>0</v>
      </c>
      <c r="UQ31" s="166">
        <v>0</v>
      </c>
      <c r="UR31" s="166">
        <v>-8.2908500000000007</v>
      </c>
      <c r="US31" s="163">
        <v>5.4647607308199999E-3</v>
      </c>
      <c r="UT31" s="163">
        <v>0</v>
      </c>
      <c r="UU31" s="163">
        <v>0</v>
      </c>
      <c r="UV31" s="163">
        <v>0</v>
      </c>
      <c r="UW31" s="163">
        <v>0</v>
      </c>
      <c r="UX31" s="163">
        <v>-9.2252271298499996E-3</v>
      </c>
      <c r="UY31" s="166">
        <v>0</v>
      </c>
      <c r="UZ31" s="166">
        <v>0</v>
      </c>
      <c r="VA31" s="166">
        <v>0</v>
      </c>
      <c r="VB31" s="166">
        <v>0</v>
      </c>
      <c r="VC31" s="166">
        <v>0</v>
      </c>
      <c r="VD31" s="166">
        <v>-7.8999986798813104</v>
      </c>
      <c r="VE31" s="267">
        <v>202</v>
      </c>
      <c r="VF31" s="267">
        <v>279</v>
      </c>
      <c r="VG31" s="267">
        <v>354</v>
      </c>
      <c r="VH31" s="267">
        <v>0</v>
      </c>
      <c r="VI31" s="267">
        <v>403</v>
      </c>
      <c r="VJ31" s="267">
        <v>0</v>
      </c>
      <c r="VK31" s="267">
        <v>0</v>
      </c>
      <c r="VL31" s="257">
        <v>0</v>
      </c>
      <c r="VM31" s="257">
        <v>0</v>
      </c>
      <c r="VN31" s="257">
        <v>0</v>
      </c>
      <c r="VO31" s="257">
        <v>0</v>
      </c>
      <c r="VP31" s="257">
        <v>0</v>
      </c>
      <c r="VQ31" s="257">
        <v>0</v>
      </c>
      <c r="VR31" s="257">
        <v>0</v>
      </c>
      <c r="VS31" s="257">
        <v>0</v>
      </c>
      <c r="VT31" s="257">
        <v>0</v>
      </c>
      <c r="VU31" s="257">
        <v>0</v>
      </c>
      <c r="VV31" s="257">
        <v>0</v>
      </c>
      <c r="VW31" s="257">
        <v>0</v>
      </c>
      <c r="VX31" s="257">
        <v>0</v>
      </c>
      <c r="VY31" s="257">
        <v>0</v>
      </c>
      <c r="VZ31" s="257">
        <v>0</v>
      </c>
      <c r="WA31" s="257">
        <v>0</v>
      </c>
      <c r="WB31" s="257">
        <v>0</v>
      </c>
      <c r="WC31" s="257">
        <v>0</v>
      </c>
      <c r="WD31" s="257">
        <v>0</v>
      </c>
      <c r="WE31" s="257">
        <v>0</v>
      </c>
      <c r="WF31" s="257">
        <v>0</v>
      </c>
      <c r="WG31" s="257">
        <v>0</v>
      </c>
      <c r="WH31" s="257">
        <v>0</v>
      </c>
      <c r="WI31" s="257">
        <v>0</v>
      </c>
      <c r="WJ31" s="257">
        <v>0</v>
      </c>
      <c r="WK31" s="257">
        <v>0</v>
      </c>
      <c r="WL31" s="257">
        <v>0</v>
      </c>
      <c r="WM31" s="257">
        <v>0</v>
      </c>
      <c r="WN31" s="257">
        <v>0</v>
      </c>
      <c r="WO31" s="257">
        <v>0</v>
      </c>
      <c r="WP31" s="257">
        <v>0</v>
      </c>
      <c r="WQ31" s="257">
        <v>0</v>
      </c>
      <c r="WR31" s="257">
        <v>0</v>
      </c>
      <c r="WS31" s="572">
        <v>87.807500000000005</v>
      </c>
      <c r="WT31" s="572">
        <v>69.65939457202505</v>
      </c>
      <c r="WU31" s="572">
        <v>76.991962421711904</v>
      </c>
      <c r="WV31" s="572">
        <v>80.65824634655533</v>
      </c>
      <c r="WW31" s="572">
        <v>123.92039665970773</v>
      </c>
      <c r="WX31" s="247">
        <v>14318.32</v>
      </c>
      <c r="WY31" s="4">
        <v>78</v>
      </c>
      <c r="WZ31" s="4">
        <v>15</v>
      </c>
      <c r="XA31" s="4">
        <v>7.0000000000000009</v>
      </c>
      <c r="XB31" s="4">
        <v>0</v>
      </c>
      <c r="XC31" s="1037">
        <v>1486.996527614348</v>
      </c>
      <c r="XD31" s="1037">
        <v>0</v>
      </c>
      <c r="XE31" s="1037">
        <v>0</v>
      </c>
      <c r="XF31" s="1037">
        <v>0</v>
      </c>
      <c r="XG31" s="1037">
        <v>0</v>
      </c>
      <c r="XH31" s="1037">
        <v>0</v>
      </c>
      <c r="XI31" s="1037">
        <v>1115.2473957107609</v>
      </c>
      <c r="XJ31" s="1037">
        <v>495.66550920478267</v>
      </c>
      <c r="XK31" s="1037">
        <v>1595.1835814810265</v>
      </c>
      <c r="XL31" s="1037">
        <v>0</v>
      </c>
      <c r="XM31" s="1037">
        <v>0</v>
      </c>
      <c r="XN31" s="1037">
        <v>0</v>
      </c>
      <c r="XO31" s="1037">
        <v>0</v>
      </c>
      <c r="XP31" s="1037">
        <v>0</v>
      </c>
      <c r="XQ31" s="1037">
        <v>1196.3876861107699</v>
      </c>
      <c r="XR31" s="1037">
        <v>531.72786049367551</v>
      </c>
      <c r="XS31" s="1037">
        <v>1671.1447044086947</v>
      </c>
      <c r="XT31" s="1037">
        <v>0</v>
      </c>
      <c r="XU31" s="1037">
        <v>0</v>
      </c>
      <c r="XV31" s="1037">
        <v>0</v>
      </c>
      <c r="XW31" s="1037">
        <v>0</v>
      </c>
      <c r="XX31" s="1037">
        <v>0</v>
      </c>
      <c r="XY31" s="1037">
        <v>1253.3585283065211</v>
      </c>
      <c r="XZ31" s="1037">
        <v>557.04823480289826</v>
      </c>
      <c r="YA31" s="1037">
        <v>2567.4859549551761</v>
      </c>
      <c r="YB31" s="1037">
        <v>0</v>
      </c>
      <c r="YC31" s="1037">
        <v>0</v>
      </c>
      <c r="YD31" s="1037">
        <v>0</v>
      </c>
      <c r="YE31" s="1037">
        <v>0</v>
      </c>
      <c r="YF31" s="1037">
        <v>0</v>
      </c>
      <c r="YG31" s="1037">
        <v>1925.614466216382</v>
      </c>
      <c r="YH31" s="1037">
        <v>855.82865165172541</v>
      </c>
      <c r="YI31" s="1037">
        <v>1024.3753856898841</v>
      </c>
      <c r="YJ31" s="1037">
        <v>1536.5630785348262</v>
      </c>
      <c r="YK31" s="1037">
        <v>469.50538510786362</v>
      </c>
      <c r="YL31" s="1037">
        <v>128.04692321123551</v>
      </c>
      <c r="YM31" s="1037">
        <v>0</v>
      </c>
      <c r="YN31" s="1037">
        <v>0</v>
      </c>
      <c r="YO31" s="1037">
        <v>768.28153926741311</v>
      </c>
      <c r="YP31" s="1037">
        <v>341.45846189662808</v>
      </c>
      <c r="YQ31" s="1037">
        <v>1098.9042450202628</v>
      </c>
      <c r="YR31" s="1037">
        <v>1648.356367530394</v>
      </c>
      <c r="YS31" s="1037">
        <v>503.66444563428712</v>
      </c>
      <c r="YT31" s="1037">
        <v>137.36303062753285</v>
      </c>
      <c r="YU31" s="1037">
        <v>0</v>
      </c>
      <c r="YV31" s="1037">
        <v>0</v>
      </c>
      <c r="YW31" s="1037">
        <v>824.17818376519699</v>
      </c>
      <c r="YX31" s="1037">
        <v>366.30141500675427</v>
      </c>
      <c r="YY31" s="1037">
        <v>1151.2330185926562</v>
      </c>
      <c r="YZ31" s="1037">
        <v>1726.8495278889843</v>
      </c>
      <c r="ZA31" s="1037">
        <v>527.64846685496741</v>
      </c>
      <c r="ZB31" s="1037">
        <v>143.90412732408203</v>
      </c>
      <c r="ZC31" s="1037">
        <v>0</v>
      </c>
      <c r="ZD31" s="1037">
        <v>0</v>
      </c>
      <c r="ZE31" s="1037">
        <v>863.42476394449216</v>
      </c>
      <c r="ZF31" s="1037">
        <v>383.74433953088544</v>
      </c>
      <c r="ZG31" s="1037">
        <v>1768.7125467468989</v>
      </c>
      <c r="ZH31" s="1037">
        <v>2653.0688201203484</v>
      </c>
      <c r="ZI31" s="1037">
        <v>810.65991725899528</v>
      </c>
      <c r="ZJ31" s="1037">
        <v>221.08906834336236</v>
      </c>
      <c r="ZK31" s="1037">
        <v>0</v>
      </c>
      <c r="ZL31" s="1037">
        <v>0</v>
      </c>
      <c r="ZM31" s="1037">
        <v>1326.5344100601742</v>
      </c>
      <c r="ZN31" s="1037">
        <v>589.57084891563295</v>
      </c>
      <c r="ZO31" s="1037">
        <v>2726.1603006263049</v>
      </c>
      <c r="ZP31" s="1037">
        <v>4089.2404509394569</v>
      </c>
      <c r="ZQ31" s="1037">
        <v>1249.4901377870565</v>
      </c>
      <c r="ZR31" s="1037">
        <v>340.77003757828811</v>
      </c>
      <c r="ZS31" s="1037">
        <v>0</v>
      </c>
      <c r="ZT31" s="1037">
        <v>0</v>
      </c>
      <c r="ZU31" s="1037">
        <v>2044.6202254697284</v>
      </c>
      <c r="ZV31" s="1037">
        <v>908.72010020876826</v>
      </c>
      <c r="ZW31" s="1037">
        <v>3013.1245427974945</v>
      </c>
      <c r="ZX31" s="1037">
        <v>4519.6868141962423</v>
      </c>
      <c r="ZY31" s="1037">
        <v>1381.0154154488519</v>
      </c>
      <c r="ZZ31" s="1037">
        <v>376.64056784968682</v>
      </c>
      <c r="AAA31" s="1037">
        <v>0</v>
      </c>
      <c r="AAB31" s="1037">
        <v>0</v>
      </c>
      <c r="AAC31" s="1037">
        <v>2259.8434070981211</v>
      </c>
      <c r="AAD31" s="1037">
        <v>1004.3748475991649</v>
      </c>
      <c r="AAE31" s="1037">
        <v>3156.6066638830898</v>
      </c>
      <c r="AAF31" s="1037">
        <v>4734.9099958246343</v>
      </c>
      <c r="AAG31" s="1037">
        <v>1446.7780542797495</v>
      </c>
      <c r="AAH31" s="1037">
        <v>394.57583298538623</v>
      </c>
      <c r="AAI31" s="1037">
        <v>0</v>
      </c>
      <c r="AAJ31" s="1037">
        <v>0</v>
      </c>
      <c r="AAK31" s="1037">
        <v>2367.4549979123171</v>
      </c>
      <c r="AAL31" s="1037">
        <v>1052.2022212943632</v>
      </c>
      <c r="AAM31" s="1037">
        <v>4849.6956926931098</v>
      </c>
      <c r="AAN31" s="1037">
        <v>7274.5435390396651</v>
      </c>
      <c r="AAO31" s="1037">
        <v>2222.7771924843423</v>
      </c>
      <c r="AAP31" s="1037">
        <v>606.21196158663872</v>
      </c>
      <c r="AAQ31" s="1037">
        <v>0</v>
      </c>
      <c r="AAR31" s="1037">
        <v>0</v>
      </c>
      <c r="AAS31" s="1037">
        <v>3637.2717695198326</v>
      </c>
      <c r="AAT31" s="1037">
        <v>1616.5652308977035</v>
      </c>
      <c r="AAU31" s="1037">
        <v>3750.5356863161887</v>
      </c>
      <c r="AAV31" s="1037">
        <v>5625.8035294742831</v>
      </c>
      <c r="AAW31" s="1037">
        <v>1718.99552289492</v>
      </c>
      <c r="AAX31" s="1037">
        <v>468.81696078952359</v>
      </c>
      <c r="AAY31" s="1037">
        <v>0</v>
      </c>
      <c r="AAZ31" s="1037">
        <v>0</v>
      </c>
      <c r="ABA31" s="1037">
        <v>2812.9017647371415</v>
      </c>
      <c r="ABB31" s="1037">
        <v>1250.1785621053964</v>
      </c>
      <c r="ABC31" s="1037">
        <v>3970.2346916861111</v>
      </c>
      <c r="ABD31" s="1037">
        <v>5955.3520375291664</v>
      </c>
      <c r="ABE31" s="1037">
        <v>1819.6909003561343</v>
      </c>
      <c r="ABF31" s="1037">
        <v>496.27933646076389</v>
      </c>
      <c r="ABG31" s="1037">
        <v>0</v>
      </c>
      <c r="ABH31" s="1037">
        <v>0</v>
      </c>
      <c r="ABI31" s="1037">
        <v>2977.6760187645832</v>
      </c>
      <c r="ABJ31" s="1037">
        <v>1323.4115638953704</v>
      </c>
      <c r="ABK31" s="1037">
        <v>4159.2934865283069</v>
      </c>
      <c r="ABL31" s="1037">
        <v>6238.9402297924598</v>
      </c>
      <c r="ABM31" s="1037">
        <v>1906.3428479921406</v>
      </c>
      <c r="ABN31" s="1037">
        <v>519.91168581603836</v>
      </c>
      <c r="ABO31" s="1037">
        <v>0</v>
      </c>
      <c r="ABP31" s="1037">
        <v>0</v>
      </c>
      <c r="ABQ31" s="1037">
        <v>3119.4701148962299</v>
      </c>
      <c r="ABR31" s="1037">
        <v>1386.4311621761024</v>
      </c>
      <c r="ABS31" s="1037">
        <v>0</v>
      </c>
      <c r="ABT31" s="1037">
        <v>0</v>
      </c>
      <c r="ABU31" s="1037">
        <v>0</v>
      </c>
      <c r="ABV31" s="1037">
        <v>0</v>
      </c>
      <c r="ABW31" s="1037">
        <v>0</v>
      </c>
      <c r="ABX31" s="1037">
        <v>0</v>
      </c>
      <c r="ABY31" s="1037">
        <v>0</v>
      </c>
      <c r="ABZ31" s="1037">
        <v>0</v>
      </c>
      <c r="ACA31" s="1037">
        <v>4857.5219902068702</v>
      </c>
      <c r="ACB31" s="1037">
        <v>7286.2829853103058</v>
      </c>
      <c r="ACC31" s="1037">
        <v>2226.3642455114823</v>
      </c>
      <c r="ACD31" s="1037">
        <v>607.19024877585878</v>
      </c>
      <c r="ACE31" s="1037">
        <v>0</v>
      </c>
      <c r="ACF31" s="1037">
        <v>0</v>
      </c>
      <c r="ACG31" s="1037">
        <v>3643.1414926551529</v>
      </c>
      <c r="ACH31" s="1037">
        <v>1619.1739967356236</v>
      </c>
      <c r="ACI31" s="1037">
        <v>5193.208770821564</v>
      </c>
      <c r="ACJ31" s="1037">
        <v>7789.813156232347</v>
      </c>
      <c r="ACK31" s="1037">
        <v>2380.2206866265506</v>
      </c>
      <c r="ACL31" s="1037">
        <v>649.1510963526955</v>
      </c>
      <c r="ACM31" s="1037">
        <v>0</v>
      </c>
      <c r="ACN31" s="1037">
        <v>0</v>
      </c>
      <c r="ACO31" s="1037">
        <v>3894.9065781161735</v>
      </c>
      <c r="ACP31" s="1037">
        <v>1731.0695902738548</v>
      </c>
      <c r="ACQ31" s="1037">
        <v>5440.5044265749721</v>
      </c>
      <c r="ACR31" s="1037">
        <v>8160.7566398624585</v>
      </c>
      <c r="ACS31" s="1037">
        <v>2493.5645288468622</v>
      </c>
      <c r="ACT31" s="1037">
        <v>680.06305332187151</v>
      </c>
      <c r="ACU31" s="1037">
        <v>0</v>
      </c>
      <c r="ACV31" s="1037">
        <v>0</v>
      </c>
      <c r="ACW31" s="1037">
        <v>4080.3783199312293</v>
      </c>
      <c r="ACX31" s="1037">
        <v>1813.5014755249908</v>
      </c>
      <c r="ACY31" s="1037">
        <v>8358.5931644651846</v>
      </c>
      <c r="ACZ31" s="1037">
        <v>12537.889746697776</v>
      </c>
      <c r="ADA31" s="1037">
        <v>3831.0218670465429</v>
      </c>
      <c r="ADB31" s="1037">
        <v>1044.8241455581481</v>
      </c>
      <c r="ADC31" s="1037">
        <v>0</v>
      </c>
      <c r="ADD31" s="1037">
        <v>0</v>
      </c>
      <c r="ADE31" s="1037">
        <v>6268.944873348888</v>
      </c>
      <c r="ADF31" s="1037">
        <v>2786.197721488395</v>
      </c>
      <c r="ADG31" s="1037">
        <v>5931.4639268172323</v>
      </c>
      <c r="ADH31" s="1037">
        <v>8897.1958902258484</v>
      </c>
      <c r="ADI31" s="1037">
        <v>2718.5876331245649</v>
      </c>
      <c r="ADJ31" s="1037">
        <v>741.43299085215403</v>
      </c>
      <c r="ADK31" s="1037">
        <v>0</v>
      </c>
      <c r="ADL31" s="1037">
        <v>0</v>
      </c>
      <c r="ADM31" s="1037">
        <v>4448.5979451129242</v>
      </c>
      <c r="ADN31" s="1037">
        <v>1977.1546422724109</v>
      </c>
      <c r="ADO31" s="1037">
        <v>6380.7343259241061</v>
      </c>
      <c r="ADP31" s="1037">
        <v>9571.1014888861591</v>
      </c>
      <c r="ADQ31" s="1037">
        <v>2924.5032327152153</v>
      </c>
      <c r="ADR31" s="1037">
        <v>797.59179074051326</v>
      </c>
      <c r="ADS31" s="1037">
        <v>0</v>
      </c>
      <c r="ADT31" s="1037">
        <v>0</v>
      </c>
      <c r="ADU31" s="1037">
        <v>4785.5507444430796</v>
      </c>
      <c r="ADV31" s="1037">
        <v>2126.911441974702</v>
      </c>
      <c r="ADW31" s="1037">
        <v>6684.5788176347787</v>
      </c>
      <c r="ADX31" s="1037">
        <v>10026.868226452169</v>
      </c>
      <c r="ADY31" s="1037">
        <v>3063.7652914159403</v>
      </c>
      <c r="ADZ31" s="1037">
        <v>835.57235220434734</v>
      </c>
      <c r="AEA31" s="1037">
        <v>0</v>
      </c>
      <c r="AEB31" s="1037">
        <v>0</v>
      </c>
      <c r="AEC31" s="1037">
        <v>5013.4341132260843</v>
      </c>
      <c r="AED31" s="1037">
        <v>2228.1929392115931</v>
      </c>
      <c r="AEE31" s="1037">
        <v>10269.943819820704</v>
      </c>
      <c r="AEF31" s="1037">
        <v>15404.915729731056</v>
      </c>
      <c r="AEG31" s="1037">
        <v>4707.0575840844895</v>
      </c>
      <c r="AEH31" s="1037">
        <v>1283.7429774775881</v>
      </c>
      <c r="AEI31" s="1037">
        <v>0</v>
      </c>
      <c r="AEJ31" s="1037">
        <v>0</v>
      </c>
      <c r="AEK31" s="1037">
        <v>7702.4578648655279</v>
      </c>
      <c r="AEL31" s="1037">
        <v>3423.3146066069016</v>
      </c>
      <c r="AEM31" s="1037">
        <v>6840.1840270260018</v>
      </c>
      <c r="AEN31" s="1037">
        <v>10260.276040539002</v>
      </c>
      <c r="AEO31" s="1037">
        <v>3135.0843457202509</v>
      </c>
      <c r="AEP31" s="1037">
        <v>855.02300337825022</v>
      </c>
      <c r="AEQ31" s="1037">
        <v>0</v>
      </c>
      <c r="AER31" s="1037">
        <v>0</v>
      </c>
      <c r="AES31" s="1037">
        <v>5130.1380202695009</v>
      </c>
      <c r="AET31" s="1037">
        <v>2280.0613423420004</v>
      </c>
      <c r="AEU31" s="1037">
        <v>7266.9474267468986</v>
      </c>
      <c r="AEV31" s="1037">
        <v>10900.421140120348</v>
      </c>
      <c r="AEW31" s="1037">
        <v>3330.6842372589954</v>
      </c>
      <c r="AEX31" s="1037">
        <v>908.36842834336232</v>
      </c>
      <c r="AEY31" s="1037">
        <v>0</v>
      </c>
      <c r="AEZ31" s="1037">
        <v>0</v>
      </c>
      <c r="AFA31" s="1037">
        <v>5450.2105700601742</v>
      </c>
      <c r="AFB31" s="1037">
        <v>2422.3158089156332</v>
      </c>
      <c r="AFC31" s="1037">
        <v>7612.9925423062741</v>
      </c>
      <c r="AFD31" s="1037">
        <v>11419.488813459411</v>
      </c>
      <c r="AFE31" s="1037">
        <v>3489.2882485570426</v>
      </c>
      <c r="AFF31" s="1037">
        <v>951.62406778828426</v>
      </c>
      <c r="AFG31" s="1037">
        <v>0</v>
      </c>
      <c r="AFH31" s="1037">
        <v>0</v>
      </c>
      <c r="AFI31" s="1037">
        <v>5709.7444067297056</v>
      </c>
      <c r="AFJ31" s="1037">
        <v>2537.6641807687583</v>
      </c>
      <c r="AFK31" s="1037">
        <v>11696.324905906913</v>
      </c>
      <c r="AFL31" s="1037">
        <v>17544.48735886037</v>
      </c>
      <c r="AFM31" s="1037">
        <v>5360.8155818740024</v>
      </c>
      <c r="AFN31" s="1037">
        <v>1462.0406132383641</v>
      </c>
      <c r="AFO31" s="1037">
        <v>0</v>
      </c>
      <c r="AFP31" s="1037">
        <v>0</v>
      </c>
      <c r="AFQ31" s="1037">
        <v>8772.2436794301848</v>
      </c>
      <c r="AFR31" s="1037">
        <v>3898.7749686356378</v>
      </c>
      <c r="AFS31" s="247">
        <v>2726.1603006263049</v>
      </c>
      <c r="AFT31" s="247">
        <v>4089.2404509394569</v>
      </c>
      <c r="AFU31" s="247">
        <v>1249.4901377870565</v>
      </c>
      <c r="AFV31" s="247">
        <v>340.77003757828811</v>
      </c>
      <c r="AFW31" s="247">
        <v>0</v>
      </c>
      <c r="AFX31" s="247">
        <v>0</v>
      </c>
      <c r="AFY31" s="247">
        <v>2044.6202254697284</v>
      </c>
      <c r="AFZ31" s="247">
        <v>908.72010020876826</v>
      </c>
      <c r="AGA31" s="247">
        <v>3013.1245427974945</v>
      </c>
      <c r="AGB31" s="247">
        <v>4519.6868141962423</v>
      </c>
      <c r="AGC31" s="247">
        <v>1381.0154154488519</v>
      </c>
      <c r="AGD31" s="247">
        <v>376.64056784968682</v>
      </c>
      <c r="AGE31" s="247">
        <v>0</v>
      </c>
      <c r="AGF31" s="247">
        <v>0</v>
      </c>
      <c r="AGG31" s="247">
        <v>2259.8434070981211</v>
      </c>
      <c r="AGH31" s="247">
        <v>1004.3748475991649</v>
      </c>
      <c r="AGI31" s="247">
        <v>3156.6066638830898</v>
      </c>
      <c r="AGJ31" s="247">
        <v>4734.9099958246343</v>
      </c>
      <c r="AGK31" s="247">
        <v>1446.7780542797495</v>
      </c>
      <c r="AGL31" s="247">
        <v>394.57583298538623</v>
      </c>
      <c r="AGM31" s="247">
        <v>0</v>
      </c>
      <c r="AGN31" s="247">
        <v>0</v>
      </c>
      <c r="AGO31" s="247">
        <v>2367.4549979123171</v>
      </c>
      <c r="AGP31" s="247">
        <v>1052.2022212943632</v>
      </c>
      <c r="AGQ31" s="247">
        <v>4849.6956926931098</v>
      </c>
      <c r="AGR31" s="247">
        <v>7274.5435390396651</v>
      </c>
      <c r="AGS31" s="247">
        <v>2222.7771924843423</v>
      </c>
      <c r="AGT31" s="247">
        <v>606.21196158663872</v>
      </c>
      <c r="AGU31" s="247">
        <v>0</v>
      </c>
      <c r="AGV31" s="247">
        <v>0</v>
      </c>
      <c r="AGW31" s="247">
        <v>3637.2717695198326</v>
      </c>
      <c r="AGX31" s="247">
        <v>1616.5652308977035</v>
      </c>
      <c r="AGY31" s="249">
        <v>0</v>
      </c>
      <c r="AGZ31" s="249">
        <v>0</v>
      </c>
      <c r="AHA31" s="249">
        <v>0</v>
      </c>
      <c r="AHB31" s="249">
        <v>0</v>
      </c>
      <c r="AHC31" s="249">
        <v>0</v>
      </c>
      <c r="AHD31" s="249">
        <v>0</v>
      </c>
      <c r="AHE31" s="249">
        <v>0</v>
      </c>
      <c r="AHF31" s="249">
        <v>0</v>
      </c>
      <c r="AHG31" s="249">
        <v>0</v>
      </c>
      <c r="AHH31" s="249">
        <v>0</v>
      </c>
      <c r="AHI31" s="249">
        <v>0</v>
      </c>
      <c r="AHJ31" s="249">
        <v>0</v>
      </c>
      <c r="AHK31" s="249">
        <v>0</v>
      </c>
      <c r="AHL31" s="249">
        <v>0</v>
      </c>
      <c r="AHM31" s="249">
        <v>0</v>
      </c>
      <c r="AHN31" s="249">
        <v>0</v>
      </c>
      <c r="AHO31" s="249">
        <v>0</v>
      </c>
      <c r="AHP31" s="249">
        <v>0</v>
      </c>
      <c r="AHQ31" s="249">
        <v>0</v>
      </c>
      <c r="AHR31" s="249">
        <v>0</v>
      </c>
      <c r="AHS31" s="249">
        <v>0</v>
      </c>
      <c r="AHT31" s="249">
        <v>0</v>
      </c>
      <c r="AHU31" s="249">
        <v>0</v>
      </c>
      <c r="AHV31" s="249">
        <v>0</v>
      </c>
      <c r="AHW31" s="249">
        <v>0</v>
      </c>
      <c r="AHX31" s="249">
        <v>0</v>
      </c>
      <c r="AHY31" s="249">
        <v>0</v>
      </c>
      <c r="AHZ31" s="249">
        <v>0</v>
      </c>
      <c r="AIA31" s="249">
        <v>0</v>
      </c>
      <c r="AIB31" s="249">
        <v>0</v>
      </c>
      <c r="AIC31" s="249">
        <v>0</v>
      </c>
      <c r="AID31" s="249">
        <v>0</v>
      </c>
      <c r="AIE31" s="249"/>
      <c r="AIF31" s="249"/>
      <c r="AIG31" s="249"/>
      <c r="AIH31" s="249"/>
      <c r="AII31" s="249"/>
      <c r="AIJ31" s="249"/>
      <c r="AIK31" s="249"/>
      <c r="AIL31" s="249"/>
      <c r="AIM31" s="249">
        <v>0</v>
      </c>
      <c r="AIN31" s="249">
        <v>0</v>
      </c>
      <c r="AIO31" s="249">
        <v>0</v>
      </c>
      <c r="AIP31" s="249">
        <v>0</v>
      </c>
      <c r="AIQ31" s="249">
        <v>0</v>
      </c>
      <c r="AIR31" s="249">
        <v>0</v>
      </c>
      <c r="AIS31" s="249">
        <v>0</v>
      </c>
      <c r="AIT31" s="249">
        <v>0</v>
      </c>
      <c r="AIU31" s="134" t="s">
        <v>1216</v>
      </c>
      <c r="AIV31" s="134" t="s">
        <v>1219</v>
      </c>
      <c r="AIW31" s="134" t="s">
        <v>1218</v>
      </c>
      <c r="AIX31" s="134" t="s">
        <v>1217</v>
      </c>
      <c r="AIY31" s="134" t="s">
        <v>1228</v>
      </c>
      <c r="AIZ31" s="134" t="s">
        <v>1229</v>
      </c>
      <c r="AJA31" s="134" t="s">
        <v>1230</v>
      </c>
      <c r="AJB31" s="134" t="s">
        <v>1231</v>
      </c>
      <c r="AJC31" s="134" t="s">
        <v>1232</v>
      </c>
      <c r="AJD31" s="134" t="s">
        <v>1233</v>
      </c>
    </row>
    <row r="32" spans="1:940" ht="18" customHeight="1">
      <c r="A32" s="664" t="s">
        <v>20</v>
      </c>
      <c r="B32" s="669">
        <v>-0.2</v>
      </c>
      <c r="C32" s="6">
        <v>-0.4</v>
      </c>
      <c r="D32" s="6">
        <v>-0.4</v>
      </c>
      <c r="E32" s="74">
        <v>794.75624256837102</v>
      </c>
      <c r="F32" s="75">
        <v>-1.6</v>
      </c>
      <c r="G32" s="7">
        <v>-7.6</v>
      </c>
      <c r="H32" s="7">
        <v>-7.6</v>
      </c>
      <c r="I32" s="266">
        <v>350</v>
      </c>
      <c r="J32" s="125">
        <v>0</v>
      </c>
      <c r="K32" s="125">
        <v>0</v>
      </c>
      <c r="L32" s="125">
        <v>0</v>
      </c>
      <c r="M32" s="1">
        <v>940.55528715741809</v>
      </c>
      <c r="N32" s="2">
        <v>12</v>
      </c>
      <c r="O32" s="8">
        <v>0.8</v>
      </c>
      <c r="P32" s="8">
        <v>0.3</v>
      </c>
      <c r="Q32" s="8" t="s">
        <v>136</v>
      </c>
      <c r="R32" s="7">
        <v>4</v>
      </c>
      <c r="S32" s="7">
        <v>0.8</v>
      </c>
      <c r="T32" s="7">
        <v>94.5</v>
      </c>
      <c r="U32" s="7">
        <v>0.8</v>
      </c>
      <c r="V32" s="71">
        <v>0</v>
      </c>
      <c r="W32" s="119">
        <v>2</v>
      </c>
      <c r="X32" s="120">
        <v>1.5</v>
      </c>
      <c r="Y32" s="119">
        <v>1</v>
      </c>
      <c r="Z32" s="120">
        <v>0.8</v>
      </c>
      <c r="AA32" s="120">
        <v>0.5</v>
      </c>
      <c r="AB32" s="559">
        <v>433.01922201480062</v>
      </c>
      <c r="AC32" s="559">
        <v>470.67306740739195</v>
      </c>
      <c r="AD32" s="559">
        <v>433.37222681535616</v>
      </c>
      <c r="AE32" s="559">
        <v>649.0581599547935</v>
      </c>
      <c r="AF32" s="622">
        <v>0.82209484106305364</v>
      </c>
      <c r="AG32" s="559">
        <v>261.91600618637949</v>
      </c>
      <c r="AH32" s="559">
        <v>284.69131107215162</v>
      </c>
      <c r="AI32" s="559">
        <v>262.12952466968363</v>
      </c>
      <c r="AJ32" s="559">
        <v>392.58931796849708</v>
      </c>
      <c r="AK32" s="622">
        <v>0.96717040125065135</v>
      </c>
      <c r="AL32" s="995">
        <v>0</v>
      </c>
      <c r="AM32" s="995">
        <v>0.1</v>
      </c>
      <c r="AN32" s="995">
        <v>0.2</v>
      </c>
      <c r="AO32" s="995">
        <v>0.4</v>
      </c>
      <c r="AP32" s="995">
        <v>0.6</v>
      </c>
      <c r="AQ32" s="995">
        <v>0.9</v>
      </c>
      <c r="AR32" s="995">
        <v>1.2</v>
      </c>
      <c r="AS32" s="1005">
        <v>0</v>
      </c>
      <c r="AT32" s="1005">
        <v>10</v>
      </c>
      <c r="AU32" s="1005">
        <v>20</v>
      </c>
      <c r="AV32" s="1005">
        <v>70</v>
      </c>
      <c r="AW32" s="1005">
        <v>100</v>
      </c>
      <c r="AX32" s="1">
        <v>5777.7793226070908</v>
      </c>
      <c r="AY32" s="5">
        <v>1.97</v>
      </c>
      <c r="AZ32" s="8">
        <v>1.5</v>
      </c>
      <c r="BA32" s="8">
        <v>0.9</v>
      </c>
      <c r="BB32" s="8">
        <v>0.9</v>
      </c>
      <c r="BC32" s="73">
        <v>0.17355445270807138</v>
      </c>
      <c r="BD32" s="73">
        <v>0.17520491606183902</v>
      </c>
      <c r="BE32" s="9">
        <v>11.763843291578519</v>
      </c>
      <c r="BF32" s="9">
        <v>1.9726461152764895E-2</v>
      </c>
      <c r="BG32" s="9">
        <v>13.881744036934723</v>
      </c>
      <c r="BH32" s="9">
        <v>45.208209262259338</v>
      </c>
      <c r="BI32" s="9">
        <v>8.0489617836227809E-2</v>
      </c>
      <c r="BJ32" s="9"/>
      <c r="BK32" s="9">
        <v>26.938310406683975</v>
      </c>
      <c r="BL32" s="9">
        <v>9.502639351009326E-3</v>
      </c>
      <c r="BM32" s="9"/>
      <c r="BN32" s="9">
        <v>3.5352080918933507E-6</v>
      </c>
      <c r="BO32" s="9">
        <v>6.5047828890837651E-4</v>
      </c>
      <c r="BP32" s="9">
        <v>4.8432350858938907E-4</v>
      </c>
      <c r="BQ32" s="9">
        <v>0</v>
      </c>
      <c r="BR32" s="9">
        <v>2.0786670059523713</v>
      </c>
      <c r="BS32" s="9">
        <v>1.836894124547785E-2</v>
      </c>
      <c r="BT32" s="262">
        <v>261.13475999999997</v>
      </c>
      <c r="BU32" s="262">
        <v>96.5</v>
      </c>
      <c r="BV32" s="262">
        <v>63.215999999999994</v>
      </c>
      <c r="BW32" s="262">
        <v>233.35949490734063</v>
      </c>
      <c r="BX32" s="262">
        <v>157.40783999999999</v>
      </c>
      <c r="BY32" s="68"/>
      <c r="BZ32" s="262">
        <v>256.20808011776955</v>
      </c>
      <c r="CA32" s="262">
        <v>165.17663999999999</v>
      </c>
      <c r="CB32" s="68"/>
      <c r="CC32" s="785">
        <v>0</v>
      </c>
      <c r="CD32" s="262">
        <v>6.585</v>
      </c>
      <c r="CE32" s="262">
        <v>1.3169999999999999</v>
      </c>
      <c r="CF32" s="262">
        <v>38</v>
      </c>
      <c r="CG32" s="262">
        <v>225.83915999999996</v>
      </c>
      <c r="CH32" s="68">
        <v>0.2</v>
      </c>
      <c r="CI32" s="262">
        <v>175.08124000000001</v>
      </c>
      <c r="CJ32" s="262">
        <v>60.4</v>
      </c>
      <c r="CK32" s="262">
        <v>42.384</v>
      </c>
      <c r="CL32" s="262">
        <v>156.45894761061641</v>
      </c>
      <c r="CM32" s="262">
        <v>105.53616</v>
      </c>
      <c r="CN32" s="68"/>
      <c r="CO32" s="262">
        <v>159.24945066654416</v>
      </c>
      <c r="CP32" s="262">
        <v>102.66767999999999</v>
      </c>
      <c r="CQ32" s="68"/>
      <c r="CR32" s="262">
        <v>0</v>
      </c>
      <c r="CS32" s="262">
        <v>4.415</v>
      </c>
      <c r="CT32" s="262">
        <v>0.88300000000000001</v>
      </c>
      <c r="CU32" s="262">
        <v>27</v>
      </c>
      <c r="CV32" s="262">
        <v>151.41683999999998</v>
      </c>
      <c r="CW32" s="68">
        <v>0.2</v>
      </c>
      <c r="CX32" s="120">
        <v>0.3</v>
      </c>
      <c r="CY32" s="120">
        <v>0.7</v>
      </c>
      <c r="CZ32" s="120">
        <v>1.2</v>
      </c>
      <c r="DA32" s="120">
        <v>1.2</v>
      </c>
      <c r="DB32" s="119">
        <v>3</v>
      </c>
      <c r="DC32" s="1005">
        <v>0</v>
      </c>
      <c r="DD32" s="1005">
        <v>10</v>
      </c>
      <c r="DE32" s="1005">
        <v>20</v>
      </c>
      <c r="DF32" s="1005">
        <v>70</v>
      </c>
      <c r="DG32" s="1005">
        <v>100</v>
      </c>
      <c r="DH32" s="2">
        <v>3.1949396729739079</v>
      </c>
      <c r="DI32" s="2">
        <v>18</v>
      </c>
      <c r="DJ32" s="63">
        <v>12</v>
      </c>
      <c r="DK32" s="8">
        <v>3.9</v>
      </c>
      <c r="DL32" s="8">
        <v>1.1000000000000001</v>
      </c>
      <c r="DM32" s="8">
        <v>1.1000000000000001</v>
      </c>
      <c r="DN32" s="1030" t="s">
        <v>1026</v>
      </c>
      <c r="DO32" s="1030" t="s">
        <v>997</v>
      </c>
      <c r="DP32" s="1030" t="s">
        <v>997</v>
      </c>
      <c r="DQ32" s="1030" t="s">
        <v>997</v>
      </c>
      <c r="DR32" s="1030" t="s">
        <v>997</v>
      </c>
      <c r="DS32" s="1030" t="s">
        <v>997</v>
      </c>
      <c r="DT32" s="1030" t="s">
        <v>997</v>
      </c>
      <c r="DU32" s="1097">
        <v>2176.1373675649024</v>
      </c>
      <c r="DV32" s="1097">
        <v>0</v>
      </c>
      <c r="DW32" s="1097">
        <v>0</v>
      </c>
      <c r="DX32" s="1097">
        <v>0</v>
      </c>
      <c r="DY32" s="1097">
        <v>0</v>
      </c>
      <c r="DZ32" s="1097">
        <v>0</v>
      </c>
      <c r="EA32" s="1097">
        <v>0</v>
      </c>
      <c r="EB32" s="207">
        <v>2.1761373675649023</v>
      </c>
      <c r="EC32" s="207">
        <v>18</v>
      </c>
      <c r="ED32" s="221">
        <v>5</v>
      </c>
      <c r="EE32" s="214">
        <v>3.9</v>
      </c>
      <c r="EF32" s="214">
        <v>1.1000000000000001</v>
      </c>
      <c r="EG32" s="214">
        <v>1.1000000000000001</v>
      </c>
      <c r="EH32" s="208" t="s">
        <v>1049</v>
      </c>
      <c r="EI32" s="208" t="s">
        <v>1067</v>
      </c>
      <c r="EJ32" s="208" t="s">
        <v>1081</v>
      </c>
      <c r="EK32" s="208" t="s">
        <v>1095</v>
      </c>
      <c r="EL32" s="208" t="s">
        <v>1105</v>
      </c>
      <c r="EM32" s="208" t="s">
        <v>1114</v>
      </c>
      <c r="EN32" s="208" t="s">
        <v>1120</v>
      </c>
      <c r="EO32" s="208" t="s">
        <v>1126</v>
      </c>
      <c r="EP32" s="208" t="s">
        <v>1132</v>
      </c>
      <c r="EQ32" s="208" t="s">
        <v>1137</v>
      </c>
      <c r="ER32" s="208" t="s">
        <v>1142</v>
      </c>
      <c r="ES32" s="208" t="s">
        <v>1146</v>
      </c>
      <c r="ET32" s="208" t="s">
        <v>1150</v>
      </c>
      <c r="EU32" s="208" t="s">
        <v>1153</v>
      </c>
      <c r="EV32" s="208" t="s">
        <v>1155</v>
      </c>
      <c r="EW32" s="208" t="s">
        <v>1026</v>
      </c>
      <c r="EX32" s="208" t="s">
        <v>1158</v>
      </c>
      <c r="EY32" s="204" t="s">
        <v>997</v>
      </c>
      <c r="EZ32" s="204" t="s">
        <v>997</v>
      </c>
      <c r="FA32" s="204" t="s">
        <v>997</v>
      </c>
      <c r="FB32" s="204" t="s">
        <v>997</v>
      </c>
      <c r="FC32" s="204" t="s">
        <v>997</v>
      </c>
      <c r="FD32" s="204" t="s">
        <v>997</v>
      </c>
      <c r="FE32" s="204" t="s">
        <v>997</v>
      </c>
      <c r="FF32" s="204" t="s">
        <v>997</v>
      </c>
      <c r="FG32" s="204" t="s">
        <v>997</v>
      </c>
      <c r="FH32" s="204" t="s">
        <v>997</v>
      </c>
      <c r="FI32" s="204" t="s">
        <v>997</v>
      </c>
      <c r="FJ32" s="204" t="s">
        <v>997</v>
      </c>
      <c r="FK32" s="204" t="s">
        <v>997</v>
      </c>
      <c r="FL32" s="204" t="s">
        <v>997</v>
      </c>
      <c r="FM32" s="204" t="s">
        <v>997</v>
      </c>
      <c r="FN32" s="204" t="s">
        <v>997</v>
      </c>
      <c r="FO32" s="204" t="s">
        <v>997</v>
      </c>
      <c r="FP32" s="204" t="s">
        <v>997</v>
      </c>
      <c r="FQ32" s="204" t="s">
        <v>997</v>
      </c>
      <c r="FR32" s="204" t="s">
        <v>997</v>
      </c>
      <c r="FS32" s="204" t="s">
        <v>997</v>
      </c>
      <c r="FT32" s="204" t="s">
        <v>997</v>
      </c>
      <c r="FU32" s="204" t="s">
        <v>997</v>
      </c>
      <c r="FV32" s="204" t="s">
        <v>997</v>
      </c>
      <c r="FW32" s="204" t="s">
        <v>997</v>
      </c>
      <c r="FX32" s="204" t="s">
        <v>997</v>
      </c>
      <c r="FY32" s="204" t="s">
        <v>997</v>
      </c>
      <c r="FZ32" s="204" t="s">
        <v>997</v>
      </c>
      <c r="GA32" s="204" t="s">
        <v>997</v>
      </c>
      <c r="GB32" s="204" t="s">
        <v>997</v>
      </c>
      <c r="GC32" s="204" t="s">
        <v>997</v>
      </c>
      <c r="GD32" s="204" t="s">
        <v>997</v>
      </c>
      <c r="GE32" s="204" t="s">
        <v>997</v>
      </c>
      <c r="GF32" s="204" t="s">
        <v>997</v>
      </c>
      <c r="GG32" s="204" t="s">
        <v>997</v>
      </c>
      <c r="GH32" s="204" t="s">
        <v>997</v>
      </c>
      <c r="GI32" s="204" t="s">
        <v>997</v>
      </c>
      <c r="GJ32" s="204" t="s">
        <v>997</v>
      </c>
      <c r="GK32" s="204" t="s">
        <v>997</v>
      </c>
      <c r="GL32" s="204" t="s">
        <v>997</v>
      </c>
      <c r="GM32" s="204" t="s">
        <v>997</v>
      </c>
      <c r="GN32" s="1051">
        <v>66.792107790463731</v>
      </c>
      <c r="GO32" s="1051">
        <v>33.74034311064662</v>
      </c>
      <c r="GP32" s="1051">
        <v>34.428921541476143</v>
      </c>
      <c r="GQ32" s="1051">
        <v>119.81264696433699</v>
      </c>
      <c r="GR32" s="1051">
        <v>57.381535902460243</v>
      </c>
      <c r="GS32" s="1051">
        <v>20.657352924885686</v>
      </c>
      <c r="GT32" s="1051">
        <v>409.47464019995635</v>
      </c>
      <c r="GU32" s="1051">
        <v>195.09722206836483</v>
      </c>
      <c r="GV32" s="1051">
        <v>32.133660105377736</v>
      </c>
      <c r="GW32" s="1051">
        <v>323.6318624898758</v>
      </c>
      <c r="GX32" s="1051">
        <v>25.247875797082507</v>
      </c>
      <c r="GY32" s="1051">
        <v>150.56915020805565</v>
      </c>
      <c r="GZ32" s="1051">
        <v>14.001094760200299</v>
      </c>
      <c r="HA32" s="1051">
        <v>137.71568616590457</v>
      </c>
      <c r="HB32" s="1051">
        <v>50.495751594165014</v>
      </c>
      <c r="HC32" s="1051">
        <v>312.15555530938377</v>
      </c>
      <c r="HD32" s="1051">
        <v>192.8019606322664</v>
      </c>
      <c r="HE32" s="1051">
        <v>0</v>
      </c>
      <c r="HF32" s="1051">
        <v>0</v>
      </c>
      <c r="HG32" s="1051">
        <v>0</v>
      </c>
      <c r="HH32" s="1051">
        <v>0</v>
      </c>
      <c r="HI32" s="1051">
        <v>0</v>
      </c>
      <c r="HJ32" s="1051">
        <v>0</v>
      </c>
      <c r="HK32" s="1051">
        <v>0</v>
      </c>
      <c r="HL32" s="1051">
        <v>0</v>
      </c>
      <c r="HM32" s="1051">
        <v>0</v>
      </c>
      <c r="HN32" s="1051">
        <v>0</v>
      </c>
      <c r="HO32" s="1051">
        <v>0</v>
      </c>
      <c r="HP32" s="1051">
        <v>0</v>
      </c>
      <c r="HQ32" s="1051">
        <v>0</v>
      </c>
      <c r="HR32" s="1051">
        <v>0</v>
      </c>
      <c r="HS32" s="1051">
        <v>0</v>
      </c>
      <c r="HT32" s="1051">
        <v>0</v>
      </c>
      <c r="HU32" s="1051">
        <v>0</v>
      </c>
      <c r="HV32" s="1051">
        <v>0</v>
      </c>
      <c r="HW32" s="1051">
        <v>0</v>
      </c>
      <c r="HX32" s="1051">
        <v>0</v>
      </c>
      <c r="HY32" s="1051">
        <v>0</v>
      </c>
      <c r="HZ32" s="1051">
        <v>0</v>
      </c>
      <c r="IA32" s="1051">
        <v>0</v>
      </c>
      <c r="IB32" s="1051">
        <v>0</v>
      </c>
      <c r="IC32" s="1051">
        <v>0</v>
      </c>
      <c r="ID32" s="1051">
        <v>0</v>
      </c>
      <c r="IE32" s="1051">
        <v>0</v>
      </c>
      <c r="IF32" s="1051">
        <v>0</v>
      </c>
      <c r="IG32" s="1051">
        <v>0</v>
      </c>
      <c r="IH32" s="1051">
        <v>0</v>
      </c>
      <c r="II32" s="1051">
        <v>0</v>
      </c>
      <c r="IJ32" s="1051">
        <v>0</v>
      </c>
      <c r="IK32" s="1051">
        <v>0</v>
      </c>
      <c r="IL32" s="1051">
        <v>0</v>
      </c>
      <c r="IM32" s="1051">
        <v>0</v>
      </c>
      <c r="IN32" s="1051">
        <v>0</v>
      </c>
      <c r="IO32" s="1051">
        <v>0</v>
      </c>
      <c r="IP32" s="1051">
        <v>0</v>
      </c>
      <c r="IQ32" s="1051">
        <v>0</v>
      </c>
      <c r="IR32" s="1051">
        <v>0</v>
      </c>
      <c r="IS32" s="1051">
        <v>0</v>
      </c>
      <c r="IT32" s="215">
        <v>556.10463646657934</v>
      </c>
      <c r="IU32" s="207">
        <v>179.9</v>
      </c>
      <c r="IV32" s="216">
        <v>2647.0800000000199</v>
      </c>
      <c r="IW32" s="272">
        <v>12.64</v>
      </c>
      <c r="IX32" s="207">
        <v>85.101080200350012</v>
      </c>
      <c r="IY32" s="204">
        <v>3.9</v>
      </c>
      <c r="IZ32" s="204">
        <v>1.1000000000000001</v>
      </c>
      <c r="JA32" s="204">
        <v>1.1000000000000001</v>
      </c>
      <c r="JB32" s="52">
        <v>2</v>
      </c>
      <c r="JC32" s="24">
        <v>1.5</v>
      </c>
      <c r="JD32" s="24">
        <v>0.7</v>
      </c>
      <c r="JE32" s="24">
        <v>0.7</v>
      </c>
      <c r="JF32" s="24">
        <v>0.5</v>
      </c>
      <c r="JG32" s="1">
        <v>195.3843386505196</v>
      </c>
      <c r="JH32" s="216">
        <v>2647.0800000000199</v>
      </c>
      <c r="JI32" s="272">
        <v>12.64</v>
      </c>
      <c r="JJ32" s="207">
        <v>85.101080200350012</v>
      </c>
      <c r="JK32" s="8">
        <v>2.4</v>
      </c>
      <c r="JL32" s="8">
        <v>0.9</v>
      </c>
      <c r="JM32" s="8">
        <v>0.9</v>
      </c>
      <c r="JN32" s="216">
        <v>2</v>
      </c>
      <c r="JO32" s="216">
        <v>2</v>
      </c>
      <c r="JP32" s="216">
        <v>1</v>
      </c>
      <c r="JQ32" s="216">
        <v>1</v>
      </c>
      <c r="JR32" s="214">
        <v>0.5</v>
      </c>
      <c r="JS32" s="1212">
        <v>2000</v>
      </c>
      <c r="JT32" s="215">
        <v>624.76573460555664</v>
      </c>
      <c r="JU32" s="215">
        <v>500</v>
      </c>
      <c r="JV32" s="207">
        <v>2.2999999999999998</v>
      </c>
      <c r="JW32" s="207">
        <v>1.1000000000000001</v>
      </c>
      <c r="JX32" s="207">
        <v>1.1000000000000001</v>
      </c>
      <c r="JY32" s="214">
        <v>2</v>
      </c>
      <c r="JZ32" s="214">
        <v>1.5</v>
      </c>
      <c r="KA32" s="214">
        <v>0.5</v>
      </c>
      <c r="KB32" s="214">
        <v>1</v>
      </c>
      <c r="KC32" s="214">
        <v>0.5</v>
      </c>
      <c r="KD32" s="1186">
        <v>20.366739945687314</v>
      </c>
      <c r="KE32" s="1186">
        <v>5.7266951161688002</v>
      </c>
      <c r="KF32" s="1186">
        <v>62.891676365360574</v>
      </c>
      <c r="KG32" s="1186"/>
      <c r="KH32" s="1186">
        <v>2.6725289883184618E-2</v>
      </c>
      <c r="KI32" s="1186">
        <v>10.987163239794819</v>
      </c>
      <c r="KJ32" s="1186">
        <v>2.7587396008448641E-4</v>
      </c>
      <c r="KK32" s="1186">
        <v>7.2416914522177686E-4</v>
      </c>
      <c r="KL32" s="1186"/>
      <c r="KM32" s="1187">
        <v>580</v>
      </c>
      <c r="KN32" s="1187">
        <v>580</v>
      </c>
      <c r="KO32" s="1187">
        <v>580</v>
      </c>
      <c r="KP32" s="1187">
        <v>580</v>
      </c>
      <c r="KQ32" s="1187"/>
      <c r="KR32" s="1187">
        <v>580</v>
      </c>
      <c r="KS32" s="1187">
        <v>580</v>
      </c>
      <c r="KT32" s="1187">
        <v>580</v>
      </c>
      <c r="KU32" s="1187">
        <v>580</v>
      </c>
      <c r="KV32" s="262">
        <v>370</v>
      </c>
      <c r="KW32" s="262">
        <v>370</v>
      </c>
      <c r="KX32" s="262">
        <v>370</v>
      </c>
      <c r="KY32" s="262">
        <v>370</v>
      </c>
      <c r="KZ32" s="262"/>
      <c r="LA32" s="262">
        <v>370</v>
      </c>
      <c r="LB32" s="262">
        <v>370</v>
      </c>
      <c r="LC32" s="262">
        <v>370</v>
      </c>
      <c r="LD32" s="262">
        <v>370</v>
      </c>
      <c r="LE32" s="1213">
        <v>0</v>
      </c>
      <c r="LF32" s="1213">
        <v>10</v>
      </c>
      <c r="LG32" s="1213">
        <v>20</v>
      </c>
      <c r="LH32" s="1213">
        <v>70</v>
      </c>
      <c r="LI32" s="1213">
        <v>100</v>
      </c>
      <c r="LJ32" s="1212">
        <v>1000</v>
      </c>
      <c r="LK32" s="1">
        <v>2.034883667154237</v>
      </c>
      <c r="LL32" s="4">
        <v>29</v>
      </c>
      <c r="LM32" s="8">
        <v>2.8</v>
      </c>
      <c r="LN32" s="8">
        <v>1.4</v>
      </c>
      <c r="LO32" s="8">
        <v>1.4</v>
      </c>
      <c r="LP32" s="214">
        <v>2</v>
      </c>
      <c r="LQ32" s="214">
        <v>1</v>
      </c>
      <c r="LR32" s="214">
        <v>0.5</v>
      </c>
      <c r="LS32" s="214">
        <v>0.7</v>
      </c>
      <c r="LT32" s="214">
        <v>0.2</v>
      </c>
      <c r="LU32" s="1212">
        <v>1500</v>
      </c>
      <c r="LV32" s="122">
        <v>0</v>
      </c>
      <c r="LW32" s="122">
        <v>0</v>
      </c>
      <c r="LX32" s="122">
        <v>0</v>
      </c>
      <c r="LY32" s="165">
        <v>0</v>
      </c>
      <c r="LZ32" s="165">
        <v>0</v>
      </c>
      <c r="MA32" s="165">
        <v>0</v>
      </c>
      <c r="MB32" s="165">
        <v>0</v>
      </c>
      <c r="MC32" s="165">
        <v>0</v>
      </c>
      <c r="MD32" s="165">
        <v>0</v>
      </c>
      <c r="ME32" s="165">
        <v>0</v>
      </c>
      <c r="MF32" s="165">
        <v>0</v>
      </c>
      <c r="MG32" s="165">
        <v>0</v>
      </c>
      <c r="MH32" s="165">
        <v>0</v>
      </c>
      <c r="MI32" s="165">
        <v>0</v>
      </c>
      <c r="MJ32" s="165">
        <v>0</v>
      </c>
      <c r="MK32" s="165">
        <v>0</v>
      </c>
      <c r="ML32" s="165">
        <v>0</v>
      </c>
      <c r="MM32" s="165">
        <v>0</v>
      </c>
      <c r="MN32" s="165">
        <v>0</v>
      </c>
      <c r="MO32" s="165">
        <v>0</v>
      </c>
      <c r="MP32" s="165">
        <v>0</v>
      </c>
      <c r="MQ32" s="165">
        <v>0</v>
      </c>
      <c r="MR32" s="165">
        <v>0</v>
      </c>
      <c r="MS32" s="165">
        <v>0</v>
      </c>
      <c r="MT32" s="165">
        <v>0</v>
      </c>
      <c r="MU32" s="165">
        <v>0</v>
      </c>
      <c r="MV32" s="165">
        <v>0</v>
      </c>
      <c r="MW32" s="166">
        <v>0.53149826409520995</v>
      </c>
      <c r="MX32" s="166">
        <v>0</v>
      </c>
      <c r="MY32" s="166">
        <v>0</v>
      </c>
      <c r="MZ32" s="166">
        <v>0</v>
      </c>
      <c r="NA32" s="166">
        <v>0.36645589646514998</v>
      </c>
      <c r="NB32" s="166">
        <v>-0.68</v>
      </c>
      <c r="NC32" s="166">
        <v>1.20720317289767</v>
      </c>
      <c r="ND32" s="166">
        <v>0</v>
      </c>
      <c r="NE32" s="166">
        <v>0</v>
      </c>
      <c r="NF32" s="166">
        <v>0</v>
      </c>
      <c r="NG32" s="166">
        <v>-0.19797320094913001</v>
      </c>
      <c r="NH32" s="166">
        <v>-0.68</v>
      </c>
      <c r="NI32" s="166">
        <v>0</v>
      </c>
      <c r="NJ32" s="166">
        <v>0</v>
      </c>
      <c r="NK32" s="166">
        <v>0</v>
      </c>
      <c r="NL32" s="166">
        <v>0</v>
      </c>
      <c r="NM32" s="166">
        <v>0</v>
      </c>
      <c r="NN32" s="166">
        <v>0</v>
      </c>
      <c r="NO32" s="166">
        <v>0</v>
      </c>
      <c r="NP32" s="166">
        <v>0</v>
      </c>
      <c r="NQ32" s="166">
        <v>0</v>
      </c>
      <c r="NR32" s="166">
        <v>0</v>
      </c>
      <c r="NS32" s="166">
        <v>0</v>
      </c>
      <c r="NT32" s="166">
        <v>0</v>
      </c>
      <c r="NU32" s="166">
        <v>0</v>
      </c>
      <c r="NV32" s="166">
        <v>0</v>
      </c>
      <c r="NW32" s="166">
        <v>0</v>
      </c>
      <c r="NX32" s="166">
        <v>0</v>
      </c>
      <c r="NY32" s="166">
        <v>0</v>
      </c>
      <c r="NZ32" s="166">
        <v>0</v>
      </c>
      <c r="OA32" s="166">
        <v>-78</v>
      </c>
      <c r="OB32" s="166">
        <v>-16</v>
      </c>
      <c r="OC32" s="166">
        <v>0</v>
      </c>
      <c r="OD32" s="166">
        <v>0</v>
      </c>
      <c r="OE32" s="166">
        <v>0</v>
      </c>
      <c r="OF32" s="166">
        <v>0</v>
      </c>
      <c r="OG32" s="166">
        <v>0</v>
      </c>
      <c r="OH32" s="166">
        <v>0</v>
      </c>
      <c r="OI32" s="166">
        <v>0</v>
      </c>
      <c r="OJ32" s="166">
        <v>0</v>
      </c>
      <c r="OK32" s="166">
        <v>-1.28842746122441</v>
      </c>
      <c r="OL32" s="166">
        <v>-1</v>
      </c>
      <c r="OM32" s="166">
        <v>0</v>
      </c>
      <c r="ON32" s="166">
        <v>0</v>
      </c>
      <c r="OO32" s="166">
        <v>0</v>
      </c>
      <c r="OP32" s="166">
        <v>0</v>
      </c>
      <c r="OQ32" s="166">
        <v>0</v>
      </c>
      <c r="OR32" s="166">
        <v>0</v>
      </c>
      <c r="OS32" s="166">
        <v>0</v>
      </c>
      <c r="OT32" s="166">
        <v>0</v>
      </c>
      <c r="OU32" s="166">
        <v>0</v>
      </c>
      <c r="OV32" s="166">
        <v>0</v>
      </c>
      <c r="OW32" s="166">
        <v>0</v>
      </c>
      <c r="OX32" s="166">
        <v>-1</v>
      </c>
      <c r="OY32" s="166">
        <v>0</v>
      </c>
      <c r="OZ32" s="166">
        <v>0</v>
      </c>
      <c r="PA32" s="166">
        <v>0</v>
      </c>
      <c r="PB32" s="166">
        <v>0</v>
      </c>
      <c r="PC32" s="166">
        <v>0</v>
      </c>
      <c r="PD32" s="166">
        <v>0</v>
      </c>
      <c r="PE32" s="166">
        <v>-78</v>
      </c>
      <c r="PF32" s="166">
        <v>-16</v>
      </c>
      <c r="PG32" s="166">
        <v>0</v>
      </c>
      <c r="PH32" s="166">
        <v>0</v>
      </c>
      <c r="PI32" s="166">
        <v>0</v>
      </c>
      <c r="PJ32" s="166">
        <v>0</v>
      </c>
      <c r="PK32" s="166">
        <v>0.21929949213760999</v>
      </c>
      <c r="PL32" s="166">
        <v>0</v>
      </c>
      <c r="PM32" s="166">
        <v>0</v>
      </c>
      <c r="PN32" s="166">
        <v>0</v>
      </c>
      <c r="PO32" s="166">
        <v>0.99595206269224001</v>
      </c>
      <c r="PP32" s="166">
        <v>-0.25</v>
      </c>
      <c r="PQ32" s="166">
        <v>0</v>
      </c>
      <c r="PR32" s="166">
        <v>0</v>
      </c>
      <c r="PS32" s="166">
        <v>0</v>
      </c>
      <c r="PT32" s="166">
        <v>0</v>
      </c>
      <c r="PU32" s="166">
        <v>0</v>
      </c>
      <c r="PV32" s="166">
        <v>-0.25</v>
      </c>
      <c r="PW32" s="166">
        <v>0</v>
      </c>
      <c r="PX32" s="166">
        <v>0</v>
      </c>
      <c r="PY32" s="166">
        <v>0</v>
      </c>
      <c r="PZ32" s="166">
        <v>0</v>
      </c>
      <c r="QA32" s="166">
        <v>0</v>
      </c>
      <c r="QB32" s="166">
        <v>-0.25</v>
      </c>
      <c r="QC32" s="166">
        <v>0</v>
      </c>
      <c r="QD32" s="166">
        <v>0</v>
      </c>
      <c r="QE32" s="166">
        <v>0</v>
      </c>
      <c r="QF32" s="166">
        <v>0</v>
      </c>
      <c r="QG32" s="166">
        <v>0</v>
      </c>
      <c r="QH32" s="166">
        <v>-0.25</v>
      </c>
      <c r="QI32" s="162">
        <v>0</v>
      </c>
      <c r="QJ32" s="167">
        <v>0</v>
      </c>
      <c r="QK32" s="167">
        <v>-92.944892121212135</v>
      </c>
      <c r="QL32" s="167">
        <v>0</v>
      </c>
      <c r="QM32" s="167">
        <v>0</v>
      </c>
      <c r="QN32" s="162">
        <v>0</v>
      </c>
      <c r="QO32" s="162">
        <v>0</v>
      </c>
      <c r="QP32" s="162">
        <v>0</v>
      </c>
      <c r="QQ32" s="162">
        <v>0</v>
      </c>
      <c r="QR32" s="162">
        <v>0</v>
      </c>
      <c r="QS32" s="162">
        <v>0</v>
      </c>
      <c r="QT32" s="162">
        <v>0</v>
      </c>
      <c r="QU32" s="162">
        <v>0</v>
      </c>
      <c r="QV32" s="162">
        <v>0</v>
      </c>
      <c r="QW32" s="162">
        <v>0</v>
      </c>
      <c r="QX32" s="162">
        <v>0</v>
      </c>
      <c r="QY32" s="162">
        <v>0</v>
      </c>
      <c r="QZ32" s="162">
        <v>0</v>
      </c>
      <c r="RA32" s="167">
        <v>0</v>
      </c>
      <c r="RB32" s="167">
        <v>0</v>
      </c>
      <c r="RC32" s="167">
        <v>0</v>
      </c>
      <c r="RD32" s="167">
        <v>0</v>
      </c>
      <c r="RE32" s="167">
        <v>0</v>
      </c>
      <c r="RF32" s="167">
        <v>0</v>
      </c>
      <c r="RG32" s="167">
        <v>0</v>
      </c>
      <c r="RH32" s="167">
        <v>0</v>
      </c>
      <c r="RI32" s="167">
        <v>0</v>
      </c>
      <c r="RJ32" s="167">
        <v>0</v>
      </c>
      <c r="RK32" s="167">
        <v>0</v>
      </c>
      <c r="RL32" s="167">
        <v>0</v>
      </c>
      <c r="RM32" s="166">
        <v>-78</v>
      </c>
      <c r="RN32" s="166">
        <v>-16</v>
      </c>
      <c r="RO32" s="166">
        <v>-0.61669683306420997</v>
      </c>
      <c r="RP32" s="166">
        <v>0</v>
      </c>
      <c r="RQ32" s="166">
        <v>-2.5060659009021098</v>
      </c>
      <c r="RR32" s="166">
        <v>-1</v>
      </c>
      <c r="RS32" s="166">
        <v>0</v>
      </c>
      <c r="RT32" s="166">
        <v>0</v>
      </c>
      <c r="RU32" s="166">
        <v>0</v>
      </c>
      <c r="RV32" s="166">
        <v>0</v>
      </c>
      <c r="RW32" s="166">
        <v>-1.41377715951411</v>
      </c>
      <c r="RX32" s="166">
        <v>-1</v>
      </c>
      <c r="RY32" s="166">
        <v>-0.99088810740448996</v>
      </c>
      <c r="RZ32" s="166">
        <v>0</v>
      </c>
      <c r="SA32" s="166">
        <v>0</v>
      </c>
      <c r="SB32" s="166">
        <v>0</v>
      </c>
      <c r="SC32" s="166">
        <v>-1.87122290408855</v>
      </c>
      <c r="SD32" s="166">
        <v>-1</v>
      </c>
      <c r="SE32" s="166">
        <v>0</v>
      </c>
      <c r="SF32" s="166">
        <v>0</v>
      </c>
      <c r="SG32" s="166">
        <v>0</v>
      </c>
      <c r="SH32" s="166">
        <v>0</v>
      </c>
      <c r="SI32" s="166">
        <v>0</v>
      </c>
      <c r="SJ32" s="166">
        <v>-1</v>
      </c>
      <c r="SK32" s="166">
        <v>0</v>
      </c>
      <c r="SL32" s="166">
        <v>0</v>
      </c>
      <c r="SM32" s="166">
        <v>0</v>
      </c>
      <c r="SN32" s="166">
        <v>0</v>
      </c>
      <c r="SO32" s="166">
        <v>0</v>
      </c>
      <c r="SP32" s="166">
        <v>0</v>
      </c>
      <c r="SQ32" s="166">
        <v>-78</v>
      </c>
      <c r="SR32" s="166">
        <v>-16</v>
      </c>
      <c r="SS32" s="166">
        <v>0</v>
      </c>
      <c r="ST32" s="166">
        <v>0</v>
      </c>
      <c r="SU32" s="166">
        <v>0</v>
      </c>
      <c r="SV32" s="166">
        <v>0</v>
      </c>
      <c r="SW32" s="166">
        <v>0</v>
      </c>
      <c r="SX32" s="166">
        <v>0</v>
      </c>
      <c r="SY32" s="166">
        <v>0</v>
      </c>
      <c r="SZ32" s="166">
        <v>0</v>
      </c>
      <c r="TA32" s="166">
        <v>0</v>
      </c>
      <c r="TB32" s="166">
        <v>0</v>
      </c>
      <c r="TC32" s="166">
        <v>0</v>
      </c>
      <c r="TD32" s="166">
        <v>0</v>
      </c>
      <c r="TE32" s="166">
        <v>0</v>
      </c>
      <c r="TF32" s="166">
        <v>0</v>
      </c>
      <c r="TG32" s="166">
        <v>0</v>
      </c>
      <c r="TH32" s="166">
        <v>0</v>
      </c>
      <c r="TI32" s="166">
        <v>0</v>
      </c>
      <c r="TJ32" s="166">
        <v>0</v>
      </c>
      <c r="TK32" s="166">
        <v>0</v>
      </c>
      <c r="TL32" s="166">
        <v>0</v>
      </c>
      <c r="TM32" s="166">
        <v>0</v>
      </c>
      <c r="TN32" s="166">
        <v>0</v>
      </c>
      <c r="TO32" s="166">
        <v>0</v>
      </c>
      <c r="TP32" s="166">
        <v>0</v>
      </c>
      <c r="TQ32" s="166">
        <v>0</v>
      </c>
      <c r="TR32" s="166">
        <v>0</v>
      </c>
      <c r="TS32" s="166">
        <v>0</v>
      </c>
      <c r="TT32" s="166">
        <v>0</v>
      </c>
      <c r="TU32" s="166">
        <v>0.33491191402597997</v>
      </c>
      <c r="TV32" s="166">
        <v>0</v>
      </c>
      <c r="TW32" s="166">
        <v>0</v>
      </c>
      <c r="TX32" s="166">
        <v>0</v>
      </c>
      <c r="TY32" s="166">
        <v>9.987574035275E-2</v>
      </c>
      <c r="TZ32" s="166">
        <v>-0.68</v>
      </c>
      <c r="UA32" s="166">
        <v>3.4115510783469999E-2</v>
      </c>
      <c r="UB32" s="166">
        <v>0</v>
      </c>
      <c r="UC32" s="166">
        <v>0</v>
      </c>
      <c r="UD32" s="166">
        <v>0</v>
      </c>
      <c r="UE32" s="166">
        <v>-4.4187994008999999E-4</v>
      </c>
      <c r="UF32" s="166">
        <v>-1</v>
      </c>
      <c r="UG32" s="166">
        <v>0</v>
      </c>
      <c r="UH32" s="166">
        <v>0</v>
      </c>
      <c r="UI32" s="166">
        <v>0</v>
      </c>
      <c r="UJ32" s="166">
        <v>0</v>
      </c>
      <c r="UK32" s="166">
        <v>-1.9903146677699999E-3</v>
      </c>
      <c r="UL32" s="166">
        <v>-0.25</v>
      </c>
      <c r="UM32" s="166">
        <v>0</v>
      </c>
      <c r="UN32" s="166">
        <v>0</v>
      </c>
      <c r="UO32" s="166">
        <v>0</v>
      </c>
      <c r="UP32" s="166">
        <v>0</v>
      </c>
      <c r="UQ32" s="166">
        <v>0</v>
      </c>
      <c r="UR32" s="166">
        <v>-1.1000000000000001</v>
      </c>
      <c r="US32" s="163">
        <v>0</v>
      </c>
      <c r="UT32" s="163">
        <v>0</v>
      </c>
      <c r="UU32" s="163">
        <v>0</v>
      </c>
      <c r="UV32" s="163">
        <v>0</v>
      </c>
      <c r="UW32" s="163">
        <v>0</v>
      </c>
      <c r="UX32" s="163">
        <v>-6.0250043902750003E-2</v>
      </c>
      <c r="UY32" s="166">
        <v>4.7780291646690003E-2</v>
      </c>
      <c r="UZ32" s="166">
        <v>0</v>
      </c>
      <c r="VA32" s="166">
        <v>0</v>
      </c>
      <c r="VB32" s="166">
        <v>0</v>
      </c>
      <c r="VC32" s="166">
        <v>0</v>
      </c>
      <c r="VD32" s="166">
        <v>-1</v>
      </c>
      <c r="VE32" s="267">
        <v>202</v>
      </c>
      <c r="VF32" s="267">
        <v>279</v>
      </c>
      <c r="VG32" s="267">
        <v>354</v>
      </c>
      <c r="VH32" s="267">
        <v>0</v>
      </c>
      <c r="VI32" s="267">
        <v>403</v>
      </c>
      <c r="VJ32" s="267">
        <v>0</v>
      </c>
      <c r="VK32" s="267">
        <v>0</v>
      </c>
      <c r="VL32" s="257">
        <v>0</v>
      </c>
      <c r="VM32" s="257">
        <v>0</v>
      </c>
      <c r="VN32" s="257">
        <v>0</v>
      </c>
      <c r="VO32" s="257">
        <v>0</v>
      </c>
      <c r="VP32" s="257">
        <v>0</v>
      </c>
      <c r="VQ32" s="257">
        <v>0</v>
      </c>
      <c r="VR32" s="257">
        <v>0</v>
      </c>
      <c r="VS32" s="257">
        <v>0</v>
      </c>
      <c r="VT32" s="257">
        <v>0</v>
      </c>
      <c r="VU32" s="257">
        <v>0</v>
      </c>
      <c r="VV32" s="257">
        <v>0</v>
      </c>
      <c r="VW32" s="257">
        <v>0</v>
      </c>
      <c r="VX32" s="257">
        <v>0</v>
      </c>
      <c r="VY32" s="257">
        <v>0</v>
      </c>
      <c r="VZ32" s="257">
        <v>0</v>
      </c>
      <c r="WA32" s="257">
        <v>0</v>
      </c>
      <c r="WB32" s="257">
        <v>0</v>
      </c>
      <c r="WC32" s="257">
        <v>0</v>
      </c>
      <c r="WD32" s="257">
        <v>0</v>
      </c>
      <c r="WE32" s="257">
        <v>0</v>
      </c>
      <c r="WF32" s="257">
        <v>0</v>
      </c>
      <c r="WG32" s="257">
        <v>0</v>
      </c>
      <c r="WH32" s="257">
        <v>0</v>
      </c>
      <c r="WI32" s="257">
        <v>0</v>
      </c>
      <c r="WJ32" s="257">
        <v>0</v>
      </c>
      <c r="WK32" s="257">
        <v>0</v>
      </c>
      <c r="WL32" s="257">
        <v>0</v>
      </c>
      <c r="WM32" s="257">
        <v>0</v>
      </c>
      <c r="WN32" s="257">
        <v>0</v>
      </c>
      <c r="WO32" s="257">
        <v>0</v>
      </c>
      <c r="WP32" s="257">
        <v>0</v>
      </c>
      <c r="WQ32" s="257">
        <v>0</v>
      </c>
      <c r="WR32" s="257">
        <v>0</v>
      </c>
      <c r="WS32" s="572">
        <v>72.8</v>
      </c>
      <c r="WT32" s="572">
        <v>57.753653444676409</v>
      </c>
      <c r="WU32" s="572">
        <v>63.832985386221289</v>
      </c>
      <c r="WV32" s="572">
        <v>66.872651356993728</v>
      </c>
      <c r="WW32" s="572">
        <v>102.74070981210856</v>
      </c>
      <c r="WX32" s="247">
        <v>15599.974749999999</v>
      </c>
      <c r="WY32" s="4">
        <v>78</v>
      </c>
      <c r="WZ32" s="4">
        <v>15</v>
      </c>
      <c r="XA32" s="4">
        <v>7.0000000000000009</v>
      </c>
      <c r="XB32" s="4">
        <v>0</v>
      </c>
      <c r="XC32" s="1037">
        <v>933.56818401893042</v>
      </c>
      <c r="XD32" s="1037">
        <v>0</v>
      </c>
      <c r="XE32" s="1037">
        <v>0</v>
      </c>
      <c r="XF32" s="1037">
        <v>0</v>
      </c>
      <c r="XG32" s="1037">
        <v>0</v>
      </c>
      <c r="XH32" s="1037">
        <v>0</v>
      </c>
      <c r="XI32" s="1037">
        <v>1005.3811212511557</v>
      </c>
      <c r="XJ32" s="1037">
        <v>1436.2587446445084</v>
      </c>
      <c r="XK32" s="1037">
        <v>1001.4903274382644</v>
      </c>
      <c r="XL32" s="1037">
        <v>0</v>
      </c>
      <c r="XM32" s="1037">
        <v>0</v>
      </c>
      <c r="XN32" s="1037">
        <v>0</v>
      </c>
      <c r="XO32" s="1037">
        <v>0</v>
      </c>
      <c r="XP32" s="1037">
        <v>0</v>
      </c>
      <c r="XQ32" s="1037">
        <v>1078.5280449335155</v>
      </c>
      <c r="XR32" s="1037">
        <v>1540.7543499050223</v>
      </c>
      <c r="XS32" s="1037">
        <v>1049.1803430305627</v>
      </c>
      <c r="XT32" s="1037">
        <v>0</v>
      </c>
      <c r="XU32" s="1037">
        <v>0</v>
      </c>
      <c r="XV32" s="1037">
        <v>0</v>
      </c>
      <c r="XW32" s="1037">
        <v>0</v>
      </c>
      <c r="XX32" s="1037">
        <v>0</v>
      </c>
      <c r="XY32" s="1037">
        <v>1129.8865232636829</v>
      </c>
      <c r="XZ32" s="1037">
        <v>1614.1236046624042</v>
      </c>
      <c r="YA32" s="1037">
        <v>1611.9225270196828</v>
      </c>
      <c r="YB32" s="1037">
        <v>0</v>
      </c>
      <c r="YC32" s="1037">
        <v>0</v>
      </c>
      <c r="YD32" s="1037">
        <v>0</v>
      </c>
      <c r="YE32" s="1037">
        <v>0</v>
      </c>
      <c r="YF32" s="1037">
        <v>0</v>
      </c>
      <c r="YG32" s="1037">
        <v>1735.9165675596582</v>
      </c>
      <c r="YH32" s="1037">
        <v>2479.8808107995119</v>
      </c>
      <c r="YI32" s="1037">
        <v>604.53726405136968</v>
      </c>
      <c r="YJ32" s="1037">
        <v>837.05159637881945</v>
      </c>
      <c r="YK32" s="1037">
        <v>139.50859939646989</v>
      </c>
      <c r="YL32" s="1037">
        <v>1534.594593361169</v>
      </c>
      <c r="YM32" s="1037">
        <v>0</v>
      </c>
      <c r="YN32" s="1037">
        <v>0</v>
      </c>
      <c r="YO32" s="1037">
        <v>651.04013051685968</v>
      </c>
      <c r="YP32" s="1037">
        <v>930.05732930979946</v>
      </c>
      <c r="YQ32" s="1037">
        <v>648.52062536780045</v>
      </c>
      <c r="YR32" s="1037">
        <v>897.95163512464671</v>
      </c>
      <c r="YS32" s="1037">
        <v>149.6586058541078</v>
      </c>
      <c r="YT32" s="1037">
        <v>1646.244664395186</v>
      </c>
      <c r="YU32" s="1037">
        <v>0</v>
      </c>
      <c r="YV32" s="1037">
        <v>0</v>
      </c>
      <c r="YW32" s="1037">
        <v>698.40682731916979</v>
      </c>
      <c r="YX32" s="1037">
        <v>997.7240390273854</v>
      </c>
      <c r="YY32" s="1037">
        <v>679.40255990912431</v>
      </c>
      <c r="YZ32" s="1037">
        <v>940.71123679724894</v>
      </c>
      <c r="ZA32" s="1037">
        <v>156.78520613287483</v>
      </c>
      <c r="ZB32" s="1037">
        <v>1724.6372674616232</v>
      </c>
      <c r="ZC32" s="1037">
        <v>0</v>
      </c>
      <c r="ZD32" s="1037">
        <v>0</v>
      </c>
      <c r="ZE32" s="1037">
        <v>731.66429528674928</v>
      </c>
      <c r="ZF32" s="1037">
        <v>1045.234707552499</v>
      </c>
      <c r="ZG32" s="1037">
        <v>1043.8093874967456</v>
      </c>
      <c r="ZH32" s="1037">
        <v>1445.2745365339554</v>
      </c>
      <c r="ZI32" s="1037">
        <v>240.8790894223259</v>
      </c>
      <c r="ZJ32" s="1037">
        <v>2649.669983645585</v>
      </c>
      <c r="ZK32" s="1037">
        <v>0</v>
      </c>
      <c r="ZL32" s="1037">
        <v>0</v>
      </c>
      <c r="ZM32" s="1037">
        <v>1124.1024173041876</v>
      </c>
      <c r="ZN32" s="1037">
        <v>1605.8605961488395</v>
      </c>
      <c r="ZO32" s="1037">
        <v>1608.8491704592902</v>
      </c>
      <c r="ZP32" s="1037">
        <v>2227.6373129436324</v>
      </c>
      <c r="ZQ32" s="1037">
        <v>371.2728854906054</v>
      </c>
      <c r="ZR32" s="1037">
        <v>4084.0017403966599</v>
      </c>
      <c r="ZS32" s="1037">
        <v>0</v>
      </c>
      <c r="ZT32" s="1037">
        <v>0</v>
      </c>
      <c r="ZU32" s="1037">
        <v>1732.6067989561589</v>
      </c>
      <c r="ZV32" s="1037">
        <v>2475.1525699373697</v>
      </c>
      <c r="ZW32" s="1037">
        <v>1778.2017147181627</v>
      </c>
      <c r="ZX32" s="1037">
        <v>2462.1254511482252</v>
      </c>
      <c r="ZY32" s="1037">
        <v>410.35424185803754</v>
      </c>
      <c r="ZZ32" s="1037">
        <v>4513.8966604384132</v>
      </c>
      <c r="AAA32" s="1037">
        <v>0</v>
      </c>
      <c r="AAB32" s="1037">
        <v>0</v>
      </c>
      <c r="AAC32" s="1037">
        <v>1914.9864620041753</v>
      </c>
      <c r="AAD32" s="1037">
        <v>2735.6949457202504</v>
      </c>
      <c r="AAE32" s="1037">
        <v>1862.877986847599</v>
      </c>
      <c r="AAF32" s="1037">
        <v>2579.3695202505214</v>
      </c>
      <c r="AAG32" s="1037">
        <v>429.89492004175361</v>
      </c>
      <c r="AAH32" s="1037">
        <v>4728.84412045929</v>
      </c>
      <c r="AAI32" s="1037">
        <v>0</v>
      </c>
      <c r="AAJ32" s="1037">
        <v>0</v>
      </c>
      <c r="AAK32" s="1037">
        <v>2006.1762935281838</v>
      </c>
      <c r="AAL32" s="1037">
        <v>2865.966133611691</v>
      </c>
      <c r="AAM32" s="1037">
        <v>2862.0579979749477</v>
      </c>
      <c r="AAN32" s="1037">
        <v>3962.84953565762</v>
      </c>
      <c r="AAO32" s="1037">
        <v>660.47492260960337</v>
      </c>
      <c r="AAP32" s="1037">
        <v>7265.2241487056372</v>
      </c>
      <c r="AAQ32" s="1037">
        <v>0</v>
      </c>
      <c r="AAR32" s="1037">
        <v>0</v>
      </c>
      <c r="AAS32" s="1037">
        <v>3082.2163055114825</v>
      </c>
      <c r="AAT32" s="1037">
        <v>4403.166150730689</v>
      </c>
      <c r="AAU32" s="1037">
        <v>2213.3864345106595</v>
      </c>
      <c r="AAV32" s="1037">
        <v>3064.6889093224518</v>
      </c>
      <c r="AAW32" s="1037">
        <v>510.78148488707524</v>
      </c>
      <c r="AAX32" s="1037">
        <v>5618.5963337578287</v>
      </c>
      <c r="AAY32" s="1037">
        <v>0</v>
      </c>
      <c r="AAZ32" s="1037">
        <v>0</v>
      </c>
      <c r="ABA32" s="1037">
        <v>2383.6469294730182</v>
      </c>
      <c r="ABB32" s="1037">
        <v>3405.2098992471688</v>
      </c>
      <c r="ABC32" s="1037">
        <v>2343.042259393344</v>
      </c>
      <c r="ABD32" s="1037">
        <v>3244.2123591600143</v>
      </c>
      <c r="ABE32" s="1037">
        <v>540.70205986000235</v>
      </c>
      <c r="ABF32" s="1037">
        <v>5947.7226584600267</v>
      </c>
      <c r="ABG32" s="1037">
        <v>0</v>
      </c>
      <c r="ABH32" s="1037">
        <v>0</v>
      </c>
      <c r="ABI32" s="1037">
        <v>2523.2762793466782</v>
      </c>
      <c r="ABJ32" s="1037">
        <v>3604.6803990666831</v>
      </c>
      <c r="ABK32" s="1037">
        <v>2454.6157003168364</v>
      </c>
      <c r="ABL32" s="1037">
        <v>3398.6986619771578</v>
      </c>
      <c r="ABM32" s="1037">
        <v>566.4497769961929</v>
      </c>
      <c r="ABN32" s="1037">
        <v>6230.947546958123</v>
      </c>
      <c r="ABO32" s="1037">
        <v>0</v>
      </c>
      <c r="ABP32" s="1037">
        <v>0</v>
      </c>
      <c r="ABQ32" s="1037">
        <v>2643.4322926489008</v>
      </c>
      <c r="ABR32" s="1037">
        <v>3776.3318466412866</v>
      </c>
      <c r="ABS32" s="1037">
        <v>0</v>
      </c>
      <c r="ABT32" s="1037">
        <v>0</v>
      </c>
      <c r="ABU32" s="1037">
        <v>0</v>
      </c>
      <c r="ABV32" s="1037">
        <v>0</v>
      </c>
      <c r="ABW32" s="1037">
        <v>0</v>
      </c>
      <c r="ABX32" s="1037">
        <v>0</v>
      </c>
      <c r="ABY32" s="1037">
        <v>0</v>
      </c>
      <c r="ABZ32" s="1037">
        <v>0</v>
      </c>
      <c r="ACA32" s="1037">
        <v>2866.6767037274626</v>
      </c>
      <c r="ACB32" s="1037">
        <v>3969.2446666995634</v>
      </c>
      <c r="ACC32" s="1037">
        <v>661.54077778326052</v>
      </c>
      <c r="ACD32" s="1037">
        <v>7276.9485556158661</v>
      </c>
      <c r="ACE32" s="1037">
        <v>0</v>
      </c>
      <c r="ACF32" s="1037">
        <v>0</v>
      </c>
      <c r="ACG32" s="1037">
        <v>3087.1902963218831</v>
      </c>
      <c r="ACH32" s="1037">
        <v>4410.2718518884039</v>
      </c>
      <c r="ACI32" s="1037">
        <v>3064.7829553671863</v>
      </c>
      <c r="ACJ32" s="1037">
        <v>4243.5456305084117</v>
      </c>
      <c r="ACK32" s="1037">
        <v>707.25760508473536</v>
      </c>
      <c r="ACL32" s="1037">
        <v>7779.8336559320887</v>
      </c>
      <c r="ACM32" s="1037">
        <v>0</v>
      </c>
      <c r="ACN32" s="1037">
        <v>0</v>
      </c>
      <c r="ACO32" s="1037">
        <v>3300.5354903954317</v>
      </c>
      <c r="ACP32" s="1037">
        <v>4715.0507005649024</v>
      </c>
      <c r="ACQ32" s="1037">
        <v>3210.7250008608621</v>
      </c>
      <c r="ACR32" s="1037">
        <v>4445.6192319611928</v>
      </c>
      <c r="ACS32" s="1037">
        <v>740.93653866019883</v>
      </c>
      <c r="ACT32" s="1037">
        <v>8150.301925262188</v>
      </c>
      <c r="ACU32" s="1037">
        <v>0</v>
      </c>
      <c r="ACV32" s="1037">
        <v>0</v>
      </c>
      <c r="ACW32" s="1037">
        <v>3457.7038470809284</v>
      </c>
      <c r="ACX32" s="1037">
        <v>4939.5769244013263</v>
      </c>
      <c r="ACY32" s="1037">
        <v>4932.8411376862341</v>
      </c>
      <c r="ACZ32" s="1037">
        <v>6830.0877291040151</v>
      </c>
      <c r="ADA32" s="1037">
        <v>1138.3479548506691</v>
      </c>
      <c r="ADB32" s="1037">
        <v>12521.827503357363</v>
      </c>
      <c r="ADC32" s="1037">
        <v>0</v>
      </c>
      <c r="ADD32" s="1037">
        <v>0</v>
      </c>
      <c r="ADE32" s="1037">
        <v>5312.2904559697909</v>
      </c>
      <c r="ADF32" s="1037">
        <v>7588.9863656711286</v>
      </c>
      <c r="ADG32" s="1037">
        <v>3500.4657708780919</v>
      </c>
      <c r="ADH32" s="1037">
        <v>4846.7987596773573</v>
      </c>
      <c r="ADI32" s="1037">
        <v>807.79979327955959</v>
      </c>
      <c r="ADJ32" s="1037">
        <v>8885.7977260751559</v>
      </c>
      <c r="ADK32" s="1037">
        <v>0</v>
      </c>
      <c r="ADL32" s="1037">
        <v>0</v>
      </c>
      <c r="ADM32" s="1037">
        <v>3769.7323686379455</v>
      </c>
      <c r="ADN32" s="1037">
        <v>5385.3319551970644</v>
      </c>
      <c r="ADO32" s="1037">
        <v>3765.6036311678745</v>
      </c>
      <c r="ADP32" s="1037">
        <v>5213.9127200785952</v>
      </c>
      <c r="ADQ32" s="1037">
        <v>868.98545334643245</v>
      </c>
      <c r="ADR32" s="1037">
        <v>9558.839986810759</v>
      </c>
      <c r="ADS32" s="1037">
        <v>0</v>
      </c>
      <c r="ADT32" s="1037">
        <v>0</v>
      </c>
      <c r="ADU32" s="1037">
        <v>4055.2654489500187</v>
      </c>
      <c r="ADV32" s="1037">
        <v>5793.2363556428836</v>
      </c>
      <c r="ADW32" s="1037">
        <v>3944.9180897949159</v>
      </c>
      <c r="ADX32" s="1037">
        <v>5462.1942781775751</v>
      </c>
      <c r="ADY32" s="1037">
        <v>910.3657130295959</v>
      </c>
      <c r="ADZ32" s="1037">
        <v>10014.022843325556</v>
      </c>
      <c r="AEA32" s="1037">
        <v>0</v>
      </c>
      <c r="AEB32" s="1037">
        <v>0</v>
      </c>
      <c r="AEC32" s="1037">
        <v>4248.3733274714477</v>
      </c>
      <c r="AED32" s="1037">
        <v>6069.1047535306398</v>
      </c>
      <c r="AEE32" s="1037">
        <v>6060.8287015940068</v>
      </c>
      <c r="AEF32" s="1037">
        <v>8391.9166637455473</v>
      </c>
      <c r="AEG32" s="1037">
        <v>1398.6527772909246</v>
      </c>
      <c r="AEH32" s="1037">
        <v>15385.180550200172</v>
      </c>
      <c r="AEI32" s="1037">
        <v>0</v>
      </c>
      <c r="AEJ32" s="1037">
        <v>0</v>
      </c>
      <c r="AEK32" s="1037">
        <v>6527.046294024316</v>
      </c>
      <c r="AEL32" s="1037">
        <v>9324.3518486061639</v>
      </c>
      <c r="AEM32" s="1037">
        <v>4036.7488276978556</v>
      </c>
      <c r="AEN32" s="1037">
        <v>5589.3445306585691</v>
      </c>
      <c r="AEO32" s="1037">
        <v>931.5574217764281</v>
      </c>
      <c r="AEP32" s="1037">
        <v>10247.13163954071</v>
      </c>
      <c r="AEQ32" s="1037">
        <v>0</v>
      </c>
      <c r="AER32" s="1037">
        <v>0</v>
      </c>
      <c r="AES32" s="1037">
        <v>4347.2679682899989</v>
      </c>
      <c r="AET32" s="1037">
        <v>6210.3828118428546</v>
      </c>
      <c r="AEU32" s="1037">
        <v>4288.6041354967456</v>
      </c>
      <c r="AEV32" s="1037">
        <v>5938.0672645339546</v>
      </c>
      <c r="AEW32" s="1037">
        <v>989.67787742232576</v>
      </c>
      <c r="AEX32" s="1037">
        <v>10886.456651645585</v>
      </c>
      <c r="AEY32" s="1037">
        <v>0</v>
      </c>
      <c r="AEZ32" s="1037">
        <v>0</v>
      </c>
      <c r="AFA32" s="1037">
        <v>4618.4967613041881</v>
      </c>
      <c r="AFB32" s="1037">
        <v>6597.8525161488396</v>
      </c>
      <c r="AFC32" s="1037">
        <v>4492.8233800442085</v>
      </c>
      <c r="AFD32" s="1037">
        <v>6220.8323723689045</v>
      </c>
      <c r="AFE32" s="1037">
        <v>1036.8053953948174</v>
      </c>
      <c r="AFF32" s="1037">
        <v>11404.859349342993</v>
      </c>
      <c r="AFG32" s="1037">
        <v>0</v>
      </c>
      <c r="AFH32" s="1037">
        <v>0</v>
      </c>
      <c r="AFI32" s="1037">
        <v>4838.4251785091483</v>
      </c>
      <c r="AFJ32" s="1037">
        <v>6912.0359692987831</v>
      </c>
      <c r="AFK32" s="1037">
        <v>6902.6104657042861</v>
      </c>
      <c r="AFL32" s="1037">
        <v>9557.4606448213181</v>
      </c>
      <c r="AFM32" s="1037">
        <v>1592.9101074702196</v>
      </c>
      <c r="AFN32" s="1037">
        <v>17522.011182172417</v>
      </c>
      <c r="AFO32" s="1037">
        <v>0</v>
      </c>
      <c r="AFP32" s="1037">
        <v>0</v>
      </c>
      <c r="AFQ32" s="1037">
        <v>7433.5805015276928</v>
      </c>
      <c r="AFR32" s="1037">
        <v>10619.400716468132</v>
      </c>
      <c r="AFS32" s="247">
        <v>1608.8491704592902</v>
      </c>
      <c r="AFT32" s="247">
        <v>2227.6373129436324</v>
      </c>
      <c r="AFU32" s="247">
        <v>371.2728854906054</v>
      </c>
      <c r="AFV32" s="247">
        <v>4084.0017403966599</v>
      </c>
      <c r="AFW32" s="247">
        <v>0</v>
      </c>
      <c r="AFX32" s="247">
        <v>0</v>
      </c>
      <c r="AFY32" s="247">
        <v>1732.6067989561589</v>
      </c>
      <c r="AFZ32" s="247">
        <v>2475.1525699373697</v>
      </c>
      <c r="AGA32" s="247">
        <v>1778.2017147181627</v>
      </c>
      <c r="AGB32" s="247">
        <v>2462.1254511482252</v>
      </c>
      <c r="AGC32" s="247">
        <v>410.35424185803754</v>
      </c>
      <c r="AGD32" s="247">
        <v>4513.8966604384132</v>
      </c>
      <c r="AGE32" s="247">
        <v>0</v>
      </c>
      <c r="AGF32" s="247">
        <v>0</v>
      </c>
      <c r="AGG32" s="247">
        <v>1914.9864620041753</v>
      </c>
      <c r="AGH32" s="247">
        <v>2735.6949457202504</v>
      </c>
      <c r="AGI32" s="247">
        <v>1862.877986847599</v>
      </c>
      <c r="AGJ32" s="247">
        <v>2579.3695202505214</v>
      </c>
      <c r="AGK32" s="247">
        <v>429.89492004175361</v>
      </c>
      <c r="AGL32" s="247">
        <v>4728.84412045929</v>
      </c>
      <c r="AGM32" s="247">
        <v>0</v>
      </c>
      <c r="AGN32" s="247">
        <v>0</v>
      </c>
      <c r="AGO32" s="247">
        <v>2006.1762935281838</v>
      </c>
      <c r="AGP32" s="247">
        <v>2865.966133611691</v>
      </c>
      <c r="AGQ32" s="247">
        <v>2862.0579979749477</v>
      </c>
      <c r="AGR32" s="247">
        <v>3962.84953565762</v>
      </c>
      <c r="AGS32" s="247">
        <v>660.47492260960337</v>
      </c>
      <c r="AGT32" s="247">
        <v>7265.2241487056372</v>
      </c>
      <c r="AGU32" s="247">
        <v>0</v>
      </c>
      <c r="AGV32" s="247">
        <v>0</v>
      </c>
      <c r="AGW32" s="247">
        <v>3082.2163055114825</v>
      </c>
      <c r="AGX32" s="247">
        <v>4403.166150730689</v>
      </c>
      <c r="AGY32" s="249">
        <v>0</v>
      </c>
      <c r="AGZ32" s="249">
        <v>0</v>
      </c>
      <c r="AHA32" s="249">
        <v>0</v>
      </c>
      <c r="AHB32" s="249">
        <v>0</v>
      </c>
      <c r="AHC32" s="249">
        <v>0</v>
      </c>
      <c r="AHD32" s="249">
        <v>0</v>
      </c>
      <c r="AHE32" s="249">
        <v>0</v>
      </c>
      <c r="AHF32" s="249">
        <v>0</v>
      </c>
      <c r="AHG32" s="249">
        <v>0</v>
      </c>
      <c r="AHH32" s="249">
        <v>0</v>
      </c>
      <c r="AHI32" s="249">
        <v>0</v>
      </c>
      <c r="AHJ32" s="249">
        <v>0</v>
      </c>
      <c r="AHK32" s="249">
        <v>0</v>
      </c>
      <c r="AHL32" s="249">
        <v>0</v>
      </c>
      <c r="AHM32" s="249">
        <v>0</v>
      </c>
      <c r="AHN32" s="249">
        <v>0</v>
      </c>
      <c r="AHO32" s="249">
        <v>0</v>
      </c>
      <c r="AHP32" s="249">
        <v>0</v>
      </c>
      <c r="AHQ32" s="249">
        <v>0</v>
      </c>
      <c r="AHR32" s="249">
        <v>0</v>
      </c>
      <c r="AHS32" s="249">
        <v>0</v>
      </c>
      <c r="AHT32" s="249">
        <v>0</v>
      </c>
      <c r="AHU32" s="249">
        <v>0</v>
      </c>
      <c r="AHV32" s="249">
        <v>0</v>
      </c>
      <c r="AHW32" s="249">
        <v>0</v>
      </c>
      <c r="AHX32" s="249">
        <v>0</v>
      </c>
      <c r="AHY32" s="249">
        <v>0</v>
      </c>
      <c r="AHZ32" s="249">
        <v>0</v>
      </c>
      <c r="AIA32" s="249">
        <v>0</v>
      </c>
      <c r="AIB32" s="249">
        <v>0</v>
      </c>
      <c r="AIC32" s="249">
        <v>0</v>
      </c>
      <c r="AID32" s="249">
        <v>0</v>
      </c>
      <c r="AIE32" s="249"/>
      <c r="AIF32" s="249"/>
      <c r="AIG32" s="249"/>
      <c r="AIH32" s="249"/>
      <c r="AII32" s="249"/>
      <c r="AIJ32" s="249"/>
      <c r="AIK32" s="249"/>
      <c r="AIL32" s="249"/>
      <c r="AIM32" s="249">
        <v>0</v>
      </c>
      <c r="AIN32" s="249">
        <v>0</v>
      </c>
      <c r="AIO32" s="249">
        <v>0</v>
      </c>
      <c r="AIP32" s="249">
        <v>0</v>
      </c>
      <c r="AIQ32" s="249">
        <v>0</v>
      </c>
      <c r="AIR32" s="249">
        <v>0</v>
      </c>
      <c r="AIS32" s="249">
        <v>0</v>
      </c>
      <c r="AIT32" s="249">
        <v>0</v>
      </c>
      <c r="AIU32" s="134" t="s">
        <v>1216</v>
      </c>
      <c r="AIV32" s="134" t="s">
        <v>1219</v>
      </c>
      <c r="AIW32" s="134" t="s">
        <v>1218</v>
      </c>
      <c r="AIX32" s="134" t="s">
        <v>1217</v>
      </c>
      <c r="AIY32" s="134" t="s">
        <v>1228</v>
      </c>
      <c r="AIZ32" s="134" t="s">
        <v>1229</v>
      </c>
      <c r="AJA32" s="134" t="s">
        <v>1230</v>
      </c>
      <c r="AJB32" s="134" t="s">
        <v>1231</v>
      </c>
      <c r="AJC32" s="134" t="s">
        <v>1232</v>
      </c>
      <c r="AJD32" s="134" t="s">
        <v>1233</v>
      </c>
    </row>
    <row r="33" spans="1:940" ht="18" customHeight="1">
      <c r="A33" s="664" t="s">
        <v>21</v>
      </c>
      <c r="B33" s="669">
        <v>-0.4</v>
      </c>
      <c r="C33" s="6">
        <v>-0.4</v>
      </c>
      <c r="D33" s="6">
        <v>-0.5</v>
      </c>
      <c r="E33" s="74">
        <v>272.64150943396226</v>
      </c>
      <c r="F33" s="75">
        <v>-9.5</v>
      </c>
      <c r="G33" s="7">
        <v>-5.8</v>
      </c>
      <c r="H33" s="7">
        <v>-5.8</v>
      </c>
      <c r="I33" s="266">
        <v>350</v>
      </c>
      <c r="J33" s="125">
        <v>0</v>
      </c>
      <c r="K33" s="125">
        <v>0</v>
      </c>
      <c r="L33" s="125">
        <v>0</v>
      </c>
      <c r="M33" s="1">
        <v>786.68920199272645</v>
      </c>
      <c r="N33" s="2">
        <v>12</v>
      </c>
      <c r="O33" s="8">
        <v>1.2</v>
      </c>
      <c r="P33" s="8">
        <v>0.9</v>
      </c>
      <c r="Q33" s="8">
        <v>0.9</v>
      </c>
      <c r="R33" s="7">
        <v>0.1</v>
      </c>
      <c r="S33" s="7">
        <v>0</v>
      </c>
      <c r="T33" s="7">
        <v>97.3</v>
      </c>
      <c r="U33" s="7">
        <v>2.6</v>
      </c>
      <c r="V33" s="71">
        <v>0</v>
      </c>
      <c r="W33" s="119">
        <v>2</v>
      </c>
      <c r="X33" s="120">
        <v>1.5</v>
      </c>
      <c r="Y33" s="119">
        <v>1</v>
      </c>
      <c r="Z33" s="120">
        <v>0.8</v>
      </c>
      <c r="AA33" s="120">
        <v>0.5</v>
      </c>
      <c r="AB33" s="559">
        <v>433.01922201480062</v>
      </c>
      <c r="AC33" s="559">
        <v>470.67306740739195</v>
      </c>
      <c r="AD33" s="559">
        <v>433.37222681535616</v>
      </c>
      <c r="AE33" s="559">
        <v>649.0581599547935</v>
      </c>
      <c r="AF33" s="622">
        <v>0.82209484106305364</v>
      </c>
      <c r="AG33" s="559">
        <v>261.91600618637949</v>
      </c>
      <c r="AH33" s="559">
        <v>284.69131107215162</v>
      </c>
      <c r="AI33" s="559">
        <v>262.12952466968363</v>
      </c>
      <c r="AJ33" s="559">
        <v>392.58931796849708</v>
      </c>
      <c r="AK33" s="622">
        <v>0.96717040125065135</v>
      </c>
      <c r="AL33" s="995">
        <v>0.1</v>
      </c>
      <c r="AM33" s="995">
        <v>0.2</v>
      </c>
      <c r="AN33" s="995">
        <v>0.4</v>
      </c>
      <c r="AO33" s="995">
        <v>0.8</v>
      </c>
      <c r="AP33" s="995">
        <v>1.2</v>
      </c>
      <c r="AQ33" s="995">
        <v>1.8</v>
      </c>
      <c r="AR33" s="995">
        <v>2.2999999999999998</v>
      </c>
      <c r="AS33" s="1005">
        <v>0</v>
      </c>
      <c r="AT33" s="1005">
        <v>10</v>
      </c>
      <c r="AU33" s="1005">
        <v>20</v>
      </c>
      <c r="AV33" s="1005">
        <v>70</v>
      </c>
      <c r="AW33" s="1005">
        <v>100</v>
      </c>
      <c r="AX33" s="1">
        <v>9512.6067031102411</v>
      </c>
      <c r="AY33" s="5">
        <v>1.5</v>
      </c>
      <c r="AZ33" s="8">
        <v>1.2</v>
      </c>
      <c r="BA33" s="8">
        <v>0.6</v>
      </c>
      <c r="BB33" s="8">
        <v>0.6</v>
      </c>
      <c r="BC33" s="73">
        <v>0.16277777166806032</v>
      </c>
      <c r="BD33" s="73">
        <v>0.17328561477853599</v>
      </c>
      <c r="BE33" s="9">
        <v>1.0389010860597281</v>
      </c>
      <c r="BF33" s="9">
        <v>1.5375851844803749E-3</v>
      </c>
      <c r="BG33" s="9">
        <v>1.3753247244240341</v>
      </c>
      <c r="BH33" s="9">
        <v>40.969409471416199</v>
      </c>
      <c r="BI33" s="9">
        <v>0.64679877477976799</v>
      </c>
      <c r="BJ33" s="9">
        <v>0.26822721312323528</v>
      </c>
      <c r="BK33" s="9">
        <v>55.080389475753996</v>
      </c>
      <c r="BL33" s="9">
        <v>0.23572085339957369</v>
      </c>
      <c r="BM33" s="9">
        <v>4.8804762679153547E-2</v>
      </c>
      <c r="BN33" s="9">
        <v>0</v>
      </c>
      <c r="BO33" s="9">
        <v>5.2458788646977494E-4</v>
      </c>
      <c r="BP33" s="9">
        <v>0</v>
      </c>
      <c r="BQ33" s="9">
        <v>6.2046084503149255E-3</v>
      </c>
      <c r="BR33" s="9">
        <v>3.6178474928949993E-5</v>
      </c>
      <c r="BS33" s="9">
        <v>0.32812067836811198</v>
      </c>
      <c r="BT33" s="262">
        <v>261.13475999999997</v>
      </c>
      <c r="BU33" s="262">
        <v>96.5</v>
      </c>
      <c r="BV33" s="262">
        <v>63.215999999999994</v>
      </c>
      <c r="BW33" s="262">
        <v>233.35949490734063</v>
      </c>
      <c r="BX33" s="262">
        <v>157.40783999999999</v>
      </c>
      <c r="BY33" s="68"/>
      <c r="BZ33" s="262">
        <v>256.20808011776955</v>
      </c>
      <c r="CA33" s="262">
        <v>165.17663999999999</v>
      </c>
      <c r="CB33" s="68"/>
      <c r="CC33" s="785">
        <v>0</v>
      </c>
      <c r="CD33" s="262">
        <v>6.585</v>
      </c>
      <c r="CE33" s="262">
        <v>1.3169999999999999</v>
      </c>
      <c r="CF33" s="262">
        <v>38</v>
      </c>
      <c r="CG33" s="262">
        <v>225.83915999999996</v>
      </c>
      <c r="CH33" s="68">
        <v>0.2</v>
      </c>
      <c r="CI33" s="262">
        <v>175.08124000000001</v>
      </c>
      <c r="CJ33" s="262">
        <v>60.4</v>
      </c>
      <c r="CK33" s="262">
        <v>42.384</v>
      </c>
      <c r="CL33" s="262">
        <v>156.45894761061641</v>
      </c>
      <c r="CM33" s="262">
        <v>105.53616</v>
      </c>
      <c r="CN33" s="68"/>
      <c r="CO33" s="262">
        <v>159.24945066654416</v>
      </c>
      <c r="CP33" s="262">
        <v>102.66767999999999</v>
      </c>
      <c r="CQ33" s="68"/>
      <c r="CR33" s="262">
        <v>0</v>
      </c>
      <c r="CS33" s="262">
        <v>4.415</v>
      </c>
      <c r="CT33" s="262">
        <v>0.88300000000000001</v>
      </c>
      <c r="CU33" s="262">
        <v>27</v>
      </c>
      <c r="CV33" s="262">
        <v>151.41683999999998</v>
      </c>
      <c r="CW33" s="68">
        <v>0.2</v>
      </c>
      <c r="CX33" s="120">
        <v>0.3</v>
      </c>
      <c r="CY33" s="120">
        <v>0.7</v>
      </c>
      <c r="CZ33" s="120">
        <v>1.2</v>
      </c>
      <c r="DA33" s="120">
        <v>1.2</v>
      </c>
      <c r="DB33" s="119">
        <v>3</v>
      </c>
      <c r="DC33" s="1005">
        <v>0</v>
      </c>
      <c r="DD33" s="1005">
        <v>10</v>
      </c>
      <c r="DE33" s="1005">
        <v>20</v>
      </c>
      <c r="DF33" s="1005">
        <v>70</v>
      </c>
      <c r="DG33" s="1005">
        <v>100</v>
      </c>
      <c r="DH33" s="2">
        <v>3.1720593617894246</v>
      </c>
      <c r="DI33" s="2">
        <v>18</v>
      </c>
      <c r="DJ33" s="63">
        <v>12</v>
      </c>
      <c r="DK33" s="8">
        <v>1.9</v>
      </c>
      <c r="DL33" s="8">
        <v>1.2</v>
      </c>
      <c r="DM33" s="8">
        <v>1.2</v>
      </c>
      <c r="DN33" s="1030" t="s">
        <v>1027</v>
      </c>
      <c r="DO33" s="1030" t="s">
        <v>997</v>
      </c>
      <c r="DP33" s="1030" t="s">
        <v>997</v>
      </c>
      <c r="DQ33" s="1030" t="s">
        <v>997</v>
      </c>
      <c r="DR33" s="1030" t="s">
        <v>997</v>
      </c>
      <c r="DS33" s="1030" t="s">
        <v>997</v>
      </c>
      <c r="DT33" s="1030" t="s">
        <v>997</v>
      </c>
      <c r="DU33" s="1097">
        <v>588</v>
      </c>
      <c r="DV33" s="1097">
        <v>0</v>
      </c>
      <c r="DW33" s="1097">
        <v>0</v>
      </c>
      <c r="DX33" s="1097">
        <v>0</v>
      </c>
      <c r="DY33" s="1097">
        <v>0</v>
      </c>
      <c r="DZ33" s="1097">
        <v>0</v>
      </c>
      <c r="EA33" s="1097">
        <v>0</v>
      </c>
      <c r="EB33" s="207">
        <v>0.58799999999999997</v>
      </c>
      <c r="EC33" s="207">
        <v>18</v>
      </c>
      <c r="ED33" s="221">
        <v>5</v>
      </c>
      <c r="EE33" s="214">
        <v>1.9</v>
      </c>
      <c r="EF33" s="214">
        <v>1.2</v>
      </c>
      <c r="EG33" s="214">
        <v>1.2</v>
      </c>
      <c r="EH33" s="208" t="s">
        <v>1050</v>
      </c>
      <c r="EI33" s="208" t="s">
        <v>1027</v>
      </c>
      <c r="EJ33" s="208" t="s">
        <v>1082</v>
      </c>
      <c r="EK33" s="208" t="s">
        <v>1096</v>
      </c>
      <c r="EL33" s="210" t="s">
        <v>1106</v>
      </c>
      <c r="EM33" s="204" t="s">
        <v>997</v>
      </c>
      <c r="EN33" s="204" t="s">
        <v>997</v>
      </c>
      <c r="EO33" s="204" t="s">
        <v>997</v>
      </c>
      <c r="EP33" s="204" t="s">
        <v>997</v>
      </c>
      <c r="EQ33" s="204" t="s">
        <v>997</v>
      </c>
      <c r="ER33" s="204" t="s">
        <v>997</v>
      </c>
      <c r="ES33" s="204" t="s">
        <v>997</v>
      </c>
      <c r="ET33" s="204" t="s">
        <v>997</v>
      </c>
      <c r="EU33" s="204" t="s">
        <v>997</v>
      </c>
      <c r="EV33" s="204" t="s">
        <v>997</v>
      </c>
      <c r="EW33" s="204" t="s">
        <v>997</v>
      </c>
      <c r="EX33" s="204" t="s">
        <v>997</v>
      </c>
      <c r="EY33" s="204" t="s">
        <v>997</v>
      </c>
      <c r="EZ33" s="204" t="s">
        <v>997</v>
      </c>
      <c r="FA33" s="204" t="s">
        <v>997</v>
      </c>
      <c r="FB33" s="204" t="s">
        <v>997</v>
      </c>
      <c r="FC33" s="204" t="s">
        <v>997</v>
      </c>
      <c r="FD33" s="204" t="s">
        <v>997</v>
      </c>
      <c r="FE33" s="204" t="s">
        <v>997</v>
      </c>
      <c r="FF33" s="204" t="s">
        <v>997</v>
      </c>
      <c r="FG33" s="204" t="s">
        <v>997</v>
      </c>
      <c r="FH33" s="204" t="s">
        <v>997</v>
      </c>
      <c r="FI33" s="204" t="s">
        <v>997</v>
      </c>
      <c r="FJ33" s="204" t="s">
        <v>997</v>
      </c>
      <c r="FK33" s="204" t="s">
        <v>997</v>
      </c>
      <c r="FL33" s="204" t="s">
        <v>997</v>
      </c>
      <c r="FM33" s="204" t="s">
        <v>997</v>
      </c>
      <c r="FN33" s="204" t="s">
        <v>997</v>
      </c>
      <c r="FO33" s="204" t="s">
        <v>997</v>
      </c>
      <c r="FP33" s="204" t="s">
        <v>997</v>
      </c>
      <c r="FQ33" s="204" t="s">
        <v>997</v>
      </c>
      <c r="FR33" s="204" t="s">
        <v>997</v>
      </c>
      <c r="FS33" s="204" t="s">
        <v>997</v>
      </c>
      <c r="FT33" s="204" t="s">
        <v>997</v>
      </c>
      <c r="FU33" s="204" t="s">
        <v>997</v>
      </c>
      <c r="FV33" s="204" t="s">
        <v>997</v>
      </c>
      <c r="FW33" s="204" t="s">
        <v>997</v>
      </c>
      <c r="FX33" s="204" t="s">
        <v>997</v>
      </c>
      <c r="FY33" s="204" t="s">
        <v>997</v>
      </c>
      <c r="FZ33" s="204" t="s">
        <v>997</v>
      </c>
      <c r="GA33" s="204" t="s">
        <v>997</v>
      </c>
      <c r="GB33" s="204" t="s">
        <v>997</v>
      </c>
      <c r="GC33" s="204" t="s">
        <v>997</v>
      </c>
      <c r="GD33" s="204" t="s">
        <v>997</v>
      </c>
      <c r="GE33" s="204" t="s">
        <v>997</v>
      </c>
      <c r="GF33" s="204" t="s">
        <v>997</v>
      </c>
      <c r="GG33" s="204" t="s">
        <v>997</v>
      </c>
      <c r="GH33" s="204" t="s">
        <v>997</v>
      </c>
      <c r="GI33" s="204" t="s">
        <v>997</v>
      </c>
      <c r="GJ33" s="204" t="s">
        <v>997</v>
      </c>
      <c r="GK33" s="204" t="s">
        <v>997</v>
      </c>
      <c r="GL33" s="204" t="s">
        <v>997</v>
      </c>
      <c r="GM33" s="204" t="s">
        <v>997</v>
      </c>
      <c r="GN33" s="1051">
        <v>50.176991150442475</v>
      </c>
      <c r="GO33" s="1051">
        <v>178.40707964601768</v>
      </c>
      <c r="GP33" s="1051">
        <v>260.17699115044246</v>
      </c>
      <c r="GQ33" s="1051">
        <v>52.035398230088497</v>
      </c>
      <c r="GR33" s="1051">
        <v>47.203539823008846</v>
      </c>
      <c r="GS33" s="1051">
        <v>0</v>
      </c>
      <c r="GT33" s="1051">
        <v>0</v>
      </c>
      <c r="GU33" s="1051">
        <v>0</v>
      </c>
      <c r="GV33" s="1051">
        <v>0</v>
      </c>
      <c r="GW33" s="1051">
        <v>0</v>
      </c>
      <c r="GX33" s="1051">
        <v>0</v>
      </c>
      <c r="GY33" s="1051">
        <v>0</v>
      </c>
      <c r="GZ33" s="1051">
        <v>0</v>
      </c>
      <c r="HA33" s="1051">
        <v>0</v>
      </c>
      <c r="HB33" s="1051">
        <v>0</v>
      </c>
      <c r="HC33" s="1051">
        <v>0</v>
      </c>
      <c r="HD33" s="1051">
        <v>0</v>
      </c>
      <c r="HE33" s="1051">
        <v>0</v>
      </c>
      <c r="HF33" s="1051">
        <v>0</v>
      </c>
      <c r="HG33" s="1051">
        <v>0</v>
      </c>
      <c r="HH33" s="1051">
        <v>0</v>
      </c>
      <c r="HI33" s="1051">
        <v>0</v>
      </c>
      <c r="HJ33" s="1051">
        <v>0</v>
      </c>
      <c r="HK33" s="1051">
        <v>0</v>
      </c>
      <c r="HL33" s="1051">
        <v>0</v>
      </c>
      <c r="HM33" s="1051">
        <v>0</v>
      </c>
      <c r="HN33" s="1051">
        <v>0</v>
      </c>
      <c r="HO33" s="1051">
        <v>0</v>
      </c>
      <c r="HP33" s="1051">
        <v>0</v>
      </c>
      <c r="HQ33" s="1051">
        <v>0</v>
      </c>
      <c r="HR33" s="1051">
        <v>0</v>
      </c>
      <c r="HS33" s="1051">
        <v>0</v>
      </c>
      <c r="HT33" s="1051">
        <v>0</v>
      </c>
      <c r="HU33" s="1051">
        <v>0</v>
      </c>
      <c r="HV33" s="1051">
        <v>0</v>
      </c>
      <c r="HW33" s="1051">
        <v>0</v>
      </c>
      <c r="HX33" s="1051">
        <v>0</v>
      </c>
      <c r="HY33" s="1051">
        <v>0</v>
      </c>
      <c r="HZ33" s="1051">
        <v>0</v>
      </c>
      <c r="IA33" s="1051">
        <v>0</v>
      </c>
      <c r="IB33" s="1051">
        <v>0</v>
      </c>
      <c r="IC33" s="1051">
        <v>0</v>
      </c>
      <c r="ID33" s="1051">
        <v>0</v>
      </c>
      <c r="IE33" s="1051">
        <v>0</v>
      </c>
      <c r="IF33" s="1051">
        <v>0</v>
      </c>
      <c r="IG33" s="1051">
        <v>0</v>
      </c>
      <c r="IH33" s="1051">
        <v>0</v>
      </c>
      <c r="II33" s="1051">
        <v>0</v>
      </c>
      <c r="IJ33" s="1051">
        <v>0</v>
      </c>
      <c r="IK33" s="1051">
        <v>0</v>
      </c>
      <c r="IL33" s="1051">
        <v>0</v>
      </c>
      <c r="IM33" s="1051">
        <v>0</v>
      </c>
      <c r="IN33" s="1051">
        <v>0</v>
      </c>
      <c r="IO33" s="1051">
        <v>0</v>
      </c>
      <c r="IP33" s="1051">
        <v>0</v>
      </c>
      <c r="IQ33" s="1051">
        <v>0</v>
      </c>
      <c r="IR33" s="1051">
        <v>0</v>
      </c>
      <c r="IS33" s="1051">
        <v>0</v>
      </c>
      <c r="IT33" s="215">
        <v>443.76463112380623</v>
      </c>
      <c r="IU33" s="207">
        <v>179.9</v>
      </c>
      <c r="IV33" s="216">
        <v>2647.0800000000199</v>
      </c>
      <c r="IW33" s="272">
        <v>12.64</v>
      </c>
      <c r="IX33" s="207">
        <v>85.074626865671647</v>
      </c>
      <c r="IY33" s="204">
        <v>1.9</v>
      </c>
      <c r="IZ33" s="204">
        <v>1.2</v>
      </c>
      <c r="JA33" s="204">
        <v>1.2</v>
      </c>
      <c r="JB33" s="52">
        <v>2</v>
      </c>
      <c r="JC33" s="24">
        <v>1.5</v>
      </c>
      <c r="JD33" s="24">
        <v>0.7</v>
      </c>
      <c r="JE33" s="24">
        <v>0.7</v>
      </c>
      <c r="JF33" s="24">
        <v>0.5</v>
      </c>
      <c r="JG33" s="1">
        <v>34.156903564799151</v>
      </c>
      <c r="JH33" s="216">
        <v>2647.0800000000199</v>
      </c>
      <c r="JI33" s="272">
        <v>12.64</v>
      </c>
      <c r="JJ33" s="207">
        <v>85.074626865671647</v>
      </c>
      <c r="JK33" s="8">
        <v>2.1</v>
      </c>
      <c r="JL33" s="8">
        <v>0.9</v>
      </c>
      <c r="JM33" s="8">
        <v>0.9</v>
      </c>
      <c r="JN33" s="216">
        <v>2</v>
      </c>
      <c r="JO33" s="216">
        <v>2</v>
      </c>
      <c r="JP33" s="216">
        <v>1</v>
      </c>
      <c r="JQ33" s="216">
        <v>1</v>
      </c>
      <c r="JR33" s="214">
        <v>0.5</v>
      </c>
      <c r="JS33" s="1212">
        <v>2000</v>
      </c>
      <c r="JT33" s="215">
        <v>225.6793024505518</v>
      </c>
      <c r="JU33" s="215">
        <v>500</v>
      </c>
      <c r="JV33" s="207">
        <v>1.4</v>
      </c>
      <c r="JW33" s="207">
        <v>0.7</v>
      </c>
      <c r="JX33" s="207">
        <v>0.7</v>
      </c>
      <c r="JY33" s="214">
        <v>2</v>
      </c>
      <c r="JZ33" s="214">
        <v>1.5</v>
      </c>
      <c r="KA33" s="214">
        <v>0.5</v>
      </c>
      <c r="KB33" s="214">
        <v>1</v>
      </c>
      <c r="KC33" s="214">
        <v>0.5</v>
      </c>
      <c r="KD33" s="1186">
        <v>1.1490891514715578</v>
      </c>
      <c r="KE33" s="1186">
        <v>5.4912604587776505E-2</v>
      </c>
      <c r="KF33" s="1186">
        <v>98.586214934226419</v>
      </c>
      <c r="KG33" s="1186">
        <v>4.8620535312093784E-3</v>
      </c>
      <c r="KH33" s="1186">
        <v>7.1286284861996341E-2</v>
      </c>
      <c r="KI33" s="1186">
        <v>0.13363497132103425</v>
      </c>
      <c r="KJ33" s="1186">
        <v>0</v>
      </c>
      <c r="KK33" s="1186">
        <v>0</v>
      </c>
      <c r="KL33" s="1186"/>
      <c r="KM33" s="1187">
        <v>580</v>
      </c>
      <c r="KN33" s="1187">
        <v>580</v>
      </c>
      <c r="KO33" s="1187">
        <v>580</v>
      </c>
      <c r="KP33" s="1187">
        <v>580</v>
      </c>
      <c r="KQ33" s="1187"/>
      <c r="KR33" s="1187">
        <v>580</v>
      </c>
      <c r="KS33" s="1187">
        <v>580</v>
      </c>
      <c r="KT33" s="1187">
        <v>580</v>
      </c>
      <c r="KU33" s="1187">
        <v>580</v>
      </c>
      <c r="KV33" s="262">
        <v>370</v>
      </c>
      <c r="KW33" s="262">
        <v>370</v>
      </c>
      <c r="KX33" s="262">
        <v>370</v>
      </c>
      <c r="KY33" s="262">
        <v>370</v>
      </c>
      <c r="KZ33" s="262"/>
      <c r="LA33" s="262">
        <v>370</v>
      </c>
      <c r="LB33" s="262">
        <v>370</v>
      </c>
      <c r="LC33" s="262">
        <v>370</v>
      </c>
      <c r="LD33" s="262">
        <v>370</v>
      </c>
      <c r="LE33" s="1213">
        <v>0</v>
      </c>
      <c r="LF33" s="1213">
        <v>10</v>
      </c>
      <c r="LG33" s="1213">
        <v>20</v>
      </c>
      <c r="LH33" s="1213">
        <v>70</v>
      </c>
      <c r="LI33" s="1213">
        <v>100</v>
      </c>
      <c r="LJ33" s="1212">
        <v>1000</v>
      </c>
      <c r="LK33" s="1"/>
      <c r="LL33" s="4">
        <v>29</v>
      </c>
      <c r="LM33" s="10">
        <v>1</v>
      </c>
      <c r="LN33" s="8">
        <v>0.5</v>
      </c>
      <c r="LO33" s="8">
        <v>0.5</v>
      </c>
      <c r="LP33" s="214">
        <v>2</v>
      </c>
      <c r="LQ33" s="214">
        <v>1</v>
      </c>
      <c r="LR33" s="214">
        <v>0.5</v>
      </c>
      <c r="LS33" s="214">
        <v>0.7</v>
      </c>
      <c r="LT33" s="214">
        <v>0.2</v>
      </c>
      <c r="LU33" s="1212">
        <v>1500</v>
      </c>
      <c r="LV33" s="122">
        <v>0</v>
      </c>
      <c r="LW33" s="122">
        <v>0</v>
      </c>
      <c r="LX33" s="122">
        <v>0</v>
      </c>
      <c r="LY33" s="165">
        <v>0</v>
      </c>
      <c r="LZ33" s="165">
        <v>0</v>
      </c>
      <c r="MA33" s="165">
        <v>0</v>
      </c>
      <c r="MB33" s="165">
        <v>0</v>
      </c>
      <c r="MC33" s="165">
        <v>0</v>
      </c>
      <c r="MD33" s="165">
        <v>0</v>
      </c>
      <c r="ME33" s="165">
        <v>0</v>
      </c>
      <c r="MF33" s="165">
        <v>0</v>
      </c>
      <c r="MG33" s="165">
        <v>0</v>
      </c>
      <c r="MH33" s="165">
        <v>0</v>
      </c>
      <c r="MI33" s="165">
        <v>0</v>
      </c>
      <c r="MJ33" s="165">
        <v>0</v>
      </c>
      <c r="MK33" s="165">
        <v>0</v>
      </c>
      <c r="ML33" s="165">
        <v>0</v>
      </c>
      <c r="MM33" s="165">
        <v>0</v>
      </c>
      <c r="MN33" s="165">
        <v>0</v>
      </c>
      <c r="MO33" s="165">
        <v>0</v>
      </c>
      <c r="MP33" s="165">
        <v>0</v>
      </c>
      <c r="MQ33" s="165">
        <v>0</v>
      </c>
      <c r="MR33" s="165">
        <v>0</v>
      </c>
      <c r="MS33" s="165">
        <v>0</v>
      </c>
      <c r="MT33" s="165">
        <v>0</v>
      </c>
      <c r="MU33" s="165">
        <v>0</v>
      </c>
      <c r="MV33" s="165">
        <v>0</v>
      </c>
      <c r="MW33" s="166">
        <v>1.8961857316734201</v>
      </c>
      <c r="MX33" s="166">
        <v>0</v>
      </c>
      <c r="MY33" s="166">
        <v>0</v>
      </c>
      <c r="MZ33" s="166">
        <v>9.5935557148850006E-2</v>
      </c>
      <c r="NA33" s="166">
        <v>1.2001768559970201</v>
      </c>
      <c r="NB33" s="166">
        <v>0</v>
      </c>
      <c r="NC33" s="166">
        <v>1.5941099284587601</v>
      </c>
      <c r="ND33" s="166">
        <v>0</v>
      </c>
      <c r="NE33" s="166">
        <v>0</v>
      </c>
      <c r="NF33" s="166">
        <v>8.9850305767320005E-2</v>
      </c>
      <c r="NG33" s="166">
        <v>0.46119522704673999</v>
      </c>
      <c r="NH33" s="166">
        <v>0</v>
      </c>
      <c r="NI33" s="166">
        <v>0.99817143451511003</v>
      </c>
      <c r="NJ33" s="166">
        <v>0</v>
      </c>
      <c r="NK33" s="166">
        <v>0</v>
      </c>
      <c r="NL33" s="166">
        <v>9.7617021276600005E-2</v>
      </c>
      <c r="NM33" s="166">
        <v>0</v>
      </c>
      <c r="NN33" s="166">
        <v>0</v>
      </c>
      <c r="NO33" s="166">
        <v>2.4326695826340901</v>
      </c>
      <c r="NP33" s="166">
        <v>0</v>
      </c>
      <c r="NQ33" s="166">
        <v>0</v>
      </c>
      <c r="NR33" s="166">
        <v>0.11135614451476999</v>
      </c>
      <c r="NS33" s="166">
        <v>0</v>
      </c>
      <c r="NT33" s="166">
        <v>0</v>
      </c>
      <c r="NU33" s="166">
        <v>1.37237402069595</v>
      </c>
      <c r="NV33" s="166">
        <v>0</v>
      </c>
      <c r="NW33" s="166">
        <v>0</v>
      </c>
      <c r="NX33" s="166">
        <v>7.3172042637080006E-2</v>
      </c>
      <c r="NY33" s="166">
        <v>-0.1447079083676</v>
      </c>
      <c r="NZ33" s="166">
        <v>0</v>
      </c>
      <c r="OA33" s="166">
        <v>-20.46</v>
      </c>
      <c r="OB33" s="166">
        <v>-5.91</v>
      </c>
      <c r="OC33" s="166">
        <v>-9.7112531684550002E-2</v>
      </c>
      <c r="OD33" s="166">
        <v>0</v>
      </c>
      <c r="OE33" s="166">
        <v>-1.5208620567123901</v>
      </c>
      <c r="OF33" s="166">
        <v>0</v>
      </c>
      <c r="OG33" s="166">
        <v>7.2432811814960002E-2</v>
      </c>
      <c r="OH33" s="166">
        <v>0</v>
      </c>
      <c r="OI33" s="166">
        <v>-4.0699999999999998E-3</v>
      </c>
      <c r="OJ33" s="166">
        <v>0</v>
      </c>
      <c r="OK33" s="166">
        <v>0</v>
      </c>
      <c r="OL33" s="166">
        <v>0</v>
      </c>
      <c r="OM33" s="166">
        <v>0.21816776106194999</v>
      </c>
      <c r="ON33" s="166">
        <v>0</v>
      </c>
      <c r="OO33" s="166">
        <v>1.6650000000000002E-2</v>
      </c>
      <c r="OP33" s="166">
        <v>0</v>
      </c>
      <c r="OQ33" s="166">
        <v>0</v>
      </c>
      <c r="OR33" s="166">
        <v>0</v>
      </c>
      <c r="OS33" s="166">
        <v>0.10899418376866001</v>
      </c>
      <c r="OT33" s="166">
        <v>0</v>
      </c>
      <c r="OU33" s="166">
        <v>1.6650000000000002E-2</v>
      </c>
      <c r="OV33" s="166">
        <v>0</v>
      </c>
      <c r="OW33" s="166">
        <v>0</v>
      </c>
      <c r="OX33" s="166">
        <v>0</v>
      </c>
      <c r="OY33" s="166">
        <v>-0.53646390658521004</v>
      </c>
      <c r="OZ33" s="166">
        <v>0</v>
      </c>
      <c r="PA33" s="166">
        <v>-3.62759690198E-2</v>
      </c>
      <c r="PB33" s="166">
        <v>0</v>
      </c>
      <c r="PC33" s="166">
        <v>-2.3459016014337699</v>
      </c>
      <c r="PD33" s="166">
        <v>0</v>
      </c>
      <c r="PE33" s="166">
        <v>-20.46</v>
      </c>
      <c r="PF33" s="166">
        <v>-5.91</v>
      </c>
      <c r="PG33" s="166">
        <v>-8.3707458590719999E-2</v>
      </c>
      <c r="PH33" s="166">
        <v>0</v>
      </c>
      <c r="PI33" s="166">
        <v>-0.47816651178045999</v>
      </c>
      <c r="PJ33" s="166">
        <v>0</v>
      </c>
      <c r="PK33" s="166">
        <v>-5.5197500414459998E-2</v>
      </c>
      <c r="PL33" s="166">
        <v>0</v>
      </c>
      <c r="PM33" s="166">
        <v>4.0699999999999998E-3</v>
      </c>
      <c r="PN33" s="166">
        <v>0</v>
      </c>
      <c r="PO33" s="166">
        <v>0</v>
      </c>
      <c r="PP33" s="166">
        <v>0</v>
      </c>
      <c r="PQ33" s="166">
        <v>3.046296296292E-2</v>
      </c>
      <c r="PR33" s="166">
        <v>0</v>
      </c>
      <c r="PS33" s="166">
        <v>2.0719999999999999E-2</v>
      </c>
      <c r="PT33" s="166">
        <v>0</v>
      </c>
      <c r="PU33" s="166">
        <v>0</v>
      </c>
      <c r="PV33" s="166">
        <v>0</v>
      </c>
      <c r="PW33" s="166">
        <v>8.5012919896640005E-2</v>
      </c>
      <c r="PX33" s="166">
        <v>0</v>
      </c>
      <c r="PY33" s="166">
        <v>2.0719999999999999E-2</v>
      </c>
      <c r="PZ33" s="166">
        <v>0</v>
      </c>
      <c r="QA33" s="166">
        <v>0</v>
      </c>
      <c r="QB33" s="166">
        <v>0</v>
      </c>
      <c r="QC33" s="166">
        <v>-0.53603987249342</v>
      </c>
      <c r="QD33" s="166">
        <v>0</v>
      </c>
      <c r="QE33" s="166">
        <v>-2.9391606502300001E-2</v>
      </c>
      <c r="QF33" s="166">
        <v>0</v>
      </c>
      <c r="QG33" s="166">
        <v>-2.0940800235363399</v>
      </c>
      <c r="QH33" s="166">
        <v>0</v>
      </c>
      <c r="QI33" s="162">
        <v>0</v>
      </c>
      <c r="QJ33" s="167">
        <v>0</v>
      </c>
      <c r="QK33" s="167">
        <v>0</v>
      </c>
      <c r="QL33" s="167">
        <v>0</v>
      </c>
      <c r="QM33" s="167">
        <v>0</v>
      </c>
      <c r="QN33" s="162">
        <v>0</v>
      </c>
      <c r="QO33" s="162">
        <v>0</v>
      </c>
      <c r="QP33" s="162">
        <v>0</v>
      </c>
      <c r="QQ33" s="162">
        <v>0</v>
      </c>
      <c r="QR33" s="162">
        <v>0</v>
      </c>
      <c r="QS33" s="162">
        <v>0</v>
      </c>
      <c r="QT33" s="162">
        <v>0</v>
      </c>
      <c r="QU33" s="162">
        <v>-0.29718215227321998</v>
      </c>
      <c r="QV33" s="162">
        <v>0</v>
      </c>
      <c r="QW33" s="162">
        <v>-0.10139652699517999</v>
      </c>
      <c r="QX33" s="162">
        <v>0</v>
      </c>
      <c r="QY33" s="162">
        <v>-3.5517129392480302</v>
      </c>
      <c r="QZ33" s="162">
        <v>0</v>
      </c>
      <c r="RA33" s="167">
        <v>-0.11159742327244999</v>
      </c>
      <c r="RB33" s="167">
        <v>0</v>
      </c>
      <c r="RC33" s="167">
        <v>-1.6650000000000002E-2</v>
      </c>
      <c r="RD33" s="167">
        <v>0</v>
      </c>
      <c r="RE33" s="167">
        <v>-3.1511579740161899</v>
      </c>
      <c r="RF33" s="167">
        <v>0</v>
      </c>
      <c r="RG33" s="167">
        <v>-6.0729390681000001E-2</v>
      </c>
      <c r="RH33" s="167">
        <v>0</v>
      </c>
      <c r="RI33" s="167">
        <v>-2.0719999999999999E-2</v>
      </c>
      <c r="RJ33" s="167">
        <v>0</v>
      </c>
      <c r="RK33" s="167">
        <v>-3.06</v>
      </c>
      <c r="RL33" s="167">
        <v>0</v>
      </c>
      <c r="RM33" s="166">
        <v>-20.46</v>
      </c>
      <c r="RN33" s="166">
        <v>-5.91</v>
      </c>
      <c r="RO33" s="166">
        <v>-0.12010757418552</v>
      </c>
      <c r="RP33" s="166">
        <v>0</v>
      </c>
      <c r="RQ33" s="166">
        <v>-5.0972610500103803</v>
      </c>
      <c r="RR33" s="166">
        <v>0</v>
      </c>
      <c r="RS33" s="166">
        <v>-8.8509193741659997E-2</v>
      </c>
      <c r="RT33" s="166">
        <v>0</v>
      </c>
      <c r="RU33" s="166">
        <v>-1.6650000000000002E-2</v>
      </c>
      <c r="RV33" s="166">
        <v>0</v>
      </c>
      <c r="RW33" s="166">
        <v>-3.0533260982613202</v>
      </c>
      <c r="RX33" s="166">
        <v>0</v>
      </c>
      <c r="RY33" s="166">
        <v>-6.9271083648010004E-2</v>
      </c>
      <c r="RZ33" s="166">
        <v>0</v>
      </c>
      <c r="SA33" s="166">
        <v>-2.0719999999999999E-2</v>
      </c>
      <c r="SB33" s="166">
        <v>0</v>
      </c>
      <c r="SC33" s="166">
        <v>-3.06</v>
      </c>
      <c r="SD33" s="166">
        <v>0</v>
      </c>
      <c r="SE33" s="166">
        <v>0</v>
      </c>
      <c r="SF33" s="166">
        <v>0</v>
      </c>
      <c r="SG33" s="166">
        <v>0</v>
      </c>
      <c r="SH33" s="166">
        <v>0</v>
      </c>
      <c r="SI33" s="166">
        <v>0</v>
      </c>
      <c r="SJ33" s="166">
        <v>0</v>
      </c>
      <c r="SK33" s="166">
        <v>-0.69922641479693004</v>
      </c>
      <c r="SL33" s="166">
        <v>0</v>
      </c>
      <c r="SM33" s="166">
        <v>-5.1194857914909998E-2</v>
      </c>
      <c r="SN33" s="166">
        <v>0</v>
      </c>
      <c r="SO33" s="166">
        <v>-5.2022174320524801</v>
      </c>
      <c r="SP33" s="166">
        <v>0</v>
      </c>
      <c r="SQ33" s="166">
        <v>-20.46</v>
      </c>
      <c r="SR33" s="166">
        <v>-5.91</v>
      </c>
      <c r="SS33" s="166">
        <v>-7.5716720183479996E-2</v>
      </c>
      <c r="ST33" s="166">
        <v>0</v>
      </c>
      <c r="SU33" s="166">
        <v>-0.20949191996061001</v>
      </c>
      <c r="SV33" s="166">
        <v>0</v>
      </c>
      <c r="SW33" s="166">
        <v>0.58535836289428</v>
      </c>
      <c r="SX33" s="166">
        <v>0</v>
      </c>
      <c r="SY33" s="166">
        <v>3.6125329202100001E-2</v>
      </c>
      <c r="SZ33" s="166">
        <v>0</v>
      </c>
      <c r="TA33" s="166">
        <v>1.6714143163852799</v>
      </c>
      <c r="TB33" s="166">
        <v>0</v>
      </c>
      <c r="TC33" s="166">
        <v>0.90690709254199997</v>
      </c>
      <c r="TD33" s="166">
        <v>0</v>
      </c>
      <c r="TE33" s="166">
        <v>5.0748604925559999E-2</v>
      </c>
      <c r="TF33" s="166">
        <v>0</v>
      </c>
      <c r="TG33" s="166">
        <v>2.8069858202648099</v>
      </c>
      <c r="TH33" s="166">
        <v>0</v>
      </c>
      <c r="TI33" s="166">
        <v>0.23887714841874999</v>
      </c>
      <c r="TJ33" s="166">
        <v>0</v>
      </c>
      <c r="TK33" s="166">
        <v>2.6149908472690001E-2</v>
      </c>
      <c r="TL33" s="166">
        <v>0</v>
      </c>
      <c r="TM33" s="166">
        <v>0</v>
      </c>
      <c r="TN33" s="166">
        <v>0</v>
      </c>
      <c r="TO33" s="166">
        <v>1.4450028787243501</v>
      </c>
      <c r="TP33" s="166">
        <v>0</v>
      </c>
      <c r="TQ33" s="166">
        <v>4.9234759609560003E-2</v>
      </c>
      <c r="TR33" s="166">
        <v>0</v>
      </c>
      <c r="TS33" s="166">
        <v>0</v>
      </c>
      <c r="TT33" s="166">
        <v>0</v>
      </c>
      <c r="TU33" s="166">
        <v>0.58585883423419005</v>
      </c>
      <c r="TV33" s="166">
        <v>0</v>
      </c>
      <c r="TW33" s="166">
        <v>0</v>
      </c>
      <c r="TX33" s="166">
        <v>-2.0164693082399998E-3</v>
      </c>
      <c r="TY33" s="166">
        <v>-4.1728881706499998E-3</v>
      </c>
      <c r="TZ33" s="166">
        <v>0</v>
      </c>
      <c r="UA33" s="166">
        <v>1.751358874061E-2</v>
      </c>
      <c r="UB33" s="166">
        <v>0</v>
      </c>
      <c r="UC33" s="166">
        <v>0</v>
      </c>
      <c r="UD33" s="166">
        <v>0</v>
      </c>
      <c r="UE33" s="166">
        <v>5.25318816493E-3</v>
      </c>
      <c r="UF33" s="166">
        <v>0</v>
      </c>
      <c r="UG33" s="166">
        <v>0</v>
      </c>
      <c r="UH33" s="166">
        <v>0</v>
      </c>
      <c r="UI33" s="166">
        <v>0</v>
      </c>
      <c r="UJ33" s="166">
        <v>0</v>
      </c>
      <c r="UK33" s="166">
        <v>0.21854999893714</v>
      </c>
      <c r="UL33" s="166">
        <v>0</v>
      </c>
      <c r="UM33" s="166">
        <v>0</v>
      </c>
      <c r="UN33" s="166">
        <v>0</v>
      </c>
      <c r="UO33" s="166">
        <v>0</v>
      </c>
      <c r="UP33" s="166">
        <v>0</v>
      </c>
      <c r="UQ33" s="166">
        <v>0</v>
      </c>
      <c r="UR33" s="166">
        <v>0</v>
      </c>
      <c r="US33" s="163">
        <v>0</v>
      </c>
      <c r="UT33" s="163">
        <v>0</v>
      </c>
      <c r="UU33" s="163">
        <v>0</v>
      </c>
      <c r="UV33" s="163">
        <v>0</v>
      </c>
      <c r="UW33" s="163">
        <v>0</v>
      </c>
      <c r="UX33" s="163">
        <v>0</v>
      </c>
      <c r="UY33" s="166">
        <v>0</v>
      </c>
      <c r="UZ33" s="166">
        <v>0</v>
      </c>
      <c r="VA33" s="166">
        <v>0</v>
      </c>
      <c r="VB33" s="166">
        <v>0</v>
      </c>
      <c r="VC33" s="166">
        <v>0</v>
      </c>
      <c r="VD33" s="166">
        <v>0</v>
      </c>
      <c r="VE33" s="267">
        <v>202</v>
      </c>
      <c r="VF33" s="267">
        <v>279</v>
      </c>
      <c r="VG33" s="267">
        <v>354</v>
      </c>
      <c r="VH33" s="267">
        <v>0</v>
      </c>
      <c r="VI33" s="267">
        <v>403</v>
      </c>
      <c r="VJ33" s="267">
        <v>0</v>
      </c>
      <c r="VK33" s="267">
        <v>0</v>
      </c>
      <c r="VL33" s="257">
        <v>0</v>
      </c>
      <c r="VM33" s="257">
        <v>0</v>
      </c>
      <c r="VN33" s="257">
        <v>0</v>
      </c>
      <c r="VO33" s="257">
        <v>0</v>
      </c>
      <c r="VP33" s="257">
        <v>0</v>
      </c>
      <c r="VQ33" s="257">
        <v>0</v>
      </c>
      <c r="VR33" s="257">
        <v>0</v>
      </c>
      <c r="VS33" s="257">
        <v>0</v>
      </c>
      <c r="VT33" s="257">
        <v>0</v>
      </c>
      <c r="VU33" s="257">
        <v>0</v>
      </c>
      <c r="VV33" s="257">
        <v>0</v>
      </c>
      <c r="VW33" s="257">
        <v>0</v>
      </c>
      <c r="VX33" s="257">
        <v>0</v>
      </c>
      <c r="VY33" s="257">
        <v>0</v>
      </c>
      <c r="VZ33" s="257">
        <v>0</v>
      </c>
      <c r="WA33" s="257">
        <v>0</v>
      </c>
      <c r="WB33" s="257">
        <v>0</v>
      </c>
      <c r="WC33" s="257">
        <v>0</v>
      </c>
      <c r="WD33" s="257">
        <v>0</v>
      </c>
      <c r="WE33" s="257">
        <v>0</v>
      </c>
      <c r="WF33" s="257">
        <v>0</v>
      </c>
      <c r="WG33" s="257">
        <v>0</v>
      </c>
      <c r="WH33" s="257">
        <v>0</v>
      </c>
      <c r="WI33" s="257">
        <v>0</v>
      </c>
      <c r="WJ33" s="257">
        <v>0</v>
      </c>
      <c r="WK33" s="257">
        <v>0</v>
      </c>
      <c r="WL33" s="257">
        <v>0</v>
      </c>
      <c r="WM33" s="257">
        <v>0</v>
      </c>
      <c r="WN33" s="257">
        <v>0</v>
      </c>
      <c r="WO33" s="257">
        <v>0</v>
      </c>
      <c r="WP33" s="257">
        <v>0</v>
      </c>
      <c r="WQ33" s="257">
        <v>0</v>
      </c>
      <c r="WR33" s="257">
        <v>0</v>
      </c>
      <c r="WS33" s="572">
        <v>109.09</v>
      </c>
      <c r="WT33" s="572">
        <v>86.543215031315242</v>
      </c>
      <c r="WU33" s="572">
        <v>95.653027139874737</v>
      </c>
      <c r="WV33" s="572">
        <v>100.20793319415449</v>
      </c>
      <c r="WW33" s="572">
        <v>153.95582463465553</v>
      </c>
      <c r="WX33" s="247">
        <v>7350.4554529999996</v>
      </c>
      <c r="WY33" s="4">
        <v>78</v>
      </c>
      <c r="WZ33" s="4">
        <v>15</v>
      </c>
      <c r="XA33" s="4">
        <v>7.0000000000000009</v>
      </c>
      <c r="XB33" s="4">
        <v>0</v>
      </c>
      <c r="XC33" s="1037">
        <v>902.62731809625882</v>
      </c>
      <c r="XD33" s="1037">
        <v>0</v>
      </c>
      <c r="XE33" s="1037">
        <v>0</v>
      </c>
      <c r="XF33" s="1037">
        <v>0</v>
      </c>
      <c r="XG33" s="1037">
        <v>0</v>
      </c>
      <c r="XH33" s="1037">
        <v>0</v>
      </c>
      <c r="XI33" s="1037">
        <v>0</v>
      </c>
      <c r="XJ33" s="1037">
        <v>687.71605188286401</v>
      </c>
      <c r="XK33" s="1037">
        <v>968.29834588344818</v>
      </c>
      <c r="XL33" s="1037">
        <v>0</v>
      </c>
      <c r="XM33" s="1037">
        <v>0</v>
      </c>
      <c r="XN33" s="1037">
        <v>0</v>
      </c>
      <c r="XO33" s="1037">
        <v>0</v>
      </c>
      <c r="XP33" s="1037">
        <v>0</v>
      </c>
      <c r="XQ33" s="1037">
        <v>0</v>
      </c>
      <c r="XR33" s="1037">
        <v>737.7511206731034</v>
      </c>
      <c r="XS33" s="1037">
        <v>1014.4077909255171</v>
      </c>
      <c r="XT33" s="1037">
        <v>0</v>
      </c>
      <c r="XU33" s="1037">
        <v>0</v>
      </c>
      <c r="XV33" s="1037">
        <v>0</v>
      </c>
      <c r="XW33" s="1037">
        <v>0</v>
      </c>
      <c r="XX33" s="1037">
        <v>0</v>
      </c>
      <c r="XY33" s="1037">
        <v>0</v>
      </c>
      <c r="XZ33" s="1037">
        <v>772.88212641944176</v>
      </c>
      <c r="YA33" s="1037">
        <v>1558.4992424219308</v>
      </c>
      <c r="YB33" s="1037">
        <v>0</v>
      </c>
      <c r="YC33" s="1037">
        <v>0</v>
      </c>
      <c r="YD33" s="1037">
        <v>0</v>
      </c>
      <c r="YE33" s="1037">
        <v>0</v>
      </c>
      <c r="YF33" s="1037">
        <v>0</v>
      </c>
      <c r="YG33" s="1037">
        <v>0</v>
      </c>
      <c r="YH33" s="1037">
        <v>1187.4279942262333</v>
      </c>
      <c r="YI33" s="1037">
        <v>920.27869676125249</v>
      </c>
      <c r="YJ33" s="1037">
        <v>219.11397541934585</v>
      </c>
      <c r="YK33" s="1037">
        <v>350.58236067095334</v>
      </c>
      <c r="YL33" s="1037">
        <v>0</v>
      </c>
      <c r="YM33" s="1037">
        <v>0</v>
      </c>
      <c r="YN33" s="1037">
        <v>0</v>
      </c>
      <c r="YO33" s="1037">
        <v>0</v>
      </c>
      <c r="YP33" s="1037">
        <v>701.16472134190667</v>
      </c>
      <c r="YQ33" s="1037">
        <v>987.23395798072443</v>
      </c>
      <c r="YR33" s="1037">
        <v>235.05570428112489</v>
      </c>
      <c r="YS33" s="1037">
        <v>376.08912684979981</v>
      </c>
      <c r="YT33" s="1037">
        <v>0</v>
      </c>
      <c r="YU33" s="1037">
        <v>0</v>
      </c>
      <c r="YV33" s="1037">
        <v>0</v>
      </c>
      <c r="YW33" s="1037">
        <v>0</v>
      </c>
      <c r="YX33" s="1037">
        <v>752.17825369959962</v>
      </c>
      <c r="YY33" s="1037">
        <v>1034.2450988369494</v>
      </c>
      <c r="YZ33" s="1037">
        <v>246.24883305641652</v>
      </c>
      <c r="ZA33" s="1037">
        <v>393.99813289026645</v>
      </c>
      <c r="ZB33" s="1037">
        <v>0</v>
      </c>
      <c r="ZC33" s="1037">
        <v>0</v>
      </c>
      <c r="ZD33" s="1037">
        <v>0</v>
      </c>
      <c r="ZE33" s="1037">
        <v>0</v>
      </c>
      <c r="ZF33" s="1037">
        <v>787.99626578053289</v>
      </c>
      <c r="ZG33" s="1037">
        <v>1588.9765609404042</v>
      </c>
      <c r="ZH33" s="1037">
        <v>378.32775260485818</v>
      </c>
      <c r="ZI33" s="1037">
        <v>605.32440416777308</v>
      </c>
      <c r="ZJ33" s="1037">
        <v>0</v>
      </c>
      <c r="ZK33" s="1037">
        <v>0</v>
      </c>
      <c r="ZL33" s="1037">
        <v>0</v>
      </c>
      <c r="ZM33" s="1037">
        <v>0</v>
      </c>
      <c r="ZN33" s="1037">
        <v>1210.6488083355462</v>
      </c>
      <c r="ZO33" s="1037">
        <v>2449.1287897678494</v>
      </c>
      <c r="ZP33" s="1037">
        <v>583.12590232567845</v>
      </c>
      <c r="ZQ33" s="1037">
        <v>933.00144372108559</v>
      </c>
      <c r="ZR33" s="1037">
        <v>0</v>
      </c>
      <c r="ZS33" s="1037">
        <v>0</v>
      </c>
      <c r="ZT33" s="1037">
        <v>0</v>
      </c>
      <c r="ZU33" s="1037">
        <v>0</v>
      </c>
      <c r="ZV33" s="1037">
        <v>1866.0028874421712</v>
      </c>
      <c r="ZW33" s="1037">
        <v>2706.9318202697282</v>
      </c>
      <c r="ZX33" s="1037">
        <v>644.50757625469726</v>
      </c>
      <c r="ZY33" s="1037">
        <v>1031.2121220075155</v>
      </c>
      <c r="ZZ33" s="1037">
        <v>0</v>
      </c>
      <c r="AAA33" s="1037">
        <v>0</v>
      </c>
      <c r="AAB33" s="1037">
        <v>0</v>
      </c>
      <c r="AAC33" s="1037">
        <v>0</v>
      </c>
      <c r="AAD33" s="1037">
        <v>2062.424244015031</v>
      </c>
      <c r="AAE33" s="1037">
        <v>2835.8333355206678</v>
      </c>
      <c r="AAF33" s="1037">
        <v>675.19841321920671</v>
      </c>
      <c r="AAG33" s="1037">
        <v>1080.3174611507307</v>
      </c>
      <c r="AAH33" s="1037">
        <v>0</v>
      </c>
      <c r="AAI33" s="1037">
        <v>0</v>
      </c>
      <c r="AAJ33" s="1037">
        <v>0</v>
      </c>
      <c r="AAK33" s="1037">
        <v>0</v>
      </c>
      <c r="AAL33" s="1037">
        <v>2160.6349223014613</v>
      </c>
      <c r="AAM33" s="1037">
        <v>4356.871215481754</v>
      </c>
      <c r="AAN33" s="1037">
        <v>1037.3502894004175</v>
      </c>
      <c r="AAO33" s="1037">
        <v>1659.7604630406681</v>
      </c>
      <c r="AAP33" s="1037">
        <v>0</v>
      </c>
      <c r="AAQ33" s="1037">
        <v>0</v>
      </c>
      <c r="AAR33" s="1037">
        <v>0</v>
      </c>
      <c r="AAS33" s="1037">
        <v>0</v>
      </c>
      <c r="AAT33" s="1037">
        <v>3319.5209260813363</v>
      </c>
      <c r="AAU33" s="1037">
        <v>3369.4074865291018</v>
      </c>
      <c r="AAV33" s="1037">
        <v>802.23987774502439</v>
      </c>
      <c r="AAW33" s="1037">
        <v>1283.5838043920389</v>
      </c>
      <c r="AAX33" s="1037">
        <v>0</v>
      </c>
      <c r="AAY33" s="1037">
        <v>0</v>
      </c>
      <c r="AAZ33" s="1037">
        <v>0</v>
      </c>
      <c r="ABA33" s="1037">
        <v>0</v>
      </c>
      <c r="ABB33" s="1037">
        <v>2567.1676087840779</v>
      </c>
      <c r="ABC33" s="1037">
        <v>3566.7807514142301</v>
      </c>
      <c r="ABD33" s="1037">
        <v>849.23351224148337</v>
      </c>
      <c r="ABE33" s="1037">
        <v>1358.7736195863733</v>
      </c>
      <c r="ABF33" s="1037">
        <v>0</v>
      </c>
      <c r="ABG33" s="1037">
        <v>0</v>
      </c>
      <c r="ABH33" s="1037">
        <v>0</v>
      </c>
      <c r="ABI33" s="1037">
        <v>0</v>
      </c>
      <c r="ABJ33" s="1037">
        <v>2717.5472391727467</v>
      </c>
      <c r="ABK33" s="1037">
        <v>3736.6274538625271</v>
      </c>
      <c r="ABL33" s="1037">
        <v>889.67320330060181</v>
      </c>
      <c r="ABM33" s="1037">
        <v>1423.4771252809628</v>
      </c>
      <c r="ABN33" s="1037">
        <v>0</v>
      </c>
      <c r="ABO33" s="1037">
        <v>0</v>
      </c>
      <c r="ABP33" s="1037">
        <v>0</v>
      </c>
      <c r="ABQ33" s="1037">
        <v>0</v>
      </c>
      <c r="ABR33" s="1037">
        <v>2846.9542505619256</v>
      </c>
      <c r="ABS33" s="1037">
        <v>0</v>
      </c>
      <c r="ABT33" s="1037">
        <v>0</v>
      </c>
      <c r="ABU33" s="1037">
        <v>0</v>
      </c>
      <c r="ABV33" s="1037">
        <v>0</v>
      </c>
      <c r="ABW33" s="1037">
        <v>0</v>
      </c>
      <c r="ABX33" s="1037">
        <v>0</v>
      </c>
      <c r="ABY33" s="1037">
        <v>0</v>
      </c>
      <c r="ABZ33" s="1037">
        <v>0</v>
      </c>
      <c r="ACA33" s="1037">
        <v>4363.9022072227135</v>
      </c>
      <c r="ACB33" s="1037">
        <v>1039.024335053027</v>
      </c>
      <c r="ACC33" s="1037">
        <v>1662.4389360848434</v>
      </c>
      <c r="ACD33" s="1037">
        <v>0</v>
      </c>
      <c r="ACE33" s="1037">
        <v>0</v>
      </c>
      <c r="ACF33" s="1037">
        <v>0</v>
      </c>
      <c r="ACG33" s="1037">
        <v>0</v>
      </c>
      <c r="ACH33" s="1037">
        <v>3324.8778721696867</v>
      </c>
      <c r="ACI33" s="1037">
        <v>4665.4766078766497</v>
      </c>
      <c r="ACJ33" s="1037">
        <v>1110.8277637801548</v>
      </c>
      <c r="ACK33" s="1037">
        <v>1777.3244220482477</v>
      </c>
      <c r="ACL33" s="1037">
        <v>0</v>
      </c>
      <c r="ACM33" s="1037">
        <v>0</v>
      </c>
      <c r="ACN33" s="1037">
        <v>0</v>
      </c>
      <c r="ACO33" s="1037">
        <v>0</v>
      </c>
      <c r="ACP33" s="1037">
        <v>3554.6488440964954</v>
      </c>
      <c r="ACQ33" s="1037">
        <v>4887.6421606326803</v>
      </c>
      <c r="ACR33" s="1037">
        <v>1163.7243239601621</v>
      </c>
      <c r="ACS33" s="1037">
        <v>1861.9589183362593</v>
      </c>
      <c r="ACT33" s="1037">
        <v>0</v>
      </c>
      <c r="ACU33" s="1037">
        <v>0</v>
      </c>
      <c r="ACV33" s="1037">
        <v>0</v>
      </c>
      <c r="ACW33" s="1037">
        <v>0</v>
      </c>
      <c r="ACX33" s="1037">
        <v>3723.9178366725187</v>
      </c>
      <c r="ACY33" s="1037">
        <v>7509.1956831538464</v>
      </c>
      <c r="ACZ33" s="1037">
        <v>1787.9037340842494</v>
      </c>
      <c r="ADA33" s="1037">
        <v>2860.6459745347988</v>
      </c>
      <c r="ADB33" s="1037">
        <v>0</v>
      </c>
      <c r="ADC33" s="1037">
        <v>0</v>
      </c>
      <c r="ADD33" s="1037">
        <v>0</v>
      </c>
      <c r="ADE33" s="1037">
        <v>0</v>
      </c>
      <c r="ADF33" s="1037">
        <v>5721.2919490695976</v>
      </c>
      <c r="ADG33" s="1037">
        <v>5328.7105183433814</v>
      </c>
      <c r="ADH33" s="1037">
        <v>1268.7405996055672</v>
      </c>
      <c r="ADI33" s="1037">
        <v>2029.9849593689075</v>
      </c>
      <c r="ADJ33" s="1037">
        <v>0</v>
      </c>
      <c r="ADK33" s="1037">
        <v>0</v>
      </c>
      <c r="ADL33" s="1037">
        <v>0</v>
      </c>
      <c r="ADM33" s="1037">
        <v>0</v>
      </c>
      <c r="ADN33" s="1037">
        <v>4059.9699187378151</v>
      </c>
      <c r="ADO33" s="1037">
        <v>5732.3262076300134</v>
      </c>
      <c r="ADP33" s="1037">
        <v>1364.8395732452414</v>
      </c>
      <c r="ADQ33" s="1037">
        <v>2183.7433171923863</v>
      </c>
      <c r="ADR33" s="1037">
        <v>0</v>
      </c>
      <c r="ADS33" s="1037">
        <v>0</v>
      </c>
      <c r="ADT33" s="1037">
        <v>0</v>
      </c>
      <c r="ADU33" s="1037">
        <v>0</v>
      </c>
      <c r="ADV33" s="1037">
        <v>4367.4866343847725</v>
      </c>
      <c r="ADW33" s="1037">
        <v>6005.2941222790614</v>
      </c>
      <c r="ADX33" s="1037">
        <v>1429.8319338759673</v>
      </c>
      <c r="ADY33" s="1037">
        <v>2287.7310942015474</v>
      </c>
      <c r="ADZ33" s="1037">
        <v>0</v>
      </c>
      <c r="AEA33" s="1037">
        <v>0</v>
      </c>
      <c r="AEB33" s="1037">
        <v>0</v>
      </c>
      <c r="AEC33" s="1037">
        <v>0</v>
      </c>
      <c r="AED33" s="1037">
        <v>4575.4621884030948</v>
      </c>
      <c r="AEE33" s="1037">
        <v>9226.3155151378305</v>
      </c>
      <c r="AEF33" s="1037">
        <v>2196.7417893185316</v>
      </c>
      <c r="AEG33" s="1037">
        <v>3514.7868629096502</v>
      </c>
      <c r="AEH33" s="1037">
        <v>0</v>
      </c>
      <c r="AEI33" s="1037">
        <v>0</v>
      </c>
      <c r="AEJ33" s="1037">
        <v>0</v>
      </c>
      <c r="AEK33" s="1037">
        <v>0</v>
      </c>
      <c r="AEL33" s="1037">
        <v>7029.5737258193003</v>
      </c>
      <c r="AEM33" s="1037">
        <v>6145.0867815993324</v>
      </c>
      <c r="AEN33" s="1037">
        <v>1463.1159003807934</v>
      </c>
      <c r="AEO33" s="1037">
        <v>2340.9854406092695</v>
      </c>
      <c r="AEP33" s="1037">
        <v>0</v>
      </c>
      <c r="AEQ33" s="1037">
        <v>0</v>
      </c>
      <c r="AER33" s="1037">
        <v>0</v>
      </c>
      <c r="AES33" s="1037">
        <v>0</v>
      </c>
      <c r="AET33" s="1037">
        <v>4681.970881218539</v>
      </c>
      <c r="AEU33" s="1037">
        <v>6528.4826253564033</v>
      </c>
      <c r="AEV33" s="1037">
        <v>1554.4006250848579</v>
      </c>
      <c r="AEW33" s="1037">
        <v>2487.0410001357727</v>
      </c>
      <c r="AEX33" s="1037">
        <v>0</v>
      </c>
      <c r="AEY33" s="1037">
        <v>0</v>
      </c>
      <c r="AEZ33" s="1037">
        <v>0</v>
      </c>
      <c r="AFA33" s="1037">
        <v>0</v>
      </c>
      <c r="AFB33" s="1037">
        <v>4974.0820002715454</v>
      </c>
      <c r="AFC33" s="1037">
        <v>6839.3627503733751</v>
      </c>
      <c r="AFD33" s="1037">
        <v>1628.4197024698515</v>
      </c>
      <c r="AFE33" s="1037">
        <v>2605.4715239517623</v>
      </c>
      <c r="AFF33" s="1037">
        <v>0</v>
      </c>
      <c r="AFG33" s="1037">
        <v>0</v>
      </c>
      <c r="AFH33" s="1037">
        <v>0</v>
      </c>
      <c r="AFI33" s="1037">
        <v>0</v>
      </c>
      <c r="AFJ33" s="1037">
        <v>5210.9430479035245</v>
      </c>
      <c r="AFK33" s="1037">
        <v>10507.748225573641</v>
      </c>
      <c r="AFL33" s="1037">
        <v>2501.844815612772</v>
      </c>
      <c r="AFM33" s="1037">
        <v>4002.9517049804349</v>
      </c>
      <c r="AFN33" s="1037">
        <v>0</v>
      </c>
      <c r="AFO33" s="1037">
        <v>0</v>
      </c>
      <c r="AFP33" s="1037">
        <v>0</v>
      </c>
      <c r="AFQ33" s="1037">
        <v>0</v>
      </c>
      <c r="AFR33" s="1037">
        <v>8005.9034099608698</v>
      </c>
      <c r="AFS33" s="247">
        <v>2449.1287897678494</v>
      </c>
      <c r="AFT33" s="247">
        <v>583.12590232567845</v>
      </c>
      <c r="AFU33" s="247">
        <v>933.00144372108559</v>
      </c>
      <c r="AFV33" s="247">
        <v>0</v>
      </c>
      <c r="AFW33" s="247">
        <v>0</v>
      </c>
      <c r="AFX33" s="247">
        <v>0</v>
      </c>
      <c r="AFY33" s="247">
        <v>0</v>
      </c>
      <c r="AFZ33" s="247">
        <v>1866.0028874421712</v>
      </c>
      <c r="AGA33" s="247">
        <v>2706.9318202697282</v>
      </c>
      <c r="AGB33" s="247">
        <v>644.50757625469726</v>
      </c>
      <c r="AGC33" s="247">
        <v>1031.2121220075155</v>
      </c>
      <c r="AGD33" s="247">
        <v>0</v>
      </c>
      <c r="AGE33" s="247">
        <v>0</v>
      </c>
      <c r="AGF33" s="247">
        <v>0</v>
      </c>
      <c r="AGG33" s="247">
        <v>0</v>
      </c>
      <c r="AGH33" s="247">
        <v>2062.424244015031</v>
      </c>
      <c r="AGI33" s="247">
        <v>2835.8333355206678</v>
      </c>
      <c r="AGJ33" s="247">
        <v>675.19841321920671</v>
      </c>
      <c r="AGK33" s="247">
        <v>1080.3174611507307</v>
      </c>
      <c r="AGL33" s="247">
        <v>0</v>
      </c>
      <c r="AGM33" s="247">
        <v>0</v>
      </c>
      <c r="AGN33" s="247">
        <v>0</v>
      </c>
      <c r="AGO33" s="247">
        <v>0</v>
      </c>
      <c r="AGP33" s="247">
        <v>2160.6349223014613</v>
      </c>
      <c r="AGQ33" s="247">
        <v>4356.871215481754</v>
      </c>
      <c r="AGR33" s="247">
        <v>1037.3502894004175</v>
      </c>
      <c r="AGS33" s="247">
        <v>1659.7604630406681</v>
      </c>
      <c r="AGT33" s="247">
        <v>0</v>
      </c>
      <c r="AGU33" s="247">
        <v>0</v>
      </c>
      <c r="AGV33" s="247">
        <v>0</v>
      </c>
      <c r="AGW33" s="247">
        <v>0</v>
      </c>
      <c r="AGX33" s="247">
        <v>3319.5209260813363</v>
      </c>
      <c r="AGY33" s="249">
        <v>0</v>
      </c>
      <c r="AGZ33" s="249">
        <v>0</v>
      </c>
      <c r="AHA33" s="249">
        <v>0</v>
      </c>
      <c r="AHB33" s="249">
        <v>0</v>
      </c>
      <c r="AHC33" s="249">
        <v>0</v>
      </c>
      <c r="AHD33" s="249">
        <v>0</v>
      </c>
      <c r="AHE33" s="249">
        <v>0</v>
      </c>
      <c r="AHF33" s="249">
        <v>0</v>
      </c>
      <c r="AHG33" s="249">
        <v>0</v>
      </c>
      <c r="AHH33" s="249">
        <v>0</v>
      </c>
      <c r="AHI33" s="249">
        <v>0</v>
      </c>
      <c r="AHJ33" s="249">
        <v>0</v>
      </c>
      <c r="AHK33" s="249">
        <v>0</v>
      </c>
      <c r="AHL33" s="249">
        <v>0</v>
      </c>
      <c r="AHM33" s="249">
        <v>0</v>
      </c>
      <c r="AHN33" s="249">
        <v>0</v>
      </c>
      <c r="AHO33" s="249">
        <v>0</v>
      </c>
      <c r="AHP33" s="249">
        <v>0</v>
      </c>
      <c r="AHQ33" s="249">
        <v>0</v>
      </c>
      <c r="AHR33" s="249">
        <v>0</v>
      </c>
      <c r="AHS33" s="249">
        <v>0</v>
      </c>
      <c r="AHT33" s="249">
        <v>0</v>
      </c>
      <c r="AHU33" s="249">
        <v>0</v>
      </c>
      <c r="AHV33" s="249">
        <v>0</v>
      </c>
      <c r="AHW33" s="249">
        <v>0</v>
      </c>
      <c r="AHX33" s="249">
        <v>0</v>
      </c>
      <c r="AHY33" s="249">
        <v>0</v>
      </c>
      <c r="AHZ33" s="249">
        <v>0</v>
      </c>
      <c r="AIA33" s="249">
        <v>0</v>
      </c>
      <c r="AIB33" s="249">
        <v>0</v>
      </c>
      <c r="AIC33" s="249">
        <v>0</v>
      </c>
      <c r="AID33" s="249">
        <v>0</v>
      </c>
      <c r="AIE33" s="249"/>
      <c r="AIF33" s="249"/>
      <c r="AIG33" s="249"/>
      <c r="AIH33" s="249"/>
      <c r="AII33" s="249"/>
      <c r="AIJ33" s="249"/>
      <c r="AIK33" s="249"/>
      <c r="AIL33" s="249"/>
      <c r="AIM33" s="249">
        <v>0</v>
      </c>
      <c r="AIN33" s="249">
        <v>0</v>
      </c>
      <c r="AIO33" s="249">
        <v>0</v>
      </c>
      <c r="AIP33" s="249">
        <v>0</v>
      </c>
      <c r="AIQ33" s="249">
        <v>0</v>
      </c>
      <c r="AIR33" s="249">
        <v>0</v>
      </c>
      <c r="AIS33" s="249">
        <v>0</v>
      </c>
      <c r="AIT33" s="249">
        <v>0</v>
      </c>
      <c r="AIU33" s="134" t="s">
        <v>1216</v>
      </c>
      <c r="AIV33" s="134" t="s">
        <v>1219</v>
      </c>
      <c r="AIW33" s="134" t="s">
        <v>1218</v>
      </c>
      <c r="AIX33" s="134" t="s">
        <v>1217</v>
      </c>
      <c r="AIY33" s="134" t="s">
        <v>1228</v>
      </c>
      <c r="AIZ33" s="134" t="s">
        <v>1229</v>
      </c>
      <c r="AJA33" s="134" t="s">
        <v>1230</v>
      </c>
      <c r="AJB33" s="134" t="s">
        <v>1231</v>
      </c>
      <c r="AJC33" s="134" t="s">
        <v>1232</v>
      </c>
      <c r="AJD33" s="134" t="s">
        <v>1233</v>
      </c>
    </row>
    <row r="34" spans="1:940" ht="18" customHeight="1">
      <c r="A34" s="664" t="s">
        <v>22</v>
      </c>
      <c r="B34" s="669">
        <v>-0.4</v>
      </c>
      <c r="C34" s="6">
        <v>-0.3</v>
      </c>
      <c r="D34" s="6">
        <v>-0.3</v>
      </c>
      <c r="E34" s="74">
        <v>364.21917808219177</v>
      </c>
      <c r="F34" s="75">
        <v>-7.6</v>
      </c>
      <c r="G34" s="7">
        <v>-6.5</v>
      </c>
      <c r="H34" s="7">
        <v>-6.5</v>
      </c>
      <c r="I34" s="266">
        <v>350</v>
      </c>
      <c r="J34" s="125">
        <v>0</v>
      </c>
      <c r="K34" s="125">
        <v>0</v>
      </c>
      <c r="L34" s="125">
        <v>0</v>
      </c>
      <c r="M34" s="1">
        <v>1066.3841551631824</v>
      </c>
      <c r="N34" s="2">
        <v>12</v>
      </c>
      <c r="O34" s="8">
        <v>0.8</v>
      </c>
      <c r="P34" s="8">
        <v>0.7</v>
      </c>
      <c r="Q34" s="8">
        <v>0.7</v>
      </c>
      <c r="R34" s="7">
        <v>0.2</v>
      </c>
      <c r="S34" s="7">
        <v>0.1</v>
      </c>
      <c r="T34" s="7">
        <v>99.6</v>
      </c>
      <c r="U34" s="7">
        <v>0.1</v>
      </c>
      <c r="V34" s="71">
        <v>0</v>
      </c>
      <c r="W34" s="119">
        <v>2</v>
      </c>
      <c r="X34" s="120">
        <v>1.5</v>
      </c>
      <c r="Y34" s="119">
        <v>1</v>
      </c>
      <c r="Z34" s="120">
        <v>0.8</v>
      </c>
      <c r="AA34" s="120">
        <v>0.5</v>
      </c>
      <c r="AB34" s="559">
        <v>433.01922201480062</v>
      </c>
      <c r="AC34" s="559">
        <v>470.67306740739195</v>
      </c>
      <c r="AD34" s="559">
        <v>433.37222681535616</v>
      </c>
      <c r="AE34" s="559">
        <v>649.0581599547935</v>
      </c>
      <c r="AF34" s="622">
        <v>0.82209484106305364</v>
      </c>
      <c r="AG34" s="559">
        <v>261.91600618637949</v>
      </c>
      <c r="AH34" s="559">
        <v>284.69131107215162</v>
      </c>
      <c r="AI34" s="559">
        <v>262.12952466968363</v>
      </c>
      <c r="AJ34" s="559">
        <v>392.58931796849708</v>
      </c>
      <c r="AK34" s="622">
        <v>0.96717040125065135</v>
      </c>
      <c r="AL34" s="995">
        <v>0</v>
      </c>
      <c r="AM34" s="995">
        <v>0.1</v>
      </c>
      <c r="AN34" s="995">
        <v>0.3</v>
      </c>
      <c r="AO34" s="995">
        <v>0.5</v>
      </c>
      <c r="AP34" s="995">
        <v>0.8</v>
      </c>
      <c r="AQ34" s="995">
        <v>1.1000000000000001</v>
      </c>
      <c r="AR34" s="995">
        <v>1.3</v>
      </c>
      <c r="AS34" s="1005">
        <v>0</v>
      </c>
      <c r="AT34" s="1005">
        <v>10</v>
      </c>
      <c r="AU34" s="1005">
        <v>20</v>
      </c>
      <c r="AV34" s="1005">
        <v>70</v>
      </c>
      <c r="AW34" s="1005">
        <v>100</v>
      </c>
      <c r="AX34" s="1">
        <v>5596.0494247291699</v>
      </c>
      <c r="AY34" s="5">
        <v>1.98</v>
      </c>
      <c r="AZ34" s="10">
        <v>2</v>
      </c>
      <c r="BA34" s="8">
        <v>1.3</v>
      </c>
      <c r="BB34" s="8">
        <v>1.3</v>
      </c>
      <c r="BC34" s="73">
        <v>0.17007468960337721</v>
      </c>
      <c r="BD34" s="73">
        <v>0.17500236602736474</v>
      </c>
      <c r="BE34" s="9">
        <v>2.4466324694609898E-4</v>
      </c>
      <c r="BF34" s="9">
        <v>3.065486564677593E-3</v>
      </c>
      <c r="BG34" s="9">
        <v>0.22152098217613855</v>
      </c>
      <c r="BH34" s="9">
        <v>52.250412545410221</v>
      </c>
      <c r="BI34" s="9">
        <v>0.33272762389099186</v>
      </c>
      <c r="BJ34" s="9"/>
      <c r="BK34" s="9">
        <v>46.494896756427373</v>
      </c>
      <c r="BL34" s="9">
        <v>0.47892110991913739</v>
      </c>
      <c r="BM34" s="9"/>
      <c r="BN34" s="9"/>
      <c r="BO34" s="9"/>
      <c r="BP34" s="9"/>
      <c r="BQ34" s="9">
        <v>0.1778413966184085</v>
      </c>
      <c r="BR34" s="9">
        <v>1.0074368991898192E-4</v>
      </c>
      <c r="BS34" s="9">
        <v>4.0268692056187341E-2</v>
      </c>
      <c r="BT34" s="262">
        <v>261.13475999999997</v>
      </c>
      <c r="BU34" s="262">
        <v>96.5</v>
      </c>
      <c r="BV34" s="262">
        <v>63.215999999999994</v>
      </c>
      <c r="BW34" s="262">
        <v>233.35949490734063</v>
      </c>
      <c r="BX34" s="262">
        <v>157.40783999999999</v>
      </c>
      <c r="BY34" s="68"/>
      <c r="BZ34" s="262">
        <v>256.20808011776955</v>
      </c>
      <c r="CA34" s="262">
        <v>165.17663999999999</v>
      </c>
      <c r="CB34" s="68"/>
      <c r="CC34" s="785">
        <v>0</v>
      </c>
      <c r="CD34" s="262">
        <v>6.585</v>
      </c>
      <c r="CE34" s="262">
        <v>1.3169999999999999</v>
      </c>
      <c r="CF34" s="262">
        <v>38</v>
      </c>
      <c r="CG34" s="262">
        <v>225.83915999999996</v>
      </c>
      <c r="CH34" s="68">
        <v>0.2</v>
      </c>
      <c r="CI34" s="262">
        <v>175.08124000000001</v>
      </c>
      <c r="CJ34" s="262">
        <v>60.4</v>
      </c>
      <c r="CK34" s="262">
        <v>42.384</v>
      </c>
      <c r="CL34" s="262">
        <v>156.45894761061641</v>
      </c>
      <c r="CM34" s="262">
        <v>105.53616</v>
      </c>
      <c r="CN34" s="68"/>
      <c r="CO34" s="262">
        <v>159.24945066654416</v>
      </c>
      <c r="CP34" s="262">
        <v>102.66767999999999</v>
      </c>
      <c r="CQ34" s="68"/>
      <c r="CR34" s="262">
        <v>0</v>
      </c>
      <c r="CS34" s="262">
        <v>4.415</v>
      </c>
      <c r="CT34" s="262">
        <v>0.88300000000000001</v>
      </c>
      <c r="CU34" s="262">
        <v>27</v>
      </c>
      <c r="CV34" s="262">
        <v>151.41683999999998</v>
      </c>
      <c r="CW34" s="68">
        <v>0.2</v>
      </c>
      <c r="CX34" s="120">
        <v>0.3</v>
      </c>
      <c r="CY34" s="120">
        <v>0.7</v>
      </c>
      <c r="CZ34" s="120">
        <v>1.2</v>
      </c>
      <c r="DA34" s="120">
        <v>1.2</v>
      </c>
      <c r="DB34" s="119">
        <v>3</v>
      </c>
      <c r="DC34" s="1005">
        <v>0</v>
      </c>
      <c r="DD34" s="1005">
        <v>10</v>
      </c>
      <c r="DE34" s="1005">
        <v>20</v>
      </c>
      <c r="DF34" s="1005">
        <v>70</v>
      </c>
      <c r="DG34" s="1005">
        <v>100</v>
      </c>
      <c r="DH34" s="2">
        <v>12.602870703330536</v>
      </c>
      <c r="DI34" s="2">
        <v>18</v>
      </c>
      <c r="DJ34" s="63">
        <v>12</v>
      </c>
      <c r="DK34" s="10">
        <v>1.5</v>
      </c>
      <c r="DL34" s="8">
        <v>1.4</v>
      </c>
      <c r="DM34" s="8">
        <v>1.4</v>
      </c>
      <c r="DN34" s="1030" t="s">
        <v>1028</v>
      </c>
      <c r="DO34" s="1030" t="s">
        <v>997</v>
      </c>
      <c r="DP34" s="1030" t="s">
        <v>997</v>
      </c>
      <c r="DQ34" s="1030" t="s">
        <v>997</v>
      </c>
      <c r="DR34" s="1030" t="s">
        <v>997</v>
      </c>
      <c r="DS34" s="1030" t="s">
        <v>997</v>
      </c>
      <c r="DT34" s="1030" t="s">
        <v>997</v>
      </c>
      <c r="DU34" s="1097">
        <v>4352.421788839999</v>
      </c>
      <c r="DV34" s="1097">
        <v>0</v>
      </c>
      <c r="DW34" s="1097">
        <v>0</v>
      </c>
      <c r="DX34" s="1097">
        <v>0</v>
      </c>
      <c r="DY34" s="1097">
        <v>0</v>
      </c>
      <c r="DZ34" s="1097">
        <v>0</v>
      </c>
      <c r="EA34" s="1097">
        <v>0</v>
      </c>
      <c r="EB34" s="207">
        <v>4.3524217888399992</v>
      </c>
      <c r="EC34" s="207">
        <v>18</v>
      </c>
      <c r="ED34" s="221">
        <v>5</v>
      </c>
      <c r="EE34" s="216">
        <v>1.5</v>
      </c>
      <c r="EF34" s="214">
        <v>1.4</v>
      </c>
      <c r="EG34" s="214">
        <v>1.4</v>
      </c>
      <c r="EH34" s="210" t="s">
        <v>1051</v>
      </c>
      <c r="EI34" s="208" t="s">
        <v>1068</v>
      </c>
      <c r="EJ34" s="208" t="s">
        <v>1083</v>
      </c>
      <c r="EK34" s="210" t="s">
        <v>1028</v>
      </c>
      <c r="EL34" s="208" t="s">
        <v>1107</v>
      </c>
      <c r="EM34" s="208" t="s">
        <v>1115</v>
      </c>
      <c r="EN34" s="210" t="s">
        <v>1121</v>
      </c>
      <c r="EO34" s="212" t="s">
        <v>1127</v>
      </c>
      <c r="EP34" s="210" t="s">
        <v>1133</v>
      </c>
      <c r="EQ34" s="208" t="s">
        <v>1138</v>
      </c>
      <c r="ER34" s="208" t="s">
        <v>1143</v>
      </c>
      <c r="ES34" s="204" t="s">
        <v>997</v>
      </c>
      <c r="ET34" s="204" t="s">
        <v>997</v>
      </c>
      <c r="EU34" s="204" t="s">
        <v>997</v>
      </c>
      <c r="EV34" s="204" t="s">
        <v>997</v>
      </c>
      <c r="EW34" s="204" t="s">
        <v>997</v>
      </c>
      <c r="EX34" s="204" t="s">
        <v>997</v>
      </c>
      <c r="EY34" s="204" t="s">
        <v>997</v>
      </c>
      <c r="EZ34" s="204" t="s">
        <v>997</v>
      </c>
      <c r="FA34" s="204" t="s">
        <v>997</v>
      </c>
      <c r="FB34" s="204" t="s">
        <v>997</v>
      </c>
      <c r="FC34" s="204" t="s">
        <v>997</v>
      </c>
      <c r="FD34" s="204" t="s">
        <v>997</v>
      </c>
      <c r="FE34" s="204" t="s">
        <v>997</v>
      </c>
      <c r="FF34" s="204" t="s">
        <v>997</v>
      </c>
      <c r="FG34" s="204" t="s">
        <v>997</v>
      </c>
      <c r="FH34" s="204" t="s">
        <v>997</v>
      </c>
      <c r="FI34" s="204" t="s">
        <v>997</v>
      </c>
      <c r="FJ34" s="204" t="s">
        <v>997</v>
      </c>
      <c r="FK34" s="204" t="s">
        <v>997</v>
      </c>
      <c r="FL34" s="204" t="s">
        <v>997</v>
      </c>
      <c r="FM34" s="204" t="s">
        <v>997</v>
      </c>
      <c r="FN34" s="204" t="s">
        <v>997</v>
      </c>
      <c r="FO34" s="204" t="s">
        <v>997</v>
      </c>
      <c r="FP34" s="204" t="s">
        <v>997</v>
      </c>
      <c r="FQ34" s="204" t="s">
        <v>997</v>
      </c>
      <c r="FR34" s="204" t="s">
        <v>997</v>
      </c>
      <c r="FS34" s="204" t="s">
        <v>997</v>
      </c>
      <c r="FT34" s="204" t="s">
        <v>997</v>
      </c>
      <c r="FU34" s="204" t="s">
        <v>997</v>
      </c>
      <c r="FV34" s="204" t="s">
        <v>997</v>
      </c>
      <c r="FW34" s="204" t="s">
        <v>997</v>
      </c>
      <c r="FX34" s="204" t="s">
        <v>997</v>
      </c>
      <c r="FY34" s="204" t="s">
        <v>997</v>
      </c>
      <c r="FZ34" s="204" t="s">
        <v>997</v>
      </c>
      <c r="GA34" s="204" t="s">
        <v>997</v>
      </c>
      <c r="GB34" s="204" t="s">
        <v>997</v>
      </c>
      <c r="GC34" s="204" t="s">
        <v>997</v>
      </c>
      <c r="GD34" s="204" t="s">
        <v>997</v>
      </c>
      <c r="GE34" s="204" t="s">
        <v>997</v>
      </c>
      <c r="GF34" s="204" t="s">
        <v>997</v>
      </c>
      <c r="GG34" s="204" t="s">
        <v>997</v>
      </c>
      <c r="GH34" s="204" t="s">
        <v>997</v>
      </c>
      <c r="GI34" s="204" t="s">
        <v>997</v>
      </c>
      <c r="GJ34" s="204" t="s">
        <v>997</v>
      </c>
      <c r="GK34" s="204" t="s">
        <v>997</v>
      </c>
      <c r="GL34" s="204" t="s">
        <v>997</v>
      </c>
      <c r="GM34" s="204" t="s">
        <v>997</v>
      </c>
      <c r="GN34" s="1051">
        <v>564.18105823472854</v>
      </c>
      <c r="GO34" s="1051">
        <v>94.030176372454747</v>
      </c>
      <c r="GP34" s="1051">
        <v>266.81062545684028</v>
      </c>
      <c r="GQ34" s="1051">
        <v>1680.7894026576284</v>
      </c>
      <c r="GR34" s="1051">
        <v>141.04526455868213</v>
      </c>
      <c r="GS34" s="1051">
        <v>196.28799317749932</v>
      </c>
      <c r="GT34" s="1051">
        <v>239.77694974975961</v>
      </c>
      <c r="GU34" s="1051">
        <v>411.38202162948949</v>
      </c>
      <c r="GV34" s="1051">
        <v>196.28799317749932</v>
      </c>
      <c r="GW34" s="1051">
        <v>121.06385207953551</v>
      </c>
      <c r="GX34" s="1051">
        <v>440.76645174588162</v>
      </c>
      <c r="GY34" s="1051">
        <v>0</v>
      </c>
      <c r="GZ34" s="1051">
        <v>0</v>
      </c>
      <c r="HA34" s="1051">
        <v>0</v>
      </c>
      <c r="HB34" s="1051">
        <v>0</v>
      </c>
      <c r="HC34" s="1051">
        <v>0</v>
      </c>
      <c r="HD34" s="1051">
        <v>0</v>
      </c>
      <c r="HE34" s="1051">
        <v>0</v>
      </c>
      <c r="HF34" s="1051">
        <v>0</v>
      </c>
      <c r="HG34" s="1051">
        <v>0</v>
      </c>
      <c r="HH34" s="1051">
        <v>0</v>
      </c>
      <c r="HI34" s="1051">
        <v>0</v>
      </c>
      <c r="HJ34" s="1051">
        <v>0</v>
      </c>
      <c r="HK34" s="1051">
        <v>0</v>
      </c>
      <c r="HL34" s="1051">
        <v>0</v>
      </c>
      <c r="HM34" s="1051">
        <v>0</v>
      </c>
      <c r="HN34" s="1051">
        <v>0</v>
      </c>
      <c r="HO34" s="1051">
        <v>0</v>
      </c>
      <c r="HP34" s="1051">
        <v>0</v>
      </c>
      <c r="HQ34" s="1051">
        <v>0</v>
      </c>
      <c r="HR34" s="1051">
        <v>0</v>
      </c>
      <c r="HS34" s="1051">
        <v>0</v>
      </c>
      <c r="HT34" s="1051">
        <v>0</v>
      </c>
      <c r="HU34" s="1051">
        <v>0</v>
      </c>
      <c r="HV34" s="1051">
        <v>0</v>
      </c>
      <c r="HW34" s="1051">
        <v>0</v>
      </c>
      <c r="HX34" s="1051">
        <v>0</v>
      </c>
      <c r="HY34" s="1051">
        <v>0</v>
      </c>
      <c r="HZ34" s="1051">
        <v>0</v>
      </c>
      <c r="IA34" s="1051">
        <v>0</v>
      </c>
      <c r="IB34" s="1051">
        <v>0</v>
      </c>
      <c r="IC34" s="1051">
        <v>0</v>
      </c>
      <c r="ID34" s="1051">
        <v>0</v>
      </c>
      <c r="IE34" s="1051">
        <v>0</v>
      </c>
      <c r="IF34" s="1051">
        <v>0</v>
      </c>
      <c r="IG34" s="1051">
        <v>0</v>
      </c>
      <c r="IH34" s="1051">
        <v>0</v>
      </c>
      <c r="II34" s="1051">
        <v>0</v>
      </c>
      <c r="IJ34" s="1051">
        <v>0</v>
      </c>
      <c r="IK34" s="1051">
        <v>0</v>
      </c>
      <c r="IL34" s="1051">
        <v>0</v>
      </c>
      <c r="IM34" s="1051">
        <v>0</v>
      </c>
      <c r="IN34" s="1051">
        <v>0</v>
      </c>
      <c r="IO34" s="1051">
        <v>0</v>
      </c>
      <c r="IP34" s="1051">
        <v>0</v>
      </c>
      <c r="IQ34" s="1051">
        <v>0</v>
      </c>
      <c r="IR34" s="1051">
        <v>0</v>
      </c>
      <c r="IS34" s="1051">
        <v>0</v>
      </c>
      <c r="IT34" s="215">
        <v>290.67765942825264</v>
      </c>
      <c r="IU34" s="207">
        <v>179.9</v>
      </c>
      <c r="IV34" s="216">
        <v>2647.0800000000199</v>
      </c>
      <c r="IW34" s="272">
        <v>12.64</v>
      </c>
      <c r="IX34" s="207">
        <v>50</v>
      </c>
      <c r="IY34" s="207">
        <v>1.5</v>
      </c>
      <c r="IZ34" s="204">
        <v>1.4</v>
      </c>
      <c r="JA34" s="204">
        <v>1.4</v>
      </c>
      <c r="JB34" s="52">
        <v>2</v>
      </c>
      <c r="JC34" s="24">
        <v>1.5</v>
      </c>
      <c r="JD34" s="24">
        <v>0.7</v>
      </c>
      <c r="JE34" s="24">
        <v>0.7</v>
      </c>
      <c r="JF34" s="24">
        <v>0.5</v>
      </c>
      <c r="JG34" s="1">
        <v>62.447830672471326</v>
      </c>
      <c r="JH34" s="216">
        <v>2647.0800000000199</v>
      </c>
      <c r="JI34" s="272">
        <v>12.64</v>
      </c>
      <c r="JJ34" s="207">
        <v>50</v>
      </c>
      <c r="JK34" s="10">
        <v>2.4</v>
      </c>
      <c r="JL34" s="8">
        <v>1.7</v>
      </c>
      <c r="JM34" s="8">
        <v>1.7</v>
      </c>
      <c r="JN34" s="216">
        <v>2</v>
      </c>
      <c r="JO34" s="216">
        <v>2</v>
      </c>
      <c r="JP34" s="216">
        <v>1</v>
      </c>
      <c r="JQ34" s="216">
        <v>1</v>
      </c>
      <c r="JR34" s="214">
        <v>0.5</v>
      </c>
      <c r="JS34" s="1212">
        <v>2000</v>
      </c>
      <c r="JT34" s="215">
        <v>105.46392639168118</v>
      </c>
      <c r="JU34" s="215">
        <v>500</v>
      </c>
      <c r="JV34" s="207">
        <v>2.5</v>
      </c>
      <c r="JW34" s="207">
        <v>1.3</v>
      </c>
      <c r="JX34" s="207">
        <v>1.3</v>
      </c>
      <c r="JY34" s="214">
        <v>2</v>
      </c>
      <c r="JZ34" s="214">
        <v>1.5</v>
      </c>
      <c r="KA34" s="214">
        <v>0.5</v>
      </c>
      <c r="KB34" s="214">
        <v>1</v>
      </c>
      <c r="KC34" s="214">
        <v>0.5</v>
      </c>
      <c r="KD34" s="1186">
        <v>14.055497509598489</v>
      </c>
      <c r="KE34" s="1186">
        <v>2.5085887808383954E-4</v>
      </c>
      <c r="KF34" s="1186">
        <v>85.865105655487966</v>
      </c>
      <c r="KG34" s="1186"/>
      <c r="KH34" s="1186">
        <v>1.5553250441198053E-2</v>
      </c>
      <c r="KI34" s="1186">
        <v>6.3592725594253316E-2</v>
      </c>
      <c r="KJ34" s="1186"/>
      <c r="KK34" s="1186"/>
      <c r="KL34" s="1186"/>
      <c r="KM34" s="1187">
        <v>580</v>
      </c>
      <c r="KN34" s="1187">
        <v>580</v>
      </c>
      <c r="KO34" s="1187">
        <v>580</v>
      </c>
      <c r="KP34" s="1187">
        <v>580</v>
      </c>
      <c r="KQ34" s="1187"/>
      <c r="KR34" s="1187">
        <v>580</v>
      </c>
      <c r="KS34" s="1187">
        <v>580</v>
      </c>
      <c r="KT34" s="1187">
        <v>580</v>
      </c>
      <c r="KU34" s="1187">
        <v>580</v>
      </c>
      <c r="KV34" s="262">
        <v>370</v>
      </c>
      <c r="KW34" s="262">
        <v>370</v>
      </c>
      <c r="KX34" s="262">
        <v>370</v>
      </c>
      <c r="KY34" s="262">
        <v>370</v>
      </c>
      <c r="KZ34" s="262"/>
      <c r="LA34" s="262">
        <v>370</v>
      </c>
      <c r="LB34" s="262">
        <v>370</v>
      </c>
      <c r="LC34" s="262">
        <v>370</v>
      </c>
      <c r="LD34" s="262">
        <v>370</v>
      </c>
      <c r="LE34" s="1213">
        <v>0</v>
      </c>
      <c r="LF34" s="1213">
        <v>10</v>
      </c>
      <c r="LG34" s="1213">
        <v>20</v>
      </c>
      <c r="LH34" s="1213">
        <v>70</v>
      </c>
      <c r="LI34" s="1213">
        <v>100</v>
      </c>
      <c r="LJ34" s="1212">
        <v>1000</v>
      </c>
      <c r="LK34" s="1">
        <v>710.82336727317727</v>
      </c>
      <c r="LL34" s="4">
        <v>29</v>
      </c>
      <c r="LM34" s="10">
        <v>1.7</v>
      </c>
      <c r="LN34" s="8">
        <v>1.2</v>
      </c>
      <c r="LO34" s="8">
        <v>1.2</v>
      </c>
      <c r="LP34" s="214">
        <v>2</v>
      </c>
      <c r="LQ34" s="214">
        <v>1</v>
      </c>
      <c r="LR34" s="214">
        <v>0.5</v>
      </c>
      <c r="LS34" s="214">
        <v>0.7</v>
      </c>
      <c r="LT34" s="214">
        <v>0.2</v>
      </c>
      <c r="LU34" s="1212">
        <v>1500</v>
      </c>
      <c r="LV34" s="122">
        <v>0</v>
      </c>
      <c r="LW34" s="122">
        <v>0</v>
      </c>
      <c r="LX34" s="122">
        <v>0</v>
      </c>
      <c r="LY34" s="165">
        <v>0</v>
      </c>
      <c r="LZ34" s="165">
        <v>0</v>
      </c>
      <c r="MA34" s="165">
        <v>0</v>
      </c>
      <c r="MB34" s="165">
        <v>0</v>
      </c>
      <c r="MC34" s="165">
        <v>0</v>
      </c>
      <c r="MD34" s="165">
        <v>0</v>
      </c>
      <c r="ME34" s="165">
        <v>0</v>
      </c>
      <c r="MF34" s="165">
        <v>0</v>
      </c>
      <c r="MG34" s="165">
        <v>0</v>
      </c>
      <c r="MH34" s="165">
        <v>0</v>
      </c>
      <c r="MI34" s="165">
        <v>0</v>
      </c>
      <c r="MJ34" s="165">
        <v>0</v>
      </c>
      <c r="MK34" s="165">
        <v>0</v>
      </c>
      <c r="ML34" s="165">
        <v>0</v>
      </c>
      <c r="MM34" s="165">
        <v>0</v>
      </c>
      <c r="MN34" s="165">
        <v>0</v>
      </c>
      <c r="MO34" s="165">
        <v>0</v>
      </c>
      <c r="MP34" s="165">
        <v>0</v>
      </c>
      <c r="MQ34" s="165">
        <v>0</v>
      </c>
      <c r="MR34" s="165">
        <v>0</v>
      </c>
      <c r="MS34" s="165">
        <v>0</v>
      </c>
      <c r="MT34" s="165">
        <v>0</v>
      </c>
      <c r="MU34" s="165">
        <v>0</v>
      </c>
      <c r="MV34" s="165">
        <v>0</v>
      </c>
      <c r="MW34" s="166">
        <v>2.6833615563598801</v>
      </c>
      <c r="MX34" s="166">
        <v>0</v>
      </c>
      <c r="MY34" s="166">
        <v>6.9587642192350002E-2</v>
      </c>
      <c r="MZ34" s="166">
        <v>0</v>
      </c>
      <c r="NA34" s="166">
        <v>1.84</v>
      </c>
      <c r="NB34" s="166">
        <v>0</v>
      </c>
      <c r="NC34" s="166">
        <v>0.68273251192369</v>
      </c>
      <c r="ND34" s="166">
        <v>0</v>
      </c>
      <c r="NE34" s="166">
        <v>6.6704932874049994E-2</v>
      </c>
      <c r="NF34" s="166">
        <v>0</v>
      </c>
      <c r="NG34" s="166">
        <v>1.62828007419184</v>
      </c>
      <c r="NH34" s="166">
        <v>0</v>
      </c>
      <c r="NI34" s="166">
        <v>0.69</v>
      </c>
      <c r="NJ34" s="166">
        <v>0</v>
      </c>
      <c r="NK34" s="166">
        <v>6.9577493816980002E-2</v>
      </c>
      <c r="NL34" s="166">
        <v>0</v>
      </c>
      <c r="NM34" s="166">
        <v>1.74</v>
      </c>
      <c r="NN34" s="166">
        <v>0</v>
      </c>
      <c r="NO34" s="166">
        <v>3.3331873905429101</v>
      </c>
      <c r="NP34" s="166">
        <v>0</v>
      </c>
      <c r="NQ34" s="166">
        <v>6.9570928196150003E-2</v>
      </c>
      <c r="NR34" s="166">
        <v>0</v>
      </c>
      <c r="NS34" s="166">
        <v>2.64</v>
      </c>
      <c r="NT34" s="166">
        <v>0</v>
      </c>
      <c r="NU34" s="166">
        <v>0.69</v>
      </c>
      <c r="NV34" s="166">
        <v>0</v>
      </c>
      <c r="NW34" s="166">
        <v>6.9569872276479996E-2</v>
      </c>
      <c r="NX34" s="166">
        <v>0</v>
      </c>
      <c r="NY34" s="166">
        <v>2.2000000000000002</v>
      </c>
      <c r="NZ34" s="166">
        <v>0</v>
      </c>
      <c r="OA34" s="166">
        <v>-97.52</v>
      </c>
      <c r="OB34" s="166">
        <v>-19.739999999999998</v>
      </c>
      <c r="OC34" s="166">
        <v>-0.25014031720742003</v>
      </c>
      <c r="OD34" s="166">
        <v>0</v>
      </c>
      <c r="OE34" s="166">
        <v>-1.84</v>
      </c>
      <c r="OF34" s="166">
        <v>0</v>
      </c>
      <c r="OG34" s="166">
        <v>0.56283802882253997</v>
      </c>
      <c r="OH34" s="166">
        <v>0</v>
      </c>
      <c r="OI34" s="166">
        <v>-1.35404365554E-3</v>
      </c>
      <c r="OJ34" s="166">
        <v>0</v>
      </c>
      <c r="OK34" s="166">
        <v>-0.1</v>
      </c>
      <c r="OL34" s="166">
        <v>0</v>
      </c>
      <c r="OM34" s="166">
        <v>-1.14273171047684</v>
      </c>
      <c r="ON34" s="166">
        <v>0</v>
      </c>
      <c r="OO34" s="166">
        <v>0</v>
      </c>
      <c r="OP34" s="166">
        <v>0</v>
      </c>
      <c r="OQ34" s="166">
        <v>-0.1</v>
      </c>
      <c r="OR34" s="166">
        <v>0</v>
      </c>
      <c r="OS34" s="166">
        <v>1.34349580534743</v>
      </c>
      <c r="OT34" s="166">
        <v>0</v>
      </c>
      <c r="OU34" s="166">
        <v>0</v>
      </c>
      <c r="OV34" s="166">
        <v>0</v>
      </c>
      <c r="OW34" s="166">
        <v>0.8</v>
      </c>
      <c r="OX34" s="166">
        <v>0</v>
      </c>
      <c r="OY34" s="166">
        <v>1.2463573754605599</v>
      </c>
      <c r="OZ34" s="166">
        <v>0</v>
      </c>
      <c r="PA34" s="166">
        <v>0</v>
      </c>
      <c r="PB34" s="166">
        <v>0</v>
      </c>
      <c r="PC34" s="166">
        <v>0.34</v>
      </c>
      <c r="PD34" s="166">
        <v>0</v>
      </c>
      <c r="PE34" s="166">
        <v>-97.52</v>
      </c>
      <c r="PF34" s="166">
        <v>-19.739999999999998</v>
      </c>
      <c r="PG34" s="166">
        <v>-0.10400802450575</v>
      </c>
      <c r="PH34" s="166">
        <v>0</v>
      </c>
      <c r="PI34" s="166">
        <v>-1.74</v>
      </c>
      <c r="PJ34" s="166">
        <v>0</v>
      </c>
      <c r="PK34" s="166">
        <v>-0.27012264467121</v>
      </c>
      <c r="PL34" s="166">
        <v>0</v>
      </c>
      <c r="PM34" s="166">
        <v>0</v>
      </c>
      <c r="PN34" s="166">
        <v>0</v>
      </c>
      <c r="PO34" s="166">
        <v>0.1</v>
      </c>
      <c r="PP34" s="166">
        <v>0</v>
      </c>
      <c r="PQ34" s="166">
        <v>0</v>
      </c>
      <c r="PR34" s="166">
        <v>0</v>
      </c>
      <c r="PS34" s="166">
        <v>0</v>
      </c>
      <c r="PT34" s="166">
        <v>0</v>
      </c>
      <c r="PU34" s="166">
        <v>0</v>
      </c>
      <c r="PV34" s="166">
        <v>0</v>
      </c>
      <c r="PW34" s="166">
        <v>1.111993279469E-2</v>
      </c>
      <c r="PX34" s="166">
        <v>0</v>
      </c>
      <c r="PY34" s="166">
        <v>0</v>
      </c>
      <c r="PZ34" s="166">
        <v>0</v>
      </c>
      <c r="QA34" s="166">
        <v>0.9</v>
      </c>
      <c r="QB34" s="166">
        <v>0</v>
      </c>
      <c r="QC34" s="166">
        <v>1.187990169642E-2</v>
      </c>
      <c r="QD34" s="166">
        <v>0</v>
      </c>
      <c r="QE34" s="166">
        <v>0</v>
      </c>
      <c r="QF34" s="166">
        <v>0</v>
      </c>
      <c r="QG34" s="166">
        <v>0.44</v>
      </c>
      <c r="QH34" s="166">
        <v>0</v>
      </c>
      <c r="QI34" s="162">
        <v>0</v>
      </c>
      <c r="QJ34" s="167">
        <v>0</v>
      </c>
      <c r="QK34" s="167">
        <v>0</v>
      </c>
      <c r="QL34" s="167">
        <v>0</v>
      </c>
      <c r="QM34" s="167">
        <v>0</v>
      </c>
      <c r="QN34" s="162">
        <v>0</v>
      </c>
      <c r="QO34" s="162">
        <v>0</v>
      </c>
      <c r="QP34" s="162">
        <v>0</v>
      </c>
      <c r="QQ34" s="162">
        <v>0</v>
      </c>
      <c r="QR34" s="162">
        <v>0</v>
      </c>
      <c r="QS34" s="162">
        <v>0</v>
      </c>
      <c r="QT34" s="162">
        <v>0</v>
      </c>
      <c r="QU34" s="162">
        <v>-2.83615825052639</v>
      </c>
      <c r="QV34" s="162">
        <v>0</v>
      </c>
      <c r="QW34" s="162">
        <v>-0.2596290095171</v>
      </c>
      <c r="QX34" s="162">
        <v>0</v>
      </c>
      <c r="QY34" s="162">
        <v>-1.75</v>
      </c>
      <c r="QZ34" s="162">
        <v>0</v>
      </c>
      <c r="RA34" s="167">
        <v>8.6542805107000007E-2</v>
      </c>
      <c r="RB34" s="167">
        <v>0</v>
      </c>
      <c r="RC34" s="167">
        <v>0</v>
      </c>
      <c r="RD34" s="167">
        <v>0</v>
      </c>
      <c r="RE34" s="167">
        <v>0.1</v>
      </c>
      <c r="RF34" s="167">
        <v>0</v>
      </c>
      <c r="RG34" s="167">
        <v>-1.1444113160500001E-3</v>
      </c>
      <c r="RH34" s="167">
        <v>0</v>
      </c>
      <c r="RI34" s="167">
        <v>0</v>
      </c>
      <c r="RJ34" s="167">
        <v>0</v>
      </c>
      <c r="RK34" s="167">
        <v>0</v>
      </c>
      <c r="RL34" s="167">
        <v>0</v>
      </c>
      <c r="RM34" s="166">
        <v>-97.52</v>
      </c>
      <c r="RN34" s="166">
        <v>-19.739999999999998</v>
      </c>
      <c r="RO34" s="166">
        <v>-0.25308734369079</v>
      </c>
      <c r="RP34" s="166">
        <v>0</v>
      </c>
      <c r="RQ34" s="166">
        <v>-2.64</v>
      </c>
      <c r="RR34" s="166">
        <v>0</v>
      </c>
      <c r="RS34" s="166">
        <v>-0.12951742685487999</v>
      </c>
      <c r="RT34" s="166">
        <v>0</v>
      </c>
      <c r="RU34" s="166">
        <v>0</v>
      </c>
      <c r="RV34" s="166">
        <v>0</v>
      </c>
      <c r="RW34" s="166">
        <v>-0.8</v>
      </c>
      <c r="RX34" s="166">
        <v>0</v>
      </c>
      <c r="RY34" s="166">
        <v>-3.2832383524249997E-2</v>
      </c>
      <c r="RZ34" s="166">
        <v>0</v>
      </c>
      <c r="SA34" s="166">
        <v>0</v>
      </c>
      <c r="SB34" s="166">
        <v>0</v>
      </c>
      <c r="SC34" s="166">
        <v>-0.9</v>
      </c>
      <c r="SD34" s="166">
        <v>0</v>
      </c>
      <c r="SE34" s="166">
        <v>0</v>
      </c>
      <c r="SF34" s="166">
        <v>0</v>
      </c>
      <c r="SG34" s="166">
        <v>0</v>
      </c>
      <c r="SH34" s="166">
        <v>0</v>
      </c>
      <c r="SI34" s="166">
        <v>-0.9</v>
      </c>
      <c r="SJ34" s="166">
        <v>0</v>
      </c>
      <c r="SK34" s="166">
        <v>0</v>
      </c>
      <c r="SL34" s="166">
        <v>0</v>
      </c>
      <c r="SM34" s="166">
        <v>0</v>
      </c>
      <c r="SN34" s="166">
        <v>0</v>
      </c>
      <c r="SO34" s="166">
        <v>-0.44</v>
      </c>
      <c r="SP34" s="166">
        <v>0</v>
      </c>
      <c r="SQ34" s="166">
        <v>-97.52</v>
      </c>
      <c r="SR34" s="166">
        <v>-19.739999999999998</v>
      </c>
      <c r="SS34" s="166">
        <v>-0.25433333333333003</v>
      </c>
      <c r="ST34" s="166">
        <v>0</v>
      </c>
      <c r="SU34" s="166">
        <v>-2.2000000000000002</v>
      </c>
      <c r="SV34" s="166">
        <v>0</v>
      </c>
      <c r="SW34" s="166">
        <v>-4.0922199923140001E-2</v>
      </c>
      <c r="SX34" s="166">
        <v>0</v>
      </c>
      <c r="SY34" s="166">
        <v>-0.34</v>
      </c>
      <c r="SZ34" s="166">
        <v>0</v>
      </c>
      <c r="TA34" s="166">
        <v>0</v>
      </c>
      <c r="TB34" s="166">
        <v>0</v>
      </c>
      <c r="TC34" s="166">
        <v>-2.3640582224400001E-3</v>
      </c>
      <c r="TD34" s="166">
        <v>0</v>
      </c>
      <c r="TE34" s="166">
        <v>0</v>
      </c>
      <c r="TF34" s="166">
        <v>0</v>
      </c>
      <c r="TG34" s="166">
        <v>-0.44</v>
      </c>
      <c r="TH34" s="166">
        <v>0</v>
      </c>
      <c r="TI34" s="166">
        <v>0</v>
      </c>
      <c r="TJ34" s="166">
        <v>0</v>
      </c>
      <c r="TK34" s="166">
        <v>0</v>
      </c>
      <c r="TL34" s="166">
        <v>0</v>
      </c>
      <c r="TM34" s="166">
        <v>-0.44</v>
      </c>
      <c r="TN34" s="166">
        <v>0</v>
      </c>
      <c r="TO34" s="166">
        <v>0</v>
      </c>
      <c r="TP34" s="166">
        <v>0</v>
      </c>
      <c r="TQ34" s="166">
        <v>0</v>
      </c>
      <c r="TR34" s="166">
        <v>0</v>
      </c>
      <c r="TS34" s="166">
        <v>-0.44</v>
      </c>
      <c r="TT34" s="166">
        <v>0</v>
      </c>
      <c r="TU34" s="166">
        <v>0.96294229597153003</v>
      </c>
      <c r="TV34" s="166">
        <v>0</v>
      </c>
      <c r="TW34" s="166">
        <v>0</v>
      </c>
      <c r="TX34" s="166">
        <v>0</v>
      </c>
      <c r="TY34" s="166">
        <v>0</v>
      </c>
      <c r="TZ34" s="166">
        <v>-0.67989002356637995</v>
      </c>
      <c r="UA34" s="166">
        <v>5.2159287430749997E-2</v>
      </c>
      <c r="UB34" s="166">
        <v>0</v>
      </c>
      <c r="UC34" s="166">
        <v>-5.3537722710599997E-3</v>
      </c>
      <c r="UD34" s="166">
        <v>0</v>
      </c>
      <c r="UE34" s="166">
        <v>5.0710626591479999E-2</v>
      </c>
      <c r="UF34" s="166">
        <v>-9.9999999999999893</v>
      </c>
      <c r="UG34" s="166">
        <v>0.13552942696778</v>
      </c>
      <c r="UH34" s="166">
        <v>0</v>
      </c>
      <c r="UI34" s="166">
        <v>0</v>
      </c>
      <c r="UJ34" s="166">
        <v>0</v>
      </c>
      <c r="UK34" s="166">
        <v>0</v>
      </c>
      <c r="UL34" s="166">
        <v>-2.5</v>
      </c>
      <c r="UM34" s="166">
        <v>0</v>
      </c>
      <c r="UN34" s="166">
        <v>0</v>
      </c>
      <c r="UO34" s="166">
        <v>0</v>
      </c>
      <c r="UP34" s="166">
        <v>0</v>
      </c>
      <c r="UQ34" s="166">
        <v>0</v>
      </c>
      <c r="UR34" s="166">
        <v>0</v>
      </c>
      <c r="US34" s="163">
        <v>0</v>
      </c>
      <c r="UT34" s="163">
        <v>0</v>
      </c>
      <c r="UU34" s="163">
        <v>0</v>
      </c>
      <c r="UV34" s="163">
        <v>0</v>
      </c>
      <c r="UW34" s="163">
        <v>0</v>
      </c>
      <c r="UX34" s="163">
        <v>0</v>
      </c>
      <c r="UY34" s="166">
        <v>0</v>
      </c>
      <c r="UZ34" s="166">
        <v>0</v>
      </c>
      <c r="VA34" s="166">
        <v>0</v>
      </c>
      <c r="VB34" s="166">
        <v>0</v>
      </c>
      <c r="VC34" s="166">
        <v>0</v>
      </c>
      <c r="VD34" s="166">
        <v>0</v>
      </c>
      <c r="VE34" s="267">
        <v>202</v>
      </c>
      <c r="VF34" s="267">
        <v>279</v>
      </c>
      <c r="VG34" s="267">
        <v>354</v>
      </c>
      <c r="VH34" s="267">
        <v>0</v>
      </c>
      <c r="VI34" s="267">
        <v>403</v>
      </c>
      <c r="VJ34" s="267">
        <v>0</v>
      </c>
      <c r="VK34" s="267">
        <v>0</v>
      </c>
      <c r="VL34" s="257">
        <v>0</v>
      </c>
      <c r="VM34" s="257">
        <v>0</v>
      </c>
      <c r="VN34" s="257">
        <v>0</v>
      </c>
      <c r="VO34" s="257">
        <v>0</v>
      </c>
      <c r="VP34" s="257">
        <v>0</v>
      </c>
      <c r="VQ34" s="257">
        <v>0</v>
      </c>
      <c r="VR34" s="257">
        <v>0</v>
      </c>
      <c r="VS34" s="257">
        <v>0</v>
      </c>
      <c r="VT34" s="257">
        <v>0</v>
      </c>
      <c r="VU34" s="257">
        <v>0</v>
      </c>
      <c r="VV34" s="257">
        <v>0</v>
      </c>
      <c r="VW34" s="257">
        <v>0</v>
      </c>
      <c r="VX34" s="257">
        <v>0</v>
      </c>
      <c r="VY34" s="257">
        <v>0</v>
      </c>
      <c r="VZ34" s="257">
        <v>0</v>
      </c>
      <c r="WA34" s="257">
        <v>0</v>
      </c>
      <c r="WB34" s="257">
        <v>0</v>
      </c>
      <c r="WC34" s="257">
        <v>0</v>
      </c>
      <c r="WD34" s="257">
        <v>0</v>
      </c>
      <c r="WE34" s="257">
        <v>0</v>
      </c>
      <c r="WF34" s="257">
        <v>0</v>
      </c>
      <c r="WG34" s="257">
        <v>0</v>
      </c>
      <c r="WH34" s="257">
        <v>0</v>
      </c>
      <c r="WI34" s="257">
        <v>0</v>
      </c>
      <c r="WJ34" s="257">
        <v>0</v>
      </c>
      <c r="WK34" s="257">
        <v>0</v>
      </c>
      <c r="WL34" s="257">
        <v>0</v>
      </c>
      <c r="WM34" s="257">
        <v>0</v>
      </c>
      <c r="WN34" s="257">
        <v>0</v>
      </c>
      <c r="WO34" s="257">
        <v>0</v>
      </c>
      <c r="WP34" s="257">
        <v>0</v>
      </c>
      <c r="WQ34" s="257">
        <v>0</v>
      </c>
      <c r="WR34" s="257">
        <v>0</v>
      </c>
      <c r="WS34" s="572">
        <v>39.758000000000003</v>
      </c>
      <c r="WT34" s="572">
        <v>31.54079331941545</v>
      </c>
      <c r="WU34" s="572">
        <v>34.86087682672234</v>
      </c>
      <c r="WV34" s="572">
        <v>36.520918580375785</v>
      </c>
      <c r="WW34" s="572">
        <v>56.109411273486437</v>
      </c>
      <c r="WX34" s="247">
        <v>11428.16446</v>
      </c>
      <c r="WY34" s="4">
        <v>78</v>
      </c>
      <c r="WZ34" s="4">
        <v>15</v>
      </c>
      <c r="XA34" s="4">
        <v>7.0000000000000009</v>
      </c>
      <c r="XB34" s="4">
        <v>0</v>
      </c>
      <c r="XC34" s="1037">
        <v>540.88034014281652</v>
      </c>
      <c r="XD34" s="1037">
        <v>0</v>
      </c>
      <c r="XE34" s="1037">
        <v>0</v>
      </c>
      <c r="XF34" s="1037">
        <v>0</v>
      </c>
      <c r="XG34" s="1037">
        <v>0</v>
      </c>
      <c r="XH34" s="1037">
        <v>0</v>
      </c>
      <c r="XI34" s="1037">
        <v>1545.372400408047</v>
      </c>
      <c r="XJ34" s="1037">
        <v>386.34310010201176</v>
      </c>
      <c r="XK34" s="1037">
        <v>580.23231535444563</v>
      </c>
      <c r="XL34" s="1037">
        <v>0</v>
      </c>
      <c r="XM34" s="1037">
        <v>0</v>
      </c>
      <c r="XN34" s="1037">
        <v>0</v>
      </c>
      <c r="XO34" s="1037">
        <v>0</v>
      </c>
      <c r="XP34" s="1037">
        <v>0</v>
      </c>
      <c r="XQ34" s="1037">
        <v>1657.8066152984159</v>
      </c>
      <c r="XR34" s="1037">
        <v>414.45165382460397</v>
      </c>
      <c r="XS34" s="1037">
        <v>607.86242560941923</v>
      </c>
      <c r="XT34" s="1037">
        <v>0</v>
      </c>
      <c r="XU34" s="1037">
        <v>0</v>
      </c>
      <c r="XV34" s="1037">
        <v>0</v>
      </c>
      <c r="XW34" s="1037">
        <v>0</v>
      </c>
      <c r="XX34" s="1037">
        <v>0</v>
      </c>
      <c r="XY34" s="1037">
        <v>1736.7497874554833</v>
      </c>
      <c r="XZ34" s="1037">
        <v>434.18744686387083</v>
      </c>
      <c r="YA34" s="1037">
        <v>933.89772661810787</v>
      </c>
      <c r="YB34" s="1037">
        <v>0</v>
      </c>
      <c r="YC34" s="1037">
        <v>0</v>
      </c>
      <c r="YD34" s="1037">
        <v>0</v>
      </c>
      <c r="YE34" s="1037">
        <v>0</v>
      </c>
      <c r="YF34" s="1037">
        <v>0</v>
      </c>
      <c r="YG34" s="1037">
        <v>2668.2792189088791</v>
      </c>
      <c r="YH34" s="1037">
        <v>667.06980472721978</v>
      </c>
      <c r="YI34" s="1037">
        <v>476.93626437482129</v>
      </c>
      <c r="YJ34" s="1037">
        <v>1090.1400328567343</v>
      </c>
      <c r="YK34" s="1037">
        <v>136.26750410709178</v>
      </c>
      <c r="YL34" s="1037">
        <v>0</v>
      </c>
      <c r="YM34" s="1037">
        <v>0</v>
      </c>
      <c r="YN34" s="1037">
        <v>0</v>
      </c>
      <c r="YO34" s="1037">
        <v>1362.675041070918</v>
      </c>
      <c r="YP34" s="1037">
        <v>340.66876026772951</v>
      </c>
      <c r="YQ34" s="1037">
        <v>511.63596162809779</v>
      </c>
      <c r="YR34" s="1037">
        <v>1169.4536265785091</v>
      </c>
      <c r="YS34" s="1037">
        <v>146.18170332231364</v>
      </c>
      <c r="YT34" s="1037">
        <v>0</v>
      </c>
      <c r="YU34" s="1037">
        <v>0</v>
      </c>
      <c r="YV34" s="1037">
        <v>0</v>
      </c>
      <c r="YW34" s="1037">
        <v>1461.8170332231366</v>
      </c>
      <c r="YX34" s="1037">
        <v>365.45425830578415</v>
      </c>
      <c r="YY34" s="1037">
        <v>535.99957884848345</v>
      </c>
      <c r="YZ34" s="1037">
        <v>1225.1418945108192</v>
      </c>
      <c r="ZA34" s="1037">
        <v>153.14273681385239</v>
      </c>
      <c r="ZB34" s="1037">
        <v>0</v>
      </c>
      <c r="ZC34" s="1037">
        <v>0</v>
      </c>
      <c r="ZD34" s="1037">
        <v>0</v>
      </c>
      <c r="ZE34" s="1037">
        <v>1531.4273681385239</v>
      </c>
      <c r="ZF34" s="1037">
        <v>382.85684203463097</v>
      </c>
      <c r="ZG34" s="1037">
        <v>823.4902620490335</v>
      </c>
      <c r="ZH34" s="1037">
        <v>1882.2634561120765</v>
      </c>
      <c r="ZI34" s="1037">
        <v>235.28293201400956</v>
      </c>
      <c r="ZJ34" s="1037">
        <v>0</v>
      </c>
      <c r="ZK34" s="1037">
        <v>0</v>
      </c>
      <c r="ZL34" s="1037">
        <v>0</v>
      </c>
      <c r="ZM34" s="1037">
        <v>2352.8293201400957</v>
      </c>
      <c r="ZN34" s="1037">
        <v>588.20733003502392</v>
      </c>
      <c r="ZO34" s="1037">
        <v>1269.2658648684762</v>
      </c>
      <c r="ZP34" s="1037">
        <v>2901.179119699374</v>
      </c>
      <c r="ZQ34" s="1037">
        <v>362.64738996242176</v>
      </c>
      <c r="ZR34" s="1037">
        <v>0</v>
      </c>
      <c r="ZS34" s="1037">
        <v>0</v>
      </c>
      <c r="ZT34" s="1037">
        <v>0</v>
      </c>
      <c r="ZU34" s="1037">
        <v>3626.4738996242177</v>
      </c>
      <c r="ZV34" s="1037">
        <v>906.61847490605442</v>
      </c>
      <c r="ZW34" s="1037">
        <v>1402.8727980125261</v>
      </c>
      <c r="ZX34" s="1037">
        <v>3206.5663954572024</v>
      </c>
      <c r="ZY34" s="1037">
        <v>400.8207994321503</v>
      </c>
      <c r="ZZ34" s="1037">
        <v>0</v>
      </c>
      <c r="AAA34" s="1037">
        <v>0</v>
      </c>
      <c r="AAB34" s="1037">
        <v>0</v>
      </c>
      <c r="AAC34" s="1037">
        <v>4008.2079943215031</v>
      </c>
      <c r="AAD34" s="1037">
        <v>1002.0519985803758</v>
      </c>
      <c r="AAE34" s="1037">
        <v>1469.6762645845513</v>
      </c>
      <c r="AAF34" s="1037">
        <v>3359.260033336117</v>
      </c>
      <c r="AAG34" s="1037">
        <v>419.90750416701462</v>
      </c>
      <c r="AAH34" s="1037">
        <v>0</v>
      </c>
      <c r="AAI34" s="1037">
        <v>0</v>
      </c>
      <c r="AAJ34" s="1037">
        <v>0</v>
      </c>
      <c r="AAK34" s="1037">
        <v>4199.0750416701467</v>
      </c>
      <c r="AAL34" s="1037">
        <v>1049.7687604175367</v>
      </c>
      <c r="AAM34" s="1037">
        <v>2257.9571701344471</v>
      </c>
      <c r="AAN34" s="1037">
        <v>5161.0449603073075</v>
      </c>
      <c r="AAO34" s="1037">
        <v>645.13062003841344</v>
      </c>
      <c r="AAP34" s="1037">
        <v>0</v>
      </c>
      <c r="AAQ34" s="1037">
        <v>0</v>
      </c>
      <c r="AAR34" s="1037">
        <v>0</v>
      </c>
      <c r="AAS34" s="1037">
        <v>6451.3062003841342</v>
      </c>
      <c r="AAT34" s="1037">
        <v>1612.8265500960335</v>
      </c>
      <c r="AAU34" s="1037">
        <v>1746.2021292432976</v>
      </c>
      <c r="AAV34" s="1037">
        <v>3991.3191525561083</v>
      </c>
      <c r="AAW34" s="1037">
        <v>498.91489406951354</v>
      </c>
      <c r="AAX34" s="1037">
        <v>0</v>
      </c>
      <c r="AAY34" s="1037">
        <v>0</v>
      </c>
      <c r="AAZ34" s="1037">
        <v>0</v>
      </c>
      <c r="ABA34" s="1037">
        <v>4989.1489406951359</v>
      </c>
      <c r="ABB34" s="1037">
        <v>1247.287235173784</v>
      </c>
      <c r="ABC34" s="1037">
        <v>1848.4912162047403</v>
      </c>
      <c r="ABD34" s="1037">
        <v>4225.1227798965492</v>
      </c>
      <c r="ABE34" s="1037">
        <v>528.14034748706865</v>
      </c>
      <c r="ABF34" s="1037">
        <v>0</v>
      </c>
      <c r="ABG34" s="1037">
        <v>0</v>
      </c>
      <c r="ABH34" s="1037">
        <v>0</v>
      </c>
      <c r="ABI34" s="1037">
        <v>5281.4034748706872</v>
      </c>
      <c r="ABJ34" s="1037">
        <v>1320.3508687176718</v>
      </c>
      <c r="ABK34" s="1037">
        <v>1936.5146074525851</v>
      </c>
      <c r="ABL34" s="1037">
        <v>4426.3191027487655</v>
      </c>
      <c r="ABM34" s="1037">
        <v>553.28988784359569</v>
      </c>
      <c r="ABN34" s="1037">
        <v>0</v>
      </c>
      <c r="ABO34" s="1037">
        <v>0</v>
      </c>
      <c r="ABP34" s="1037">
        <v>0</v>
      </c>
      <c r="ABQ34" s="1037">
        <v>5532.8988784359572</v>
      </c>
      <c r="ABR34" s="1037">
        <v>1383.2247196089893</v>
      </c>
      <c r="ABS34" s="1037">
        <v>0</v>
      </c>
      <c r="ABT34" s="1037">
        <v>0</v>
      </c>
      <c r="ABU34" s="1037">
        <v>0</v>
      </c>
      <c r="ABV34" s="1037">
        <v>0</v>
      </c>
      <c r="ABW34" s="1037">
        <v>0</v>
      </c>
      <c r="ABX34" s="1037">
        <v>0</v>
      </c>
      <c r="ABY34" s="1037">
        <v>0</v>
      </c>
      <c r="ABZ34" s="1037">
        <v>0</v>
      </c>
      <c r="ACA34" s="1037">
        <v>2261.6009955838304</v>
      </c>
      <c r="ACB34" s="1037">
        <v>5169.373704191612</v>
      </c>
      <c r="ACC34" s="1037">
        <v>646.1717130239515</v>
      </c>
      <c r="ACD34" s="1037">
        <v>0</v>
      </c>
      <c r="ACE34" s="1037">
        <v>0</v>
      </c>
      <c r="ACF34" s="1037">
        <v>0</v>
      </c>
      <c r="ACG34" s="1037">
        <v>6461.7171302395145</v>
      </c>
      <c r="ACH34" s="1037">
        <v>1615.4292825598786</v>
      </c>
      <c r="ACI34" s="1037">
        <v>2417.8925283392368</v>
      </c>
      <c r="ACJ34" s="1037">
        <v>5526.6114933468261</v>
      </c>
      <c r="ACK34" s="1037">
        <v>690.82643666835327</v>
      </c>
      <c r="ACL34" s="1037">
        <v>0</v>
      </c>
      <c r="ACM34" s="1037">
        <v>0</v>
      </c>
      <c r="ACN34" s="1037">
        <v>0</v>
      </c>
      <c r="ACO34" s="1037">
        <v>6908.2643666835329</v>
      </c>
      <c r="ACP34" s="1037">
        <v>1727.0660916708832</v>
      </c>
      <c r="ACQ34" s="1037">
        <v>2533.0302677839622</v>
      </c>
      <c r="ACR34" s="1037">
        <v>5789.7834692204851</v>
      </c>
      <c r="ACS34" s="1037">
        <v>723.72293365256064</v>
      </c>
      <c r="ACT34" s="1037">
        <v>0</v>
      </c>
      <c r="ACU34" s="1037">
        <v>0</v>
      </c>
      <c r="ACV34" s="1037">
        <v>0</v>
      </c>
      <c r="ACW34" s="1037">
        <v>7237.2293365256064</v>
      </c>
      <c r="ACX34" s="1037">
        <v>1809.3073341314016</v>
      </c>
      <c r="ACY34" s="1037">
        <v>3891.6555932317237</v>
      </c>
      <c r="ACZ34" s="1037">
        <v>8895.2127845296527</v>
      </c>
      <c r="ADA34" s="1037">
        <v>1111.9015980662066</v>
      </c>
      <c r="ADB34" s="1037">
        <v>0</v>
      </c>
      <c r="ADC34" s="1037">
        <v>0</v>
      </c>
      <c r="ADD34" s="1037">
        <v>0</v>
      </c>
      <c r="ADE34" s="1037">
        <v>11119.015980662067</v>
      </c>
      <c r="ADF34" s="1037">
        <v>2779.7539951655167</v>
      </c>
      <c r="ADG34" s="1037">
        <v>2761.6148211380787</v>
      </c>
      <c r="ADH34" s="1037">
        <v>6312.2624483156078</v>
      </c>
      <c r="ADI34" s="1037">
        <v>789.03280603945097</v>
      </c>
      <c r="ADJ34" s="1037">
        <v>0</v>
      </c>
      <c r="ADK34" s="1037">
        <v>0</v>
      </c>
      <c r="ADL34" s="1037">
        <v>0</v>
      </c>
      <c r="ADM34" s="1037">
        <v>7890.3280603945095</v>
      </c>
      <c r="ADN34" s="1037">
        <v>1972.5820150986274</v>
      </c>
      <c r="ADO34" s="1037">
        <v>2970.7894546147613</v>
      </c>
      <c r="ADP34" s="1037">
        <v>6790.3758962623115</v>
      </c>
      <c r="ADQ34" s="1037">
        <v>848.79698703278893</v>
      </c>
      <c r="ADR34" s="1037">
        <v>0</v>
      </c>
      <c r="ADS34" s="1037">
        <v>0</v>
      </c>
      <c r="ADT34" s="1037">
        <v>0</v>
      </c>
      <c r="ADU34" s="1037">
        <v>8487.96987032789</v>
      </c>
      <c r="ADV34" s="1037">
        <v>2121.9924675819725</v>
      </c>
      <c r="ADW34" s="1037">
        <v>3112.2556191202266</v>
      </c>
      <c r="ADX34" s="1037">
        <v>7113.7271294176608</v>
      </c>
      <c r="ADY34" s="1037">
        <v>889.2158911772076</v>
      </c>
      <c r="ADZ34" s="1037">
        <v>0</v>
      </c>
      <c r="AEA34" s="1037">
        <v>0</v>
      </c>
      <c r="AEB34" s="1037">
        <v>0</v>
      </c>
      <c r="AEC34" s="1037">
        <v>8892.158911772076</v>
      </c>
      <c r="AED34" s="1037">
        <v>2223.039727943019</v>
      </c>
      <c r="AEE34" s="1037">
        <v>4781.5563602847124</v>
      </c>
      <c r="AEF34" s="1037">
        <v>10929.271680650769</v>
      </c>
      <c r="AEG34" s="1037">
        <v>1366.1589600813461</v>
      </c>
      <c r="AEH34" s="1037">
        <v>0</v>
      </c>
      <c r="AEI34" s="1037">
        <v>0</v>
      </c>
      <c r="AEJ34" s="1037">
        <v>0</v>
      </c>
      <c r="AEK34" s="1037">
        <v>13661.589600813462</v>
      </c>
      <c r="AEL34" s="1037">
        <v>3415.3974002033656</v>
      </c>
      <c r="AEM34" s="1037">
        <v>3184.7034427609042</v>
      </c>
      <c r="AEN34" s="1037">
        <v>7279.3221548820657</v>
      </c>
      <c r="AEO34" s="1037">
        <v>909.91526936025821</v>
      </c>
      <c r="AEP34" s="1037">
        <v>0</v>
      </c>
      <c r="AEQ34" s="1037">
        <v>0</v>
      </c>
      <c r="AER34" s="1037">
        <v>0</v>
      </c>
      <c r="AES34" s="1037">
        <v>9099.1526936025821</v>
      </c>
      <c r="AET34" s="1037">
        <v>2274.7881734006455</v>
      </c>
      <c r="AEU34" s="1037">
        <v>3383.3991010890336</v>
      </c>
      <c r="AEV34" s="1037">
        <v>7733.4836596320756</v>
      </c>
      <c r="AEW34" s="1037">
        <v>966.68545745400945</v>
      </c>
      <c r="AEX34" s="1037">
        <v>0</v>
      </c>
      <c r="AEY34" s="1037">
        <v>0</v>
      </c>
      <c r="AEZ34" s="1037">
        <v>0</v>
      </c>
      <c r="AFA34" s="1037">
        <v>9666.8545745400952</v>
      </c>
      <c r="AFB34" s="1037">
        <v>2416.7136436350238</v>
      </c>
      <c r="AFC34" s="1037">
        <v>3544.513343998035</v>
      </c>
      <c r="AFD34" s="1037">
        <v>8101.7447862812223</v>
      </c>
      <c r="AFE34" s="1037">
        <v>1012.7180982851528</v>
      </c>
      <c r="AFF34" s="1037">
        <v>0</v>
      </c>
      <c r="AFG34" s="1037">
        <v>0</v>
      </c>
      <c r="AFH34" s="1037">
        <v>0</v>
      </c>
      <c r="AFI34" s="1037">
        <v>10127.180982851529</v>
      </c>
      <c r="AFJ34" s="1037">
        <v>2531.7952457128822</v>
      </c>
      <c r="AFK34" s="1037">
        <v>5445.6614103242546</v>
      </c>
      <c r="AFL34" s="1037">
        <v>12447.226080741151</v>
      </c>
      <c r="AFM34" s="1037">
        <v>1555.9032600926439</v>
      </c>
      <c r="AFN34" s="1037">
        <v>0</v>
      </c>
      <c r="AFO34" s="1037">
        <v>0</v>
      </c>
      <c r="AFP34" s="1037">
        <v>0</v>
      </c>
      <c r="AFQ34" s="1037">
        <v>15559.032600926439</v>
      </c>
      <c r="AFR34" s="1037">
        <v>3889.7581502316098</v>
      </c>
      <c r="AFS34" s="247">
        <v>1269.2658648684762</v>
      </c>
      <c r="AFT34" s="247">
        <v>2901.179119699374</v>
      </c>
      <c r="AFU34" s="247">
        <v>362.64738996242176</v>
      </c>
      <c r="AFV34" s="247">
        <v>0</v>
      </c>
      <c r="AFW34" s="247">
        <v>0</v>
      </c>
      <c r="AFX34" s="247">
        <v>0</v>
      </c>
      <c r="AFY34" s="247">
        <v>3626.4738996242177</v>
      </c>
      <c r="AFZ34" s="247">
        <v>906.61847490605442</v>
      </c>
      <c r="AGA34" s="247">
        <v>1402.8727980125261</v>
      </c>
      <c r="AGB34" s="247">
        <v>3206.5663954572024</v>
      </c>
      <c r="AGC34" s="247">
        <v>400.8207994321503</v>
      </c>
      <c r="AGD34" s="247">
        <v>0</v>
      </c>
      <c r="AGE34" s="247">
        <v>0</v>
      </c>
      <c r="AGF34" s="247">
        <v>0</v>
      </c>
      <c r="AGG34" s="247">
        <v>4008.2079943215031</v>
      </c>
      <c r="AGH34" s="247">
        <v>1002.0519985803758</v>
      </c>
      <c r="AGI34" s="247">
        <v>1469.6762645845513</v>
      </c>
      <c r="AGJ34" s="247">
        <v>3359.260033336117</v>
      </c>
      <c r="AGK34" s="247">
        <v>419.90750416701462</v>
      </c>
      <c r="AGL34" s="247">
        <v>0</v>
      </c>
      <c r="AGM34" s="247">
        <v>0</v>
      </c>
      <c r="AGN34" s="247">
        <v>0</v>
      </c>
      <c r="AGO34" s="247">
        <v>4199.0750416701467</v>
      </c>
      <c r="AGP34" s="247">
        <v>1049.7687604175367</v>
      </c>
      <c r="AGQ34" s="247">
        <v>2257.9571701344471</v>
      </c>
      <c r="AGR34" s="247">
        <v>5161.0449603073075</v>
      </c>
      <c r="AGS34" s="247">
        <v>645.13062003841344</v>
      </c>
      <c r="AGT34" s="247">
        <v>0</v>
      </c>
      <c r="AGU34" s="247">
        <v>0</v>
      </c>
      <c r="AGV34" s="247">
        <v>0</v>
      </c>
      <c r="AGW34" s="247">
        <v>6451.3062003841342</v>
      </c>
      <c r="AGX34" s="247">
        <v>1612.8265500960335</v>
      </c>
      <c r="AGY34" s="249">
        <v>0</v>
      </c>
      <c r="AGZ34" s="249">
        <v>0</v>
      </c>
      <c r="AHA34" s="249">
        <v>0</v>
      </c>
      <c r="AHB34" s="249">
        <v>0</v>
      </c>
      <c r="AHC34" s="249">
        <v>0</v>
      </c>
      <c r="AHD34" s="249">
        <v>0</v>
      </c>
      <c r="AHE34" s="249">
        <v>0</v>
      </c>
      <c r="AHF34" s="249">
        <v>0</v>
      </c>
      <c r="AHG34" s="249">
        <v>0.13143693374789631</v>
      </c>
      <c r="AHH34" s="249">
        <v>0.15219013381335364</v>
      </c>
      <c r="AHI34" s="249">
        <v>1.3835466710304875E-2</v>
      </c>
      <c r="AHJ34" s="249">
        <v>0</v>
      </c>
      <c r="AHK34" s="249">
        <v>0</v>
      </c>
      <c r="AHL34" s="249">
        <v>0</v>
      </c>
      <c r="AHM34" s="249">
        <v>3.4588666775762188E-3</v>
      </c>
      <c r="AHN34" s="249">
        <v>4.4965266808490847E-2</v>
      </c>
      <c r="AHO34" s="249">
        <v>7.9711569307604174E-2</v>
      </c>
      <c r="AHP34" s="249">
        <v>9.2297606566699567E-2</v>
      </c>
      <c r="AHQ34" s="249">
        <v>8.3906915060635977E-3</v>
      </c>
      <c r="AHR34" s="249">
        <v>0</v>
      </c>
      <c r="AHS34" s="249">
        <v>0</v>
      </c>
      <c r="AHT34" s="249">
        <v>0</v>
      </c>
      <c r="AHU34" s="249">
        <v>2.0976728765158994E-3</v>
      </c>
      <c r="AHV34" s="249">
        <v>2.7269747394706691E-2</v>
      </c>
      <c r="AHW34" s="249">
        <v>0</v>
      </c>
      <c r="AHX34" s="249">
        <v>0</v>
      </c>
      <c r="AHY34" s="249">
        <v>0</v>
      </c>
      <c r="AHZ34" s="249">
        <v>0</v>
      </c>
      <c r="AIA34" s="249">
        <v>0</v>
      </c>
      <c r="AIB34" s="249">
        <v>0</v>
      </c>
      <c r="AIC34" s="249">
        <v>0</v>
      </c>
      <c r="AID34" s="249">
        <v>0</v>
      </c>
      <c r="AIE34" s="249"/>
      <c r="AIF34" s="249"/>
      <c r="AIG34" s="249"/>
      <c r="AIH34" s="249"/>
      <c r="AII34" s="249"/>
      <c r="AIJ34" s="249"/>
      <c r="AIK34" s="249"/>
      <c r="AIL34" s="249"/>
      <c r="AIM34" s="249">
        <v>5.3888197848950457E-2</v>
      </c>
      <c r="AIN34" s="249">
        <v>6.2396860667205796E-2</v>
      </c>
      <c r="AIO34" s="249">
        <v>5.6724418788368907E-3</v>
      </c>
      <c r="AIP34" s="249">
        <v>0</v>
      </c>
      <c r="AIQ34" s="249">
        <v>0</v>
      </c>
      <c r="AIR34" s="249">
        <v>0</v>
      </c>
      <c r="AIS34" s="249">
        <v>1.4181104697092227E-3</v>
      </c>
      <c r="AIT34" s="249">
        <v>1.8435436106219893E-2</v>
      </c>
      <c r="AIU34" s="134" t="s">
        <v>1216</v>
      </c>
      <c r="AIV34" s="134" t="s">
        <v>1219</v>
      </c>
      <c r="AIW34" s="134" t="s">
        <v>1218</v>
      </c>
      <c r="AIX34" s="134" t="s">
        <v>1217</v>
      </c>
      <c r="AIY34" s="134" t="s">
        <v>1228</v>
      </c>
      <c r="AIZ34" s="134" t="s">
        <v>1229</v>
      </c>
      <c r="AJA34" s="134" t="s">
        <v>1230</v>
      </c>
      <c r="AJB34" s="134" t="s">
        <v>1231</v>
      </c>
      <c r="AJC34" s="134" t="s">
        <v>1232</v>
      </c>
      <c r="AJD34" s="134" t="s">
        <v>1233</v>
      </c>
    </row>
    <row r="35" spans="1:940" ht="18" customHeight="1">
      <c r="A35" s="664" t="s">
        <v>25</v>
      </c>
      <c r="B35" s="669">
        <v>-0.2</v>
      </c>
      <c r="C35" s="6">
        <v>-0.4</v>
      </c>
      <c r="D35" s="6">
        <v>-0.4</v>
      </c>
      <c r="E35" s="74">
        <v>348.18181818181819</v>
      </c>
      <c r="F35" s="72">
        <v>-4.8</v>
      </c>
      <c r="G35" s="11">
        <v>-2.8</v>
      </c>
      <c r="H35" s="11">
        <v>-2.8</v>
      </c>
      <c r="I35" s="266">
        <v>350</v>
      </c>
      <c r="J35" s="125">
        <v>0</v>
      </c>
      <c r="K35" s="125">
        <v>0</v>
      </c>
      <c r="L35" s="125">
        <v>0</v>
      </c>
      <c r="M35" s="1">
        <v>1216.230079338347</v>
      </c>
      <c r="N35" s="2">
        <v>12</v>
      </c>
      <c r="O35" s="8">
        <v>2.2999999999999998</v>
      </c>
      <c r="P35" s="8">
        <v>0.7</v>
      </c>
      <c r="Q35" s="8">
        <v>0.7</v>
      </c>
      <c r="R35" s="71">
        <v>0.4</v>
      </c>
      <c r="S35" s="71">
        <v>0</v>
      </c>
      <c r="T35" s="71">
        <v>94.5</v>
      </c>
      <c r="U35" s="71">
        <v>2.5</v>
      </c>
      <c r="V35" s="71">
        <v>0.5</v>
      </c>
      <c r="W35" s="119">
        <v>2</v>
      </c>
      <c r="X35" s="120">
        <v>1.5</v>
      </c>
      <c r="Y35" s="119">
        <v>1</v>
      </c>
      <c r="Z35" s="120">
        <v>0.8</v>
      </c>
      <c r="AA35" s="120">
        <v>0.5</v>
      </c>
      <c r="AB35" s="559">
        <v>433.01922201480062</v>
      </c>
      <c r="AC35" s="559">
        <v>470.67306740739195</v>
      </c>
      <c r="AD35" s="559">
        <v>433.37222681535616</v>
      </c>
      <c r="AE35" s="559">
        <v>649.0581599547935</v>
      </c>
      <c r="AF35" s="622">
        <v>0.82209484106305364</v>
      </c>
      <c r="AG35" s="559">
        <v>261.91600618637949</v>
      </c>
      <c r="AH35" s="559">
        <v>284.69131107215162</v>
      </c>
      <c r="AI35" s="559">
        <v>262.12952466968363</v>
      </c>
      <c r="AJ35" s="559">
        <v>392.58931796849708</v>
      </c>
      <c r="AK35" s="622">
        <v>0.96717040125065135</v>
      </c>
      <c r="AL35" s="995">
        <v>0.1</v>
      </c>
      <c r="AM35" s="995">
        <v>0.2</v>
      </c>
      <c r="AN35" s="995">
        <v>0.4</v>
      </c>
      <c r="AO35" s="995">
        <v>0.6</v>
      </c>
      <c r="AP35" s="995">
        <v>0.9</v>
      </c>
      <c r="AQ35" s="995">
        <v>1.2</v>
      </c>
      <c r="AR35" s="995">
        <v>1.4</v>
      </c>
      <c r="AS35" s="1005">
        <v>0</v>
      </c>
      <c r="AT35" s="1005">
        <v>10</v>
      </c>
      <c r="AU35" s="1005">
        <v>20</v>
      </c>
      <c r="AV35" s="1005">
        <v>70</v>
      </c>
      <c r="AW35" s="1005">
        <v>100</v>
      </c>
      <c r="AX35" s="1">
        <v>5412.7575023540339</v>
      </c>
      <c r="AY35" s="5">
        <v>1.95</v>
      </c>
      <c r="AZ35" s="8">
        <v>2.4</v>
      </c>
      <c r="BA35" s="8">
        <v>0.8</v>
      </c>
      <c r="BB35" s="8">
        <v>0.8</v>
      </c>
      <c r="BC35" s="73">
        <v>0.17111084121059142</v>
      </c>
      <c r="BD35" s="73">
        <v>0.17335999999999999</v>
      </c>
      <c r="BE35" s="9">
        <v>2</v>
      </c>
      <c r="BF35" s="9">
        <v>0.1</v>
      </c>
      <c r="BG35" s="9"/>
      <c r="BH35" s="9">
        <v>51.7</v>
      </c>
      <c r="BI35" s="9">
        <v>0.4</v>
      </c>
      <c r="BJ35" s="9"/>
      <c r="BK35" s="9">
        <v>44.3</v>
      </c>
      <c r="BL35" s="9"/>
      <c r="BM35" s="9"/>
      <c r="BN35" s="9"/>
      <c r="BO35" s="9"/>
      <c r="BP35" s="9"/>
      <c r="BQ35" s="9"/>
      <c r="BR35" s="9"/>
      <c r="BS35" s="9">
        <v>0.1</v>
      </c>
      <c r="BT35" s="262">
        <v>261.13475999999997</v>
      </c>
      <c r="BU35" s="262">
        <v>96.5</v>
      </c>
      <c r="BV35" s="262">
        <v>63.215999999999994</v>
      </c>
      <c r="BW35" s="262">
        <v>233.35949490734063</v>
      </c>
      <c r="BX35" s="262">
        <v>157.40783999999999</v>
      </c>
      <c r="BY35" s="68"/>
      <c r="BZ35" s="262">
        <v>256.20808011776955</v>
      </c>
      <c r="CA35" s="262">
        <v>165.17663999999999</v>
      </c>
      <c r="CB35" s="68"/>
      <c r="CC35" s="785">
        <v>0</v>
      </c>
      <c r="CD35" s="262">
        <v>6.585</v>
      </c>
      <c r="CE35" s="262">
        <v>1.3169999999999999</v>
      </c>
      <c r="CF35" s="262">
        <v>38</v>
      </c>
      <c r="CG35" s="262">
        <v>225.83915999999996</v>
      </c>
      <c r="CH35" s="68">
        <v>0.2</v>
      </c>
      <c r="CI35" s="262">
        <v>175.08124000000001</v>
      </c>
      <c r="CJ35" s="262">
        <v>60.4</v>
      </c>
      <c r="CK35" s="262">
        <v>42.384</v>
      </c>
      <c r="CL35" s="262">
        <v>156.45894761061641</v>
      </c>
      <c r="CM35" s="262">
        <v>105.53616</v>
      </c>
      <c r="CN35" s="68"/>
      <c r="CO35" s="262">
        <v>159.24945066654416</v>
      </c>
      <c r="CP35" s="262">
        <v>102.66767999999999</v>
      </c>
      <c r="CQ35" s="68"/>
      <c r="CR35" s="262">
        <v>0</v>
      </c>
      <c r="CS35" s="262">
        <v>4.415</v>
      </c>
      <c r="CT35" s="262">
        <v>0.88300000000000001</v>
      </c>
      <c r="CU35" s="262">
        <v>27</v>
      </c>
      <c r="CV35" s="262">
        <v>151.41683999999998</v>
      </c>
      <c r="CW35" s="68">
        <v>0.2</v>
      </c>
      <c r="CX35" s="120">
        <v>0.3</v>
      </c>
      <c r="CY35" s="120">
        <v>0.7</v>
      </c>
      <c r="CZ35" s="120">
        <v>1.2</v>
      </c>
      <c r="DA35" s="120">
        <v>1.2</v>
      </c>
      <c r="DB35" s="119">
        <v>3</v>
      </c>
      <c r="DC35" s="1005">
        <v>0</v>
      </c>
      <c r="DD35" s="1005">
        <v>10</v>
      </c>
      <c r="DE35" s="1005">
        <v>20</v>
      </c>
      <c r="DF35" s="1005">
        <v>70</v>
      </c>
      <c r="DG35" s="1005">
        <v>100</v>
      </c>
      <c r="DH35" s="2">
        <v>0</v>
      </c>
      <c r="DI35" s="2">
        <v>18</v>
      </c>
      <c r="DJ35" s="63">
        <v>12</v>
      </c>
      <c r="DK35" s="8">
        <v>2.9</v>
      </c>
      <c r="DL35" s="8">
        <v>1.1000000000000001</v>
      </c>
      <c r="DM35" s="8">
        <v>1.1000000000000001</v>
      </c>
      <c r="DN35" s="1031" t="s">
        <v>1000</v>
      </c>
      <c r="DO35" s="1030" t="s">
        <v>997</v>
      </c>
      <c r="DP35" s="1030" t="s">
        <v>997</v>
      </c>
      <c r="DQ35" s="1030" t="s">
        <v>997</v>
      </c>
      <c r="DR35" s="1030" t="s">
        <v>997</v>
      </c>
      <c r="DS35" s="1030" t="s">
        <v>997</v>
      </c>
      <c r="DT35" s="1030" t="s">
        <v>997</v>
      </c>
      <c r="DU35" s="1097">
        <v>0</v>
      </c>
      <c r="DV35" s="1097">
        <v>0</v>
      </c>
      <c r="DW35" s="1097">
        <v>0</v>
      </c>
      <c r="DX35" s="1097">
        <v>0</v>
      </c>
      <c r="DY35" s="1097">
        <v>0</v>
      </c>
      <c r="DZ35" s="1097">
        <v>0</v>
      </c>
      <c r="EA35" s="1097">
        <v>0</v>
      </c>
      <c r="EB35" s="207">
        <v>0.14037450000000001</v>
      </c>
      <c r="EC35" s="207">
        <v>18</v>
      </c>
      <c r="ED35" s="221">
        <v>5</v>
      </c>
      <c r="EE35" s="214">
        <v>2.9</v>
      </c>
      <c r="EF35" s="214">
        <v>1.1000000000000001</v>
      </c>
      <c r="EG35" s="214">
        <v>1.1000000000000001</v>
      </c>
      <c r="EH35" s="208" t="s">
        <v>1052</v>
      </c>
      <c r="EI35" s="208" t="s">
        <v>1069</v>
      </c>
      <c r="EJ35" s="212" t="s">
        <v>1084</v>
      </c>
      <c r="EK35" s="204" t="s">
        <v>997</v>
      </c>
      <c r="EL35" s="204" t="s">
        <v>997</v>
      </c>
      <c r="EM35" s="204" t="s">
        <v>997</v>
      </c>
      <c r="EN35" s="204" t="s">
        <v>997</v>
      </c>
      <c r="EO35" s="204" t="s">
        <v>997</v>
      </c>
      <c r="EP35" s="204" t="s">
        <v>997</v>
      </c>
      <c r="EQ35" s="204" t="s">
        <v>997</v>
      </c>
      <c r="ER35" s="204" t="s">
        <v>997</v>
      </c>
      <c r="ES35" s="204" t="s">
        <v>997</v>
      </c>
      <c r="ET35" s="204" t="s">
        <v>997</v>
      </c>
      <c r="EU35" s="204" t="s">
        <v>997</v>
      </c>
      <c r="EV35" s="204" t="s">
        <v>997</v>
      </c>
      <c r="EW35" s="204" t="s">
        <v>997</v>
      </c>
      <c r="EX35" s="204" t="s">
        <v>997</v>
      </c>
      <c r="EY35" s="204" t="s">
        <v>997</v>
      </c>
      <c r="EZ35" s="204" t="s">
        <v>997</v>
      </c>
      <c r="FA35" s="204" t="s">
        <v>997</v>
      </c>
      <c r="FB35" s="204" t="s">
        <v>997</v>
      </c>
      <c r="FC35" s="204" t="s">
        <v>997</v>
      </c>
      <c r="FD35" s="204" t="s">
        <v>997</v>
      </c>
      <c r="FE35" s="204" t="s">
        <v>997</v>
      </c>
      <c r="FF35" s="204" t="s">
        <v>997</v>
      </c>
      <c r="FG35" s="204" t="s">
        <v>997</v>
      </c>
      <c r="FH35" s="204" t="s">
        <v>997</v>
      </c>
      <c r="FI35" s="204" t="s">
        <v>997</v>
      </c>
      <c r="FJ35" s="204" t="s">
        <v>997</v>
      </c>
      <c r="FK35" s="204" t="s">
        <v>997</v>
      </c>
      <c r="FL35" s="204" t="s">
        <v>997</v>
      </c>
      <c r="FM35" s="204" t="s">
        <v>997</v>
      </c>
      <c r="FN35" s="204" t="s">
        <v>997</v>
      </c>
      <c r="FO35" s="204" t="s">
        <v>997</v>
      </c>
      <c r="FP35" s="204" t="s">
        <v>997</v>
      </c>
      <c r="FQ35" s="204" t="s">
        <v>997</v>
      </c>
      <c r="FR35" s="204" t="s">
        <v>997</v>
      </c>
      <c r="FS35" s="204" t="s">
        <v>997</v>
      </c>
      <c r="FT35" s="204" t="s">
        <v>997</v>
      </c>
      <c r="FU35" s="204" t="s">
        <v>997</v>
      </c>
      <c r="FV35" s="204" t="s">
        <v>997</v>
      </c>
      <c r="FW35" s="204" t="s">
        <v>997</v>
      </c>
      <c r="FX35" s="204" t="s">
        <v>997</v>
      </c>
      <c r="FY35" s="204" t="s">
        <v>997</v>
      </c>
      <c r="FZ35" s="204" t="s">
        <v>997</v>
      </c>
      <c r="GA35" s="204" t="s">
        <v>997</v>
      </c>
      <c r="GB35" s="204" t="s">
        <v>997</v>
      </c>
      <c r="GC35" s="204" t="s">
        <v>997</v>
      </c>
      <c r="GD35" s="204" t="s">
        <v>997</v>
      </c>
      <c r="GE35" s="204" t="s">
        <v>997</v>
      </c>
      <c r="GF35" s="204" t="s">
        <v>997</v>
      </c>
      <c r="GG35" s="204" t="s">
        <v>997</v>
      </c>
      <c r="GH35" s="204" t="s">
        <v>997</v>
      </c>
      <c r="GI35" s="204" t="s">
        <v>997</v>
      </c>
      <c r="GJ35" s="204" t="s">
        <v>997</v>
      </c>
      <c r="GK35" s="204" t="s">
        <v>997</v>
      </c>
      <c r="GL35" s="204" t="s">
        <v>997</v>
      </c>
      <c r="GM35" s="204" t="s">
        <v>997</v>
      </c>
      <c r="GN35" s="1051">
        <v>60.752242622950831</v>
      </c>
      <c r="GO35" s="1051">
        <v>70.570786885245909</v>
      </c>
      <c r="GP35" s="1051">
        <v>9.0514704918032809</v>
      </c>
      <c r="GQ35" s="1051">
        <v>0</v>
      </c>
      <c r="GR35" s="1051">
        <v>0</v>
      </c>
      <c r="GS35" s="1051">
        <v>0</v>
      </c>
      <c r="GT35" s="1051">
        <v>0</v>
      </c>
      <c r="GU35" s="1051">
        <v>0</v>
      </c>
      <c r="GV35" s="1051">
        <v>0</v>
      </c>
      <c r="GW35" s="1051">
        <v>0</v>
      </c>
      <c r="GX35" s="1051">
        <v>0</v>
      </c>
      <c r="GY35" s="1051">
        <v>0</v>
      </c>
      <c r="GZ35" s="1051">
        <v>0</v>
      </c>
      <c r="HA35" s="1051">
        <v>0</v>
      </c>
      <c r="HB35" s="1051">
        <v>0</v>
      </c>
      <c r="HC35" s="1051">
        <v>0</v>
      </c>
      <c r="HD35" s="1051">
        <v>0</v>
      </c>
      <c r="HE35" s="1051">
        <v>0</v>
      </c>
      <c r="HF35" s="1051">
        <v>0</v>
      </c>
      <c r="HG35" s="1051">
        <v>0</v>
      </c>
      <c r="HH35" s="1051">
        <v>0</v>
      </c>
      <c r="HI35" s="1051">
        <v>0</v>
      </c>
      <c r="HJ35" s="1051">
        <v>0</v>
      </c>
      <c r="HK35" s="1051">
        <v>0</v>
      </c>
      <c r="HL35" s="1051">
        <v>0</v>
      </c>
      <c r="HM35" s="1051">
        <v>0</v>
      </c>
      <c r="HN35" s="1051">
        <v>0</v>
      </c>
      <c r="HO35" s="1051">
        <v>0</v>
      </c>
      <c r="HP35" s="1051">
        <v>0</v>
      </c>
      <c r="HQ35" s="1051">
        <v>0</v>
      </c>
      <c r="HR35" s="1051">
        <v>0</v>
      </c>
      <c r="HS35" s="1051">
        <v>0</v>
      </c>
      <c r="HT35" s="1051">
        <v>0</v>
      </c>
      <c r="HU35" s="1051">
        <v>0</v>
      </c>
      <c r="HV35" s="1051">
        <v>0</v>
      </c>
      <c r="HW35" s="1051">
        <v>0</v>
      </c>
      <c r="HX35" s="1051">
        <v>0</v>
      </c>
      <c r="HY35" s="1051">
        <v>0</v>
      </c>
      <c r="HZ35" s="1051">
        <v>0</v>
      </c>
      <c r="IA35" s="1051">
        <v>0</v>
      </c>
      <c r="IB35" s="1051">
        <v>0</v>
      </c>
      <c r="IC35" s="1051">
        <v>0</v>
      </c>
      <c r="ID35" s="1051">
        <v>0</v>
      </c>
      <c r="IE35" s="1051">
        <v>0</v>
      </c>
      <c r="IF35" s="1051">
        <v>0</v>
      </c>
      <c r="IG35" s="1051">
        <v>0</v>
      </c>
      <c r="IH35" s="1051">
        <v>0</v>
      </c>
      <c r="II35" s="1051">
        <v>0</v>
      </c>
      <c r="IJ35" s="1051">
        <v>0</v>
      </c>
      <c r="IK35" s="1051">
        <v>0</v>
      </c>
      <c r="IL35" s="1051">
        <v>0</v>
      </c>
      <c r="IM35" s="1051">
        <v>0</v>
      </c>
      <c r="IN35" s="1051">
        <v>0</v>
      </c>
      <c r="IO35" s="1051">
        <v>0</v>
      </c>
      <c r="IP35" s="1051">
        <v>0</v>
      </c>
      <c r="IQ35" s="1051">
        <v>0</v>
      </c>
      <c r="IR35" s="1051">
        <v>0</v>
      </c>
      <c r="IS35" s="1051">
        <v>0</v>
      </c>
      <c r="IT35" s="215">
        <v>694.53335216192738</v>
      </c>
      <c r="IU35" s="207">
        <v>179.9</v>
      </c>
      <c r="IV35" s="216">
        <v>2647.0800000000199</v>
      </c>
      <c r="IW35" s="272">
        <v>12.64</v>
      </c>
      <c r="IX35" s="207">
        <v>60.876276097376049</v>
      </c>
      <c r="IY35" s="204">
        <v>2.9</v>
      </c>
      <c r="IZ35" s="204">
        <v>1.1000000000000001</v>
      </c>
      <c r="JA35" s="204">
        <v>1.1000000000000001</v>
      </c>
      <c r="JB35" s="52">
        <v>2</v>
      </c>
      <c r="JC35" s="24">
        <v>1.5</v>
      </c>
      <c r="JD35" s="24">
        <v>0.7</v>
      </c>
      <c r="JE35" s="24">
        <v>0.7</v>
      </c>
      <c r="JF35" s="24">
        <v>0.5</v>
      </c>
      <c r="JG35" s="1">
        <v>247.60012756555616</v>
      </c>
      <c r="JH35" s="216">
        <v>2647.0800000000199</v>
      </c>
      <c r="JI35" s="272">
        <v>12.64</v>
      </c>
      <c r="JJ35" s="207">
        <v>60.876276097376049</v>
      </c>
      <c r="JK35" s="8">
        <v>2.8</v>
      </c>
      <c r="JL35" s="10">
        <v>1</v>
      </c>
      <c r="JM35" s="10">
        <v>1</v>
      </c>
      <c r="JN35" s="216">
        <v>2</v>
      </c>
      <c r="JO35" s="216">
        <v>2</v>
      </c>
      <c r="JP35" s="216">
        <v>1</v>
      </c>
      <c r="JQ35" s="216">
        <v>1</v>
      </c>
      <c r="JR35" s="214">
        <v>0.5</v>
      </c>
      <c r="JS35" s="1212">
        <v>2000</v>
      </c>
      <c r="JT35" s="215">
        <v>518.06555086275444</v>
      </c>
      <c r="JU35" s="215">
        <v>500</v>
      </c>
      <c r="JV35" s="207">
        <v>1.7</v>
      </c>
      <c r="JW35" s="207">
        <v>0.6</v>
      </c>
      <c r="JX35" s="207">
        <v>0.6</v>
      </c>
      <c r="JY35" s="214">
        <v>2</v>
      </c>
      <c r="JZ35" s="214">
        <v>1.5</v>
      </c>
      <c r="KA35" s="214">
        <v>0.5</v>
      </c>
      <c r="KB35" s="214">
        <v>1</v>
      </c>
      <c r="KC35" s="214">
        <v>0.5</v>
      </c>
      <c r="KD35" s="1186"/>
      <c r="KE35" s="1186"/>
      <c r="KF35" s="1186"/>
      <c r="KG35" s="1186"/>
      <c r="KH35" s="1186"/>
      <c r="KI35" s="1186"/>
      <c r="KJ35" s="1186"/>
      <c r="KK35" s="1186"/>
      <c r="KL35" s="1186"/>
      <c r="KM35" s="1187">
        <v>580</v>
      </c>
      <c r="KN35" s="1187">
        <v>580</v>
      </c>
      <c r="KO35" s="1187">
        <v>580</v>
      </c>
      <c r="KP35" s="1187">
        <v>580</v>
      </c>
      <c r="KQ35" s="1187"/>
      <c r="KR35" s="1187">
        <v>580</v>
      </c>
      <c r="KS35" s="1187">
        <v>580</v>
      </c>
      <c r="KT35" s="1187">
        <v>580</v>
      </c>
      <c r="KU35" s="1187">
        <v>580</v>
      </c>
      <c r="KV35" s="262">
        <v>370</v>
      </c>
      <c r="KW35" s="262">
        <v>370</v>
      </c>
      <c r="KX35" s="262">
        <v>370</v>
      </c>
      <c r="KY35" s="262">
        <v>370</v>
      </c>
      <c r="KZ35" s="262"/>
      <c r="LA35" s="262">
        <v>370</v>
      </c>
      <c r="LB35" s="262">
        <v>370</v>
      </c>
      <c r="LC35" s="262">
        <v>370</v>
      </c>
      <c r="LD35" s="262">
        <v>370</v>
      </c>
      <c r="LE35" s="1213">
        <v>0</v>
      </c>
      <c r="LF35" s="1213">
        <v>10</v>
      </c>
      <c r="LG35" s="1213">
        <v>20</v>
      </c>
      <c r="LH35" s="1213">
        <v>70</v>
      </c>
      <c r="LI35" s="1213">
        <v>100</v>
      </c>
      <c r="LJ35" s="1212">
        <v>1000</v>
      </c>
      <c r="LK35" s="1">
        <v>152.75337966852516</v>
      </c>
      <c r="LL35" s="4">
        <v>29</v>
      </c>
      <c r="LM35" s="8">
        <v>1.4</v>
      </c>
      <c r="LN35" s="10">
        <v>0.5</v>
      </c>
      <c r="LO35" s="10">
        <v>0.5</v>
      </c>
      <c r="LP35" s="214">
        <v>2</v>
      </c>
      <c r="LQ35" s="214">
        <v>1</v>
      </c>
      <c r="LR35" s="214">
        <v>0.5</v>
      </c>
      <c r="LS35" s="214">
        <v>0.7</v>
      </c>
      <c r="LT35" s="214">
        <v>0.2</v>
      </c>
      <c r="LU35" s="1212">
        <v>1500</v>
      </c>
      <c r="LV35" s="122">
        <v>0</v>
      </c>
      <c r="LW35" s="122">
        <v>0</v>
      </c>
      <c r="LX35" s="122">
        <v>0</v>
      </c>
      <c r="LY35" s="165">
        <v>0</v>
      </c>
      <c r="LZ35" s="165">
        <v>0</v>
      </c>
      <c r="MA35" s="165">
        <v>0</v>
      </c>
      <c r="MB35" s="165">
        <v>0</v>
      </c>
      <c r="MC35" s="165">
        <v>0</v>
      </c>
      <c r="MD35" s="165">
        <v>0</v>
      </c>
      <c r="ME35" s="165">
        <v>0</v>
      </c>
      <c r="MF35" s="165">
        <v>0</v>
      </c>
      <c r="MG35" s="165">
        <v>0</v>
      </c>
      <c r="MH35" s="165">
        <v>0</v>
      </c>
      <c r="MI35" s="165">
        <v>0</v>
      </c>
      <c r="MJ35" s="165">
        <v>0</v>
      </c>
      <c r="MK35" s="165">
        <v>0</v>
      </c>
      <c r="ML35" s="165">
        <v>0</v>
      </c>
      <c r="MM35" s="165">
        <v>0</v>
      </c>
      <c r="MN35" s="165">
        <v>0</v>
      </c>
      <c r="MO35" s="165">
        <v>0</v>
      </c>
      <c r="MP35" s="165">
        <v>0</v>
      </c>
      <c r="MQ35" s="165">
        <v>0</v>
      </c>
      <c r="MR35" s="165">
        <v>0</v>
      </c>
      <c r="MS35" s="165">
        <v>0</v>
      </c>
      <c r="MT35" s="165">
        <v>0</v>
      </c>
      <c r="MU35" s="165">
        <v>0</v>
      </c>
      <c r="MV35" s="165">
        <v>0</v>
      </c>
      <c r="MW35" s="166">
        <v>1.5231330000000001</v>
      </c>
      <c r="MX35" s="166">
        <v>0</v>
      </c>
      <c r="MY35" s="166">
        <v>0</v>
      </c>
      <c r="MZ35" s="166">
        <v>0.41499999999999998</v>
      </c>
      <c r="NA35" s="166">
        <v>1.446</v>
      </c>
      <c r="NB35" s="166">
        <v>0</v>
      </c>
      <c r="NC35" s="166">
        <v>1.5231330000000001</v>
      </c>
      <c r="ND35" s="166">
        <v>0</v>
      </c>
      <c r="NE35" s="166">
        <v>0</v>
      </c>
      <c r="NF35" s="166">
        <v>0.41499999999999998</v>
      </c>
      <c r="NG35" s="166">
        <v>0.70399999999999996</v>
      </c>
      <c r="NH35" s="166">
        <v>0</v>
      </c>
      <c r="NI35" s="166">
        <v>0</v>
      </c>
      <c r="NJ35" s="166">
        <v>0</v>
      </c>
      <c r="NK35" s="166">
        <v>0</v>
      </c>
      <c r="NL35" s="166">
        <v>0</v>
      </c>
      <c r="NM35" s="166">
        <v>0</v>
      </c>
      <c r="NN35" s="166">
        <v>0</v>
      </c>
      <c r="NO35" s="166">
        <v>0</v>
      </c>
      <c r="NP35" s="166">
        <v>0</v>
      </c>
      <c r="NQ35" s="166">
        <v>0</v>
      </c>
      <c r="NR35" s="166">
        <v>0</v>
      </c>
      <c r="NS35" s="166">
        <v>0</v>
      </c>
      <c r="NT35" s="166">
        <v>0</v>
      </c>
      <c r="NU35" s="166">
        <v>1.5231330000000001</v>
      </c>
      <c r="NV35" s="166">
        <v>0</v>
      </c>
      <c r="NW35" s="166">
        <v>0</v>
      </c>
      <c r="NX35" s="166">
        <v>0.41499999999999998</v>
      </c>
      <c r="NY35" s="166">
        <v>1.758</v>
      </c>
      <c r="NZ35" s="166">
        <v>0</v>
      </c>
      <c r="OA35" s="166">
        <v>-84.37</v>
      </c>
      <c r="OB35" s="166">
        <v>-16.87</v>
      </c>
      <c r="OC35" s="166">
        <v>-6.1579439252340003E-2</v>
      </c>
      <c r="OD35" s="166">
        <v>0</v>
      </c>
      <c r="OE35" s="166">
        <v>-1.446</v>
      </c>
      <c r="OF35" s="166">
        <v>0</v>
      </c>
      <c r="OG35" s="166">
        <v>-9.4603761378899993E-3</v>
      </c>
      <c r="OH35" s="166">
        <v>0</v>
      </c>
      <c r="OI35" s="166">
        <v>0</v>
      </c>
      <c r="OJ35" s="166">
        <v>0</v>
      </c>
      <c r="OK35" s="166">
        <v>-0.74199999999999999</v>
      </c>
      <c r="OL35" s="166">
        <v>0</v>
      </c>
      <c r="OM35" s="166">
        <v>0</v>
      </c>
      <c r="ON35" s="166">
        <v>0</v>
      </c>
      <c r="OO35" s="166">
        <v>0</v>
      </c>
      <c r="OP35" s="166">
        <v>0</v>
      </c>
      <c r="OQ35" s="166">
        <v>0</v>
      </c>
      <c r="OR35" s="166">
        <v>0</v>
      </c>
      <c r="OS35" s="166">
        <v>0</v>
      </c>
      <c r="OT35" s="166">
        <v>0</v>
      </c>
      <c r="OU35" s="166">
        <v>0</v>
      </c>
      <c r="OV35" s="166">
        <v>0</v>
      </c>
      <c r="OW35" s="166">
        <v>0</v>
      </c>
      <c r="OX35" s="166">
        <v>0</v>
      </c>
      <c r="OY35" s="166">
        <v>0</v>
      </c>
      <c r="OZ35" s="166">
        <v>0</v>
      </c>
      <c r="PA35" s="166">
        <v>0</v>
      </c>
      <c r="PB35" s="166">
        <v>0</v>
      </c>
      <c r="PC35" s="166">
        <v>0.313</v>
      </c>
      <c r="PD35" s="166">
        <v>0</v>
      </c>
      <c r="PE35" s="166">
        <v>-84.37</v>
      </c>
      <c r="PF35" s="166">
        <v>-16.87</v>
      </c>
      <c r="PG35" s="166">
        <v>-0.24145736434109</v>
      </c>
      <c r="PH35" s="166">
        <v>0</v>
      </c>
      <c r="PI35" s="166">
        <v>-0.70399999999999996</v>
      </c>
      <c r="PJ35" s="166">
        <v>0</v>
      </c>
      <c r="PK35" s="166">
        <v>7.8175695100399997E-3</v>
      </c>
      <c r="PL35" s="166">
        <v>0</v>
      </c>
      <c r="PM35" s="166">
        <v>0</v>
      </c>
      <c r="PN35" s="166">
        <v>0</v>
      </c>
      <c r="PO35" s="166">
        <v>0.74199999999999999</v>
      </c>
      <c r="PP35" s="166">
        <v>0</v>
      </c>
      <c r="PQ35" s="166">
        <v>0</v>
      </c>
      <c r="PR35" s="166">
        <v>0</v>
      </c>
      <c r="PS35" s="166">
        <v>0</v>
      </c>
      <c r="PT35" s="166">
        <v>0</v>
      </c>
      <c r="PU35" s="166">
        <v>0</v>
      </c>
      <c r="PV35" s="166">
        <v>0</v>
      </c>
      <c r="PW35" s="166">
        <v>0</v>
      </c>
      <c r="PX35" s="166">
        <v>0</v>
      </c>
      <c r="PY35" s="166">
        <v>0</v>
      </c>
      <c r="PZ35" s="166">
        <v>0</v>
      </c>
      <c r="QA35" s="166">
        <v>0</v>
      </c>
      <c r="QB35" s="166">
        <v>0</v>
      </c>
      <c r="QC35" s="166">
        <v>0</v>
      </c>
      <c r="QD35" s="166">
        <v>0</v>
      </c>
      <c r="QE35" s="166">
        <v>0</v>
      </c>
      <c r="QF35" s="166">
        <v>0</v>
      </c>
      <c r="QG35" s="166">
        <v>0</v>
      </c>
      <c r="QH35" s="166">
        <v>0</v>
      </c>
      <c r="QI35" s="162">
        <v>0</v>
      </c>
      <c r="QJ35" s="167">
        <v>0</v>
      </c>
      <c r="QK35" s="167">
        <v>0</v>
      </c>
      <c r="QL35" s="167">
        <v>0</v>
      </c>
      <c r="QM35" s="167">
        <v>0</v>
      </c>
      <c r="QN35" s="162">
        <v>0</v>
      </c>
      <c r="QO35" s="162">
        <v>0</v>
      </c>
      <c r="QP35" s="162">
        <v>0</v>
      </c>
      <c r="QQ35" s="162">
        <v>0</v>
      </c>
      <c r="QR35" s="162">
        <v>0</v>
      </c>
      <c r="QS35" s="162">
        <v>0</v>
      </c>
      <c r="QT35" s="162">
        <v>0</v>
      </c>
      <c r="QU35" s="162">
        <v>0</v>
      </c>
      <c r="QV35" s="162">
        <v>0</v>
      </c>
      <c r="QW35" s="162">
        <v>0</v>
      </c>
      <c r="QX35" s="162">
        <v>0</v>
      </c>
      <c r="QY35" s="162">
        <v>0</v>
      </c>
      <c r="QZ35" s="162">
        <v>0</v>
      </c>
      <c r="RA35" s="167">
        <v>0</v>
      </c>
      <c r="RB35" s="167">
        <v>0</v>
      </c>
      <c r="RC35" s="167">
        <v>0</v>
      </c>
      <c r="RD35" s="167">
        <v>0</v>
      </c>
      <c r="RE35" s="167">
        <v>0</v>
      </c>
      <c r="RF35" s="167">
        <v>0</v>
      </c>
      <c r="RG35" s="167">
        <v>0</v>
      </c>
      <c r="RH35" s="167">
        <v>0</v>
      </c>
      <c r="RI35" s="167">
        <v>0</v>
      </c>
      <c r="RJ35" s="167">
        <v>0</v>
      </c>
      <c r="RK35" s="167">
        <v>0</v>
      </c>
      <c r="RL35" s="167">
        <v>0</v>
      </c>
      <c r="RM35" s="166">
        <v>-84.37</v>
      </c>
      <c r="RN35" s="166">
        <v>-16.87</v>
      </c>
      <c r="RO35" s="166">
        <v>-0.45859979529171002</v>
      </c>
      <c r="RP35" s="166">
        <v>0</v>
      </c>
      <c r="RQ35" s="166">
        <v>-1.758</v>
      </c>
      <c r="RR35" s="166">
        <v>0</v>
      </c>
      <c r="RS35" s="166">
        <v>-0.20993225399012999</v>
      </c>
      <c r="RT35" s="166">
        <v>0</v>
      </c>
      <c r="RU35" s="166">
        <v>0</v>
      </c>
      <c r="RV35" s="166">
        <v>0</v>
      </c>
      <c r="RW35" s="166">
        <v>-0.313</v>
      </c>
      <c r="RX35" s="166">
        <v>0</v>
      </c>
      <c r="RY35" s="166">
        <v>-4.7951309271049999E-2</v>
      </c>
      <c r="RZ35" s="166">
        <v>0</v>
      </c>
      <c r="SA35" s="166">
        <v>0</v>
      </c>
      <c r="SB35" s="166">
        <v>0</v>
      </c>
      <c r="SC35" s="166">
        <v>-1.0549999999999999</v>
      </c>
      <c r="SD35" s="166">
        <v>0</v>
      </c>
      <c r="SE35" s="166">
        <v>0</v>
      </c>
      <c r="SF35" s="166">
        <v>0</v>
      </c>
      <c r="SG35" s="166">
        <v>0</v>
      </c>
      <c r="SH35" s="166">
        <v>0</v>
      </c>
      <c r="SI35" s="166">
        <v>0</v>
      </c>
      <c r="SJ35" s="166">
        <v>0</v>
      </c>
      <c r="SK35" s="166">
        <v>0</v>
      </c>
      <c r="SL35" s="166">
        <v>0</v>
      </c>
      <c r="SM35" s="166">
        <v>0</v>
      </c>
      <c r="SN35" s="166">
        <v>0</v>
      </c>
      <c r="SO35" s="166">
        <v>0</v>
      </c>
      <c r="SP35" s="166">
        <v>0</v>
      </c>
      <c r="SQ35" s="166">
        <v>-84.37</v>
      </c>
      <c r="SR35" s="166">
        <v>-16.87</v>
      </c>
      <c r="SS35" s="166">
        <v>-0.20018962807752999</v>
      </c>
      <c r="ST35" s="166">
        <v>0</v>
      </c>
      <c r="SU35" s="166">
        <v>-1.758</v>
      </c>
      <c r="SV35" s="166">
        <v>0</v>
      </c>
      <c r="SW35" s="166">
        <v>-0.13159524712425999</v>
      </c>
      <c r="SX35" s="166">
        <v>0</v>
      </c>
      <c r="SY35" s="166">
        <v>0</v>
      </c>
      <c r="SZ35" s="166">
        <v>0</v>
      </c>
      <c r="TA35" s="166">
        <v>-0.313</v>
      </c>
      <c r="TB35" s="166">
        <v>0</v>
      </c>
      <c r="TC35" s="166">
        <v>0</v>
      </c>
      <c r="TD35" s="166">
        <v>0</v>
      </c>
      <c r="TE35" s="166">
        <v>0</v>
      </c>
      <c r="TF35" s="166">
        <v>0</v>
      </c>
      <c r="TG35" s="166">
        <v>-1.0549999999999999</v>
      </c>
      <c r="TH35" s="166">
        <v>0</v>
      </c>
      <c r="TI35" s="166">
        <v>0</v>
      </c>
      <c r="TJ35" s="166">
        <v>0</v>
      </c>
      <c r="TK35" s="166">
        <v>0</v>
      </c>
      <c r="TL35" s="166">
        <v>0</v>
      </c>
      <c r="TM35" s="166">
        <v>0</v>
      </c>
      <c r="TN35" s="166">
        <v>0</v>
      </c>
      <c r="TO35" s="166">
        <v>0</v>
      </c>
      <c r="TP35" s="166">
        <v>0</v>
      </c>
      <c r="TQ35" s="166">
        <v>0</v>
      </c>
      <c r="TR35" s="166">
        <v>0</v>
      </c>
      <c r="TS35" s="166">
        <v>0</v>
      </c>
      <c r="TT35" s="166">
        <v>0</v>
      </c>
      <c r="TU35" s="166">
        <v>0.60568332875727005</v>
      </c>
      <c r="TV35" s="166">
        <v>0</v>
      </c>
      <c r="TW35" s="166">
        <v>0</v>
      </c>
      <c r="TX35" s="166">
        <v>0</v>
      </c>
      <c r="TY35" s="166">
        <v>0</v>
      </c>
      <c r="TZ35" s="166">
        <v>0</v>
      </c>
      <c r="UA35" s="166">
        <v>0.20484022277927999</v>
      </c>
      <c r="UB35" s="166">
        <v>0</v>
      </c>
      <c r="UC35" s="166">
        <v>0</v>
      </c>
      <c r="UD35" s="166">
        <v>0</v>
      </c>
      <c r="UE35" s="166">
        <v>1.526051853429E-2</v>
      </c>
      <c r="UF35" s="166">
        <v>0</v>
      </c>
      <c r="UG35" s="166">
        <v>0</v>
      </c>
      <c r="UH35" s="166">
        <v>0</v>
      </c>
      <c r="UI35" s="166">
        <v>0</v>
      </c>
      <c r="UJ35" s="166">
        <v>0</v>
      </c>
      <c r="UK35" s="166">
        <v>0</v>
      </c>
      <c r="UL35" s="166">
        <v>0</v>
      </c>
      <c r="UM35" s="166">
        <v>0</v>
      </c>
      <c r="UN35" s="166">
        <v>0</v>
      </c>
      <c r="UO35" s="166">
        <v>0</v>
      </c>
      <c r="UP35" s="166">
        <v>0</v>
      </c>
      <c r="UQ35" s="166">
        <v>0</v>
      </c>
      <c r="UR35" s="166">
        <v>0</v>
      </c>
      <c r="US35" s="163">
        <v>0</v>
      </c>
      <c r="UT35" s="163">
        <v>0</v>
      </c>
      <c r="UU35" s="163">
        <v>0</v>
      </c>
      <c r="UV35" s="163">
        <v>0</v>
      </c>
      <c r="UW35" s="163">
        <v>0</v>
      </c>
      <c r="UX35" s="163">
        <v>0</v>
      </c>
      <c r="UY35" s="166">
        <v>0</v>
      </c>
      <c r="UZ35" s="166">
        <v>0</v>
      </c>
      <c r="VA35" s="166">
        <v>0</v>
      </c>
      <c r="VB35" s="166">
        <v>0</v>
      </c>
      <c r="VC35" s="166">
        <v>0</v>
      </c>
      <c r="VD35" s="166">
        <v>0</v>
      </c>
      <c r="VE35" s="267">
        <v>202</v>
      </c>
      <c r="VF35" s="267">
        <v>279</v>
      </c>
      <c r="VG35" s="267">
        <v>354</v>
      </c>
      <c r="VH35" s="267">
        <v>0</v>
      </c>
      <c r="VI35" s="267">
        <v>403</v>
      </c>
      <c r="VJ35" s="267">
        <v>0</v>
      </c>
      <c r="VK35" s="267">
        <v>0</v>
      </c>
      <c r="VL35" s="257">
        <v>0</v>
      </c>
      <c r="VM35" s="257">
        <v>0</v>
      </c>
      <c r="VN35" s="257">
        <v>0</v>
      </c>
      <c r="VO35" s="257">
        <v>0</v>
      </c>
      <c r="VP35" s="257">
        <v>0</v>
      </c>
      <c r="VQ35" s="257">
        <v>0</v>
      </c>
      <c r="VR35" s="257">
        <v>0</v>
      </c>
      <c r="VS35" s="257">
        <v>0</v>
      </c>
      <c r="VT35" s="257">
        <v>0</v>
      </c>
      <c r="VU35" s="257">
        <v>0</v>
      </c>
      <c r="VV35" s="257">
        <v>0</v>
      </c>
      <c r="VW35" s="257">
        <v>0</v>
      </c>
      <c r="VX35" s="257">
        <v>0</v>
      </c>
      <c r="VY35" s="257">
        <v>0</v>
      </c>
      <c r="VZ35" s="257">
        <v>0</v>
      </c>
      <c r="WA35" s="257">
        <v>0</v>
      </c>
      <c r="WB35" s="257">
        <v>0</v>
      </c>
      <c r="WC35" s="257">
        <v>0</v>
      </c>
      <c r="WD35" s="257">
        <v>0</v>
      </c>
      <c r="WE35" s="257">
        <v>0</v>
      </c>
      <c r="WF35" s="257">
        <v>0</v>
      </c>
      <c r="WG35" s="257">
        <v>0</v>
      </c>
      <c r="WH35" s="257">
        <v>0</v>
      </c>
      <c r="WI35" s="257">
        <v>0</v>
      </c>
      <c r="WJ35" s="257">
        <v>0</v>
      </c>
      <c r="WK35" s="257">
        <v>0</v>
      </c>
      <c r="WL35" s="257">
        <v>0</v>
      </c>
      <c r="WM35" s="257">
        <v>0</v>
      </c>
      <c r="WN35" s="257">
        <v>0</v>
      </c>
      <c r="WO35" s="257">
        <v>0</v>
      </c>
      <c r="WP35" s="257">
        <v>0</v>
      </c>
      <c r="WQ35" s="257">
        <v>0</v>
      </c>
      <c r="WR35" s="257">
        <v>0</v>
      </c>
      <c r="WS35" s="572">
        <v>85.034700000000001</v>
      </c>
      <c r="WT35" s="572">
        <v>67.459678496868477</v>
      </c>
      <c r="WU35" s="572">
        <v>74.560697286012527</v>
      </c>
      <c r="WV35" s="572">
        <v>78.111206680584544</v>
      </c>
      <c r="WW35" s="572">
        <v>120.00721753653445</v>
      </c>
      <c r="WX35" s="247">
        <v>12824.85295</v>
      </c>
      <c r="WY35" s="4">
        <v>78</v>
      </c>
      <c r="WZ35" s="4">
        <v>15</v>
      </c>
      <c r="XA35" s="4">
        <v>7.0000000000000009</v>
      </c>
      <c r="XB35" s="4">
        <v>0</v>
      </c>
      <c r="XC35" s="1037">
        <v>1290.5968091557904</v>
      </c>
      <c r="XD35" s="1037">
        <v>0</v>
      </c>
      <c r="XE35" s="1037">
        <v>0</v>
      </c>
      <c r="XF35" s="1037">
        <v>0</v>
      </c>
      <c r="XG35" s="1037">
        <v>0</v>
      </c>
      <c r="XH35" s="1037">
        <v>0</v>
      </c>
      <c r="XI35" s="1037">
        <v>129.05968091557904</v>
      </c>
      <c r="XJ35" s="1037">
        <v>1355.1266496135797</v>
      </c>
      <c r="XK35" s="1037">
        <v>1384.4947194194474</v>
      </c>
      <c r="XL35" s="1037">
        <v>0</v>
      </c>
      <c r="XM35" s="1037">
        <v>0</v>
      </c>
      <c r="XN35" s="1037">
        <v>0</v>
      </c>
      <c r="XO35" s="1037">
        <v>0</v>
      </c>
      <c r="XP35" s="1037">
        <v>0</v>
      </c>
      <c r="XQ35" s="1037">
        <v>138.44947194194472</v>
      </c>
      <c r="XR35" s="1037">
        <v>1453.7194553904194</v>
      </c>
      <c r="XS35" s="1037">
        <v>1450.4230393918019</v>
      </c>
      <c r="XT35" s="1037">
        <v>0</v>
      </c>
      <c r="XU35" s="1037">
        <v>0</v>
      </c>
      <c r="XV35" s="1037">
        <v>0</v>
      </c>
      <c r="XW35" s="1037">
        <v>0</v>
      </c>
      <c r="XX35" s="1037">
        <v>0</v>
      </c>
      <c r="XY35" s="1037">
        <v>145.04230393918016</v>
      </c>
      <c r="XZ35" s="1037">
        <v>1522.9441913613916</v>
      </c>
      <c r="YA35" s="1037">
        <v>2228.3772150655873</v>
      </c>
      <c r="YB35" s="1037">
        <v>0</v>
      </c>
      <c r="YC35" s="1037">
        <v>0</v>
      </c>
      <c r="YD35" s="1037">
        <v>0</v>
      </c>
      <c r="YE35" s="1037">
        <v>0</v>
      </c>
      <c r="YF35" s="1037">
        <v>0</v>
      </c>
      <c r="YG35" s="1037">
        <v>222.83772150655869</v>
      </c>
      <c r="YH35" s="1037">
        <v>2339.796075818866</v>
      </c>
      <c r="YI35" s="1037">
        <v>764.60690960207501</v>
      </c>
      <c r="YJ35" s="1037">
        <v>2102.6690014057062</v>
      </c>
      <c r="YK35" s="1037">
        <v>0</v>
      </c>
      <c r="YL35" s="1037">
        <v>76.460690960207501</v>
      </c>
      <c r="YM35" s="1037">
        <v>0</v>
      </c>
      <c r="YN35" s="1037">
        <v>0</v>
      </c>
      <c r="YO35" s="1037">
        <v>76.460690960207501</v>
      </c>
      <c r="YP35" s="1037">
        <v>802.83725508217867</v>
      </c>
      <c r="YQ35" s="1037">
        <v>820.23620488272138</v>
      </c>
      <c r="YR35" s="1037">
        <v>2255.6495634274838</v>
      </c>
      <c r="YS35" s="1037">
        <v>0</v>
      </c>
      <c r="YT35" s="1037">
        <v>82.023620488272144</v>
      </c>
      <c r="YU35" s="1037">
        <v>0</v>
      </c>
      <c r="YV35" s="1037">
        <v>0</v>
      </c>
      <c r="YW35" s="1037">
        <v>82.023620488272144</v>
      </c>
      <c r="YX35" s="1037">
        <v>861.24801512685735</v>
      </c>
      <c r="YY35" s="1037">
        <v>859.29507178189851</v>
      </c>
      <c r="YZ35" s="1037">
        <v>2363.0614474002209</v>
      </c>
      <c r="ZA35" s="1037">
        <v>0</v>
      </c>
      <c r="ZB35" s="1037">
        <v>85.929507178189851</v>
      </c>
      <c r="ZC35" s="1037">
        <v>0</v>
      </c>
      <c r="ZD35" s="1037">
        <v>0</v>
      </c>
      <c r="ZE35" s="1037">
        <v>85.929507178189851</v>
      </c>
      <c r="ZF35" s="1037">
        <v>902.25982537099344</v>
      </c>
      <c r="ZG35" s="1037">
        <v>1320.1897011921899</v>
      </c>
      <c r="ZH35" s="1037">
        <v>3630.5216782785219</v>
      </c>
      <c r="ZI35" s="1037">
        <v>0</v>
      </c>
      <c r="ZJ35" s="1037">
        <v>132.01897011921898</v>
      </c>
      <c r="ZK35" s="1037">
        <v>0</v>
      </c>
      <c r="ZL35" s="1037">
        <v>0</v>
      </c>
      <c r="ZM35" s="1037">
        <v>132.01897011921898</v>
      </c>
      <c r="ZN35" s="1037">
        <v>1386.1991862517991</v>
      </c>
      <c r="ZO35" s="1037">
        <v>2034.8409691022964</v>
      </c>
      <c r="ZP35" s="1037">
        <v>5595.8126650313152</v>
      </c>
      <c r="ZQ35" s="1037">
        <v>0</v>
      </c>
      <c r="ZR35" s="1037">
        <v>203.48409691022965</v>
      </c>
      <c r="ZS35" s="1037">
        <v>0</v>
      </c>
      <c r="ZT35" s="1037">
        <v>0</v>
      </c>
      <c r="ZU35" s="1037">
        <v>203.48409691022965</v>
      </c>
      <c r="ZV35" s="1037">
        <v>2136.583017557411</v>
      </c>
      <c r="ZW35" s="1037">
        <v>2249.0347553235911</v>
      </c>
      <c r="ZX35" s="1037">
        <v>6184.8455771398749</v>
      </c>
      <c r="ZY35" s="1037">
        <v>0</v>
      </c>
      <c r="ZZ35" s="1037">
        <v>224.9034755323591</v>
      </c>
      <c r="AAA35" s="1037">
        <v>0</v>
      </c>
      <c r="AAB35" s="1037">
        <v>0</v>
      </c>
      <c r="AAC35" s="1037">
        <v>224.9034755323591</v>
      </c>
      <c r="AAD35" s="1037">
        <v>2361.4864930897702</v>
      </c>
      <c r="AAE35" s="1037">
        <v>2356.1316484342383</v>
      </c>
      <c r="AAF35" s="1037">
        <v>6479.3620331941547</v>
      </c>
      <c r="AAG35" s="1037">
        <v>0</v>
      </c>
      <c r="AAH35" s="1037">
        <v>235.61316484342382</v>
      </c>
      <c r="AAI35" s="1037">
        <v>0</v>
      </c>
      <c r="AAJ35" s="1037">
        <v>0</v>
      </c>
      <c r="AAK35" s="1037">
        <v>235.61316484342382</v>
      </c>
      <c r="AAL35" s="1037">
        <v>2473.9382308559498</v>
      </c>
      <c r="AAM35" s="1037">
        <v>3619.8749871398754</v>
      </c>
      <c r="AAN35" s="1037">
        <v>9954.6562146346569</v>
      </c>
      <c r="AAO35" s="1037">
        <v>0</v>
      </c>
      <c r="AAP35" s="1037">
        <v>361.98749871398752</v>
      </c>
      <c r="AAQ35" s="1037">
        <v>0</v>
      </c>
      <c r="AAR35" s="1037">
        <v>0</v>
      </c>
      <c r="AAS35" s="1037">
        <v>361.98749871398752</v>
      </c>
      <c r="AAT35" s="1037">
        <v>3800.8687364968687</v>
      </c>
      <c r="AAU35" s="1037">
        <v>2799.4478787043718</v>
      </c>
      <c r="AAV35" s="1037">
        <v>7698.4816664370219</v>
      </c>
      <c r="AAW35" s="1037">
        <v>0</v>
      </c>
      <c r="AAX35" s="1037">
        <v>279.94478787043715</v>
      </c>
      <c r="AAY35" s="1037">
        <v>0</v>
      </c>
      <c r="AAZ35" s="1037">
        <v>0</v>
      </c>
      <c r="ABA35" s="1037">
        <v>279.94478787043715</v>
      </c>
      <c r="ABB35" s="1037">
        <v>2939.4202726395897</v>
      </c>
      <c r="ABC35" s="1037">
        <v>2963.4340305440255</v>
      </c>
      <c r="ABD35" s="1037">
        <v>8149.4435839960706</v>
      </c>
      <c r="ABE35" s="1037">
        <v>0</v>
      </c>
      <c r="ABF35" s="1037">
        <v>296.34340305440259</v>
      </c>
      <c r="ABG35" s="1037">
        <v>0</v>
      </c>
      <c r="ABH35" s="1037">
        <v>0</v>
      </c>
      <c r="ABI35" s="1037">
        <v>296.34340305440259</v>
      </c>
      <c r="ABJ35" s="1037">
        <v>3111.6057320712266</v>
      </c>
      <c r="ABK35" s="1037">
        <v>3104.5499367604079</v>
      </c>
      <c r="ABL35" s="1037">
        <v>8537.5123260911223</v>
      </c>
      <c r="ABM35" s="1037">
        <v>0</v>
      </c>
      <c r="ABN35" s="1037">
        <v>310.45499367604077</v>
      </c>
      <c r="ABO35" s="1037">
        <v>0</v>
      </c>
      <c r="ABP35" s="1037">
        <v>0</v>
      </c>
      <c r="ABQ35" s="1037">
        <v>310.45499367604077</v>
      </c>
      <c r="ABR35" s="1037">
        <v>3259.7774335984277</v>
      </c>
      <c r="ABS35" s="1037">
        <v>9082.5954222782329</v>
      </c>
      <c r="ABT35" s="1037">
        <v>24977.137411265143</v>
      </c>
      <c r="ABU35" s="1037">
        <v>0</v>
      </c>
      <c r="ABV35" s="1037">
        <v>908.25954222782332</v>
      </c>
      <c r="ABW35" s="1037">
        <v>0</v>
      </c>
      <c r="ABX35" s="1037">
        <v>0</v>
      </c>
      <c r="ABY35" s="1037">
        <v>908.25954222782332</v>
      </c>
      <c r="ABZ35" s="1037">
        <v>9536.7251933921434</v>
      </c>
      <c r="ACA35" s="1037">
        <v>3625.7166358550007</v>
      </c>
      <c r="ACB35" s="1037">
        <v>9970.7207486012521</v>
      </c>
      <c r="ACC35" s="1037">
        <v>0</v>
      </c>
      <c r="ACD35" s="1037">
        <v>362.57166358550006</v>
      </c>
      <c r="ACE35" s="1037">
        <v>0</v>
      </c>
      <c r="ACF35" s="1037">
        <v>0</v>
      </c>
      <c r="ACG35" s="1037">
        <v>362.57166358550006</v>
      </c>
      <c r="ACH35" s="1037">
        <v>3807.0024676477506</v>
      </c>
      <c r="ACI35" s="1037">
        <v>3876.2775488812476</v>
      </c>
      <c r="ACJ35" s="1037">
        <v>10659.763259423431</v>
      </c>
      <c r="ACK35" s="1037">
        <v>0</v>
      </c>
      <c r="ACL35" s="1037">
        <v>387.6277548881248</v>
      </c>
      <c r="ACM35" s="1037">
        <v>0</v>
      </c>
      <c r="ACN35" s="1037">
        <v>0</v>
      </c>
      <c r="ACO35" s="1037">
        <v>387.6277548881248</v>
      </c>
      <c r="ACP35" s="1037">
        <v>4070.0914263253098</v>
      </c>
      <c r="ACQ35" s="1037">
        <v>4060.8621940660692</v>
      </c>
      <c r="ACR35" s="1037">
        <v>11167.371033681691</v>
      </c>
      <c r="ACS35" s="1037">
        <v>0</v>
      </c>
      <c r="ACT35" s="1037">
        <v>406.08621940660692</v>
      </c>
      <c r="ACU35" s="1037">
        <v>0</v>
      </c>
      <c r="ACV35" s="1037">
        <v>0</v>
      </c>
      <c r="ACW35" s="1037">
        <v>406.08621940660692</v>
      </c>
      <c r="ACX35" s="1037">
        <v>4263.905303769372</v>
      </c>
      <c r="ACY35" s="1037">
        <v>6238.9610072469623</v>
      </c>
      <c r="ACZ35" s="1037">
        <v>17157.142769929145</v>
      </c>
      <c r="ADA35" s="1037">
        <v>0</v>
      </c>
      <c r="ADB35" s="1037">
        <v>623.89610072469611</v>
      </c>
      <c r="ADC35" s="1037">
        <v>0</v>
      </c>
      <c r="ADD35" s="1037">
        <v>0</v>
      </c>
      <c r="ADE35" s="1037">
        <v>623.89610072469611</v>
      </c>
      <c r="ADF35" s="1037">
        <v>6550.9090576093095</v>
      </c>
      <c r="ADG35" s="1037">
        <v>4427.3206539862085</v>
      </c>
      <c r="ADH35" s="1037">
        <v>12175.131798462075</v>
      </c>
      <c r="ADI35" s="1037">
        <v>0</v>
      </c>
      <c r="ADJ35" s="1037">
        <v>442.73206539862082</v>
      </c>
      <c r="ADK35" s="1037">
        <v>0</v>
      </c>
      <c r="ADL35" s="1037">
        <v>0</v>
      </c>
      <c r="ADM35" s="1037">
        <v>442.73206539862082</v>
      </c>
      <c r="ADN35" s="1037">
        <v>4648.6866866855189</v>
      </c>
      <c r="ADO35" s="1037">
        <v>4762.6618348028987</v>
      </c>
      <c r="ADP35" s="1037">
        <v>13097.320045707971</v>
      </c>
      <c r="ADQ35" s="1037">
        <v>0</v>
      </c>
      <c r="ADR35" s="1037">
        <v>476.26618348028984</v>
      </c>
      <c r="ADS35" s="1037">
        <v>0</v>
      </c>
      <c r="ADT35" s="1037">
        <v>0</v>
      </c>
      <c r="ADU35" s="1037">
        <v>476.26618348028984</v>
      </c>
      <c r="ADV35" s="1037">
        <v>5000.7949265430434</v>
      </c>
      <c r="ADW35" s="1037">
        <v>4989.455255507798</v>
      </c>
      <c r="ADX35" s="1037">
        <v>13721.001952646446</v>
      </c>
      <c r="ADY35" s="1037">
        <v>0</v>
      </c>
      <c r="ADZ35" s="1037">
        <v>498.94552555077979</v>
      </c>
      <c r="AEA35" s="1037">
        <v>0</v>
      </c>
      <c r="AEB35" s="1037">
        <v>0</v>
      </c>
      <c r="AEC35" s="1037">
        <v>498.94552555077979</v>
      </c>
      <c r="AED35" s="1037">
        <v>5238.9280182831872</v>
      </c>
      <c r="AEE35" s="1037">
        <v>7665.6176198256189</v>
      </c>
      <c r="AEF35" s="1037">
        <v>21080.448454520454</v>
      </c>
      <c r="AEG35" s="1037">
        <v>0</v>
      </c>
      <c r="AEH35" s="1037">
        <v>766.56176198256185</v>
      </c>
      <c r="AEI35" s="1037">
        <v>0</v>
      </c>
      <c r="AEJ35" s="1037">
        <v>0</v>
      </c>
      <c r="AEK35" s="1037">
        <v>766.56176198256185</v>
      </c>
      <c r="AEL35" s="1037">
        <v>8048.8985008168993</v>
      </c>
      <c r="AEM35" s="1037">
        <v>5105.6009770203082</v>
      </c>
      <c r="AEN35" s="1037">
        <v>14040.402686805846</v>
      </c>
      <c r="AEO35" s="1037">
        <v>0</v>
      </c>
      <c r="AEP35" s="1037">
        <v>510.56009770203076</v>
      </c>
      <c r="AEQ35" s="1037">
        <v>0</v>
      </c>
      <c r="AER35" s="1037">
        <v>0</v>
      </c>
      <c r="AES35" s="1037">
        <v>510.56009770203076</v>
      </c>
      <c r="AET35" s="1037">
        <v>5360.8810258713229</v>
      </c>
      <c r="AEU35" s="1037">
        <v>5424.1426451921898</v>
      </c>
      <c r="AEV35" s="1037">
        <v>14916.392274278522</v>
      </c>
      <c r="AEW35" s="1037">
        <v>0</v>
      </c>
      <c r="AEX35" s="1037">
        <v>542.41426451921893</v>
      </c>
      <c r="AEY35" s="1037">
        <v>0</v>
      </c>
      <c r="AEZ35" s="1037">
        <v>0</v>
      </c>
      <c r="AFA35" s="1037">
        <v>542.41426451921893</v>
      </c>
      <c r="AFB35" s="1037">
        <v>5695.3497774517982</v>
      </c>
      <c r="AFC35" s="1037">
        <v>5682.4351521061035</v>
      </c>
      <c r="AFD35" s="1037">
        <v>15626.696668291786</v>
      </c>
      <c r="AFE35" s="1037">
        <v>0</v>
      </c>
      <c r="AFF35" s="1037">
        <v>568.24351521061033</v>
      </c>
      <c r="AFG35" s="1037">
        <v>0</v>
      </c>
      <c r="AFH35" s="1037">
        <v>0</v>
      </c>
      <c r="AFI35" s="1037">
        <v>568.24351521061033</v>
      </c>
      <c r="AFJ35" s="1037">
        <v>5966.5569097114085</v>
      </c>
      <c r="AFK35" s="1037">
        <v>8730.2867336902873</v>
      </c>
      <c r="AFL35" s="1037">
        <v>24008.288517648292</v>
      </c>
      <c r="AFM35" s="1037">
        <v>0</v>
      </c>
      <c r="AFN35" s="1037">
        <v>873.02867336902875</v>
      </c>
      <c r="AFO35" s="1037">
        <v>0</v>
      </c>
      <c r="AFP35" s="1037">
        <v>0</v>
      </c>
      <c r="AFQ35" s="1037">
        <v>873.02867336902875</v>
      </c>
      <c r="AFR35" s="1037">
        <v>9166.8010703748005</v>
      </c>
      <c r="AFS35" s="247">
        <v>2034.8409691022964</v>
      </c>
      <c r="AFT35" s="247">
        <v>5595.8126650313152</v>
      </c>
      <c r="AFU35" s="247">
        <v>0</v>
      </c>
      <c r="AFV35" s="247">
        <v>203.48409691022965</v>
      </c>
      <c r="AFW35" s="247">
        <v>0</v>
      </c>
      <c r="AFX35" s="247">
        <v>0</v>
      </c>
      <c r="AFY35" s="247">
        <v>203.48409691022965</v>
      </c>
      <c r="AFZ35" s="247">
        <v>2136.583017557411</v>
      </c>
      <c r="AGA35" s="247">
        <v>2249.0347553235911</v>
      </c>
      <c r="AGB35" s="247">
        <v>6184.8455771398749</v>
      </c>
      <c r="AGC35" s="247">
        <v>0</v>
      </c>
      <c r="AGD35" s="247">
        <v>224.9034755323591</v>
      </c>
      <c r="AGE35" s="247">
        <v>0</v>
      </c>
      <c r="AGF35" s="247">
        <v>0</v>
      </c>
      <c r="AGG35" s="247">
        <v>224.9034755323591</v>
      </c>
      <c r="AGH35" s="247">
        <v>2361.4864930897702</v>
      </c>
      <c r="AGI35" s="247">
        <v>2356.1316484342383</v>
      </c>
      <c r="AGJ35" s="247">
        <v>6479.3620331941547</v>
      </c>
      <c r="AGK35" s="247">
        <v>0</v>
      </c>
      <c r="AGL35" s="247">
        <v>235.61316484342382</v>
      </c>
      <c r="AGM35" s="247">
        <v>0</v>
      </c>
      <c r="AGN35" s="247">
        <v>0</v>
      </c>
      <c r="AGO35" s="247">
        <v>235.61316484342382</v>
      </c>
      <c r="AGP35" s="247">
        <v>2473.9382308559498</v>
      </c>
      <c r="AGQ35" s="247">
        <v>3619.8749871398754</v>
      </c>
      <c r="AGR35" s="247">
        <v>9954.6562146346569</v>
      </c>
      <c r="AGS35" s="247">
        <v>0</v>
      </c>
      <c r="AGT35" s="247">
        <v>361.98749871398752</v>
      </c>
      <c r="AGU35" s="247">
        <v>0</v>
      </c>
      <c r="AGV35" s="247">
        <v>0</v>
      </c>
      <c r="AGW35" s="247">
        <v>361.98749871398752</v>
      </c>
      <c r="AGX35" s="247">
        <v>3800.8687364968687</v>
      </c>
      <c r="AGY35" s="249">
        <v>0</v>
      </c>
      <c r="AGZ35" s="249">
        <v>0</v>
      </c>
      <c r="AHA35" s="249">
        <v>0</v>
      </c>
      <c r="AHB35" s="249">
        <v>0</v>
      </c>
      <c r="AHC35" s="249">
        <v>0</v>
      </c>
      <c r="AHD35" s="249">
        <v>0</v>
      </c>
      <c r="AHE35" s="249">
        <v>0</v>
      </c>
      <c r="AHF35" s="249">
        <v>0</v>
      </c>
      <c r="AHG35" s="249">
        <v>0</v>
      </c>
      <c r="AHH35" s="249">
        <v>0</v>
      </c>
      <c r="AHI35" s="249">
        <v>0</v>
      </c>
      <c r="AHJ35" s="249">
        <v>0</v>
      </c>
      <c r="AHK35" s="249">
        <v>0</v>
      </c>
      <c r="AHL35" s="249">
        <v>0</v>
      </c>
      <c r="AHM35" s="249">
        <v>0</v>
      </c>
      <c r="AHN35" s="249">
        <v>0</v>
      </c>
      <c r="AHO35" s="249">
        <v>0</v>
      </c>
      <c r="AHP35" s="249">
        <v>0</v>
      </c>
      <c r="AHQ35" s="249">
        <v>0</v>
      </c>
      <c r="AHR35" s="249">
        <v>0</v>
      </c>
      <c r="AHS35" s="249">
        <v>0</v>
      </c>
      <c r="AHT35" s="249">
        <v>0</v>
      </c>
      <c r="AHU35" s="249">
        <v>0</v>
      </c>
      <c r="AHV35" s="249">
        <v>0</v>
      </c>
      <c r="AHW35" s="249">
        <v>0</v>
      </c>
      <c r="AHX35" s="249">
        <v>0</v>
      </c>
      <c r="AHY35" s="249">
        <v>0</v>
      </c>
      <c r="AHZ35" s="249">
        <v>0</v>
      </c>
      <c r="AIA35" s="249">
        <v>0</v>
      </c>
      <c r="AIB35" s="249">
        <v>0</v>
      </c>
      <c r="AIC35" s="249">
        <v>0</v>
      </c>
      <c r="AID35" s="249">
        <v>0</v>
      </c>
      <c r="AIE35" s="249"/>
      <c r="AIF35" s="249"/>
      <c r="AIG35" s="249"/>
      <c r="AIH35" s="249"/>
      <c r="AII35" s="249"/>
      <c r="AIJ35" s="249"/>
      <c r="AIK35" s="249"/>
      <c r="AIL35" s="249"/>
      <c r="AIM35" s="249">
        <v>0</v>
      </c>
      <c r="AIN35" s="249">
        <v>0</v>
      </c>
      <c r="AIO35" s="249">
        <v>0</v>
      </c>
      <c r="AIP35" s="249">
        <v>0</v>
      </c>
      <c r="AIQ35" s="249">
        <v>0</v>
      </c>
      <c r="AIR35" s="249">
        <v>0</v>
      </c>
      <c r="AIS35" s="249">
        <v>0</v>
      </c>
      <c r="AIT35" s="249">
        <v>0</v>
      </c>
      <c r="AIU35" s="134" t="s">
        <v>1216</v>
      </c>
      <c r="AIV35" s="134" t="s">
        <v>1219</v>
      </c>
      <c r="AIW35" s="134" t="s">
        <v>1218</v>
      </c>
      <c r="AIX35" s="134" t="s">
        <v>1217</v>
      </c>
      <c r="AIY35" s="134" t="s">
        <v>1228</v>
      </c>
      <c r="AIZ35" s="134" t="s">
        <v>1229</v>
      </c>
      <c r="AJA35" s="134" t="s">
        <v>1230</v>
      </c>
      <c r="AJB35" s="134" t="s">
        <v>1231</v>
      </c>
      <c r="AJC35" s="134" t="s">
        <v>1232</v>
      </c>
      <c r="AJD35" s="134" t="s">
        <v>1233</v>
      </c>
    </row>
    <row r="36" spans="1:940" ht="18" customHeight="1">
      <c r="A36" s="664" t="s">
        <v>24</v>
      </c>
      <c r="B36" s="669">
        <v>0</v>
      </c>
      <c r="C36" s="6">
        <v>0</v>
      </c>
      <c r="D36" s="6">
        <v>0</v>
      </c>
      <c r="E36" s="74">
        <v>226.96116504854368</v>
      </c>
      <c r="F36" s="75">
        <v>-0.9</v>
      </c>
      <c r="G36" s="7">
        <v>-8.9</v>
      </c>
      <c r="H36" s="7">
        <v>-8.9</v>
      </c>
      <c r="I36" s="266">
        <v>350</v>
      </c>
      <c r="J36" s="125">
        <v>0</v>
      </c>
      <c r="K36" s="125">
        <v>0</v>
      </c>
      <c r="L36" s="125">
        <v>0</v>
      </c>
      <c r="M36" s="1">
        <v>1793.1240783837679</v>
      </c>
      <c r="N36" s="2">
        <v>12</v>
      </c>
      <c r="O36" s="8">
        <v>0.4</v>
      </c>
      <c r="P36" s="8">
        <v>0.2</v>
      </c>
      <c r="Q36" s="8">
        <v>0.2</v>
      </c>
      <c r="R36" s="7">
        <v>0.1</v>
      </c>
      <c r="S36" s="7">
        <v>0</v>
      </c>
      <c r="T36" s="7">
        <v>95.9</v>
      </c>
      <c r="U36" s="7">
        <v>4</v>
      </c>
      <c r="V36" s="71">
        <v>0</v>
      </c>
      <c r="W36" s="119">
        <v>2</v>
      </c>
      <c r="X36" s="120">
        <v>1.5</v>
      </c>
      <c r="Y36" s="119">
        <v>1</v>
      </c>
      <c r="Z36" s="120">
        <v>0.8</v>
      </c>
      <c r="AA36" s="120">
        <v>0.5</v>
      </c>
      <c r="AB36" s="559">
        <v>433.01922201480062</v>
      </c>
      <c r="AC36" s="559">
        <v>470.67306740739195</v>
      </c>
      <c r="AD36" s="559">
        <v>433.37222681535616</v>
      </c>
      <c r="AE36" s="559">
        <v>649.0581599547935</v>
      </c>
      <c r="AF36" s="622">
        <v>0.82209484106305364</v>
      </c>
      <c r="AG36" s="559">
        <v>261.91600618637949</v>
      </c>
      <c r="AH36" s="559">
        <v>284.69131107215162</v>
      </c>
      <c r="AI36" s="559">
        <v>262.12952466968363</v>
      </c>
      <c r="AJ36" s="559">
        <v>392.58931796849708</v>
      </c>
      <c r="AK36" s="622">
        <v>0.96717040125065135</v>
      </c>
      <c r="AL36" s="995">
        <v>0.3</v>
      </c>
      <c r="AM36" s="995">
        <v>0.9</v>
      </c>
      <c r="AN36" s="995">
        <v>1.7</v>
      </c>
      <c r="AO36" s="995">
        <v>2.1</v>
      </c>
      <c r="AP36" s="995">
        <v>2.4</v>
      </c>
      <c r="AQ36" s="995">
        <v>2.8</v>
      </c>
      <c r="AR36" s="995">
        <v>3.1</v>
      </c>
      <c r="AS36" s="1005">
        <v>0</v>
      </c>
      <c r="AT36" s="1005">
        <v>10</v>
      </c>
      <c r="AU36" s="1005">
        <v>20</v>
      </c>
      <c r="AV36" s="1005">
        <v>70</v>
      </c>
      <c r="AW36" s="1005">
        <v>100</v>
      </c>
      <c r="AX36" s="1">
        <v>13348.646246340531</v>
      </c>
      <c r="AY36" s="5">
        <v>1.64</v>
      </c>
      <c r="AZ36" s="10">
        <v>0.9</v>
      </c>
      <c r="BA36" s="10">
        <v>0.6</v>
      </c>
      <c r="BB36" s="8">
        <v>0.6</v>
      </c>
      <c r="BC36" s="73">
        <v>0.16762304400128739</v>
      </c>
      <c r="BD36" s="73">
        <v>0.17453208696510045</v>
      </c>
      <c r="BE36" s="9">
        <v>0.83208583782305068</v>
      </c>
      <c r="BF36" s="9">
        <v>2.3050170849892727E-2</v>
      </c>
      <c r="BG36" s="9">
        <v>1.6043932105848411</v>
      </c>
      <c r="BH36" s="9">
        <v>48.008271042990678</v>
      </c>
      <c r="BI36" s="9"/>
      <c r="BJ36" s="9"/>
      <c r="BK36" s="9">
        <v>48.782942535839638</v>
      </c>
      <c r="BL36" s="9"/>
      <c r="BM36" s="9"/>
      <c r="BN36" s="9"/>
      <c r="BO36" s="9"/>
      <c r="BP36" s="9"/>
      <c r="BQ36" s="9"/>
      <c r="BR36" s="9">
        <v>0.58056034712037508</v>
      </c>
      <c r="BS36" s="9">
        <v>0.1686968547915226</v>
      </c>
      <c r="BT36" s="262">
        <v>261.13475999999997</v>
      </c>
      <c r="BU36" s="262">
        <v>96.5</v>
      </c>
      <c r="BV36" s="262">
        <v>63.215999999999994</v>
      </c>
      <c r="BW36" s="262">
        <v>233.35949490734063</v>
      </c>
      <c r="BX36" s="262">
        <v>157.40783999999999</v>
      </c>
      <c r="BY36" s="68"/>
      <c r="BZ36" s="262">
        <v>256.20808011776955</v>
      </c>
      <c r="CA36" s="262">
        <v>165.17663999999999</v>
      </c>
      <c r="CB36" s="68"/>
      <c r="CC36" s="785">
        <v>0</v>
      </c>
      <c r="CD36" s="262">
        <v>6.585</v>
      </c>
      <c r="CE36" s="262">
        <v>1.3169999999999999</v>
      </c>
      <c r="CF36" s="262">
        <v>38</v>
      </c>
      <c r="CG36" s="262">
        <v>225.83915999999996</v>
      </c>
      <c r="CH36" s="68">
        <v>0.2</v>
      </c>
      <c r="CI36" s="262">
        <v>175.08124000000001</v>
      </c>
      <c r="CJ36" s="262">
        <v>60.4</v>
      </c>
      <c r="CK36" s="262">
        <v>42.384</v>
      </c>
      <c r="CL36" s="262">
        <v>156.45894761061641</v>
      </c>
      <c r="CM36" s="262">
        <v>105.53616</v>
      </c>
      <c r="CN36" s="68"/>
      <c r="CO36" s="262">
        <v>159.24945066654416</v>
      </c>
      <c r="CP36" s="262">
        <v>102.66767999999999</v>
      </c>
      <c r="CQ36" s="68"/>
      <c r="CR36" s="262">
        <v>0</v>
      </c>
      <c r="CS36" s="262">
        <v>4.415</v>
      </c>
      <c r="CT36" s="262">
        <v>0.88300000000000001</v>
      </c>
      <c r="CU36" s="262">
        <v>27</v>
      </c>
      <c r="CV36" s="262">
        <v>151.41683999999998</v>
      </c>
      <c r="CW36" s="68">
        <v>0.2</v>
      </c>
      <c r="CX36" s="120">
        <v>0.3</v>
      </c>
      <c r="CY36" s="120">
        <v>0.7</v>
      </c>
      <c r="CZ36" s="120">
        <v>1.2</v>
      </c>
      <c r="DA36" s="120">
        <v>1.2</v>
      </c>
      <c r="DB36" s="119">
        <v>3</v>
      </c>
      <c r="DC36" s="1005">
        <v>0</v>
      </c>
      <c r="DD36" s="1005">
        <v>10</v>
      </c>
      <c r="DE36" s="1005">
        <v>20</v>
      </c>
      <c r="DF36" s="1005">
        <v>70</v>
      </c>
      <c r="DG36" s="1005">
        <v>100</v>
      </c>
      <c r="DH36" s="2">
        <v>0</v>
      </c>
      <c r="DI36" s="2">
        <v>18</v>
      </c>
      <c r="DJ36" s="63">
        <v>12</v>
      </c>
      <c r="DK36" s="10">
        <v>3.4</v>
      </c>
      <c r="DL36" s="10">
        <v>1.9</v>
      </c>
      <c r="DM36" s="8">
        <v>1.9</v>
      </c>
      <c r="DN36" s="1031" t="s">
        <v>1000</v>
      </c>
      <c r="DO36" s="1030" t="s">
        <v>997</v>
      </c>
      <c r="DP36" s="1030" t="s">
        <v>997</v>
      </c>
      <c r="DQ36" s="1030" t="s">
        <v>997</v>
      </c>
      <c r="DR36" s="1030" t="s">
        <v>997</v>
      </c>
      <c r="DS36" s="1030" t="s">
        <v>997</v>
      </c>
      <c r="DT36" s="1030" t="s">
        <v>997</v>
      </c>
      <c r="DU36" s="1097">
        <v>0</v>
      </c>
      <c r="DV36" s="1097">
        <v>0</v>
      </c>
      <c r="DW36" s="1097">
        <v>0</v>
      </c>
      <c r="DX36" s="1097">
        <v>0</v>
      </c>
      <c r="DY36" s="1097">
        <v>0</v>
      </c>
      <c r="DZ36" s="1097">
        <v>0</v>
      </c>
      <c r="EA36" s="1097">
        <v>0</v>
      </c>
      <c r="EB36" s="207">
        <v>0</v>
      </c>
      <c r="EC36" s="207">
        <v>18</v>
      </c>
      <c r="ED36" s="221">
        <v>5</v>
      </c>
      <c r="EE36" s="216">
        <v>3.4</v>
      </c>
      <c r="EF36" s="216">
        <v>1.9</v>
      </c>
      <c r="EG36" s="214">
        <v>1.9</v>
      </c>
      <c r="EH36" s="211" t="s">
        <v>1039</v>
      </c>
      <c r="EI36" s="207" t="s">
        <v>997</v>
      </c>
      <c r="EJ36" s="207" t="s">
        <v>997</v>
      </c>
      <c r="EK36" s="207" t="s">
        <v>997</v>
      </c>
      <c r="EL36" s="207" t="s">
        <v>997</v>
      </c>
      <c r="EM36" s="207" t="s">
        <v>997</v>
      </c>
      <c r="EN36" s="207" t="s">
        <v>997</v>
      </c>
      <c r="EO36" s="207" t="s">
        <v>997</v>
      </c>
      <c r="EP36" s="207" t="s">
        <v>997</v>
      </c>
      <c r="EQ36" s="207" t="s">
        <v>997</v>
      </c>
      <c r="ER36" s="207" t="s">
        <v>997</v>
      </c>
      <c r="ES36" s="207" t="s">
        <v>997</v>
      </c>
      <c r="ET36" s="207" t="s">
        <v>997</v>
      </c>
      <c r="EU36" s="207" t="s">
        <v>997</v>
      </c>
      <c r="EV36" s="207" t="s">
        <v>997</v>
      </c>
      <c r="EW36" s="207" t="s">
        <v>997</v>
      </c>
      <c r="EX36" s="207" t="s">
        <v>997</v>
      </c>
      <c r="EY36" s="207" t="s">
        <v>997</v>
      </c>
      <c r="EZ36" s="207" t="s">
        <v>997</v>
      </c>
      <c r="FA36" s="207" t="s">
        <v>997</v>
      </c>
      <c r="FB36" s="207" t="s">
        <v>997</v>
      </c>
      <c r="FC36" s="207" t="s">
        <v>997</v>
      </c>
      <c r="FD36" s="207" t="s">
        <v>997</v>
      </c>
      <c r="FE36" s="207" t="s">
        <v>997</v>
      </c>
      <c r="FF36" s="207" t="s">
        <v>997</v>
      </c>
      <c r="FG36" s="207" t="s">
        <v>997</v>
      </c>
      <c r="FH36" s="207" t="s">
        <v>997</v>
      </c>
      <c r="FI36" s="207" t="s">
        <v>997</v>
      </c>
      <c r="FJ36" s="207" t="s">
        <v>997</v>
      </c>
      <c r="FK36" s="207" t="s">
        <v>997</v>
      </c>
      <c r="FL36" s="207" t="s">
        <v>997</v>
      </c>
      <c r="FM36" s="207" t="s">
        <v>997</v>
      </c>
      <c r="FN36" s="207" t="s">
        <v>997</v>
      </c>
      <c r="FO36" s="207" t="s">
        <v>997</v>
      </c>
      <c r="FP36" s="207" t="s">
        <v>997</v>
      </c>
      <c r="FQ36" s="207" t="s">
        <v>997</v>
      </c>
      <c r="FR36" s="207" t="s">
        <v>997</v>
      </c>
      <c r="FS36" s="207" t="s">
        <v>997</v>
      </c>
      <c r="FT36" s="207" t="s">
        <v>997</v>
      </c>
      <c r="FU36" s="207" t="s">
        <v>997</v>
      </c>
      <c r="FV36" s="207" t="s">
        <v>997</v>
      </c>
      <c r="FW36" s="207" t="s">
        <v>997</v>
      </c>
      <c r="FX36" s="207" t="s">
        <v>997</v>
      </c>
      <c r="FY36" s="207" t="s">
        <v>997</v>
      </c>
      <c r="FZ36" s="207" t="s">
        <v>997</v>
      </c>
      <c r="GA36" s="207" t="s">
        <v>997</v>
      </c>
      <c r="GB36" s="207" t="s">
        <v>997</v>
      </c>
      <c r="GC36" s="207" t="s">
        <v>997</v>
      </c>
      <c r="GD36" s="207" t="s">
        <v>997</v>
      </c>
      <c r="GE36" s="207" t="s">
        <v>997</v>
      </c>
      <c r="GF36" s="207" t="s">
        <v>997</v>
      </c>
      <c r="GG36" s="207" t="s">
        <v>997</v>
      </c>
      <c r="GH36" s="207" t="s">
        <v>997</v>
      </c>
      <c r="GI36" s="207" t="s">
        <v>997</v>
      </c>
      <c r="GJ36" s="207" t="s">
        <v>997</v>
      </c>
      <c r="GK36" s="207" t="s">
        <v>997</v>
      </c>
      <c r="GL36" s="207" t="s">
        <v>997</v>
      </c>
      <c r="GM36" s="207" t="s">
        <v>997</v>
      </c>
      <c r="GN36" s="1051">
        <v>0</v>
      </c>
      <c r="GO36" s="1051">
        <v>0</v>
      </c>
      <c r="GP36" s="1051">
        <v>0</v>
      </c>
      <c r="GQ36" s="1051">
        <v>0</v>
      </c>
      <c r="GR36" s="1051">
        <v>0</v>
      </c>
      <c r="GS36" s="1051">
        <v>0</v>
      </c>
      <c r="GT36" s="1051">
        <v>0</v>
      </c>
      <c r="GU36" s="1051">
        <v>0</v>
      </c>
      <c r="GV36" s="1051">
        <v>0</v>
      </c>
      <c r="GW36" s="1051">
        <v>0</v>
      </c>
      <c r="GX36" s="1051">
        <v>0</v>
      </c>
      <c r="GY36" s="1051">
        <v>0</v>
      </c>
      <c r="GZ36" s="1051">
        <v>0</v>
      </c>
      <c r="HA36" s="1051">
        <v>0</v>
      </c>
      <c r="HB36" s="1051">
        <v>0</v>
      </c>
      <c r="HC36" s="1051">
        <v>0</v>
      </c>
      <c r="HD36" s="1051">
        <v>0</v>
      </c>
      <c r="HE36" s="1051">
        <v>0</v>
      </c>
      <c r="HF36" s="1051">
        <v>0</v>
      </c>
      <c r="HG36" s="1051">
        <v>0</v>
      </c>
      <c r="HH36" s="1051">
        <v>0</v>
      </c>
      <c r="HI36" s="1051">
        <v>0</v>
      </c>
      <c r="HJ36" s="1051">
        <v>0</v>
      </c>
      <c r="HK36" s="1051">
        <v>0</v>
      </c>
      <c r="HL36" s="1051">
        <v>0</v>
      </c>
      <c r="HM36" s="1051">
        <v>0</v>
      </c>
      <c r="HN36" s="1051">
        <v>0</v>
      </c>
      <c r="HO36" s="1051">
        <v>0</v>
      </c>
      <c r="HP36" s="1051">
        <v>0</v>
      </c>
      <c r="HQ36" s="1051">
        <v>0</v>
      </c>
      <c r="HR36" s="1051">
        <v>0</v>
      </c>
      <c r="HS36" s="1051">
        <v>0</v>
      </c>
      <c r="HT36" s="1051">
        <v>0</v>
      </c>
      <c r="HU36" s="1051">
        <v>0</v>
      </c>
      <c r="HV36" s="1051">
        <v>0</v>
      </c>
      <c r="HW36" s="1051">
        <v>0</v>
      </c>
      <c r="HX36" s="1051">
        <v>0</v>
      </c>
      <c r="HY36" s="1051">
        <v>0</v>
      </c>
      <c r="HZ36" s="1051">
        <v>0</v>
      </c>
      <c r="IA36" s="1051">
        <v>0</v>
      </c>
      <c r="IB36" s="1051">
        <v>0</v>
      </c>
      <c r="IC36" s="1051">
        <v>0</v>
      </c>
      <c r="ID36" s="1051">
        <v>0</v>
      </c>
      <c r="IE36" s="1051">
        <v>0</v>
      </c>
      <c r="IF36" s="1051">
        <v>0</v>
      </c>
      <c r="IG36" s="1051">
        <v>0</v>
      </c>
      <c r="IH36" s="1051">
        <v>0</v>
      </c>
      <c r="II36" s="1051">
        <v>0</v>
      </c>
      <c r="IJ36" s="1051">
        <v>0</v>
      </c>
      <c r="IK36" s="1051">
        <v>0</v>
      </c>
      <c r="IL36" s="1051">
        <v>0</v>
      </c>
      <c r="IM36" s="1051">
        <v>0</v>
      </c>
      <c r="IN36" s="1051">
        <v>0</v>
      </c>
      <c r="IO36" s="1051">
        <v>0</v>
      </c>
      <c r="IP36" s="1051">
        <v>0</v>
      </c>
      <c r="IQ36" s="1051">
        <v>0</v>
      </c>
      <c r="IR36" s="1051">
        <v>0</v>
      </c>
      <c r="IS36" s="1051">
        <v>0</v>
      </c>
      <c r="IT36" s="215">
        <v>269.32489069344996</v>
      </c>
      <c r="IU36" s="207">
        <v>179.9</v>
      </c>
      <c r="IV36" s="216">
        <v>2647.0800000000199</v>
      </c>
      <c r="IW36" s="272">
        <v>12.64</v>
      </c>
      <c r="IX36" s="207">
        <v>65.582581761865725</v>
      </c>
      <c r="IY36" s="207">
        <v>3.4</v>
      </c>
      <c r="IZ36" s="207">
        <v>1.9</v>
      </c>
      <c r="JA36" s="204">
        <v>1.9</v>
      </c>
      <c r="JB36" s="52">
        <v>2</v>
      </c>
      <c r="JC36" s="24">
        <v>1.5</v>
      </c>
      <c r="JD36" s="24">
        <v>0.7</v>
      </c>
      <c r="JE36" s="24">
        <v>0.7</v>
      </c>
      <c r="JF36" s="24">
        <v>0.5</v>
      </c>
      <c r="JG36" s="1">
        <v>333.75012607534359</v>
      </c>
      <c r="JH36" s="216">
        <v>2647.0800000000199</v>
      </c>
      <c r="JI36" s="272">
        <v>12.64</v>
      </c>
      <c r="JJ36" s="207">
        <v>65.582581761865725</v>
      </c>
      <c r="JK36" s="10">
        <v>3.9</v>
      </c>
      <c r="JL36" s="10">
        <v>1.8</v>
      </c>
      <c r="JM36" s="8">
        <v>1.8</v>
      </c>
      <c r="JN36" s="216">
        <v>2</v>
      </c>
      <c r="JO36" s="216">
        <v>2</v>
      </c>
      <c r="JP36" s="216">
        <v>1</v>
      </c>
      <c r="JQ36" s="216">
        <v>1</v>
      </c>
      <c r="JR36" s="214">
        <v>0.5</v>
      </c>
      <c r="JS36" s="1212">
        <v>2000</v>
      </c>
      <c r="JT36" s="215">
        <v>593.59065906361229</v>
      </c>
      <c r="JU36" s="215">
        <v>500</v>
      </c>
      <c r="JV36" s="207">
        <v>2.2000000000000002</v>
      </c>
      <c r="JW36" s="207">
        <v>1.2</v>
      </c>
      <c r="JX36" s="207">
        <v>1.2</v>
      </c>
      <c r="JY36" s="214">
        <v>2</v>
      </c>
      <c r="JZ36" s="214">
        <v>1.5</v>
      </c>
      <c r="KA36" s="214">
        <v>0.5</v>
      </c>
      <c r="KB36" s="214">
        <v>1</v>
      </c>
      <c r="KC36" s="214">
        <v>0.5</v>
      </c>
      <c r="KD36" s="1186"/>
      <c r="KE36" s="1186"/>
      <c r="KF36" s="1186"/>
      <c r="KG36" s="1186"/>
      <c r="KH36" s="1186"/>
      <c r="KI36" s="1186"/>
      <c r="KJ36" s="1186"/>
      <c r="KK36" s="1186"/>
      <c r="KL36" s="1186"/>
      <c r="KM36" s="1187">
        <v>580</v>
      </c>
      <c r="KN36" s="1187">
        <v>580</v>
      </c>
      <c r="KO36" s="1187">
        <v>580</v>
      </c>
      <c r="KP36" s="1187">
        <v>580</v>
      </c>
      <c r="KQ36" s="1187"/>
      <c r="KR36" s="1187">
        <v>580</v>
      </c>
      <c r="KS36" s="1187">
        <v>580</v>
      </c>
      <c r="KT36" s="1187">
        <v>580</v>
      </c>
      <c r="KU36" s="1187">
        <v>580</v>
      </c>
      <c r="KV36" s="262">
        <v>370</v>
      </c>
      <c r="KW36" s="262">
        <v>370</v>
      </c>
      <c r="KX36" s="262">
        <v>370</v>
      </c>
      <c r="KY36" s="262">
        <v>370</v>
      </c>
      <c r="KZ36" s="262"/>
      <c r="LA36" s="262">
        <v>370</v>
      </c>
      <c r="LB36" s="262">
        <v>370</v>
      </c>
      <c r="LC36" s="262">
        <v>370</v>
      </c>
      <c r="LD36" s="262">
        <v>370</v>
      </c>
      <c r="LE36" s="1213">
        <v>0</v>
      </c>
      <c r="LF36" s="1213">
        <v>10</v>
      </c>
      <c r="LG36" s="1213">
        <v>20</v>
      </c>
      <c r="LH36" s="1213">
        <v>70</v>
      </c>
      <c r="LI36" s="1213">
        <v>100</v>
      </c>
      <c r="LJ36" s="1212">
        <v>1000</v>
      </c>
      <c r="LK36" s="1"/>
      <c r="LL36" s="4">
        <v>29</v>
      </c>
      <c r="LM36" s="10">
        <v>0</v>
      </c>
      <c r="LN36" s="10">
        <v>0</v>
      </c>
      <c r="LO36" s="10">
        <v>0</v>
      </c>
      <c r="LP36" s="214">
        <v>2</v>
      </c>
      <c r="LQ36" s="214">
        <v>1</v>
      </c>
      <c r="LR36" s="214">
        <v>0.5</v>
      </c>
      <c r="LS36" s="214">
        <v>0.7</v>
      </c>
      <c r="LT36" s="214">
        <v>0.2</v>
      </c>
      <c r="LU36" s="1212">
        <v>1500</v>
      </c>
      <c r="LV36" s="122">
        <v>0</v>
      </c>
      <c r="LW36" s="122">
        <v>0</v>
      </c>
      <c r="LX36" s="122">
        <v>0</v>
      </c>
      <c r="LY36" s="165">
        <v>0</v>
      </c>
      <c r="LZ36" s="165">
        <v>0</v>
      </c>
      <c r="MA36" s="165">
        <v>0</v>
      </c>
      <c r="MB36" s="165">
        <v>0</v>
      </c>
      <c r="MC36" s="165">
        <v>0</v>
      </c>
      <c r="MD36" s="165">
        <v>0</v>
      </c>
      <c r="ME36" s="165">
        <v>0</v>
      </c>
      <c r="MF36" s="165">
        <v>0</v>
      </c>
      <c r="MG36" s="165">
        <v>0</v>
      </c>
      <c r="MH36" s="165">
        <v>0</v>
      </c>
      <c r="MI36" s="165">
        <v>0</v>
      </c>
      <c r="MJ36" s="165">
        <v>0</v>
      </c>
      <c r="MK36" s="165">
        <v>0</v>
      </c>
      <c r="ML36" s="165">
        <v>0</v>
      </c>
      <c r="MM36" s="165">
        <v>0</v>
      </c>
      <c r="MN36" s="165">
        <v>0</v>
      </c>
      <c r="MO36" s="165">
        <v>0</v>
      </c>
      <c r="MP36" s="165">
        <v>0</v>
      </c>
      <c r="MQ36" s="165">
        <v>0</v>
      </c>
      <c r="MR36" s="165">
        <v>0</v>
      </c>
      <c r="MS36" s="165">
        <v>0</v>
      </c>
      <c r="MT36" s="165">
        <v>0</v>
      </c>
      <c r="MU36" s="165">
        <v>0</v>
      </c>
      <c r="MV36" s="165">
        <v>0</v>
      </c>
      <c r="MW36" s="166">
        <v>0</v>
      </c>
      <c r="MX36" s="166">
        <v>0</v>
      </c>
      <c r="MY36" s="166">
        <v>0</v>
      </c>
      <c r="MZ36" s="166">
        <v>0</v>
      </c>
      <c r="NA36" s="166">
        <v>0</v>
      </c>
      <c r="NB36" s="166">
        <v>0</v>
      </c>
      <c r="NC36" s="166">
        <v>1.2882427617057599</v>
      </c>
      <c r="ND36" s="166">
        <v>0</v>
      </c>
      <c r="NE36" s="166">
        <v>0.19059296675262</v>
      </c>
      <c r="NF36" s="166">
        <v>0.14284132574906999</v>
      </c>
      <c r="NG36" s="166">
        <v>0.25005864586909998</v>
      </c>
      <c r="NH36" s="166">
        <v>0</v>
      </c>
      <c r="NI36" s="166">
        <v>0</v>
      </c>
      <c r="NJ36" s="166">
        <v>0</v>
      </c>
      <c r="NK36" s="166">
        <v>0</v>
      </c>
      <c r="NL36" s="166">
        <v>0</v>
      </c>
      <c r="NM36" s="166">
        <v>0</v>
      </c>
      <c r="NN36" s="166">
        <v>0</v>
      </c>
      <c r="NO36" s="166">
        <v>0</v>
      </c>
      <c r="NP36" s="166">
        <v>0</v>
      </c>
      <c r="NQ36" s="166">
        <v>0</v>
      </c>
      <c r="NR36" s="166">
        <v>0</v>
      </c>
      <c r="NS36" s="166">
        <v>0</v>
      </c>
      <c r="NT36" s="166">
        <v>0</v>
      </c>
      <c r="NU36" s="166">
        <v>1.2882427617058001</v>
      </c>
      <c r="NV36" s="166">
        <v>0</v>
      </c>
      <c r="NW36" s="166">
        <v>0.30357340639800001</v>
      </c>
      <c r="NX36" s="166">
        <v>0.52049999999999996</v>
      </c>
      <c r="NY36" s="166">
        <v>3.5064632075472</v>
      </c>
      <c r="NZ36" s="166">
        <v>0</v>
      </c>
      <c r="OA36" s="166">
        <v>-118.96</v>
      </c>
      <c r="OB36" s="166">
        <v>-26.48</v>
      </c>
      <c r="OC36" s="166">
        <v>-0.39665336034164</v>
      </c>
      <c r="OD36" s="166">
        <v>0</v>
      </c>
      <c r="OE36" s="166">
        <v>-0.93919052224372002</v>
      </c>
      <c r="OF36" s="166">
        <v>0</v>
      </c>
      <c r="OG36" s="166">
        <v>-0.26559039082951003</v>
      </c>
      <c r="OH36" s="166">
        <v>0</v>
      </c>
      <c r="OI36" s="166">
        <v>4.3007763623999998E-3</v>
      </c>
      <c r="OJ36" s="166">
        <v>0</v>
      </c>
      <c r="OK36" s="166">
        <v>-0.51926974852255003</v>
      </c>
      <c r="OL36" s="166">
        <v>0</v>
      </c>
      <c r="OM36" s="166">
        <v>0</v>
      </c>
      <c r="ON36" s="166">
        <v>0</v>
      </c>
      <c r="OO36" s="166">
        <v>0</v>
      </c>
      <c r="OP36" s="166">
        <v>0</v>
      </c>
      <c r="OQ36" s="166">
        <v>0</v>
      </c>
      <c r="OR36" s="166">
        <v>0</v>
      </c>
      <c r="OS36" s="166">
        <v>-2.7376742625898101</v>
      </c>
      <c r="OT36" s="166">
        <v>0</v>
      </c>
      <c r="OU36" s="166">
        <v>7.6118923250419995E-2</v>
      </c>
      <c r="OV36" s="166">
        <v>0</v>
      </c>
      <c r="OW36" s="166">
        <v>1.8765735294118</v>
      </c>
      <c r="OX36" s="166">
        <v>0</v>
      </c>
      <c r="OY36" s="166">
        <v>0</v>
      </c>
      <c r="OZ36" s="166">
        <v>0</v>
      </c>
      <c r="PA36" s="166">
        <v>0</v>
      </c>
      <c r="PB36" s="166">
        <v>0</v>
      </c>
      <c r="PC36" s="166">
        <v>0</v>
      </c>
      <c r="PD36" s="166">
        <v>0</v>
      </c>
      <c r="PE36" s="166">
        <v>-118.96</v>
      </c>
      <c r="PF36" s="166">
        <v>-26.48</v>
      </c>
      <c r="PG36" s="166">
        <v>-0.41083620778661001</v>
      </c>
      <c r="PH36" s="166">
        <v>0</v>
      </c>
      <c r="PI36" s="166">
        <v>-0.36364292651343</v>
      </c>
      <c r="PJ36" s="166">
        <v>0</v>
      </c>
      <c r="PK36" s="166">
        <v>-0.16526203902667</v>
      </c>
      <c r="PL36" s="166">
        <v>0</v>
      </c>
      <c r="PM36" s="166">
        <v>-1.7406170958130001E-2</v>
      </c>
      <c r="PN36" s="166">
        <v>0</v>
      </c>
      <c r="PO36" s="166">
        <v>0.51254558222676005</v>
      </c>
      <c r="PP36" s="166">
        <v>0</v>
      </c>
      <c r="PQ36" s="166">
        <v>-0.1720552248062</v>
      </c>
      <c r="PR36" s="166">
        <v>0</v>
      </c>
      <c r="PS36" s="166">
        <v>0.30529052341044999</v>
      </c>
      <c r="PT36" s="166">
        <v>0</v>
      </c>
      <c r="PU36" s="166">
        <v>-0.76800000000000002</v>
      </c>
      <c r="PV36" s="166">
        <v>0</v>
      </c>
      <c r="PW36" s="166">
        <v>4.5730483159340002E-2</v>
      </c>
      <c r="PX36" s="166">
        <v>0</v>
      </c>
      <c r="PY36" s="166">
        <v>0.10239346637599001</v>
      </c>
      <c r="PZ36" s="166">
        <v>0</v>
      </c>
      <c r="QA36" s="166">
        <v>2.4090896681936398</v>
      </c>
      <c r="QB36" s="166">
        <v>0</v>
      </c>
      <c r="QC36" s="166">
        <v>0.3274927043982</v>
      </c>
      <c r="QD36" s="166">
        <v>0</v>
      </c>
      <c r="QE36" s="166">
        <v>0.40303458006898002</v>
      </c>
      <c r="QF36" s="166">
        <v>0</v>
      </c>
      <c r="QG36" s="166">
        <v>3.0894632075471899</v>
      </c>
      <c r="QH36" s="166">
        <v>0</v>
      </c>
      <c r="QI36" s="162">
        <v>0</v>
      </c>
      <c r="QJ36" s="167">
        <v>0</v>
      </c>
      <c r="QK36" s="167">
        <v>0</v>
      </c>
      <c r="QL36" s="167">
        <v>0</v>
      </c>
      <c r="QM36" s="167">
        <v>0</v>
      </c>
      <c r="QN36" s="162">
        <v>0</v>
      </c>
      <c r="QO36" s="162">
        <v>0</v>
      </c>
      <c r="QP36" s="162">
        <v>0</v>
      </c>
      <c r="QQ36" s="162">
        <v>0</v>
      </c>
      <c r="QR36" s="162">
        <v>0</v>
      </c>
      <c r="QS36" s="162">
        <v>0</v>
      </c>
      <c r="QT36" s="162">
        <v>0</v>
      </c>
      <c r="QU36" s="162">
        <v>0</v>
      </c>
      <c r="QV36" s="162">
        <v>0</v>
      </c>
      <c r="QW36" s="162">
        <v>0</v>
      </c>
      <c r="QX36" s="162">
        <v>0</v>
      </c>
      <c r="QY36" s="162">
        <v>0.51850000000000995</v>
      </c>
      <c r="QZ36" s="162">
        <v>0</v>
      </c>
      <c r="RA36" s="167">
        <v>0</v>
      </c>
      <c r="RB36" s="167">
        <v>0</v>
      </c>
      <c r="RC36" s="167">
        <v>0</v>
      </c>
      <c r="RD36" s="167">
        <v>0</v>
      </c>
      <c r="RE36" s="167">
        <v>0</v>
      </c>
      <c r="RF36" s="167">
        <v>0</v>
      </c>
      <c r="RG36" s="167">
        <v>-2.6336414139936601</v>
      </c>
      <c r="RH36" s="167">
        <v>0</v>
      </c>
      <c r="RI36" s="167">
        <v>-0.51819049368352998</v>
      </c>
      <c r="RJ36" s="167">
        <v>0</v>
      </c>
      <c r="RK36" s="167">
        <v>0.83336842105262998</v>
      </c>
      <c r="RL36" s="167">
        <v>0</v>
      </c>
      <c r="RM36" s="166">
        <v>-118.96</v>
      </c>
      <c r="RN36" s="166">
        <v>-26.48</v>
      </c>
      <c r="RO36" s="166">
        <v>-0.22087481218068999</v>
      </c>
      <c r="RP36" s="166">
        <v>0</v>
      </c>
      <c r="RQ36" s="166">
        <v>-2.7912499999999998</v>
      </c>
      <c r="RR36" s="166">
        <v>0</v>
      </c>
      <c r="RS36" s="166">
        <v>0.23479440745134</v>
      </c>
      <c r="RT36" s="166">
        <v>0</v>
      </c>
      <c r="RU36" s="166">
        <v>-1.1678896166579999E-2</v>
      </c>
      <c r="RV36" s="166">
        <v>0</v>
      </c>
      <c r="RW36" s="166">
        <v>-1.8919869133574001</v>
      </c>
      <c r="RX36" s="166">
        <v>0</v>
      </c>
      <c r="RY36" s="166">
        <v>0.18330954041924</v>
      </c>
      <c r="RZ36" s="166">
        <v>0</v>
      </c>
      <c r="SA36" s="166">
        <v>-2.3322956230090001E-2</v>
      </c>
      <c r="SB36" s="166">
        <v>0</v>
      </c>
      <c r="SC36" s="166">
        <v>-2.3985672588832498</v>
      </c>
      <c r="SD36" s="166">
        <v>0</v>
      </c>
      <c r="SE36" s="166">
        <v>-0.46036159214005001</v>
      </c>
      <c r="SF36" s="166">
        <v>0</v>
      </c>
      <c r="SG36" s="166">
        <v>0</v>
      </c>
      <c r="SH36" s="166">
        <v>0</v>
      </c>
      <c r="SI36" s="166">
        <v>-3.3097500000000202</v>
      </c>
      <c r="SJ36" s="166">
        <v>0</v>
      </c>
      <c r="SK36" s="166">
        <v>0</v>
      </c>
      <c r="SL36" s="166">
        <v>0</v>
      </c>
      <c r="SM36" s="166">
        <v>0</v>
      </c>
      <c r="SN36" s="166">
        <v>0</v>
      </c>
      <c r="SO36" s="166">
        <v>0</v>
      </c>
      <c r="SP36" s="166">
        <v>0</v>
      </c>
      <c r="SQ36" s="166">
        <v>-118.96</v>
      </c>
      <c r="SR36" s="166">
        <v>-26.48</v>
      </c>
      <c r="SS36" s="166">
        <v>0</v>
      </c>
      <c r="ST36" s="166">
        <v>0</v>
      </c>
      <c r="SU36" s="166">
        <v>-3.5064632075471698</v>
      </c>
      <c r="SV36" s="166">
        <v>0</v>
      </c>
      <c r="SW36" s="166">
        <v>0</v>
      </c>
      <c r="SX36" s="166">
        <v>0</v>
      </c>
      <c r="SY36" s="166">
        <v>0</v>
      </c>
      <c r="SZ36" s="166">
        <v>0</v>
      </c>
      <c r="TA36" s="166">
        <v>0</v>
      </c>
      <c r="TB36" s="166">
        <v>0</v>
      </c>
      <c r="TC36" s="166">
        <v>0</v>
      </c>
      <c r="TD36" s="166">
        <v>0</v>
      </c>
      <c r="TE36" s="166">
        <v>0</v>
      </c>
      <c r="TF36" s="166">
        <v>0</v>
      </c>
      <c r="TG36" s="166">
        <v>0</v>
      </c>
      <c r="TH36" s="166">
        <v>0</v>
      </c>
      <c r="TI36" s="166">
        <v>0</v>
      </c>
      <c r="TJ36" s="166">
        <v>0</v>
      </c>
      <c r="TK36" s="166">
        <v>0</v>
      </c>
      <c r="TL36" s="166">
        <v>0</v>
      </c>
      <c r="TM36" s="166">
        <v>0</v>
      </c>
      <c r="TN36" s="166">
        <v>0</v>
      </c>
      <c r="TO36" s="166">
        <v>0</v>
      </c>
      <c r="TP36" s="166">
        <v>0</v>
      </c>
      <c r="TQ36" s="166">
        <v>0</v>
      </c>
      <c r="TR36" s="166">
        <v>0</v>
      </c>
      <c r="TS36" s="166">
        <v>-0.71521320754716999</v>
      </c>
      <c r="TT36" s="166">
        <v>0</v>
      </c>
      <c r="TU36" s="166">
        <v>-0.33496828654903998</v>
      </c>
      <c r="TV36" s="166">
        <v>0</v>
      </c>
      <c r="TW36" s="166">
        <v>0.18415944884839999</v>
      </c>
      <c r="TX36" s="166">
        <v>0</v>
      </c>
      <c r="TY36" s="166">
        <v>0</v>
      </c>
      <c r="TZ36" s="166">
        <v>0</v>
      </c>
      <c r="UA36" s="166">
        <v>-2.4215203097400001E-3</v>
      </c>
      <c r="UB36" s="166">
        <v>0</v>
      </c>
      <c r="UC36" s="166">
        <v>1.1546702643100001E-3</v>
      </c>
      <c r="UD36" s="166">
        <v>0</v>
      </c>
      <c r="UE36" s="166">
        <v>5.5284036842499999E-3</v>
      </c>
      <c r="UF36" s="166">
        <v>-10</v>
      </c>
      <c r="UG36" s="166">
        <v>0.22566933006371001</v>
      </c>
      <c r="UH36" s="166">
        <v>0</v>
      </c>
      <c r="UI36" s="166">
        <v>6.0505317604310001E-2</v>
      </c>
      <c r="UJ36" s="166">
        <v>0</v>
      </c>
      <c r="UK36" s="166">
        <v>-1.1357845616429999E-2</v>
      </c>
      <c r="UL36" s="166">
        <v>0</v>
      </c>
      <c r="UM36" s="166">
        <v>0</v>
      </c>
      <c r="UN36" s="166">
        <v>0</v>
      </c>
      <c r="UO36" s="166">
        <v>0</v>
      </c>
      <c r="UP36" s="166">
        <v>0</v>
      </c>
      <c r="UQ36" s="166">
        <v>0</v>
      </c>
      <c r="UR36" s="166">
        <v>0</v>
      </c>
      <c r="US36" s="163">
        <v>0</v>
      </c>
      <c r="UT36" s="163">
        <v>0</v>
      </c>
      <c r="UU36" s="163">
        <v>0</v>
      </c>
      <c r="UV36" s="163">
        <v>0</v>
      </c>
      <c r="UW36" s="163">
        <v>0</v>
      </c>
      <c r="UX36" s="163">
        <v>0</v>
      </c>
      <c r="UY36" s="166">
        <v>0.31080000000000002</v>
      </c>
      <c r="UZ36" s="166">
        <v>0</v>
      </c>
      <c r="VA36" s="166">
        <v>0</v>
      </c>
      <c r="VB36" s="166">
        <v>0</v>
      </c>
      <c r="VC36" s="166">
        <v>0</v>
      </c>
      <c r="VD36" s="166">
        <v>0</v>
      </c>
      <c r="VE36" s="267">
        <v>202</v>
      </c>
      <c r="VF36" s="267">
        <v>279</v>
      </c>
      <c r="VG36" s="267">
        <v>354</v>
      </c>
      <c r="VH36" s="267">
        <v>0</v>
      </c>
      <c r="VI36" s="267">
        <v>403</v>
      </c>
      <c r="VJ36" s="267">
        <v>0</v>
      </c>
      <c r="VK36" s="267">
        <v>0</v>
      </c>
      <c r="VL36" s="257">
        <v>0</v>
      </c>
      <c r="VM36" s="257">
        <v>0</v>
      </c>
      <c r="VN36" s="257">
        <v>0</v>
      </c>
      <c r="VO36" s="257">
        <v>0</v>
      </c>
      <c r="VP36" s="257">
        <v>0</v>
      </c>
      <c r="VQ36" s="257">
        <v>0</v>
      </c>
      <c r="VR36" s="257">
        <v>0</v>
      </c>
      <c r="VS36" s="257">
        <v>0</v>
      </c>
      <c r="VT36" s="257">
        <v>0</v>
      </c>
      <c r="VU36" s="257">
        <v>0</v>
      </c>
      <c r="VV36" s="257">
        <v>0</v>
      </c>
      <c r="VW36" s="257">
        <v>0</v>
      </c>
      <c r="VX36" s="257">
        <v>0</v>
      </c>
      <c r="VY36" s="257">
        <v>0</v>
      </c>
      <c r="VZ36" s="257">
        <v>0</v>
      </c>
      <c r="WA36" s="257">
        <v>0</v>
      </c>
      <c r="WB36" s="257">
        <v>0</v>
      </c>
      <c r="WC36" s="257">
        <v>0</v>
      </c>
      <c r="WD36" s="257">
        <v>0</v>
      </c>
      <c r="WE36" s="257">
        <v>0</v>
      </c>
      <c r="WF36" s="257">
        <v>0</v>
      </c>
      <c r="WG36" s="257">
        <v>0</v>
      </c>
      <c r="WH36" s="257">
        <v>0</v>
      </c>
      <c r="WI36" s="257">
        <v>0</v>
      </c>
      <c r="WJ36" s="257">
        <v>0</v>
      </c>
      <c r="WK36" s="257">
        <v>0</v>
      </c>
      <c r="WL36" s="257">
        <v>0</v>
      </c>
      <c r="WM36" s="257">
        <v>0</v>
      </c>
      <c r="WN36" s="257">
        <v>0</v>
      </c>
      <c r="WO36" s="257">
        <v>0</v>
      </c>
      <c r="WP36" s="257">
        <v>0</v>
      </c>
      <c r="WQ36" s="257">
        <v>0</v>
      </c>
      <c r="WR36" s="257">
        <v>0</v>
      </c>
      <c r="WS36" s="572">
        <v>81.833500000000001</v>
      </c>
      <c r="WT36" s="572">
        <v>64.920104384133609</v>
      </c>
      <c r="WU36" s="572">
        <v>71.753799582463472</v>
      </c>
      <c r="WV36" s="572">
        <v>75.170647181628397</v>
      </c>
      <c r="WW36" s="572">
        <v>115.48944885177454</v>
      </c>
      <c r="WX36" s="247">
        <v>15406.81004</v>
      </c>
      <c r="WY36" s="4">
        <v>78</v>
      </c>
      <c r="WZ36" s="4">
        <v>15</v>
      </c>
      <c r="XA36" s="4">
        <v>7.0000000000000009</v>
      </c>
      <c r="XB36" s="4">
        <v>0</v>
      </c>
      <c r="XC36" s="1037">
        <v>1125.5686891610574</v>
      </c>
      <c r="XD36" s="1037">
        <v>0</v>
      </c>
      <c r="XE36" s="1037">
        <v>0</v>
      </c>
      <c r="XF36" s="1037">
        <v>0</v>
      </c>
      <c r="XG36" s="1037">
        <v>0</v>
      </c>
      <c r="XH36" s="1037">
        <v>0</v>
      </c>
      <c r="XI36" s="1037">
        <v>1904.8085508879431</v>
      </c>
      <c r="XJ36" s="1037">
        <v>303.03772400490004</v>
      </c>
      <c r="XK36" s="1037">
        <v>1207.4599095798958</v>
      </c>
      <c r="XL36" s="1037">
        <v>0</v>
      </c>
      <c r="XM36" s="1037">
        <v>0</v>
      </c>
      <c r="XN36" s="1037">
        <v>0</v>
      </c>
      <c r="XO36" s="1037">
        <v>0</v>
      </c>
      <c r="XP36" s="1037">
        <v>0</v>
      </c>
      <c r="XQ36" s="1037">
        <v>2043.3936931352082</v>
      </c>
      <c r="XR36" s="1037">
        <v>325.08536027151041</v>
      </c>
      <c r="XS36" s="1037">
        <v>1264.9580005122718</v>
      </c>
      <c r="XT36" s="1037">
        <v>0</v>
      </c>
      <c r="XU36" s="1037">
        <v>0</v>
      </c>
      <c r="XV36" s="1037">
        <v>0</v>
      </c>
      <c r="XW36" s="1037">
        <v>0</v>
      </c>
      <c r="XX36" s="1037">
        <v>0</v>
      </c>
      <c r="XY36" s="1037">
        <v>2140.6981547130749</v>
      </c>
      <c r="XZ36" s="1037">
        <v>340.5656155225347</v>
      </c>
      <c r="YA36" s="1037">
        <v>1943.4354735143086</v>
      </c>
      <c r="YB36" s="1037">
        <v>0</v>
      </c>
      <c r="YC36" s="1037">
        <v>0</v>
      </c>
      <c r="YD36" s="1037">
        <v>0</v>
      </c>
      <c r="YE36" s="1037">
        <v>0</v>
      </c>
      <c r="YF36" s="1037">
        <v>0</v>
      </c>
      <c r="YG36" s="1037">
        <v>3288.8908013319065</v>
      </c>
      <c r="YH36" s="1037">
        <v>523.2326274846215</v>
      </c>
      <c r="YI36" s="1037">
        <v>1194.103316012197</v>
      </c>
      <c r="YJ36" s="1037">
        <v>505.19755677439105</v>
      </c>
      <c r="YK36" s="1037">
        <v>551.12460739024482</v>
      </c>
      <c r="YL36" s="1037">
        <v>0</v>
      </c>
      <c r="YM36" s="1037">
        <v>0</v>
      </c>
      <c r="YN36" s="1037">
        <v>0</v>
      </c>
      <c r="YO36" s="1037">
        <v>2020.7902270975642</v>
      </c>
      <c r="YP36" s="1037">
        <v>321.48935431097613</v>
      </c>
      <c r="YQ36" s="1037">
        <v>1280.9808018520939</v>
      </c>
      <c r="YR36" s="1037">
        <v>541.95341616819348</v>
      </c>
      <c r="YS36" s="1037">
        <v>591.22190854712017</v>
      </c>
      <c r="YT36" s="1037">
        <v>0</v>
      </c>
      <c r="YU36" s="1037">
        <v>0</v>
      </c>
      <c r="YV36" s="1037">
        <v>0</v>
      </c>
      <c r="YW36" s="1037">
        <v>2167.8136646727739</v>
      </c>
      <c r="YX36" s="1037">
        <v>344.87944665248682</v>
      </c>
      <c r="YY36" s="1037">
        <v>1341.9798876545744</v>
      </c>
      <c r="YZ36" s="1037">
        <v>567.76072170001225</v>
      </c>
      <c r="ZA36" s="1037">
        <v>619.37533276364968</v>
      </c>
      <c r="ZB36" s="1037">
        <v>0</v>
      </c>
      <c r="ZC36" s="1037">
        <v>0</v>
      </c>
      <c r="ZD36" s="1037">
        <v>0</v>
      </c>
      <c r="ZE36" s="1037">
        <v>2271.042886800049</v>
      </c>
      <c r="ZF36" s="1037">
        <v>361.30227744546238</v>
      </c>
      <c r="ZG36" s="1037">
        <v>2061.7691001238463</v>
      </c>
      <c r="ZH36" s="1037">
        <v>872.28692697547342</v>
      </c>
      <c r="ZI36" s="1037">
        <v>951.58573851869824</v>
      </c>
      <c r="ZJ36" s="1037">
        <v>0</v>
      </c>
      <c r="ZK36" s="1037">
        <v>0</v>
      </c>
      <c r="ZL36" s="1037">
        <v>0</v>
      </c>
      <c r="ZM36" s="1037">
        <v>3489.1477079018937</v>
      </c>
      <c r="ZN36" s="1037">
        <v>555.09168080257405</v>
      </c>
      <c r="ZO36" s="1037">
        <v>3177.8555990647183</v>
      </c>
      <c r="ZP36" s="1037">
        <v>1344.4773688350731</v>
      </c>
      <c r="ZQ36" s="1037">
        <v>1466.7025841837162</v>
      </c>
      <c r="ZR36" s="1037">
        <v>0</v>
      </c>
      <c r="ZS36" s="1037">
        <v>0</v>
      </c>
      <c r="ZT36" s="1037">
        <v>0</v>
      </c>
      <c r="ZU36" s="1037">
        <v>5377.9094753402924</v>
      </c>
      <c r="ZV36" s="1037">
        <v>855.57650744050113</v>
      </c>
      <c r="ZW36" s="1037">
        <v>3512.3667147557412</v>
      </c>
      <c r="ZX36" s="1037">
        <v>1486.0013023966596</v>
      </c>
      <c r="ZY36" s="1037">
        <v>1621.0923298872651</v>
      </c>
      <c r="ZZ36" s="1037">
        <v>0</v>
      </c>
      <c r="AAA36" s="1037">
        <v>0</v>
      </c>
      <c r="AAB36" s="1037">
        <v>0</v>
      </c>
      <c r="AAC36" s="1037">
        <v>5944.0052095866386</v>
      </c>
      <c r="AAD36" s="1037">
        <v>945.63719243423805</v>
      </c>
      <c r="AAE36" s="1037">
        <v>3679.6222726012525</v>
      </c>
      <c r="AAF36" s="1037">
        <v>1556.7632691774529</v>
      </c>
      <c r="AAG36" s="1037">
        <v>1698.2872027390397</v>
      </c>
      <c r="AAH36" s="1037">
        <v>0</v>
      </c>
      <c r="AAI36" s="1037">
        <v>0</v>
      </c>
      <c r="AAJ36" s="1037">
        <v>0</v>
      </c>
      <c r="AAK36" s="1037">
        <v>6227.0530767098116</v>
      </c>
      <c r="AAL36" s="1037">
        <v>990.6675349311065</v>
      </c>
      <c r="AAM36" s="1037">
        <v>5653.2378551782886</v>
      </c>
      <c r="AAN36" s="1037">
        <v>2391.7544771908142</v>
      </c>
      <c r="AAO36" s="1037">
        <v>2609.186702389979</v>
      </c>
      <c r="AAP36" s="1037">
        <v>0</v>
      </c>
      <c r="AAQ36" s="1037">
        <v>0</v>
      </c>
      <c r="AAR36" s="1037">
        <v>0</v>
      </c>
      <c r="AAS36" s="1037">
        <v>9567.0179087632569</v>
      </c>
      <c r="AAT36" s="1037">
        <v>1522.0255763941548</v>
      </c>
      <c r="AAU36" s="1037">
        <v>4371.9589150769161</v>
      </c>
      <c r="AAV36" s="1037">
        <v>1849.6749256094645</v>
      </c>
      <c r="AAW36" s="1037">
        <v>2017.827191573961</v>
      </c>
      <c r="AAX36" s="1037">
        <v>0</v>
      </c>
      <c r="AAY36" s="1037">
        <v>0</v>
      </c>
      <c r="AAZ36" s="1037">
        <v>0</v>
      </c>
      <c r="ABA36" s="1037">
        <v>7398.6997024378579</v>
      </c>
      <c r="ABB36" s="1037">
        <v>1177.0658617514775</v>
      </c>
      <c r="ABC36" s="1037">
        <v>4628.0596712075658</v>
      </c>
      <c r="ABD36" s="1037">
        <v>1958.025245510893</v>
      </c>
      <c r="ABE36" s="1037">
        <v>2136.0275405573375</v>
      </c>
      <c r="ABF36" s="1037">
        <v>0</v>
      </c>
      <c r="ABG36" s="1037">
        <v>0</v>
      </c>
      <c r="ABH36" s="1037">
        <v>0</v>
      </c>
      <c r="ABI36" s="1037">
        <v>7832.100982043572</v>
      </c>
      <c r="ABJ36" s="1037">
        <v>1246.0160653251139</v>
      </c>
      <c r="ABK36" s="1037">
        <v>4848.4434650745925</v>
      </c>
      <c r="ABL36" s="1037">
        <v>2051.2645429161735</v>
      </c>
      <c r="ABM36" s="1037">
        <v>2237.7431377267344</v>
      </c>
      <c r="ABN36" s="1037">
        <v>0</v>
      </c>
      <c r="ABO36" s="1037">
        <v>0</v>
      </c>
      <c r="ABP36" s="1037">
        <v>0</v>
      </c>
      <c r="ABQ36" s="1037">
        <v>8205.0581716646939</v>
      </c>
      <c r="ABR36" s="1037">
        <v>1305.3501636739288</v>
      </c>
      <c r="ABS36" s="1037">
        <v>13634.279533077048</v>
      </c>
      <c r="ABT36" s="1037">
        <v>5768.3490332249048</v>
      </c>
      <c r="ABU36" s="1037">
        <v>6292.7443998817134</v>
      </c>
      <c r="ABV36" s="1037">
        <v>0</v>
      </c>
      <c r="ABW36" s="1037">
        <v>0</v>
      </c>
      <c r="ABX36" s="1037">
        <v>0</v>
      </c>
      <c r="ABY36" s="1037">
        <v>23073.396132899619</v>
      </c>
      <c r="ABZ36" s="1037">
        <v>3670.7675665976667</v>
      </c>
      <c r="ACA36" s="1037">
        <v>5662.3608856062256</v>
      </c>
      <c r="ACB36" s="1037">
        <v>2395.6142208334031</v>
      </c>
      <c r="ACC36" s="1037">
        <v>2613.397331818258</v>
      </c>
      <c r="ACD36" s="1037">
        <v>0</v>
      </c>
      <c r="ACE36" s="1037">
        <v>0</v>
      </c>
      <c r="ACF36" s="1037">
        <v>0</v>
      </c>
      <c r="ACG36" s="1037">
        <v>9582.4568833336125</v>
      </c>
      <c r="ACH36" s="1037">
        <v>1524.481776893984</v>
      </c>
      <c r="ACI36" s="1037">
        <v>6053.6673377848956</v>
      </c>
      <c r="ACJ36" s="1037">
        <v>2561.1669506013018</v>
      </c>
      <c r="ACK36" s="1037">
        <v>2794.0003097468748</v>
      </c>
      <c r="ACL36" s="1037">
        <v>0</v>
      </c>
      <c r="ACM36" s="1037">
        <v>0</v>
      </c>
      <c r="ACN36" s="1037">
        <v>0</v>
      </c>
      <c r="ACO36" s="1037">
        <v>10244.667802405207</v>
      </c>
      <c r="ACP36" s="1037">
        <v>1629.8335140190104</v>
      </c>
      <c r="ACQ36" s="1037">
        <v>6341.9372110127479</v>
      </c>
      <c r="ACR36" s="1037">
        <v>2683.1272815823163</v>
      </c>
      <c r="ACS36" s="1037">
        <v>2927.0479435443449</v>
      </c>
      <c r="ACT36" s="1037">
        <v>0</v>
      </c>
      <c r="ACU36" s="1037">
        <v>0</v>
      </c>
      <c r="ACV36" s="1037">
        <v>0</v>
      </c>
      <c r="ACW36" s="1037">
        <v>10732.509126329265</v>
      </c>
      <c r="ACX36" s="1037">
        <v>1707.4446337342015</v>
      </c>
      <c r="ACY36" s="1037">
        <v>9743.521715101404</v>
      </c>
      <c r="ACZ36" s="1037">
        <v>4122.2591871582863</v>
      </c>
      <c r="ADA36" s="1037">
        <v>4497.0100223544941</v>
      </c>
      <c r="ADB36" s="1037">
        <v>0</v>
      </c>
      <c r="ADC36" s="1037">
        <v>0</v>
      </c>
      <c r="ADD36" s="1037">
        <v>0</v>
      </c>
      <c r="ADE36" s="1037">
        <v>16489.036748633145</v>
      </c>
      <c r="ADF36" s="1037">
        <v>2623.2558463734554</v>
      </c>
      <c r="ADG36" s="1037">
        <v>6914.2433943286906</v>
      </c>
      <c r="ADH36" s="1037">
        <v>2925.2568206775227</v>
      </c>
      <c r="ADI36" s="1037">
        <v>3191.1892589209338</v>
      </c>
      <c r="ADJ36" s="1037">
        <v>0</v>
      </c>
      <c r="ADK36" s="1037">
        <v>0</v>
      </c>
      <c r="ADL36" s="1037">
        <v>0</v>
      </c>
      <c r="ADM36" s="1037">
        <v>11701.027282710091</v>
      </c>
      <c r="ADN36" s="1037">
        <v>1861.5270677038784</v>
      </c>
      <c r="ADO36" s="1037">
        <v>7437.9530430121586</v>
      </c>
      <c r="ADP36" s="1037">
        <v>3146.8262874282209</v>
      </c>
      <c r="ADQ36" s="1037">
        <v>3432.9014044671499</v>
      </c>
      <c r="ADR36" s="1037">
        <v>0</v>
      </c>
      <c r="ADS36" s="1037">
        <v>0</v>
      </c>
      <c r="ADT36" s="1037">
        <v>0</v>
      </c>
      <c r="ADU36" s="1037">
        <v>12587.305149712884</v>
      </c>
      <c r="ADV36" s="1037">
        <v>2002.5258192725044</v>
      </c>
      <c r="ADW36" s="1037">
        <v>7792.1412831555945</v>
      </c>
      <c r="ADX36" s="1037">
        <v>3296.675158258136</v>
      </c>
      <c r="ADY36" s="1037">
        <v>3596.3728999179662</v>
      </c>
      <c r="ADZ36" s="1037">
        <v>0</v>
      </c>
      <c r="AEA36" s="1037">
        <v>0</v>
      </c>
      <c r="AEB36" s="1037">
        <v>0</v>
      </c>
      <c r="AEC36" s="1037">
        <v>13186.700633032544</v>
      </c>
      <c r="AED36" s="1037">
        <v>2097.8841916188139</v>
      </c>
      <c r="AEE36" s="1037">
        <v>11971.56251684814</v>
      </c>
      <c r="AEF36" s="1037">
        <v>5064.8918340511364</v>
      </c>
      <c r="AEG36" s="1037">
        <v>5525.3365462376032</v>
      </c>
      <c r="AEH36" s="1037">
        <v>0</v>
      </c>
      <c r="AEI36" s="1037">
        <v>0</v>
      </c>
      <c r="AEJ36" s="1037">
        <v>0</v>
      </c>
      <c r="AEK36" s="1037">
        <v>20259.567336204545</v>
      </c>
      <c r="AEL36" s="1037">
        <v>3223.1129853052689</v>
      </c>
      <c r="AEM36" s="1037">
        <v>7973.5285940169306</v>
      </c>
      <c r="AEN36" s="1037">
        <v>3373.4159436225477</v>
      </c>
      <c r="AEO36" s="1037">
        <v>3680.0901203155063</v>
      </c>
      <c r="AEP36" s="1037">
        <v>0</v>
      </c>
      <c r="AEQ36" s="1037">
        <v>0</v>
      </c>
      <c r="AER36" s="1037">
        <v>0</v>
      </c>
      <c r="AES36" s="1037">
        <v>13493.663774490191</v>
      </c>
      <c r="AET36" s="1037">
        <v>2146.7192368507122</v>
      </c>
      <c r="AEU36" s="1037">
        <v>8471.0020767638471</v>
      </c>
      <c r="AEV36" s="1037">
        <v>3583.8854940154733</v>
      </c>
      <c r="AEW36" s="1037">
        <v>3909.693266198698</v>
      </c>
      <c r="AEX36" s="1037">
        <v>0</v>
      </c>
      <c r="AEY36" s="1037">
        <v>0</v>
      </c>
      <c r="AEZ36" s="1037">
        <v>0</v>
      </c>
      <c r="AFA36" s="1037">
        <v>14335.541976061893</v>
      </c>
      <c r="AFB36" s="1037">
        <v>2280.6544052825743</v>
      </c>
      <c r="AFC36" s="1037">
        <v>8874.3831280383147</v>
      </c>
      <c r="AFD36" s="1037">
        <v>3754.5467080162098</v>
      </c>
      <c r="AFE36" s="1037">
        <v>4095.8691360176831</v>
      </c>
      <c r="AFF36" s="1037">
        <v>0</v>
      </c>
      <c r="AFG36" s="1037">
        <v>0</v>
      </c>
      <c r="AFH36" s="1037">
        <v>0</v>
      </c>
      <c r="AFI36" s="1037">
        <v>15018.186832064839</v>
      </c>
      <c r="AFJ36" s="1037">
        <v>2389.2569960103156</v>
      </c>
      <c r="AFK36" s="1037">
        <v>13634.279533077048</v>
      </c>
      <c r="AFL36" s="1037">
        <v>5768.3490332249048</v>
      </c>
      <c r="AFM36" s="1037">
        <v>6292.7443998817134</v>
      </c>
      <c r="AFN36" s="1037">
        <v>0</v>
      </c>
      <c r="AFO36" s="1037">
        <v>0</v>
      </c>
      <c r="AFP36" s="1037">
        <v>0</v>
      </c>
      <c r="AFQ36" s="1037">
        <v>23073.396132899619</v>
      </c>
      <c r="AFR36" s="1037">
        <v>3670.7675665976667</v>
      </c>
      <c r="AFS36" s="247">
        <v>3177.8555990647183</v>
      </c>
      <c r="AFT36" s="247">
        <v>1344.4773688350731</v>
      </c>
      <c r="AFU36" s="247">
        <v>1466.7025841837162</v>
      </c>
      <c r="AFV36" s="247">
        <v>0</v>
      </c>
      <c r="AFW36" s="247">
        <v>0</v>
      </c>
      <c r="AFX36" s="247">
        <v>0</v>
      </c>
      <c r="AFY36" s="247">
        <v>5377.9094753402924</v>
      </c>
      <c r="AFZ36" s="247">
        <v>855.57650744050113</v>
      </c>
      <c r="AGA36" s="247">
        <v>3512.3667147557412</v>
      </c>
      <c r="AGB36" s="247">
        <v>1486.0013023966596</v>
      </c>
      <c r="AGC36" s="247">
        <v>1621.0923298872651</v>
      </c>
      <c r="AGD36" s="247">
        <v>0</v>
      </c>
      <c r="AGE36" s="247">
        <v>0</v>
      </c>
      <c r="AGF36" s="247">
        <v>0</v>
      </c>
      <c r="AGG36" s="247">
        <v>5944.0052095866386</v>
      </c>
      <c r="AGH36" s="247">
        <v>945.63719243423805</v>
      </c>
      <c r="AGI36" s="247">
        <v>3679.6222726012525</v>
      </c>
      <c r="AGJ36" s="247">
        <v>1556.7632691774529</v>
      </c>
      <c r="AGK36" s="247">
        <v>1698.2872027390397</v>
      </c>
      <c r="AGL36" s="247">
        <v>0</v>
      </c>
      <c r="AGM36" s="247">
        <v>0</v>
      </c>
      <c r="AGN36" s="247">
        <v>0</v>
      </c>
      <c r="AGO36" s="247">
        <v>6227.0530767098116</v>
      </c>
      <c r="AGP36" s="247">
        <v>990.6675349311065</v>
      </c>
      <c r="AGQ36" s="247">
        <v>5653.2378551782886</v>
      </c>
      <c r="AGR36" s="247">
        <v>2391.7544771908142</v>
      </c>
      <c r="AGS36" s="247">
        <v>2609.186702389979</v>
      </c>
      <c r="AGT36" s="247">
        <v>0</v>
      </c>
      <c r="AGU36" s="247">
        <v>0</v>
      </c>
      <c r="AGV36" s="247">
        <v>0</v>
      </c>
      <c r="AGW36" s="247">
        <v>9567.0179087632569</v>
      </c>
      <c r="AGX36" s="247">
        <v>1522.0255763941548</v>
      </c>
      <c r="AGY36" s="249">
        <v>0</v>
      </c>
      <c r="AGZ36" s="249">
        <v>0</v>
      </c>
      <c r="AHA36" s="249">
        <v>0</v>
      </c>
      <c r="AHB36" s="249">
        <v>0</v>
      </c>
      <c r="AHC36" s="249">
        <v>0</v>
      </c>
      <c r="AHD36" s="249">
        <v>0</v>
      </c>
      <c r="AHE36" s="249">
        <v>0</v>
      </c>
      <c r="AHF36" s="249">
        <v>0</v>
      </c>
      <c r="AHG36" s="249">
        <v>0</v>
      </c>
      <c r="AHH36" s="249">
        <v>0</v>
      </c>
      <c r="AHI36" s="249">
        <v>0</v>
      </c>
      <c r="AHJ36" s="249">
        <v>0</v>
      </c>
      <c r="AHK36" s="249">
        <v>0</v>
      </c>
      <c r="AHL36" s="249">
        <v>0</v>
      </c>
      <c r="AHM36" s="249">
        <v>0</v>
      </c>
      <c r="AHN36" s="249">
        <v>0</v>
      </c>
      <c r="AHO36" s="249">
        <v>0</v>
      </c>
      <c r="AHP36" s="249">
        <v>0</v>
      </c>
      <c r="AHQ36" s="249">
        <v>0</v>
      </c>
      <c r="AHR36" s="249">
        <v>0</v>
      </c>
      <c r="AHS36" s="249">
        <v>0</v>
      </c>
      <c r="AHT36" s="249">
        <v>0</v>
      </c>
      <c r="AHU36" s="249">
        <v>0</v>
      </c>
      <c r="AHV36" s="249">
        <v>0</v>
      </c>
      <c r="AHW36" s="249">
        <v>0</v>
      </c>
      <c r="AHX36" s="249">
        <v>0</v>
      </c>
      <c r="AHY36" s="249">
        <v>0</v>
      </c>
      <c r="AHZ36" s="249">
        <v>0</v>
      </c>
      <c r="AIA36" s="249">
        <v>0</v>
      </c>
      <c r="AIB36" s="249">
        <v>0</v>
      </c>
      <c r="AIC36" s="249">
        <v>0</v>
      </c>
      <c r="AID36" s="249">
        <v>0</v>
      </c>
      <c r="AIE36" s="249"/>
      <c r="AIF36" s="249"/>
      <c r="AIG36" s="249"/>
      <c r="AIH36" s="249"/>
      <c r="AII36" s="249"/>
      <c r="AIJ36" s="249"/>
      <c r="AIK36" s="249"/>
      <c r="AIL36" s="249"/>
      <c r="AIM36" s="249">
        <v>0</v>
      </c>
      <c r="AIN36" s="249">
        <v>0</v>
      </c>
      <c r="AIO36" s="249">
        <v>0</v>
      </c>
      <c r="AIP36" s="249">
        <v>0</v>
      </c>
      <c r="AIQ36" s="249">
        <v>0</v>
      </c>
      <c r="AIR36" s="249">
        <v>0</v>
      </c>
      <c r="AIS36" s="249">
        <v>0</v>
      </c>
      <c r="AIT36" s="249">
        <v>0</v>
      </c>
      <c r="AIU36" s="134" t="s">
        <v>1216</v>
      </c>
      <c r="AIV36" s="134" t="s">
        <v>1219</v>
      </c>
      <c r="AIW36" s="134" t="s">
        <v>1218</v>
      </c>
      <c r="AIX36" s="134" t="s">
        <v>1217</v>
      </c>
      <c r="AIY36" s="134" t="s">
        <v>1228</v>
      </c>
      <c r="AIZ36" s="134" t="s">
        <v>1229</v>
      </c>
      <c r="AJA36" s="134" t="s">
        <v>1230</v>
      </c>
      <c r="AJB36" s="134" t="s">
        <v>1231</v>
      </c>
      <c r="AJC36" s="134" t="s">
        <v>1232</v>
      </c>
      <c r="AJD36" s="134" t="s">
        <v>1233</v>
      </c>
    </row>
    <row r="37" spans="1:940" ht="18" customHeight="1">
      <c r="A37" s="664" t="s">
        <v>8</v>
      </c>
      <c r="B37" s="669">
        <v>-0.3</v>
      </c>
      <c r="C37" s="6">
        <v>0.1</v>
      </c>
      <c r="D37" s="6">
        <v>0.1</v>
      </c>
      <c r="E37" s="74">
        <v>223.22222222222223</v>
      </c>
      <c r="F37" s="75">
        <v>-7.6</v>
      </c>
      <c r="G37" s="7">
        <v>-4.5</v>
      </c>
      <c r="H37" s="7">
        <v>-4.5</v>
      </c>
      <c r="I37" s="266">
        <v>350</v>
      </c>
      <c r="J37" s="125">
        <v>0</v>
      </c>
      <c r="K37" s="125">
        <v>0</v>
      </c>
      <c r="L37" s="125">
        <v>0</v>
      </c>
      <c r="M37" s="1">
        <v>689.39284274161412</v>
      </c>
      <c r="N37" s="2">
        <v>12</v>
      </c>
      <c r="O37" s="8">
        <v>0.5</v>
      </c>
      <c r="P37" s="8">
        <v>0.8</v>
      </c>
      <c r="Q37" s="8">
        <v>0.8</v>
      </c>
      <c r="R37" s="7">
        <v>0.8</v>
      </c>
      <c r="S37" s="7">
        <v>0.2</v>
      </c>
      <c r="T37" s="7">
        <v>94.7</v>
      </c>
      <c r="U37" s="7">
        <v>4.3</v>
      </c>
      <c r="V37" s="71">
        <v>0</v>
      </c>
      <c r="W37" s="119">
        <v>2</v>
      </c>
      <c r="X37" s="120">
        <v>1.5</v>
      </c>
      <c r="Y37" s="119">
        <v>1</v>
      </c>
      <c r="Z37" s="120">
        <v>0.8</v>
      </c>
      <c r="AA37" s="120">
        <v>0.5</v>
      </c>
      <c r="AB37" s="559">
        <v>433.01922201480062</v>
      </c>
      <c r="AC37" s="559">
        <v>470.67306740739195</v>
      </c>
      <c r="AD37" s="559">
        <v>433.37222681535616</v>
      </c>
      <c r="AE37" s="559">
        <v>649.0581599547935</v>
      </c>
      <c r="AF37" s="622">
        <v>0.82209484106305364</v>
      </c>
      <c r="AG37" s="559">
        <v>261.91600618637949</v>
      </c>
      <c r="AH37" s="559">
        <v>284.69131107215162</v>
      </c>
      <c r="AI37" s="559">
        <v>262.12952466968363</v>
      </c>
      <c r="AJ37" s="559">
        <v>392.58931796849708</v>
      </c>
      <c r="AK37" s="622">
        <v>0.96717040125065135</v>
      </c>
      <c r="AL37" s="995">
        <v>0.1</v>
      </c>
      <c r="AM37" s="995">
        <v>0.3</v>
      </c>
      <c r="AN37" s="995">
        <v>0.5</v>
      </c>
      <c r="AO37" s="995">
        <v>0.8</v>
      </c>
      <c r="AP37" s="995">
        <v>1</v>
      </c>
      <c r="AQ37" s="995">
        <v>1.2</v>
      </c>
      <c r="AR37" s="995">
        <v>1.5</v>
      </c>
      <c r="AS37" s="1005">
        <v>0</v>
      </c>
      <c r="AT37" s="1005">
        <v>10</v>
      </c>
      <c r="AU37" s="1005">
        <v>20</v>
      </c>
      <c r="AV37" s="1005">
        <v>70</v>
      </c>
      <c r="AW37" s="1005">
        <v>100</v>
      </c>
      <c r="AX37" s="1">
        <v>7388.5637462906834</v>
      </c>
      <c r="AY37" s="5">
        <v>1.74</v>
      </c>
      <c r="AZ37" s="8">
        <v>1.4</v>
      </c>
      <c r="BA37" s="8">
        <v>0.9</v>
      </c>
      <c r="BB37" s="8">
        <v>0.9</v>
      </c>
      <c r="BC37" s="73">
        <v>0.17577939230295198</v>
      </c>
      <c r="BD37" s="73">
        <v>0.17366977723647017</v>
      </c>
      <c r="BE37" s="9">
        <v>0.2629495213426396</v>
      </c>
      <c r="BF37" s="9">
        <v>5.0037767411100699E-2</v>
      </c>
      <c r="BG37" s="9">
        <v>0.48317161965461464</v>
      </c>
      <c r="BH37" s="9">
        <v>42.941497793929337</v>
      </c>
      <c r="BI37" s="9">
        <v>1.3016100587745205</v>
      </c>
      <c r="BJ37" s="9">
        <v>2.5371433573121271E-2</v>
      </c>
      <c r="BK37" s="9">
        <v>54.707983349920738</v>
      </c>
      <c r="BL37" s="9">
        <v>5.6355298946078519E-2</v>
      </c>
      <c r="BM37" s="9">
        <v>8.3882554697909328E-4</v>
      </c>
      <c r="BN37" s="9">
        <v>2.9987000230170493E-4</v>
      </c>
      <c r="BO37" s="9">
        <v>0</v>
      </c>
      <c r="BP37" s="9">
        <v>1.9856256909166946E-4</v>
      </c>
      <c r="BQ37" s="9">
        <v>0</v>
      </c>
      <c r="BR37" s="9">
        <v>9.8106118320598311E-3</v>
      </c>
      <c r="BS37" s="9">
        <v>0.15987528649742111</v>
      </c>
      <c r="BT37" s="262">
        <v>261.13475999999997</v>
      </c>
      <c r="BU37" s="262">
        <v>96.5</v>
      </c>
      <c r="BV37" s="262">
        <v>63.215999999999994</v>
      </c>
      <c r="BW37" s="262">
        <v>233.35949490734063</v>
      </c>
      <c r="BX37" s="262">
        <v>157.40783999999999</v>
      </c>
      <c r="BY37" s="68"/>
      <c r="BZ37" s="262">
        <v>256.20808011776955</v>
      </c>
      <c r="CA37" s="262">
        <v>165.17663999999999</v>
      </c>
      <c r="CB37" s="68"/>
      <c r="CC37" s="785">
        <v>0</v>
      </c>
      <c r="CD37" s="262">
        <v>6.585</v>
      </c>
      <c r="CE37" s="262">
        <v>1.3169999999999999</v>
      </c>
      <c r="CF37" s="262">
        <v>38</v>
      </c>
      <c r="CG37" s="262">
        <v>225.83915999999996</v>
      </c>
      <c r="CH37" s="68">
        <v>0.2</v>
      </c>
      <c r="CI37" s="262">
        <v>175.08124000000001</v>
      </c>
      <c r="CJ37" s="262">
        <v>60.4</v>
      </c>
      <c r="CK37" s="262">
        <v>42.384</v>
      </c>
      <c r="CL37" s="262">
        <v>156.45894761061641</v>
      </c>
      <c r="CM37" s="262">
        <v>105.53616</v>
      </c>
      <c r="CN37" s="68"/>
      <c r="CO37" s="262">
        <v>159.24945066654416</v>
      </c>
      <c r="CP37" s="262">
        <v>102.66767999999999</v>
      </c>
      <c r="CQ37" s="68"/>
      <c r="CR37" s="262">
        <v>0</v>
      </c>
      <c r="CS37" s="262">
        <v>4.415</v>
      </c>
      <c r="CT37" s="262">
        <v>0.88300000000000001</v>
      </c>
      <c r="CU37" s="262">
        <v>27</v>
      </c>
      <c r="CV37" s="262">
        <v>151.41683999999998</v>
      </c>
      <c r="CW37" s="68">
        <v>0.2</v>
      </c>
      <c r="CX37" s="120">
        <v>0.3</v>
      </c>
      <c r="CY37" s="120">
        <v>0.7</v>
      </c>
      <c r="CZ37" s="120">
        <v>1.2</v>
      </c>
      <c r="DA37" s="120">
        <v>1.2</v>
      </c>
      <c r="DB37" s="119">
        <v>3</v>
      </c>
      <c r="DC37" s="1005">
        <v>0</v>
      </c>
      <c r="DD37" s="1005">
        <v>10</v>
      </c>
      <c r="DE37" s="1005">
        <v>20</v>
      </c>
      <c r="DF37" s="1005">
        <v>70</v>
      </c>
      <c r="DG37" s="1005">
        <v>100</v>
      </c>
      <c r="DH37" s="2">
        <v>5.1160712608838885</v>
      </c>
      <c r="DI37" s="2">
        <v>18</v>
      </c>
      <c r="DJ37" s="63">
        <v>12</v>
      </c>
      <c r="DK37" s="8">
        <v>2.8</v>
      </c>
      <c r="DL37" s="10">
        <v>2</v>
      </c>
      <c r="DM37" s="10">
        <v>2</v>
      </c>
      <c r="DN37" s="1030" t="s">
        <v>1029</v>
      </c>
      <c r="DO37" s="1030" t="s">
        <v>1030</v>
      </c>
      <c r="DP37" s="1030" t="s">
        <v>1031</v>
      </c>
      <c r="DQ37" s="1030" t="s">
        <v>997</v>
      </c>
      <c r="DR37" s="1030" t="s">
        <v>997</v>
      </c>
      <c r="DS37" s="1030" t="s">
        <v>997</v>
      </c>
      <c r="DT37" s="1030" t="s">
        <v>997</v>
      </c>
      <c r="DU37" s="1097">
        <v>1306.7162288072805</v>
      </c>
      <c r="DV37" s="1097">
        <v>519.05714372327691</v>
      </c>
      <c r="DW37" s="1097">
        <v>2538.7266274694425</v>
      </c>
      <c r="DX37" s="1097">
        <v>0</v>
      </c>
      <c r="DY37" s="1097">
        <v>0</v>
      </c>
      <c r="DZ37" s="1097">
        <v>0</v>
      </c>
      <c r="EA37" s="1097">
        <v>0</v>
      </c>
      <c r="EB37" s="207">
        <v>4.3644999999999996</v>
      </c>
      <c r="EC37" s="207">
        <v>18</v>
      </c>
      <c r="ED37" s="221">
        <v>5</v>
      </c>
      <c r="EE37" s="214">
        <v>2.8</v>
      </c>
      <c r="EF37" s="216">
        <v>2</v>
      </c>
      <c r="EG37" s="216">
        <v>2</v>
      </c>
      <c r="EH37" s="208" t="s">
        <v>1053</v>
      </c>
      <c r="EI37" s="208" t="s">
        <v>1029</v>
      </c>
      <c r="EJ37" s="208" t="s">
        <v>1030</v>
      </c>
      <c r="EK37" s="208" t="s">
        <v>1097</v>
      </c>
      <c r="EL37" s="208" t="s">
        <v>1031</v>
      </c>
      <c r="EM37" s="208" t="s">
        <v>1116</v>
      </c>
      <c r="EN37" s="208" t="s">
        <v>1122</v>
      </c>
      <c r="EO37" s="208" t="s">
        <v>1128</v>
      </c>
      <c r="EP37" s="208" t="s">
        <v>1134</v>
      </c>
      <c r="EQ37" s="208" t="s">
        <v>1139</v>
      </c>
      <c r="ER37" s="208" t="s">
        <v>1144</v>
      </c>
      <c r="ES37" s="212" t="s">
        <v>1147</v>
      </c>
      <c r="ET37" s="208" t="s">
        <v>1151</v>
      </c>
      <c r="EU37" s="204" t="s">
        <v>997</v>
      </c>
      <c r="EV37" s="204" t="s">
        <v>997</v>
      </c>
      <c r="EW37" s="204" t="s">
        <v>997</v>
      </c>
      <c r="EX37" s="204" t="s">
        <v>997</v>
      </c>
      <c r="EY37" s="204" t="s">
        <v>997</v>
      </c>
      <c r="EZ37" s="204" t="s">
        <v>997</v>
      </c>
      <c r="FA37" s="204" t="s">
        <v>997</v>
      </c>
      <c r="FB37" s="204" t="s">
        <v>997</v>
      </c>
      <c r="FC37" s="204" t="s">
        <v>997</v>
      </c>
      <c r="FD37" s="204" t="s">
        <v>997</v>
      </c>
      <c r="FE37" s="204" t="s">
        <v>997</v>
      </c>
      <c r="FF37" s="204" t="s">
        <v>997</v>
      </c>
      <c r="FG37" s="204" t="s">
        <v>997</v>
      </c>
      <c r="FH37" s="204" t="s">
        <v>997</v>
      </c>
      <c r="FI37" s="204" t="s">
        <v>997</v>
      </c>
      <c r="FJ37" s="204" t="s">
        <v>997</v>
      </c>
      <c r="FK37" s="204" t="s">
        <v>997</v>
      </c>
      <c r="FL37" s="204" t="s">
        <v>997</v>
      </c>
      <c r="FM37" s="204" t="s">
        <v>997</v>
      </c>
      <c r="FN37" s="204" t="s">
        <v>997</v>
      </c>
      <c r="FO37" s="204" t="s">
        <v>997</v>
      </c>
      <c r="FP37" s="204" t="s">
        <v>997</v>
      </c>
      <c r="FQ37" s="204" t="s">
        <v>997</v>
      </c>
      <c r="FR37" s="204" t="s">
        <v>997</v>
      </c>
      <c r="FS37" s="204" t="s">
        <v>997</v>
      </c>
      <c r="FT37" s="204" t="s">
        <v>997</v>
      </c>
      <c r="FU37" s="204" t="s">
        <v>997</v>
      </c>
      <c r="FV37" s="204" t="s">
        <v>997</v>
      </c>
      <c r="FW37" s="204" t="s">
        <v>997</v>
      </c>
      <c r="FX37" s="204" t="s">
        <v>997</v>
      </c>
      <c r="FY37" s="204" t="s">
        <v>997</v>
      </c>
      <c r="FZ37" s="204" t="s">
        <v>997</v>
      </c>
      <c r="GA37" s="204" t="s">
        <v>997</v>
      </c>
      <c r="GB37" s="204" t="s">
        <v>997</v>
      </c>
      <c r="GC37" s="204" t="s">
        <v>997</v>
      </c>
      <c r="GD37" s="204" t="s">
        <v>997</v>
      </c>
      <c r="GE37" s="204" t="s">
        <v>997</v>
      </c>
      <c r="GF37" s="204" t="s">
        <v>997</v>
      </c>
      <c r="GG37" s="204" t="s">
        <v>997</v>
      </c>
      <c r="GH37" s="204" t="s">
        <v>997</v>
      </c>
      <c r="GI37" s="204" t="s">
        <v>997</v>
      </c>
      <c r="GJ37" s="204" t="s">
        <v>997</v>
      </c>
      <c r="GK37" s="204" t="s">
        <v>997</v>
      </c>
      <c r="GL37" s="204" t="s">
        <v>997</v>
      </c>
      <c r="GM37" s="204" t="s">
        <v>997</v>
      </c>
      <c r="GN37" s="1051">
        <v>1249.9647037307973</v>
      </c>
      <c r="GO37" s="1051">
        <v>485.29919531821508</v>
      </c>
      <c r="GP37" s="1051">
        <v>89.397220190197501</v>
      </c>
      <c r="GQ37" s="1051">
        <v>253.82425018288222</v>
      </c>
      <c r="GR37" s="1051">
        <v>443.79334308705199</v>
      </c>
      <c r="GS37" s="1051">
        <v>279.36631309436723</v>
      </c>
      <c r="GT37" s="1051">
        <v>132.49945135332848</v>
      </c>
      <c r="GU37" s="1051">
        <v>241.05321872713972</v>
      </c>
      <c r="GV37" s="1051">
        <v>35.120336503291881</v>
      </c>
      <c r="GW37" s="1051">
        <v>78.222567666422833</v>
      </c>
      <c r="GX37" s="1051">
        <v>718.37051938551576</v>
      </c>
      <c r="GY37" s="1051">
        <v>153.25237746891005</v>
      </c>
      <c r="GZ37" s="1051">
        <v>204.33650329188004</v>
      </c>
      <c r="HA37" s="1051">
        <v>0</v>
      </c>
      <c r="HB37" s="1051">
        <v>0</v>
      </c>
      <c r="HC37" s="1051">
        <v>0</v>
      </c>
      <c r="HD37" s="1051">
        <v>0</v>
      </c>
      <c r="HE37" s="1051">
        <v>0</v>
      </c>
      <c r="HF37" s="1051">
        <v>0</v>
      </c>
      <c r="HG37" s="1051">
        <v>0</v>
      </c>
      <c r="HH37" s="1051">
        <v>0</v>
      </c>
      <c r="HI37" s="1051">
        <v>0</v>
      </c>
      <c r="HJ37" s="1051">
        <v>0</v>
      </c>
      <c r="HK37" s="1051">
        <v>0</v>
      </c>
      <c r="HL37" s="1051">
        <v>0</v>
      </c>
      <c r="HM37" s="1051">
        <v>0</v>
      </c>
      <c r="HN37" s="1051">
        <v>0</v>
      </c>
      <c r="HO37" s="1051">
        <v>0</v>
      </c>
      <c r="HP37" s="1051">
        <v>0</v>
      </c>
      <c r="HQ37" s="1051">
        <v>0</v>
      </c>
      <c r="HR37" s="1051">
        <v>0</v>
      </c>
      <c r="HS37" s="1051">
        <v>0</v>
      </c>
      <c r="HT37" s="1051">
        <v>0</v>
      </c>
      <c r="HU37" s="1051">
        <v>0</v>
      </c>
      <c r="HV37" s="1051">
        <v>0</v>
      </c>
      <c r="HW37" s="1051">
        <v>0</v>
      </c>
      <c r="HX37" s="1051">
        <v>0</v>
      </c>
      <c r="HY37" s="1051">
        <v>0</v>
      </c>
      <c r="HZ37" s="1051">
        <v>0</v>
      </c>
      <c r="IA37" s="1051">
        <v>0</v>
      </c>
      <c r="IB37" s="1051">
        <v>0</v>
      </c>
      <c r="IC37" s="1051">
        <v>0</v>
      </c>
      <c r="ID37" s="1051">
        <v>0</v>
      </c>
      <c r="IE37" s="1051">
        <v>0</v>
      </c>
      <c r="IF37" s="1051">
        <v>0</v>
      </c>
      <c r="IG37" s="1051">
        <v>0</v>
      </c>
      <c r="IH37" s="1051">
        <v>0</v>
      </c>
      <c r="II37" s="1051">
        <v>0</v>
      </c>
      <c r="IJ37" s="1051">
        <v>0</v>
      </c>
      <c r="IK37" s="1051">
        <v>0</v>
      </c>
      <c r="IL37" s="1051">
        <v>0</v>
      </c>
      <c r="IM37" s="1051">
        <v>0</v>
      </c>
      <c r="IN37" s="1051">
        <v>0</v>
      </c>
      <c r="IO37" s="1051">
        <v>0</v>
      </c>
      <c r="IP37" s="1051">
        <v>0</v>
      </c>
      <c r="IQ37" s="1051">
        <v>0</v>
      </c>
      <c r="IR37" s="1051">
        <v>0</v>
      </c>
      <c r="IS37" s="1051">
        <v>0</v>
      </c>
      <c r="IT37" s="215">
        <v>599.65114313615823</v>
      </c>
      <c r="IU37" s="207">
        <v>179.9</v>
      </c>
      <c r="IV37" s="216">
        <v>2647.0800000000199</v>
      </c>
      <c r="IW37" s="272">
        <v>12.64</v>
      </c>
      <c r="IX37" s="207">
        <v>50</v>
      </c>
      <c r="IY37" s="204">
        <v>2.8</v>
      </c>
      <c r="IZ37" s="207">
        <v>2</v>
      </c>
      <c r="JA37" s="207">
        <v>2</v>
      </c>
      <c r="JB37" s="52">
        <v>2</v>
      </c>
      <c r="JC37" s="24">
        <v>1.5</v>
      </c>
      <c r="JD37" s="24">
        <v>0.7</v>
      </c>
      <c r="JE37" s="24">
        <v>0.7</v>
      </c>
      <c r="JF37" s="24">
        <v>0.5</v>
      </c>
      <c r="JG37" s="1"/>
      <c r="JH37" s="216">
        <v>2647.0800000000199</v>
      </c>
      <c r="JI37" s="272">
        <v>12.64</v>
      </c>
      <c r="JJ37" s="207">
        <v>50</v>
      </c>
      <c r="JK37" s="8">
        <v>2.2999999999999998</v>
      </c>
      <c r="JL37" s="10">
        <v>0.8</v>
      </c>
      <c r="JM37" s="10">
        <v>0.8</v>
      </c>
      <c r="JN37" s="216">
        <v>2</v>
      </c>
      <c r="JO37" s="216">
        <v>2</v>
      </c>
      <c r="JP37" s="216">
        <v>1</v>
      </c>
      <c r="JQ37" s="216">
        <v>1</v>
      </c>
      <c r="JR37" s="214">
        <v>0.5</v>
      </c>
      <c r="JS37" s="1212">
        <v>2000</v>
      </c>
      <c r="JT37" s="215"/>
      <c r="JU37" s="215">
        <v>500</v>
      </c>
      <c r="JV37" s="207">
        <v>1.3</v>
      </c>
      <c r="JW37" s="207">
        <v>0.9</v>
      </c>
      <c r="JX37" s="207">
        <v>0.9</v>
      </c>
      <c r="JY37" s="214">
        <v>2</v>
      </c>
      <c r="JZ37" s="214">
        <v>1.5</v>
      </c>
      <c r="KA37" s="214">
        <v>0.5</v>
      </c>
      <c r="KB37" s="214">
        <v>1</v>
      </c>
      <c r="KC37" s="214">
        <v>0.5</v>
      </c>
      <c r="KD37" s="1186">
        <v>10.304363065634039</v>
      </c>
      <c r="KE37" s="1186">
        <v>0.23087125418216814</v>
      </c>
      <c r="KF37" s="1186">
        <v>88.842296501240227</v>
      </c>
      <c r="KG37" s="1186"/>
      <c r="KH37" s="1186">
        <v>0.15547862691550929</v>
      </c>
      <c r="KI37" s="1186">
        <v>0.46694788500640327</v>
      </c>
      <c r="KJ37" s="1186">
        <v>0</v>
      </c>
      <c r="KK37" s="1186">
        <v>4.2667021656286847E-5</v>
      </c>
      <c r="KL37" s="1186"/>
      <c r="KM37" s="1187">
        <v>580</v>
      </c>
      <c r="KN37" s="1187">
        <v>580</v>
      </c>
      <c r="KO37" s="1187">
        <v>580</v>
      </c>
      <c r="KP37" s="1187">
        <v>580</v>
      </c>
      <c r="KQ37" s="1187"/>
      <c r="KR37" s="1187">
        <v>580</v>
      </c>
      <c r="KS37" s="1187">
        <v>580</v>
      </c>
      <c r="KT37" s="1187">
        <v>580</v>
      </c>
      <c r="KU37" s="1187">
        <v>580</v>
      </c>
      <c r="KV37" s="262">
        <v>370</v>
      </c>
      <c r="KW37" s="262">
        <v>370</v>
      </c>
      <c r="KX37" s="262">
        <v>370</v>
      </c>
      <c r="KY37" s="262">
        <v>370</v>
      </c>
      <c r="KZ37" s="262"/>
      <c r="LA37" s="262">
        <v>370</v>
      </c>
      <c r="LB37" s="262">
        <v>370</v>
      </c>
      <c r="LC37" s="262">
        <v>370</v>
      </c>
      <c r="LD37" s="262">
        <v>370</v>
      </c>
      <c r="LE37" s="1213">
        <v>0</v>
      </c>
      <c r="LF37" s="1213">
        <v>10</v>
      </c>
      <c r="LG37" s="1213">
        <v>20</v>
      </c>
      <c r="LH37" s="1213">
        <v>70</v>
      </c>
      <c r="LI37" s="1213">
        <v>100</v>
      </c>
      <c r="LJ37" s="1212">
        <v>1000</v>
      </c>
      <c r="LK37" s="1"/>
      <c r="LL37" s="4">
        <v>29</v>
      </c>
      <c r="LM37" s="8">
        <v>1.2</v>
      </c>
      <c r="LN37" s="10">
        <v>0.7</v>
      </c>
      <c r="LO37" s="10">
        <v>0.7</v>
      </c>
      <c r="LP37" s="214">
        <v>2</v>
      </c>
      <c r="LQ37" s="214">
        <v>1</v>
      </c>
      <c r="LR37" s="214">
        <v>0.5</v>
      </c>
      <c r="LS37" s="214">
        <v>0.7</v>
      </c>
      <c r="LT37" s="214">
        <v>0.2</v>
      </c>
      <c r="LU37" s="1212">
        <v>1500</v>
      </c>
      <c r="LV37" s="122">
        <v>0</v>
      </c>
      <c r="LW37" s="122">
        <v>0</v>
      </c>
      <c r="LX37" s="122">
        <v>0</v>
      </c>
      <c r="LY37" s="165">
        <v>0</v>
      </c>
      <c r="LZ37" s="165">
        <v>0</v>
      </c>
      <c r="MA37" s="165">
        <v>0</v>
      </c>
      <c r="MB37" s="165">
        <v>0</v>
      </c>
      <c r="MC37" s="165">
        <v>0</v>
      </c>
      <c r="MD37" s="165">
        <v>0</v>
      </c>
      <c r="ME37" s="165">
        <v>0</v>
      </c>
      <c r="MF37" s="165">
        <v>0</v>
      </c>
      <c r="MG37" s="165">
        <v>0</v>
      </c>
      <c r="MH37" s="165">
        <v>0</v>
      </c>
      <c r="MI37" s="165">
        <v>0</v>
      </c>
      <c r="MJ37" s="165">
        <v>0</v>
      </c>
      <c r="MK37" s="165">
        <v>0</v>
      </c>
      <c r="ML37" s="165">
        <v>0</v>
      </c>
      <c r="MM37" s="165">
        <v>0</v>
      </c>
      <c r="MN37" s="165">
        <v>0</v>
      </c>
      <c r="MO37" s="165">
        <v>0</v>
      </c>
      <c r="MP37" s="165">
        <v>0</v>
      </c>
      <c r="MQ37" s="165">
        <v>0</v>
      </c>
      <c r="MR37" s="165">
        <v>0</v>
      </c>
      <c r="MS37" s="165">
        <v>0</v>
      </c>
      <c r="MT37" s="165">
        <v>0</v>
      </c>
      <c r="MU37" s="165">
        <v>0</v>
      </c>
      <c r="MV37" s="165">
        <v>0</v>
      </c>
      <c r="MW37" s="166">
        <v>1.1802250352920001</v>
      </c>
      <c r="MX37" s="166">
        <v>0</v>
      </c>
      <c r="MY37" s="166">
        <v>5.3499999999999999E-2</v>
      </c>
      <c r="MZ37" s="166">
        <v>0.13450000000000001</v>
      </c>
      <c r="NA37" s="166">
        <v>0.91430403371207003</v>
      </c>
      <c r="NB37" s="166">
        <v>0</v>
      </c>
      <c r="NC37" s="166">
        <v>1.44309212774351</v>
      </c>
      <c r="ND37" s="166">
        <v>0</v>
      </c>
      <c r="NE37" s="166">
        <v>5.3499999999999999E-2</v>
      </c>
      <c r="NF37" s="166">
        <v>0.1305</v>
      </c>
      <c r="NG37" s="166">
        <v>4.8020294252330002E-2</v>
      </c>
      <c r="NH37" s="166">
        <v>0</v>
      </c>
      <c r="NI37" s="166">
        <v>0.79727044490609</v>
      </c>
      <c r="NJ37" s="166">
        <v>0</v>
      </c>
      <c r="NK37" s="166">
        <v>5.3499999999999999E-2</v>
      </c>
      <c r="NL37" s="166">
        <v>0.151</v>
      </c>
      <c r="NM37" s="166">
        <v>-0.76343130204742005</v>
      </c>
      <c r="NN37" s="166">
        <v>0</v>
      </c>
      <c r="NO37" s="166">
        <v>0</v>
      </c>
      <c r="NP37" s="166">
        <v>0</v>
      </c>
      <c r="NQ37" s="166">
        <v>0</v>
      </c>
      <c r="NR37" s="166">
        <v>0</v>
      </c>
      <c r="NS37" s="166">
        <v>0</v>
      </c>
      <c r="NT37" s="166">
        <v>0</v>
      </c>
      <c r="NU37" s="166">
        <v>0.98527778694737</v>
      </c>
      <c r="NV37" s="166">
        <v>0</v>
      </c>
      <c r="NW37" s="166">
        <v>5.3499999999999999E-2</v>
      </c>
      <c r="NX37" s="166">
        <v>0.151</v>
      </c>
      <c r="NY37" s="166">
        <v>2.52321914580414</v>
      </c>
      <c r="NZ37" s="166">
        <v>0</v>
      </c>
      <c r="OA37" s="166">
        <v>-27.32</v>
      </c>
      <c r="OB37" s="166">
        <v>-11.12</v>
      </c>
      <c r="OC37" s="166">
        <v>-6.9848042083239997E-2</v>
      </c>
      <c r="OD37" s="166">
        <v>0</v>
      </c>
      <c r="OE37" s="166">
        <v>-0.98465370781859995</v>
      </c>
      <c r="OF37" s="166">
        <v>0</v>
      </c>
      <c r="OG37" s="166">
        <v>9.4153235804040003E-2</v>
      </c>
      <c r="OH37" s="166">
        <v>0</v>
      </c>
      <c r="OI37" s="166">
        <v>-2.7839364740900002E-3</v>
      </c>
      <c r="OJ37" s="166">
        <v>0</v>
      </c>
      <c r="OK37" s="166">
        <v>-0.8629837145</v>
      </c>
      <c r="OL37" s="166">
        <v>0</v>
      </c>
      <c r="OM37" s="166">
        <v>0</v>
      </c>
      <c r="ON37" s="166">
        <v>0</v>
      </c>
      <c r="OO37" s="166">
        <v>0</v>
      </c>
      <c r="OP37" s="166">
        <v>0</v>
      </c>
      <c r="OQ37" s="166">
        <v>0</v>
      </c>
      <c r="OR37" s="166">
        <v>0</v>
      </c>
      <c r="OS37" s="166">
        <v>0</v>
      </c>
      <c r="OT37" s="166">
        <v>0</v>
      </c>
      <c r="OU37" s="166">
        <v>0</v>
      </c>
      <c r="OV37" s="166">
        <v>0</v>
      </c>
      <c r="OW37" s="166">
        <v>0</v>
      </c>
      <c r="OX37" s="166">
        <v>0</v>
      </c>
      <c r="OY37" s="166">
        <v>0.26821766902253003</v>
      </c>
      <c r="OZ37" s="166">
        <v>0</v>
      </c>
      <c r="PA37" s="166">
        <v>1.673535668201E-2</v>
      </c>
      <c r="PB37" s="166">
        <v>0</v>
      </c>
      <c r="PC37" s="166">
        <v>1.573752499</v>
      </c>
      <c r="PD37" s="166">
        <v>0</v>
      </c>
      <c r="PE37" s="166">
        <v>-27.32</v>
      </c>
      <c r="PF37" s="166">
        <v>-11.12</v>
      </c>
      <c r="PG37" s="166">
        <v>-0.18497038304314001</v>
      </c>
      <c r="PH37" s="166">
        <v>0</v>
      </c>
      <c r="PI37" s="166">
        <v>-0.13261483600000001</v>
      </c>
      <c r="PJ37" s="166">
        <v>0</v>
      </c>
      <c r="PK37" s="166">
        <v>-9.1649999999999995E-2</v>
      </c>
      <c r="PL37" s="166">
        <v>0</v>
      </c>
      <c r="PM37" s="166">
        <v>4.0000000000000001E-3</v>
      </c>
      <c r="PN37" s="166">
        <v>0</v>
      </c>
      <c r="PO37" s="166">
        <v>0.8629837145</v>
      </c>
      <c r="PP37" s="166">
        <v>0</v>
      </c>
      <c r="PQ37" s="166">
        <v>0</v>
      </c>
      <c r="PR37" s="166">
        <v>0</v>
      </c>
      <c r="PS37" s="166">
        <v>0</v>
      </c>
      <c r="PT37" s="166">
        <v>0</v>
      </c>
      <c r="PU37" s="166">
        <v>0</v>
      </c>
      <c r="PV37" s="166">
        <v>0</v>
      </c>
      <c r="PW37" s="166">
        <v>0</v>
      </c>
      <c r="PX37" s="166">
        <v>0</v>
      </c>
      <c r="PY37" s="166">
        <v>0</v>
      </c>
      <c r="PZ37" s="166">
        <v>0</v>
      </c>
      <c r="QA37" s="166">
        <v>0</v>
      </c>
      <c r="QB37" s="166">
        <v>0</v>
      </c>
      <c r="QC37" s="166">
        <v>0</v>
      </c>
      <c r="QD37" s="166">
        <v>0</v>
      </c>
      <c r="QE37" s="166">
        <v>0</v>
      </c>
      <c r="QF37" s="166">
        <v>0</v>
      </c>
      <c r="QG37" s="166">
        <v>0</v>
      </c>
      <c r="QH37" s="166">
        <v>0</v>
      </c>
      <c r="QI37" s="162">
        <v>0</v>
      </c>
      <c r="QJ37" s="167">
        <v>0</v>
      </c>
      <c r="QK37" s="167">
        <v>0</v>
      </c>
      <c r="QL37" s="167">
        <v>0</v>
      </c>
      <c r="QM37" s="167">
        <v>0</v>
      </c>
      <c r="QN37" s="162">
        <v>0</v>
      </c>
      <c r="QO37" s="162">
        <v>0</v>
      </c>
      <c r="QP37" s="162">
        <v>0</v>
      </c>
      <c r="QQ37" s="162">
        <v>0</v>
      </c>
      <c r="QR37" s="162">
        <v>0</v>
      </c>
      <c r="QS37" s="162">
        <v>0</v>
      </c>
      <c r="QT37" s="162">
        <v>0</v>
      </c>
      <c r="QU37" s="162">
        <v>-2.7270331286437401</v>
      </c>
      <c r="QV37" s="162">
        <v>0</v>
      </c>
      <c r="QW37" s="162">
        <v>-0.29214285714285998</v>
      </c>
      <c r="QX37" s="162">
        <v>0</v>
      </c>
      <c r="QY37" s="162">
        <v>0.69430929844727995</v>
      </c>
      <c r="QZ37" s="162">
        <v>0</v>
      </c>
      <c r="RA37" s="167">
        <v>0</v>
      </c>
      <c r="RB37" s="167">
        <v>0</v>
      </c>
      <c r="RC37" s="167">
        <v>0</v>
      </c>
      <c r="RD37" s="167">
        <v>0</v>
      </c>
      <c r="RE37" s="167">
        <v>1.5738627949999999</v>
      </c>
      <c r="RF37" s="167">
        <v>0</v>
      </c>
      <c r="RG37" s="167">
        <v>0</v>
      </c>
      <c r="RH37" s="167">
        <v>0</v>
      </c>
      <c r="RI37" s="167">
        <v>0</v>
      </c>
      <c r="RJ37" s="167">
        <v>0</v>
      </c>
      <c r="RK37" s="167">
        <v>0.71087908050000004</v>
      </c>
      <c r="RL37" s="167">
        <v>0</v>
      </c>
      <c r="RM37" s="166">
        <v>-27.32</v>
      </c>
      <c r="RN37" s="166">
        <v>-11.12</v>
      </c>
      <c r="RO37" s="166">
        <v>-0.13598965849992001</v>
      </c>
      <c r="RP37" s="166">
        <v>0</v>
      </c>
      <c r="RQ37" s="166">
        <v>-0.52281955234613997</v>
      </c>
      <c r="RR37" s="166">
        <v>0</v>
      </c>
      <c r="RS37" s="166">
        <v>-0.24017364479912001</v>
      </c>
      <c r="RT37" s="166">
        <v>0</v>
      </c>
      <c r="RU37" s="166">
        <v>-1.6863255911430002E-2</v>
      </c>
      <c r="RV37" s="166">
        <v>0</v>
      </c>
      <c r="RW37" s="166">
        <v>-0.31475049980000003</v>
      </c>
      <c r="RX37" s="166">
        <v>0</v>
      </c>
      <c r="RY37" s="166">
        <v>-0.14564610173861001</v>
      </c>
      <c r="RZ37" s="166">
        <v>0</v>
      </c>
      <c r="SA37" s="166">
        <v>-2.0828357765199999E-2</v>
      </c>
      <c r="SB37" s="166">
        <v>0</v>
      </c>
      <c r="SC37" s="166">
        <v>-0.48734724270000002</v>
      </c>
      <c r="SD37" s="166">
        <v>0</v>
      </c>
      <c r="SE37" s="166">
        <v>0</v>
      </c>
      <c r="SF37" s="166">
        <v>0</v>
      </c>
      <c r="SG37" s="166">
        <v>0</v>
      </c>
      <c r="SH37" s="166">
        <v>0</v>
      </c>
      <c r="SI37" s="166">
        <v>0</v>
      </c>
      <c r="SJ37" s="166">
        <v>0</v>
      </c>
      <c r="SK37" s="166">
        <v>0</v>
      </c>
      <c r="SL37" s="166">
        <v>0</v>
      </c>
      <c r="SM37" s="166">
        <v>0</v>
      </c>
      <c r="SN37" s="166">
        <v>0</v>
      </c>
      <c r="SO37" s="166">
        <v>0</v>
      </c>
      <c r="SP37" s="166">
        <v>0</v>
      </c>
      <c r="SQ37" s="166">
        <v>-27.32</v>
      </c>
      <c r="SR37" s="166">
        <v>-11.12</v>
      </c>
      <c r="SS37" s="166">
        <v>0</v>
      </c>
      <c r="ST37" s="166">
        <v>0</v>
      </c>
      <c r="SU37" s="166">
        <v>0</v>
      </c>
      <c r="SV37" s="166">
        <v>0</v>
      </c>
      <c r="SW37" s="166">
        <v>0</v>
      </c>
      <c r="SX37" s="166">
        <v>0</v>
      </c>
      <c r="SY37" s="166">
        <v>0</v>
      </c>
      <c r="SZ37" s="166">
        <v>0</v>
      </c>
      <c r="TA37" s="166">
        <v>0</v>
      </c>
      <c r="TB37" s="166">
        <v>0</v>
      </c>
      <c r="TC37" s="166">
        <v>0</v>
      </c>
      <c r="TD37" s="166">
        <v>0</v>
      </c>
      <c r="TE37" s="166">
        <v>0</v>
      </c>
      <c r="TF37" s="166">
        <v>0</v>
      </c>
      <c r="TG37" s="166">
        <v>-2.4367362134999899</v>
      </c>
      <c r="TH37" s="166">
        <v>0</v>
      </c>
      <c r="TI37" s="166">
        <v>0</v>
      </c>
      <c r="TJ37" s="166">
        <v>0</v>
      </c>
      <c r="TK37" s="166">
        <v>0</v>
      </c>
      <c r="TL37" s="166">
        <v>0</v>
      </c>
      <c r="TM37" s="166">
        <v>0</v>
      </c>
      <c r="TN37" s="166">
        <v>0</v>
      </c>
      <c r="TO37" s="166">
        <v>0</v>
      </c>
      <c r="TP37" s="166">
        <v>0</v>
      </c>
      <c r="TQ37" s="166">
        <v>0</v>
      </c>
      <c r="TR37" s="166">
        <v>0</v>
      </c>
      <c r="TS37" s="166">
        <v>0</v>
      </c>
      <c r="TT37" s="166">
        <v>0</v>
      </c>
      <c r="TU37" s="166">
        <v>0.53295350142785003</v>
      </c>
      <c r="TV37" s="166">
        <v>0</v>
      </c>
      <c r="TW37" s="166">
        <v>0</v>
      </c>
      <c r="TX37" s="166">
        <v>0</v>
      </c>
      <c r="TY37" s="166">
        <v>0</v>
      </c>
      <c r="TZ37" s="166">
        <v>0</v>
      </c>
      <c r="UA37" s="166">
        <v>3.14611130946E-2</v>
      </c>
      <c r="UB37" s="166">
        <v>0</v>
      </c>
      <c r="UC37" s="166">
        <v>0</v>
      </c>
      <c r="UD37" s="166">
        <v>0</v>
      </c>
      <c r="UE37" s="166">
        <v>2.6505653896950001E-2</v>
      </c>
      <c r="UF37" s="166">
        <v>0</v>
      </c>
      <c r="UG37" s="166">
        <v>0</v>
      </c>
      <c r="UH37" s="166">
        <v>0</v>
      </c>
      <c r="UI37" s="166">
        <v>0</v>
      </c>
      <c r="UJ37" s="166">
        <v>0</v>
      </c>
      <c r="UK37" s="166">
        <v>0</v>
      </c>
      <c r="UL37" s="166">
        <v>0</v>
      </c>
      <c r="UM37" s="166">
        <v>0</v>
      </c>
      <c r="UN37" s="166">
        <v>0</v>
      </c>
      <c r="UO37" s="166">
        <v>0</v>
      </c>
      <c r="UP37" s="166">
        <v>0</v>
      </c>
      <c r="UQ37" s="166">
        <v>0</v>
      </c>
      <c r="UR37" s="166">
        <v>-3933.0000008988736</v>
      </c>
      <c r="US37" s="163">
        <v>0</v>
      </c>
      <c r="UT37" s="163">
        <v>0</v>
      </c>
      <c r="UU37" s="163">
        <v>0</v>
      </c>
      <c r="UV37" s="163">
        <v>0</v>
      </c>
      <c r="UW37" s="163">
        <v>0</v>
      </c>
      <c r="UX37" s="163">
        <v>-3933.0000008988736</v>
      </c>
      <c r="UY37" s="166">
        <v>0</v>
      </c>
      <c r="UZ37" s="166">
        <v>0</v>
      </c>
      <c r="VA37" s="166">
        <v>0</v>
      </c>
      <c r="VB37" s="166">
        <v>0</v>
      </c>
      <c r="VC37" s="166">
        <v>0</v>
      </c>
      <c r="VD37" s="166">
        <v>0</v>
      </c>
      <c r="VE37" s="267">
        <v>202</v>
      </c>
      <c r="VF37" s="267">
        <v>279</v>
      </c>
      <c r="VG37" s="267">
        <v>354</v>
      </c>
      <c r="VH37" s="267">
        <v>0</v>
      </c>
      <c r="VI37" s="267">
        <v>403</v>
      </c>
      <c r="VJ37" s="267">
        <v>0</v>
      </c>
      <c r="VK37" s="267">
        <v>0</v>
      </c>
      <c r="VL37" s="257">
        <v>0</v>
      </c>
      <c r="VM37" s="257">
        <v>0</v>
      </c>
      <c r="VN37" s="257">
        <v>0</v>
      </c>
      <c r="VO37" s="257">
        <v>0</v>
      </c>
      <c r="VP37" s="257">
        <v>0</v>
      </c>
      <c r="VQ37" s="257">
        <v>0</v>
      </c>
      <c r="VR37" s="257">
        <v>0</v>
      </c>
      <c r="VS37" s="257">
        <v>0</v>
      </c>
      <c r="VT37" s="257">
        <v>0</v>
      </c>
      <c r="VU37" s="257">
        <v>0</v>
      </c>
      <c r="VV37" s="257">
        <v>0</v>
      </c>
      <c r="VW37" s="257">
        <v>0</v>
      </c>
      <c r="VX37" s="257">
        <v>0</v>
      </c>
      <c r="VY37" s="257">
        <v>0</v>
      </c>
      <c r="VZ37" s="257">
        <v>0</v>
      </c>
      <c r="WA37" s="257">
        <v>0</v>
      </c>
      <c r="WB37" s="257">
        <v>0</v>
      </c>
      <c r="WC37" s="257">
        <v>0</v>
      </c>
      <c r="WD37" s="257">
        <v>0</v>
      </c>
      <c r="WE37" s="257">
        <v>0</v>
      </c>
      <c r="WF37" s="257">
        <v>0</v>
      </c>
      <c r="WG37" s="257">
        <v>0</v>
      </c>
      <c r="WH37" s="257">
        <v>0</v>
      </c>
      <c r="WI37" s="257">
        <v>0</v>
      </c>
      <c r="WJ37" s="257">
        <v>0</v>
      </c>
      <c r="WK37" s="257">
        <v>0</v>
      </c>
      <c r="WL37" s="257">
        <v>0</v>
      </c>
      <c r="WM37" s="257">
        <v>0</v>
      </c>
      <c r="WN37" s="257">
        <v>0</v>
      </c>
      <c r="WO37" s="257">
        <v>0</v>
      </c>
      <c r="WP37" s="257">
        <v>0</v>
      </c>
      <c r="WQ37" s="257">
        <v>0</v>
      </c>
      <c r="WR37" s="257">
        <v>0</v>
      </c>
      <c r="WS37" s="572">
        <v>89.431799999999996</v>
      </c>
      <c r="WT37" s="572">
        <v>70.947983298538617</v>
      </c>
      <c r="WU37" s="572">
        <v>78.416192066805834</v>
      </c>
      <c r="WV37" s="572">
        <v>82.15029645093945</v>
      </c>
      <c r="WW37" s="572">
        <v>126.21272818371607</v>
      </c>
      <c r="WX37" s="247">
        <v>9329.0489089999992</v>
      </c>
      <c r="WY37" s="4">
        <v>65</v>
      </c>
      <c r="WZ37" s="4">
        <v>20</v>
      </c>
      <c r="XA37" s="4">
        <v>15</v>
      </c>
      <c r="XB37" s="4">
        <v>0</v>
      </c>
      <c r="XC37" s="1037">
        <v>1357.221204357759</v>
      </c>
      <c r="XD37" s="1037">
        <v>0</v>
      </c>
      <c r="XE37" s="1037">
        <v>0</v>
      </c>
      <c r="XF37" s="1037">
        <v>0</v>
      </c>
      <c r="XG37" s="1037">
        <v>0</v>
      </c>
      <c r="XH37" s="1037">
        <v>0</v>
      </c>
      <c r="XI37" s="1037">
        <v>661.21033032813909</v>
      </c>
      <c r="XJ37" s="1037">
        <v>0</v>
      </c>
      <c r="XK37" s="1037">
        <v>1455.9664003404444</v>
      </c>
      <c r="XL37" s="1037">
        <v>0</v>
      </c>
      <c r="XM37" s="1037">
        <v>0</v>
      </c>
      <c r="XN37" s="1037">
        <v>0</v>
      </c>
      <c r="XO37" s="1037">
        <v>0</v>
      </c>
      <c r="XP37" s="1037">
        <v>0</v>
      </c>
      <c r="XQ37" s="1037">
        <v>709.31696426842166</v>
      </c>
      <c r="XR37" s="1037">
        <v>0</v>
      </c>
      <c r="XS37" s="1037">
        <v>1525.2981336899895</v>
      </c>
      <c r="XT37" s="1037">
        <v>0</v>
      </c>
      <c r="XU37" s="1037">
        <v>0</v>
      </c>
      <c r="XV37" s="1037">
        <v>0</v>
      </c>
      <c r="XW37" s="1037">
        <v>0</v>
      </c>
      <c r="XX37" s="1037">
        <v>0</v>
      </c>
      <c r="XY37" s="1037">
        <v>743.09396256691798</v>
      </c>
      <c r="XZ37" s="1037">
        <v>0</v>
      </c>
      <c r="YA37" s="1037">
        <v>2343.4125872146201</v>
      </c>
      <c r="YB37" s="1037">
        <v>0</v>
      </c>
      <c r="YC37" s="1037">
        <v>0</v>
      </c>
      <c r="YD37" s="1037">
        <v>0</v>
      </c>
      <c r="YE37" s="1037">
        <v>0</v>
      </c>
      <c r="YF37" s="1037">
        <v>0</v>
      </c>
      <c r="YG37" s="1037">
        <v>1141.662542489174</v>
      </c>
      <c r="YH37" s="1037">
        <v>0</v>
      </c>
      <c r="YI37" s="1037">
        <v>1084.5705446378893</v>
      </c>
      <c r="YJ37" s="1037">
        <v>667.42802746947029</v>
      </c>
      <c r="YK37" s="1037">
        <v>472.76151945754151</v>
      </c>
      <c r="YL37" s="1037">
        <v>27.809501144561263</v>
      </c>
      <c r="YM37" s="1037">
        <v>0</v>
      </c>
      <c r="YN37" s="1037">
        <v>0</v>
      </c>
      <c r="YO37" s="1037">
        <v>528.38052174666404</v>
      </c>
      <c r="YP37" s="1037">
        <v>0</v>
      </c>
      <c r="YQ37" s="1037">
        <v>1163.4789279164975</v>
      </c>
      <c r="YR37" s="1037">
        <v>715.98703256399835</v>
      </c>
      <c r="YS37" s="1037">
        <v>507.15748139949892</v>
      </c>
      <c r="YT37" s="1037">
        <v>29.832793023499935</v>
      </c>
      <c r="YU37" s="1037">
        <v>0</v>
      </c>
      <c r="YV37" s="1037">
        <v>0</v>
      </c>
      <c r="YW37" s="1037">
        <v>566.82306744649873</v>
      </c>
      <c r="YX37" s="1037">
        <v>0</v>
      </c>
      <c r="YY37" s="1037">
        <v>1218.8826863887116</v>
      </c>
      <c r="YZ37" s="1037">
        <v>750.08165316228406</v>
      </c>
      <c r="ZA37" s="1037">
        <v>531.30783765661795</v>
      </c>
      <c r="ZB37" s="1037">
        <v>31.253402215095171</v>
      </c>
      <c r="ZC37" s="1037">
        <v>0</v>
      </c>
      <c r="ZD37" s="1037">
        <v>0</v>
      </c>
      <c r="ZE37" s="1037">
        <v>593.81464208680825</v>
      </c>
      <c r="ZF37" s="1037">
        <v>0</v>
      </c>
      <c r="ZG37" s="1037">
        <v>1872.6470363608389</v>
      </c>
      <c r="ZH37" s="1037">
        <v>1152.3981762220546</v>
      </c>
      <c r="ZI37" s="1037">
        <v>816.28204149062208</v>
      </c>
      <c r="ZJ37" s="1037">
        <v>48.016590675918941</v>
      </c>
      <c r="ZK37" s="1037">
        <v>0</v>
      </c>
      <c r="ZL37" s="1037">
        <v>0</v>
      </c>
      <c r="ZM37" s="1037">
        <v>912.31522284245989</v>
      </c>
      <c r="ZN37" s="1037">
        <v>0</v>
      </c>
      <c r="ZO37" s="1037">
        <v>2886.3570946008349</v>
      </c>
      <c r="ZP37" s="1037">
        <v>1776.2197505235904</v>
      </c>
      <c r="ZQ37" s="1037">
        <v>1258.1556566208767</v>
      </c>
      <c r="ZR37" s="1037">
        <v>74.009156271816281</v>
      </c>
      <c r="ZS37" s="1037">
        <v>0</v>
      </c>
      <c r="ZT37" s="1037">
        <v>0</v>
      </c>
      <c r="ZU37" s="1037">
        <v>1406.1739691645091</v>
      </c>
      <c r="ZV37" s="1037">
        <v>0</v>
      </c>
      <c r="ZW37" s="1037">
        <v>3190.1841571903965</v>
      </c>
      <c r="ZX37" s="1037">
        <v>1963.1902505787054</v>
      </c>
      <c r="ZY37" s="1037">
        <v>1390.5930941599165</v>
      </c>
      <c r="ZZ37" s="1037">
        <v>81.799593774112722</v>
      </c>
      <c r="AAA37" s="1037">
        <v>0</v>
      </c>
      <c r="AAB37" s="1037">
        <v>0</v>
      </c>
      <c r="AAC37" s="1037">
        <v>1554.1922817081418</v>
      </c>
      <c r="AAD37" s="1037">
        <v>0</v>
      </c>
      <c r="AAE37" s="1037">
        <v>3342.0976884851771</v>
      </c>
      <c r="AAF37" s="1037">
        <v>2056.6755006062626</v>
      </c>
      <c r="AAG37" s="1037">
        <v>1456.8118129294362</v>
      </c>
      <c r="AAH37" s="1037">
        <v>85.694812525260957</v>
      </c>
      <c r="AAI37" s="1037">
        <v>0</v>
      </c>
      <c r="AAJ37" s="1037">
        <v>0</v>
      </c>
      <c r="AAK37" s="1037">
        <v>1628.201437979958</v>
      </c>
      <c r="AAL37" s="1037">
        <v>0</v>
      </c>
      <c r="AAM37" s="1037">
        <v>5134.6773577635904</v>
      </c>
      <c r="AAN37" s="1037">
        <v>3159.8014509314403</v>
      </c>
      <c r="AAO37" s="1037">
        <v>2238.1926944097704</v>
      </c>
      <c r="AAP37" s="1037">
        <v>131.65839378881</v>
      </c>
      <c r="AAQ37" s="1037">
        <v>0</v>
      </c>
      <c r="AAR37" s="1037">
        <v>0</v>
      </c>
      <c r="AAS37" s="1037">
        <v>2501.5094819873902</v>
      </c>
      <c r="AAT37" s="1037">
        <v>0</v>
      </c>
      <c r="AAU37" s="1037">
        <v>3970.9276392387242</v>
      </c>
      <c r="AAV37" s="1037">
        <v>2443.6477779930606</v>
      </c>
      <c r="AAW37" s="1037">
        <v>1730.9171760784182</v>
      </c>
      <c r="AAX37" s="1037">
        <v>101.81865741637753</v>
      </c>
      <c r="AAY37" s="1037">
        <v>0</v>
      </c>
      <c r="AAZ37" s="1037">
        <v>0</v>
      </c>
      <c r="ABA37" s="1037">
        <v>1934.5544909111732</v>
      </c>
      <c r="ABB37" s="1037">
        <v>0</v>
      </c>
      <c r="ABC37" s="1037">
        <v>4203.5367718273455</v>
      </c>
      <c r="ABD37" s="1037">
        <v>2586.7918595860588</v>
      </c>
      <c r="ABE37" s="1037">
        <v>1832.3109005401252</v>
      </c>
      <c r="ABF37" s="1037">
        <v>107.78299414941912</v>
      </c>
      <c r="ABG37" s="1037">
        <v>0</v>
      </c>
      <c r="ABH37" s="1037">
        <v>0</v>
      </c>
      <c r="ABI37" s="1037">
        <v>2047.8768888389634</v>
      </c>
      <c r="ABJ37" s="1037">
        <v>0</v>
      </c>
      <c r="ABK37" s="1037">
        <v>4403.7051895334098</v>
      </c>
      <c r="ABL37" s="1037">
        <v>2709.9724243282521</v>
      </c>
      <c r="ABM37" s="1037">
        <v>1919.5638005658454</v>
      </c>
      <c r="ABN37" s="1037">
        <v>112.91551768034384</v>
      </c>
      <c r="ABO37" s="1037">
        <v>0</v>
      </c>
      <c r="ABP37" s="1037">
        <v>0</v>
      </c>
      <c r="ABQ37" s="1037">
        <v>2145.3948359265328</v>
      </c>
      <c r="ABR37" s="1037">
        <v>0</v>
      </c>
      <c r="ABS37" s="1037">
        <v>12383.633627547482</v>
      </c>
      <c r="ABT37" s="1037">
        <v>7620.6976169522968</v>
      </c>
      <c r="ABU37" s="1037">
        <v>5397.9941453412102</v>
      </c>
      <c r="ABV37" s="1037">
        <v>317.52906737301237</v>
      </c>
      <c r="ABW37" s="1037">
        <v>0</v>
      </c>
      <c r="ABX37" s="1037">
        <v>0</v>
      </c>
      <c r="ABY37" s="1037">
        <v>6033.052280087235</v>
      </c>
      <c r="ABZ37" s="1037">
        <v>0</v>
      </c>
      <c r="ACA37" s="1037">
        <v>5142.963550379669</v>
      </c>
      <c r="ACB37" s="1037">
        <v>3164.9006463874885</v>
      </c>
      <c r="ACC37" s="1037">
        <v>2241.8046245244714</v>
      </c>
      <c r="ACD37" s="1037">
        <v>131.87086026614537</v>
      </c>
      <c r="ACE37" s="1037">
        <v>0</v>
      </c>
      <c r="ACF37" s="1037">
        <v>0</v>
      </c>
      <c r="ACG37" s="1037">
        <v>2505.5463450567618</v>
      </c>
      <c r="ACH37" s="1037">
        <v>0</v>
      </c>
      <c r="ACI37" s="1037">
        <v>5498.3762238634481</v>
      </c>
      <c r="ACJ37" s="1037">
        <v>3383.616137762122</v>
      </c>
      <c r="ACK37" s="1037">
        <v>2396.7280975815033</v>
      </c>
      <c r="ACL37" s="1037">
        <v>140.98400574008841</v>
      </c>
      <c r="ACM37" s="1037">
        <v>0</v>
      </c>
      <c r="ACN37" s="1037">
        <v>0</v>
      </c>
      <c r="ACO37" s="1037">
        <v>2678.6961090616801</v>
      </c>
      <c r="ACP37" s="1037">
        <v>0</v>
      </c>
      <c r="ACQ37" s="1037">
        <v>5760.2036630950406</v>
      </c>
      <c r="ACR37" s="1037">
        <v>3544.7407157507942</v>
      </c>
      <c r="ACS37" s="1037">
        <v>2510.8580069901464</v>
      </c>
      <c r="ACT37" s="1037">
        <v>147.69752982294978</v>
      </c>
      <c r="ACU37" s="1037">
        <v>0</v>
      </c>
      <c r="ACV37" s="1037">
        <v>0</v>
      </c>
      <c r="ACW37" s="1037">
        <v>2806.2530666360453</v>
      </c>
      <c r="ACX37" s="1037">
        <v>0</v>
      </c>
      <c r="ACY37" s="1037">
        <v>8849.7674460278358</v>
      </c>
      <c r="ACZ37" s="1037">
        <v>5446.0107360171296</v>
      </c>
      <c r="ADA37" s="1037">
        <v>3857.5909380121338</v>
      </c>
      <c r="ADB37" s="1037">
        <v>226.91711400071375</v>
      </c>
      <c r="ADC37" s="1037">
        <v>0</v>
      </c>
      <c r="ADD37" s="1037">
        <v>0</v>
      </c>
      <c r="ADE37" s="1037">
        <v>4311.4251660135615</v>
      </c>
      <c r="ADF37" s="1037">
        <v>0</v>
      </c>
      <c r="ADG37" s="1037">
        <v>6280.0133149193916</v>
      </c>
      <c r="ADH37" s="1037">
        <v>3864.6235784119331</v>
      </c>
      <c r="ADI37" s="1037">
        <v>2737.4417013751199</v>
      </c>
      <c r="ADJ37" s="1037">
        <v>161.02598243383056</v>
      </c>
      <c r="ADK37" s="1037">
        <v>0</v>
      </c>
      <c r="ADL37" s="1037">
        <v>0</v>
      </c>
      <c r="ADM37" s="1037">
        <v>3059.4936662427808</v>
      </c>
      <c r="ADN37" s="1037">
        <v>0</v>
      </c>
      <c r="ADO37" s="1037">
        <v>6755.6840975796622</v>
      </c>
      <c r="ADP37" s="1037">
        <v>4157.344060049023</v>
      </c>
      <c r="ADQ37" s="1037">
        <v>2944.7853758680581</v>
      </c>
      <c r="ADR37" s="1037">
        <v>173.2226691687093</v>
      </c>
      <c r="ADS37" s="1037">
        <v>0</v>
      </c>
      <c r="ADT37" s="1037">
        <v>0</v>
      </c>
      <c r="ADU37" s="1037">
        <v>3291.2307142054765</v>
      </c>
      <c r="ADV37" s="1037">
        <v>0</v>
      </c>
      <c r="ADW37" s="1037">
        <v>7077.3833403215522</v>
      </c>
      <c r="ADX37" s="1037">
        <v>4355.3128248132625</v>
      </c>
      <c r="ADY37" s="1037">
        <v>3085.0132509093946</v>
      </c>
      <c r="ADZ37" s="1037">
        <v>181.47136770055263</v>
      </c>
      <c r="AEA37" s="1037">
        <v>0</v>
      </c>
      <c r="AEB37" s="1037">
        <v>0</v>
      </c>
      <c r="AEC37" s="1037">
        <v>3447.9559863104996</v>
      </c>
      <c r="AED37" s="1037">
        <v>0</v>
      </c>
      <c r="AEE37" s="1037">
        <v>10873.43440467584</v>
      </c>
      <c r="AEF37" s="1037">
        <v>6691.3442490312855</v>
      </c>
      <c r="AEG37" s="1037">
        <v>4739.7021763971607</v>
      </c>
      <c r="AEH37" s="1037">
        <v>278.80601037630356</v>
      </c>
      <c r="AEI37" s="1037">
        <v>0</v>
      </c>
      <c r="AEJ37" s="1037">
        <v>0</v>
      </c>
      <c r="AEK37" s="1037">
        <v>5297.314197149768</v>
      </c>
      <c r="AEL37" s="1037">
        <v>0</v>
      </c>
      <c r="AEM37" s="1037">
        <v>7242.1323464530042</v>
      </c>
      <c r="AEN37" s="1037">
        <v>4456.6968285864641</v>
      </c>
      <c r="AEO37" s="1037">
        <v>3156.8269202487454</v>
      </c>
      <c r="AEP37" s="1037">
        <v>185.69570119110267</v>
      </c>
      <c r="AEQ37" s="1037">
        <v>0</v>
      </c>
      <c r="AER37" s="1037">
        <v>0</v>
      </c>
      <c r="AES37" s="1037">
        <v>3528.2183226309508</v>
      </c>
      <c r="AET37" s="1037">
        <v>0</v>
      </c>
      <c r="AEU37" s="1037">
        <v>7693.9735555768384</v>
      </c>
      <c r="AEV37" s="1037">
        <v>4734.7529572780541</v>
      </c>
      <c r="AEW37" s="1037">
        <v>3353.783344738622</v>
      </c>
      <c r="AEX37" s="1037">
        <v>197.28137321991895</v>
      </c>
      <c r="AEY37" s="1037">
        <v>0</v>
      </c>
      <c r="AEZ37" s="1037">
        <v>0</v>
      </c>
      <c r="AFA37" s="1037">
        <v>3748.3460911784596</v>
      </c>
      <c r="AFB37" s="1037">
        <v>0</v>
      </c>
      <c r="AFC37" s="1037">
        <v>8060.3532486995446</v>
      </c>
      <c r="AFD37" s="1037">
        <v>4960.2173838151039</v>
      </c>
      <c r="AFE37" s="1037">
        <v>3513.4873135356993</v>
      </c>
      <c r="AFF37" s="1037">
        <v>206.67572432562935</v>
      </c>
      <c r="AFG37" s="1037">
        <v>0</v>
      </c>
      <c r="AFH37" s="1037">
        <v>0</v>
      </c>
      <c r="AFI37" s="1037">
        <v>3926.8387621869574</v>
      </c>
      <c r="AFJ37" s="1037">
        <v>0</v>
      </c>
      <c r="AFK37" s="1037">
        <v>12383.633627547482</v>
      </c>
      <c r="AFL37" s="1037">
        <v>7620.6976169522968</v>
      </c>
      <c r="AFM37" s="1037">
        <v>5397.9941453412102</v>
      </c>
      <c r="AFN37" s="1037">
        <v>317.52906737301237</v>
      </c>
      <c r="AFO37" s="1037">
        <v>0</v>
      </c>
      <c r="AFP37" s="1037">
        <v>0</v>
      </c>
      <c r="AFQ37" s="1037">
        <v>6033.052280087235</v>
      </c>
      <c r="AFR37" s="1037">
        <v>0</v>
      </c>
      <c r="AFS37" s="247">
        <v>2886.3570946008349</v>
      </c>
      <c r="AFT37" s="247">
        <v>1776.2197505235904</v>
      </c>
      <c r="AFU37" s="247">
        <v>1258.1556566208767</v>
      </c>
      <c r="AFV37" s="247">
        <v>74.009156271816281</v>
      </c>
      <c r="AFW37" s="247">
        <v>0</v>
      </c>
      <c r="AFX37" s="247">
        <v>0</v>
      </c>
      <c r="AFY37" s="247">
        <v>1406.1739691645091</v>
      </c>
      <c r="AFZ37" s="247">
        <v>0</v>
      </c>
      <c r="AGA37" s="247">
        <v>3190.1841571903965</v>
      </c>
      <c r="AGB37" s="247">
        <v>1963.1902505787054</v>
      </c>
      <c r="AGC37" s="247">
        <v>1390.5930941599165</v>
      </c>
      <c r="AGD37" s="247">
        <v>81.799593774112722</v>
      </c>
      <c r="AGE37" s="247">
        <v>0</v>
      </c>
      <c r="AGF37" s="247">
        <v>0</v>
      </c>
      <c r="AGG37" s="247">
        <v>1554.1922817081418</v>
      </c>
      <c r="AGH37" s="247">
        <v>0</v>
      </c>
      <c r="AGI37" s="247">
        <v>3342.0976884851771</v>
      </c>
      <c r="AGJ37" s="247">
        <v>2056.6755006062626</v>
      </c>
      <c r="AGK37" s="247">
        <v>1456.8118129294362</v>
      </c>
      <c r="AGL37" s="247">
        <v>85.694812525260957</v>
      </c>
      <c r="AGM37" s="247">
        <v>0</v>
      </c>
      <c r="AGN37" s="247">
        <v>0</v>
      </c>
      <c r="AGO37" s="247">
        <v>1628.201437979958</v>
      </c>
      <c r="AGP37" s="247">
        <v>0</v>
      </c>
      <c r="AGQ37" s="247">
        <v>5134.6773577635904</v>
      </c>
      <c r="AGR37" s="247">
        <v>3159.8014509314403</v>
      </c>
      <c r="AGS37" s="247">
        <v>2238.1926944097704</v>
      </c>
      <c r="AGT37" s="247">
        <v>131.65839378881</v>
      </c>
      <c r="AGU37" s="247">
        <v>0</v>
      </c>
      <c r="AGV37" s="247">
        <v>0</v>
      </c>
      <c r="AGW37" s="247">
        <v>2501.5094819873902</v>
      </c>
      <c r="AGX37" s="247">
        <v>0</v>
      </c>
      <c r="AGY37" s="249">
        <v>0</v>
      </c>
      <c r="AGZ37" s="249">
        <v>0</v>
      </c>
      <c r="AHA37" s="249">
        <v>0</v>
      </c>
      <c r="AHB37" s="249">
        <v>0</v>
      </c>
      <c r="AHC37" s="249">
        <v>0</v>
      </c>
      <c r="AHD37" s="249">
        <v>0</v>
      </c>
      <c r="AHE37" s="249">
        <v>0</v>
      </c>
      <c r="AHF37" s="249">
        <v>0</v>
      </c>
      <c r="AHG37" s="249">
        <v>512.07805674560575</v>
      </c>
      <c r="AHH37" s="249">
        <v>117.04641297042417</v>
      </c>
      <c r="AHI37" s="249">
        <v>95.100210538469639</v>
      </c>
      <c r="AHJ37" s="249">
        <v>0</v>
      </c>
      <c r="AHK37" s="249">
        <v>0</v>
      </c>
      <c r="AHL37" s="249">
        <v>0</v>
      </c>
      <c r="AHM37" s="249">
        <v>7.3154008106515107</v>
      </c>
      <c r="AHN37" s="249">
        <v>0</v>
      </c>
      <c r="AHO37" s="249">
        <v>69.174350519665779</v>
      </c>
      <c r="AHP37" s="249">
        <v>15.811280118780751</v>
      </c>
      <c r="AHQ37" s="249">
        <v>12.84666509650936</v>
      </c>
      <c r="AHR37" s="249">
        <v>0</v>
      </c>
      <c r="AHS37" s="249">
        <v>0</v>
      </c>
      <c r="AHT37" s="249">
        <v>0</v>
      </c>
      <c r="AHU37" s="249">
        <v>0.98820500742379691</v>
      </c>
      <c r="AHV37" s="249">
        <v>0</v>
      </c>
      <c r="AHW37" s="249">
        <v>0</v>
      </c>
      <c r="AHX37" s="249">
        <v>0</v>
      </c>
      <c r="AHY37" s="249">
        <v>0</v>
      </c>
      <c r="AHZ37" s="249">
        <v>0</v>
      </c>
      <c r="AIA37" s="249">
        <v>0</v>
      </c>
      <c r="AIB37" s="249">
        <v>0</v>
      </c>
      <c r="AIC37" s="249">
        <v>0</v>
      </c>
      <c r="AID37" s="249">
        <v>0</v>
      </c>
      <c r="AIE37" s="249"/>
      <c r="AIF37" s="249"/>
      <c r="AIG37" s="249"/>
      <c r="AIH37" s="249"/>
      <c r="AII37" s="249"/>
      <c r="AIJ37" s="249"/>
      <c r="AIK37" s="249"/>
      <c r="AIL37" s="249"/>
      <c r="AIM37" s="249">
        <v>386.42163683764267</v>
      </c>
      <c r="AIN37" s="249">
        <v>88.324945562889752</v>
      </c>
      <c r="AIO37" s="249">
        <v>71.764018269847924</v>
      </c>
      <c r="AIP37" s="249">
        <v>0</v>
      </c>
      <c r="AIQ37" s="249">
        <v>0</v>
      </c>
      <c r="AIR37" s="249">
        <v>0</v>
      </c>
      <c r="AIS37" s="249">
        <v>5.5203090976806095</v>
      </c>
      <c r="AIT37" s="249">
        <v>0</v>
      </c>
      <c r="AIU37" s="134" t="s">
        <v>1216</v>
      </c>
      <c r="AIV37" s="134" t="s">
        <v>1219</v>
      </c>
      <c r="AIW37" s="134" t="s">
        <v>1218</v>
      </c>
      <c r="AIX37" s="134" t="s">
        <v>1217</v>
      </c>
      <c r="AIY37" s="134" t="s">
        <v>1228</v>
      </c>
      <c r="AIZ37" s="134" t="s">
        <v>1229</v>
      </c>
      <c r="AJA37" s="134" t="s">
        <v>1230</v>
      </c>
      <c r="AJB37" s="134" t="s">
        <v>1231</v>
      </c>
      <c r="AJC37" s="134" t="s">
        <v>1232</v>
      </c>
      <c r="AJD37" s="134" t="s">
        <v>1233</v>
      </c>
    </row>
    <row r="38" spans="1:940" ht="18" customHeight="1">
      <c r="A38" s="664" t="s">
        <v>23</v>
      </c>
      <c r="B38" s="669">
        <v>0.8</v>
      </c>
      <c r="C38" s="6">
        <v>0.6</v>
      </c>
      <c r="D38" s="6">
        <v>0.6</v>
      </c>
      <c r="E38" s="116">
        <v>28.8</v>
      </c>
      <c r="F38" s="7">
        <v>-0.5</v>
      </c>
      <c r="G38" s="7">
        <v>-2.1</v>
      </c>
      <c r="H38" s="7">
        <v>-2.1</v>
      </c>
      <c r="I38" s="266">
        <v>350</v>
      </c>
      <c r="J38" s="125">
        <v>0</v>
      </c>
      <c r="K38" s="125">
        <v>0</v>
      </c>
      <c r="L38" s="125">
        <v>0</v>
      </c>
      <c r="M38" s="1">
        <v>990.07981098369419</v>
      </c>
      <c r="N38" s="2">
        <v>12</v>
      </c>
      <c r="O38" s="10">
        <v>1.1000000000000001</v>
      </c>
      <c r="P38" s="10">
        <v>1</v>
      </c>
      <c r="Q38" s="10">
        <v>1</v>
      </c>
      <c r="R38" s="7">
        <v>0.3</v>
      </c>
      <c r="S38" s="7">
        <v>0</v>
      </c>
      <c r="T38" s="7">
        <v>79.599999999999994</v>
      </c>
      <c r="U38" s="7">
        <v>20.100000000000001</v>
      </c>
      <c r="V38" s="71">
        <v>0</v>
      </c>
      <c r="W38" s="119">
        <v>2</v>
      </c>
      <c r="X38" s="120">
        <v>1.5</v>
      </c>
      <c r="Y38" s="119">
        <v>1</v>
      </c>
      <c r="Z38" s="120">
        <v>0.8</v>
      </c>
      <c r="AA38" s="120">
        <v>0.5</v>
      </c>
      <c r="AB38" s="559">
        <v>433.01922201480062</v>
      </c>
      <c r="AC38" s="559">
        <v>470.67306740739195</v>
      </c>
      <c r="AD38" s="559">
        <v>433.37222681535616</v>
      </c>
      <c r="AE38" s="559">
        <v>649.0581599547935</v>
      </c>
      <c r="AF38" s="622">
        <v>0.82209484106305364</v>
      </c>
      <c r="AG38" s="559">
        <v>261.91600618637949</v>
      </c>
      <c r="AH38" s="559">
        <v>284.69131107215162</v>
      </c>
      <c r="AI38" s="559">
        <v>262.12952466968363</v>
      </c>
      <c r="AJ38" s="559">
        <v>392.58931796849708</v>
      </c>
      <c r="AK38" s="622">
        <v>0.96717040125065135</v>
      </c>
      <c r="AL38" s="995">
        <v>0.3</v>
      </c>
      <c r="AM38" s="995">
        <v>0.4</v>
      </c>
      <c r="AN38" s="995">
        <v>0.7</v>
      </c>
      <c r="AO38" s="995">
        <v>1.3</v>
      </c>
      <c r="AP38" s="995">
        <v>1.9</v>
      </c>
      <c r="AQ38" s="995">
        <v>2.5</v>
      </c>
      <c r="AR38" s="995">
        <v>2.8</v>
      </c>
      <c r="AS38" s="1005">
        <v>0</v>
      </c>
      <c r="AT38" s="1005">
        <v>10</v>
      </c>
      <c r="AU38" s="1005">
        <v>20</v>
      </c>
      <c r="AV38" s="1005">
        <v>70</v>
      </c>
      <c r="AW38" s="1005">
        <v>100</v>
      </c>
      <c r="AX38" s="1">
        <v>11423.774107200925</v>
      </c>
      <c r="AY38" s="5">
        <v>1.45</v>
      </c>
      <c r="AZ38" s="10">
        <v>0.8</v>
      </c>
      <c r="BA38" s="10">
        <v>0.5</v>
      </c>
      <c r="BB38" s="10">
        <v>0.5</v>
      </c>
      <c r="BC38" s="73">
        <v>0.1822167202203919</v>
      </c>
      <c r="BD38" s="73">
        <v>0.1789444822334269</v>
      </c>
      <c r="BE38" s="9">
        <v>2.5210004182921463E-4</v>
      </c>
      <c r="BF38" s="9">
        <v>0.21021265026374514</v>
      </c>
      <c r="BG38" s="9">
        <v>5.3114763889888135</v>
      </c>
      <c r="BH38" s="9">
        <v>52.247016153601066</v>
      </c>
      <c r="BI38" s="9">
        <v>2.1746537454406254</v>
      </c>
      <c r="BJ38" s="9">
        <v>1.2092075467892829</v>
      </c>
      <c r="BK38" s="9">
        <v>33.647637444457992</v>
      </c>
      <c r="BL38" s="9">
        <v>1.6425287340718832E-2</v>
      </c>
      <c r="BM38" s="9">
        <v>8.2107044392684209E-2</v>
      </c>
      <c r="BN38" s="9">
        <v>7.5630012548764394E-4</v>
      </c>
      <c r="BO38" s="9">
        <v>1.8422695364442609E-3</v>
      </c>
      <c r="BP38" s="9">
        <v>5.8176932729818755E-5</v>
      </c>
      <c r="BQ38" s="9">
        <v>0.59679836825339083</v>
      </c>
      <c r="BR38" s="9">
        <v>3.9131356338948895</v>
      </c>
      <c r="BS38" s="9">
        <v>0.58842088994029684</v>
      </c>
      <c r="BT38" s="262">
        <v>261.13475999999997</v>
      </c>
      <c r="BU38" s="262">
        <v>96.5</v>
      </c>
      <c r="BV38" s="262">
        <v>63.215999999999994</v>
      </c>
      <c r="BW38" s="262">
        <v>233.35949490734063</v>
      </c>
      <c r="BX38" s="262">
        <v>157.40783999999999</v>
      </c>
      <c r="BY38" s="68"/>
      <c r="BZ38" s="262">
        <v>256.20808011776955</v>
      </c>
      <c r="CA38" s="262">
        <v>165.17663999999999</v>
      </c>
      <c r="CB38" s="68"/>
      <c r="CC38" s="785">
        <v>0</v>
      </c>
      <c r="CD38" s="262">
        <v>6.585</v>
      </c>
      <c r="CE38" s="262">
        <v>1.3169999999999999</v>
      </c>
      <c r="CF38" s="262">
        <v>38</v>
      </c>
      <c r="CG38" s="262">
        <v>225.83915999999996</v>
      </c>
      <c r="CH38" s="68">
        <v>0.2</v>
      </c>
      <c r="CI38" s="262">
        <v>175.08124000000001</v>
      </c>
      <c r="CJ38" s="262">
        <v>60.4</v>
      </c>
      <c r="CK38" s="262">
        <v>42.384</v>
      </c>
      <c r="CL38" s="262">
        <v>156.45894761061641</v>
      </c>
      <c r="CM38" s="262">
        <v>105.53616</v>
      </c>
      <c r="CN38" s="68"/>
      <c r="CO38" s="262">
        <v>159.24945066654416</v>
      </c>
      <c r="CP38" s="262">
        <v>102.66767999999999</v>
      </c>
      <c r="CQ38" s="68"/>
      <c r="CR38" s="262">
        <v>0</v>
      </c>
      <c r="CS38" s="262">
        <v>4.415</v>
      </c>
      <c r="CT38" s="262">
        <v>0.88300000000000001</v>
      </c>
      <c r="CU38" s="262">
        <v>27</v>
      </c>
      <c r="CV38" s="262">
        <v>151.41683999999998</v>
      </c>
      <c r="CW38" s="68">
        <v>0.2</v>
      </c>
      <c r="CX38" s="120">
        <v>0.3</v>
      </c>
      <c r="CY38" s="120">
        <v>0.7</v>
      </c>
      <c r="CZ38" s="120">
        <v>1.2</v>
      </c>
      <c r="DA38" s="120">
        <v>1.2</v>
      </c>
      <c r="DB38" s="119">
        <v>3</v>
      </c>
      <c r="DC38" s="1005">
        <v>0</v>
      </c>
      <c r="DD38" s="1005">
        <v>10</v>
      </c>
      <c r="DE38" s="1005">
        <v>20</v>
      </c>
      <c r="DF38" s="1005">
        <v>70</v>
      </c>
      <c r="DG38" s="1005">
        <v>100</v>
      </c>
      <c r="DH38" s="2">
        <v>7.3249462297562387</v>
      </c>
      <c r="DI38" s="2">
        <v>18</v>
      </c>
      <c r="DJ38" s="63">
        <v>12</v>
      </c>
      <c r="DK38" s="10">
        <v>1.5</v>
      </c>
      <c r="DL38" s="10">
        <v>0.9</v>
      </c>
      <c r="DM38" s="10">
        <v>0.9</v>
      </c>
      <c r="DN38" s="1030" t="s">
        <v>1032</v>
      </c>
      <c r="DO38" s="1030" t="s">
        <v>997</v>
      </c>
      <c r="DP38" s="1030" t="s">
        <v>997</v>
      </c>
      <c r="DQ38" s="1030" t="s">
        <v>997</v>
      </c>
      <c r="DR38" s="1030" t="s">
        <v>997</v>
      </c>
      <c r="DS38" s="1030" t="s">
        <v>997</v>
      </c>
      <c r="DT38" s="1030" t="s">
        <v>997</v>
      </c>
      <c r="DU38" s="1097">
        <v>1368.5</v>
      </c>
      <c r="DV38" s="1097">
        <v>0</v>
      </c>
      <c r="DW38" s="1097">
        <v>0</v>
      </c>
      <c r="DX38" s="1097">
        <v>0</v>
      </c>
      <c r="DY38" s="1097">
        <v>0</v>
      </c>
      <c r="DZ38" s="1097">
        <v>0</v>
      </c>
      <c r="EA38" s="1097">
        <v>0</v>
      </c>
      <c r="EB38" s="207">
        <v>1.3685</v>
      </c>
      <c r="EC38" s="207">
        <v>18</v>
      </c>
      <c r="ED38" s="221">
        <v>5</v>
      </c>
      <c r="EE38" s="216">
        <v>1.5</v>
      </c>
      <c r="EF38" s="216">
        <v>0.9</v>
      </c>
      <c r="EG38" s="216">
        <v>0.9</v>
      </c>
      <c r="EH38" s="208" t="s">
        <v>1054</v>
      </c>
      <c r="EI38" s="208" t="s">
        <v>1070</v>
      </c>
      <c r="EJ38" s="208" t="s">
        <v>1085</v>
      </c>
      <c r="EK38" s="208" t="s">
        <v>1032</v>
      </c>
      <c r="EL38" s="204" t="s">
        <v>997</v>
      </c>
      <c r="EM38" s="204" t="s">
        <v>997</v>
      </c>
      <c r="EN38" s="204" t="s">
        <v>997</v>
      </c>
      <c r="EO38" s="204" t="s">
        <v>997</v>
      </c>
      <c r="EP38" s="204" t="s">
        <v>997</v>
      </c>
      <c r="EQ38" s="204" t="s">
        <v>997</v>
      </c>
      <c r="ER38" s="204" t="s">
        <v>997</v>
      </c>
      <c r="ES38" s="204" t="s">
        <v>997</v>
      </c>
      <c r="ET38" s="204" t="s">
        <v>997</v>
      </c>
      <c r="EU38" s="204" t="s">
        <v>997</v>
      </c>
      <c r="EV38" s="204" t="s">
        <v>997</v>
      </c>
      <c r="EW38" s="204" t="s">
        <v>997</v>
      </c>
      <c r="EX38" s="204" t="s">
        <v>997</v>
      </c>
      <c r="EY38" s="204" t="s">
        <v>997</v>
      </c>
      <c r="EZ38" s="204" t="s">
        <v>997</v>
      </c>
      <c r="FA38" s="204" t="s">
        <v>997</v>
      </c>
      <c r="FB38" s="204" t="s">
        <v>997</v>
      </c>
      <c r="FC38" s="204" t="s">
        <v>997</v>
      </c>
      <c r="FD38" s="204" t="s">
        <v>997</v>
      </c>
      <c r="FE38" s="204" t="s">
        <v>997</v>
      </c>
      <c r="FF38" s="204" t="s">
        <v>997</v>
      </c>
      <c r="FG38" s="204" t="s">
        <v>997</v>
      </c>
      <c r="FH38" s="204" t="s">
        <v>997</v>
      </c>
      <c r="FI38" s="204" t="s">
        <v>997</v>
      </c>
      <c r="FJ38" s="204" t="s">
        <v>997</v>
      </c>
      <c r="FK38" s="204" t="s">
        <v>997</v>
      </c>
      <c r="FL38" s="204" t="s">
        <v>997</v>
      </c>
      <c r="FM38" s="204" t="s">
        <v>997</v>
      </c>
      <c r="FN38" s="204" t="s">
        <v>997</v>
      </c>
      <c r="FO38" s="204" t="s">
        <v>997</v>
      </c>
      <c r="FP38" s="204" t="s">
        <v>997</v>
      </c>
      <c r="FQ38" s="204" t="s">
        <v>997</v>
      </c>
      <c r="FR38" s="204" t="s">
        <v>997</v>
      </c>
      <c r="FS38" s="204" t="s">
        <v>997</v>
      </c>
      <c r="FT38" s="204" t="s">
        <v>997</v>
      </c>
      <c r="FU38" s="204" t="s">
        <v>997</v>
      </c>
      <c r="FV38" s="204" t="s">
        <v>997</v>
      </c>
      <c r="FW38" s="204" t="s">
        <v>997</v>
      </c>
      <c r="FX38" s="204" t="s">
        <v>997</v>
      </c>
      <c r="FY38" s="204" t="s">
        <v>997</v>
      </c>
      <c r="FZ38" s="204" t="s">
        <v>997</v>
      </c>
      <c r="GA38" s="204" t="s">
        <v>997</v>
      </c>
      <c r="GB38" s="204" t="s">
        <v>997</v>
      </c>
      <c r="GC38" s="204" t="s">
        <v>997</v>
      </c>
      <c r="GD38" s="204" t="s">
        <v>997</v>
      </c>
      <c r="GE38" s="204" t="s">
        <v>997</v>
      </c>
      <c r="GF38" s="204" t="s">
        <v>997</v>
      </c>
      <c r="GG38" s="204" t="s">
        <v>997</v>
      </c>
      <c r="GH38" s="204" t="s">
        <v>997</v>
      </c>
      <c r="GI38" s="204" t="s">
        <v>997</v>
      </c>
      <c r="GJ38" s="204" t="s">
        <v>997</v>
      </c>
      <c r="GK38" s="204" t="s">
        <v>997</v>
      </c>
      <c r="GL38" s="204" t="s">
        <v>997</v>
      </c>
      <c r="GM38" s="204" t="s">
        <v>997</v>
      </c>
      <c r="GN38" s="1051">
        <v>970.6101321585902</v>
      </c>
      <c r="GO38" s="1051">
        <v>33.157488986784145</v>
      </c>
      <c r="GP38" s="1051">
        <v>126.60132158590309</v>
      </c>
      <c r="GQ38" s="1051">
        <v>238.13105726872246</v>
      </c>
      <c r="GR38" s="1051">
        <v>0</v>
      </c>
      <c r="GS38" s="1051">
        <v>0</v>
      </c>
      <c r="GT38" s="1051">
        <v>0</v>
      </c>
      <c r="GU38" s="1051">
        <v>0</v>
      </c>
      <c r="GV38" s="1051">
        <v>0</v>
      </c>
      <c r="GW38" s="1051">
        <v>0</v>
      </c>
      <c r="GX38" s="1051">
        <v>0</v>
      </c>
      <c r="GY38" s="1051">
        <v>0</v>
      </c>
      <c r="GZ38" s="1051">
        <v>0</v>
      </c>
      <c r="HA38" s="1051">
        <v>0</v>
      </c>
      <c r="HB38" s="1051">
        <v>0</v>
      </c>
      <c r="HC38" s="1051">
        <v>0</v>
      </c>
      <c r="HD38" s="1051">
        <v>0</v>
      </c>
      <c r="HE38" s="1051">
        <v>0</v>
      </c>
      <c r="HF38" s="1051">
        <v>0</v>
      </c>
      <c r="HG38" s="1051">
        <v>0</v>
      </c>
      <c r="HH38" s="1051">
        <v>0</v>
      </c>
      <c r="HI38" s="1051">
        <v>0</v>
      </c>
      <c r="HJ38" s="1051">
        <v>0</v>
      </c>
      <c r="HK38" s="1051">
        <v>0</v>
      </c>
      <c r="HL38" s="1051">
        <v>0</v>
      </c>
      <c r="HM38" s="1051">
        <v>0</v>
      </c>
      <c r="HN38" s="1051">
        <v>0</v>
      </c>
      <c r="HO38" s="1051">
        <v>0</v>
      </c>
      <c r="HP38" s="1051">
        <v>0</v>
      </c>
      <c r="HQ38" s="1051">
        <v>0</v>
      </c>
      <c r="HR38" s="1051">
        <v>0</v>
      </c>
      <c r="HS38" s="1051">
        <v>0</v>
      </c>
      <c r="HT38" s="1051">
        <v>0</v>
      </c>
      <c r="HU38" s="1051">
        <v>0</v>
      </c>
      <c r="HV38" s="1051">
        <v>0</v>
      </c>
      <c r="HW38" s="1051">
        <v>0</v>
      </c>
      <c r="HX38" s="1051">
        <v>0</v>
      </c>
      <c r="HY38" s="1051">
        <v>0</v>
      </c>
      <c r="HZ38" s="1051">
        <v>0</v>
      </c>
      <c r="IA38" s="1051">
        <v>0</v>
      </c>
      <c r="IB38" s="1051">
        <v>0</v>
      </c>
      <c r="IC38" s="1051">
        <v>0</v>
      </c>
      <c r="ID38" s="1051">
        <v>0</v>
      </c>
      <c r="IE38" s="1051">
        <v>0</v>
      </c>
      <c r="IF38" s="1051">
        <v>0</v>
      </c>
      <c r="IG38" s="1051">
        <v>0</v>
      </c>
      <c r="IH38" s="1051">
        <v>0</v>
      </c>
      <c r="II38" s="1051">
        <v>0</v>
      </c>
      <c r="IJ38" s="1051">
        <v>0</v>
      </c>
      <c r="IK38" s="1051">
        <v>0</v>
      </c>
      <c r="IL38" s="1051">
        <v>0</v>
      </c>
      <c r="IM38" s="1051">
        <v>0</v>
      </c>
      <c r="IN38" s="1051">
        <v>0</v>
      </c>
      <c r="IO38" s="1051">
        <v>0</v>
      </c>
      <c r="IP38" s="1051">
        <v>0</v>
      </c>
      <c r="IQ38" s="1051">
        <v>0</v>
      </c>
      <c r="IR38" s="1051">
        <v>0</v>
      </c>
      <c r="IS38" s="1051">
        <v>0</v>
      </c>
      <c r="IT38" s="215">
        <v>1305.1946206365653</v>
      </c>
      <c r="IU38" s="207">
        <v>179.9</v>
      </c>
      <c r="IV38" s="216">
        <v>2647.0800000000199</v>
      </c>
      <c r="IW38" s="272">
        <v>12.64</v>
      </c>
      <c r="IX38" s="207">
        <v>50</v>
      </c>
      <c r="IY38" s="207">
        <v>1.5</v>
      </c>
      <c r="IZ38" s="207">
        <v>0.9</v>
      </c>
      <c r="JA38" s="207">
        <v>0.9</v>
      </c>
      <c r="JB38" s="52">
        <v>2</v>
      </c>
      <c r="JC38" s="24">
        <v>1.5</v>
      </c>
      <c r="JD38" s="24">
        <v>0.7</v>
      </c>
      <c r="JE38" s="24">
        <v>0.7</v>
      </c>
      <c r="JF38" s="24">
        <v>0.5</v>
      </c>
      <c r="JG38" s="1">
        <v>95.354781745581008</v>
      </c>
      <c r="JH38" s="216">
        <v>2647.0800000000199</v>
      </c>
      <c r="JI38" s="272">
        <v>12.64</v>
      </c>
      <c r="JJ38" s="207">
        <v>50</v>
      </c>
      <c r="JK38" s="10">
        <v>1.9</v>
      </c>
      <c r="JL38" s="10">
        <v>1.3</v>
      </c>
      <c r="JM38" s="10">
        <v>1.3</v>
      </c>
      <c r="JN38" s="216">
        <v>2</v>
      </c>
      <c r="JO38" s="216">
        <v>2</v>
      </c>
      <c r="JP38" s="216">
        <v>1</v>
      </c>
      <c r="JQ38" s="216">
        <v>1</v>
      </c>
      <c r="JR38" s="214">
        <v>0.5</v>
      </c>
      <c r="JS38" s="1212">
        <v>2000</v>
      </c>
      <c r="JT38" s="215">
        <v>213.20177484077675</v>
      </c>
      <c r="JU38" s="215">
        <v>500</v>
      </c>
      <c r="JV38" s="207">
        <v>1.2</v>
      </c>
      <c r="JW38" s="207">
        <v>0.7</v>
      </c>
      <c r="JX38" s="207">
        <v>0.7</v>
      </c>
      <c r="JY38" s="214">
        <v>2</v>
      </c>
      <c r="JZ38" s="214">
        <v>1.5</v>
      </c>
      <c r="KA38" s="214">
        <v>0.5</v>
      </c>
      <c r="KB38" s="214">
        <v>1</v>
      </c>
      <c r="KC38" s="214">
        <v>0.5</v>
      </c>
      <c r="KD38" s="1186">
        <v>7.8829369640926084</v>
      </c>
      <c r="KE38" s="1186">
        <v>1.1920879420304663E-3</v>
      </c>
      <c r="KF38" s="1186">
        <v>88.981531151812405</v>
      </c>
      <c r="KG38" s="1186"/>
      <c r="KH38" s="1186">
        <v>0.67199700275031726</v>
      </c>
      <c r="KI38" s="1186">
        <v>2.4611507054606143</v>
      </c>
      <c r="KJ38" s="1186">
        <v>1.0217896645975427E-3</v>
      </c>
      <c r="KK38" s="1186">
        <v>1.7029827743292376E-4</v>
      </c>
      <c r="KL38" s="1186"/>
      <c r="KM38" s="1187">
        <v>580</v>
      </c>
      <c r="KN38" s="1187">
        <v>580</v>
      </c>
      <c r="KO38" s="1187">
        <v>580</v>
      </c>
      <c r="KP38" s="1187">
        <v>580</v>
      </c>
      <c r="KQ38" s="1187"/>
      <c r="KR38" s="1187">
        <v>580</v>
      </c>
      <c r="KS38" s="1187">
        <v>580</v>
      </c>
      <c r="KT38" s="1187">
        <v>580</v>
      </c>
      <c r="KU38" s="1187">
        <v>580</v>
      </c>
      <c r="KV38" s="262">
        <v>370</v>
      </c>
      <c r="KW38" s="262">
        <v>370</v>
      </c>
      <c r="KX38" s="262">
        <v>370</v>
      </c>
      <c r="KY38" s="262">
        <v>370</v>
      </c>
      <c r="KZ38" s="262"/>
      <c r="LA38" s="262">
        <v>370</v>
      </c>
      <c r="LB38" s="262">
        <v>370</v>
      </c>
      <c r="LC38" s="262">
        <v>370</v>
      </c>
      <c r="LD38" s="262">
        <v>370</v>
      </c>
      <c r="LE38" s="1213">
        <v>0</v>
      </c>
      <c r="LF38" s="1213">
        <v>10</v>
      </c>
      <c r="LG38" s="1213">
        <v>20</v>
      </c>
      <c r="LH38" s="1213">
        <v>70</v>
      </c>
      <c r="LI38" s="1213">
        <v>100</v>
      </c>
      <c r="LJ38" s="1212">
        <v>1000</v>
      </c>
      <c r="LK38" s="1"/>
      <c r="LL38" s="4">
        <v>29</v>
      </c>
      <c r="LM38" s="10">
        <v>1.7</v>
      </c>
      <c r="LN38" s="10">
        <v>1.4</v>
      </c>
      <c r="LO38" s="10">
        <v>1.4</v>
      </c>
      <c r="LP38" s="214">
        <v>2</v>
      </c>
      <c r="LQ38" s="214">
        <v>1</v>
      </c>
      <c r="LR38" s="214">
        <v>0.5</v>
      </c>
      <c r="LS38" s="214">
        <v>0.7</v>
      </c>
      <c r="LT38" s="214">
        <v>0.2</v>
      </c>
      <c r="LU38" s="1212">
        <v>1500</v>
      </c>
      <c r="LV38" s="122">
        <v>0</v>
      </c>
      <c r="LW38" s="122">
        <v>0</v>
      </c>
      <c r="LX38" s="122">
        <v>0</v>
      </c>
      <c r="LY38" s="165">
        <v>0</v>
      </c>
      <c r="LZ38" s="165">
        <v>0</v>
      </c>
      <c r="MA38" s="165">
        <v>0</v>
      </c>
      <c r="MB38" s="165">
        <v>0</v>
      </c>
      <c r="MC38" s="165">
        <v>0</v>
      </c>
      <c r="MD38" s="165">
        <v>0</v>
      </c>
      <c r="ME38" s="165">
        <v>0</v>
      </c>
      <c r="MF38" s="165">
        <v>0</v>
      </c>
      <c r="MG38" s="165">
        <v>0</v>
      </c>
      <c r="MH38" s="165">
        <v>0</v>
      </c>
      <c r="MI38" s="165">
        <v>0</v>
      </c>
      <c r="MJ38" s="165">
        <v>0</v>
      </c>
      <c r="MK38" s="165">
        <v>0</v>
      </c>
      <c r="ML38" s="165">
        <v>0</v>
      </c>
      <c r="MM38" s="165">
        <v>0</v>
      </c>
      <c r="MN38" s="165">
        <v>0</v>
      </c>
      <c r="MO38" s="165">
        <v>0</v>
      </c>
      <c r="MP38" s="165">
        <v>0</v>
      </c>
      <c r="MQ38" s="165">
        <v>0</v>
      </c>
      <c r="MR38" s="165">
        <v>0</v>
      </c>
      <c r="MS38" s="165">
        <v>0</v>
      </c>
      <c r="MT38" s="165">
        <v>0</v>
      </c>
      <c r="MU38" s="165">
        <v>0</v>
      </c>
      <c r="MV38" s="165">
        <v>0</v>
      </c>
      <c r="MW38" s="166">
        <v>0.91812427671605001</v>
      </c>
      <c r="MX38" s="166">
        <v>0</v>
      </c>
      <c r="MY38" s="166">
        <v>2.7886544583860001E-2</v>
      </c>
      <c r="MZ38" s="166">
        <v>0.33206952432339998</v>
      </c>
      <c r="NA38" s="166">
        <v>-0.25999999839783</v>
      </c>
      <c r="NB38" s="166">
        <v>-6.2200001321521698</v>
      </c>
      <c r="NC38" s="166">
        <v>0.55913728964623</v>
      </c>
      <c r="ND38" s="166">
        <v>0</v>
      </c>
      <c r="NE38" s="166">
        <v>2.788654638532E-2</v>
      </c>
      <c r="NF38" s="166">
        <v>0.33206952775206</v>
      </c>
      <c r="NG38" s="166">
        <v>-0.22499999859598999</v>
      </c>
      <c r="NH38" s="166">
        <v>-0.45000002992030003</v>
      </c>
      <c r="NI38" s="166">
        <v>9.3760486758340006E-2</v>
      </c>
      <c r="NJ38" s="166">
        <v>0</v>
      </c>
      <c r="NK38" s="166">
        <v>2.7886538296119999E-2</v>
      </c>
      <c r="NL38" s="166">
        <v>0.33206952870695</v>
      </c>
      <c r="NM38" s="166">
        <v>0</v>
      </c>
      <c r="NN38" s="166">
        <v>-0.45</v>
      </c>
      <c r="NO38" s="166">
        <v>1.1335736355415</v>
      </c>
      <c r="NP38" s="166">
        <v>0</v>
      </c>
      <c r="NQ38" s="166">
        <v>2.788654732444E-2</v>
      </c>
      <c r="NR38" s="166">
        <v>0.33206952774430998</v>
      </c>
      <c r="NS38" s="166">
        <v>0.15999999910463999</v>
      </c>
      <c r="NT38" s="166">
        <v>0</v>
      </c>
      <c r="NU38" s="166">
        <v>0.20936496929216</v>
      </c>
      <c r="NV38" s="166">
        <v>0</v>
      </c>
      <c r="NW38" s="166">
        <v>2.7886555719010001E-2</v>
      </c>
      <c r="NX38" s="166">
        <v>0.332069520801</v>
      </c>
      <c r="NY38" s="166">
        <v>0.16000000492954</v>
      </c>
      <c r="NZ38" s="166">
        <v>-0.44999995956800998</v>
      </c>
      <c r="OA38" s="166">
        <v>-36.24</v>
      </c>
      <c r="OB38" s="166">
        <v>-12.19</v>
      </c>
      <c r="OC38" s="166">
        <v>-1.4991367149136601</v>
      </c>
      <c r="OD38" s="166">
        <v>0</v>
      </c>
      <c r="OE38" s="166">
        <v>0.44999991432825998</v>
      </c>
      <c r="OF38" s="166">
        <v>-0.45999944711728002</v>
      </c>
      <c r="OG38" s="166">
        <v>-0.12747539435718</v>
      </c>
      <c r="OH38" s="166">
        <v>0</v>
      </c>
      <c r="OI38" s="166">
        <v>8.6322457945000003E-4</v>
      </c>
      <c r="OJ38" s="166">
        <v>0</v>
      </c>
      <c r="OK38" s="166">
        <v>-0.5</v>
      </c>
      <c r="OL38" s="166">
        <v>-0.46000003406403001</v>
      </c>
      <c r="OM38" s="166">
        <v>0</v>
      </c>
      <c r="ON38" s="166">
        <v>0</v>
      </c>
      <c r="OO38" s="166">
        <v>0</v>
      </c>
      <c r="OP38" s="166">
        <v>0</v>
      </c>
      <c r="OQ38" s="166">
        <v>0</v>
      </c>
      <c r="OR38" s="166">
        <v>0</v>
      </c>
      <c r="OS38" s="166">
        <v>0.28590486120371</v>
      </c>
      <c r="OT38" s="166">
        <v>0</v>
      </c>
      <c r="OU38" s="166">
        <v>8.6325554406000002E-4</v>
      </c>
      <c r="OV38" s="166">
        <v>0</v>
      </c>
      <c r="OW38" s="166">
        <v>-7.9999995435650006E-2</v>
      </c>
      <c r="OX38" s="166">
        <v>-6.2200007403277899</v>
      </c>
      <c r="OY38" s="166">
        <v>0</v>
      </c>
      <c r="OZ38" s="166">
        <v>0</v>
      </c>
      <c r="PA38" s="166">
        <v>0</v>
      </c>
      <c r="PB38" s="166">
        <v>0</v>
      </c>
      <c r="PC38" s="166">
        <v>0</v>
      </c>
      <c r="PD38" s="166">
        <v>0</v>
      </c>
      <c r="PE38" s="166">
        <v>-36.24</v>
      </c>
      <c r="PF38" s="166">
        <v>-12.19</v>
      </c>
      <c r="PG38" s="166">
        <v>-0.74052337142767999</v>
      </c>
      <c r="PH38" s="166">
        <v>0</v>
      </c>
      <c r="PI38" s="166">
        <v>0.15999999148387001</v>
      </c>
      <c r="PJ38" s="166">
        <v>0</v>
      </c>
      <c r="PK38" s="166">
        <v>0.13937811380623999</v>
      </c>
      <c r="PL38" s="166">
        <v>0</v>
      </c>
      <c r="PM38" s="166">
        <v>9.4766343714099994E-3</v>
      </c>
      <c r="PN38" s="166">
        <v>0</v>
      </c>
      <c r="PO38" s="166">
        <v>-8.0000005313699996E-2</v>
      </c>
      <c r="PP38" s="166">
        <v>-6.2199997458951497</v>
      </c>
      <c r="PQ38" s="166">
        <v>2.1528316390299999E-2</v>
      </c>
      <c r="PR38" s="166">
        <v>0</v>
      </c>
      <c r="PS38" s="166">
        <v>9.4766754324800001E-3</v>
      </c>
      <c r="PT38" s="166">
        <v>0</v>
      </c>
      <c r="PU38" s="166">
        <v>-0.17000001244946999</v>
      </c>
      <c r="PV38" s="166">
        <v>0</v>
      </c>
      <c r="PW38" s="166">
        <v>6.743246363225E-2</v>
      </c>
      <c r="PX38" s="166">
        <v>0</v>
      </c>
      <c r="PY38" s="166">
        <v>9.4766850163600005E-3</v>
      </c>
      <c r="PZ38" s="166">
        <v>0</v>
      </c>
      <c r="QA38" s="166">
        <v>-0.17000007515352999</v>
      </c>
      <c r="QB38" s="166">
        <v>0</v>
      </c>
      <c r="QC38" s="166">
        <v>1.2219264490769499</v>
      </c>
      <c r="QD38" s="166">
        <v>0</v>
      </c>
      <c r="QE38" s="166">
        <v>9.4764733472700001E-3</v>
      </c>
      <c r="QF38" s="166">
        <v>0</v>
      </c>
      <c r="QG38" s="166">
        <v>0</v>
      </c>
      <c r="QH38" s="166">
        <v>0</v>
      </c>
      <c r="QI38" s="162">
        <v>0</v>
      </c>
      <c r="QJ38" s="167">
        <v>0</v>
      </c>
      <c r="QK38" s="167">
        <v>0</v>
      </c>
      <c r="QL38" s="167">
        <v>0</v>
      </c>
      <c r="QM38" s="167">
        <v>0</v>
      </c>
      <c r="QN38" s="162">
        <v>0</v>
      </c>
      <c r="QO38" s="162">
        <v>0</v>
      </c>
      <c r="QP38" s="162">
        <v>0</v>
      </c>
      <c r="QQ38" s="162">
        <v>0</v>
      </c>
      <c r="QR38" s="162">
        <v>0</v>
      </c>
      <c r="QS38" s="162">
        <v>0</v>
      </c>
      <c r="QT38" s="162">
        <v>0</v>
      </c>
      <c r="QU38" s="162">
        <v>0</v>
      </c>
      <c r="QV38" s="162">
        <v>0</v>
      </c>
      <c r="QW38" s="162">
        <v>0</v>
      </c>
      <c r="QX38" s="162">
        <v>0</v>
      </c>
      <c r="QY38" s="162">
        <v>0</v>
      </c>
      <c r="QZ38" s="162">
        <v>0</v>
      </c>
      <c r="RA38" s="167">
        <v>0</v>
      </c>
      <c r="RB38" s="167">
        <v>0</v>
      </c>
      <c r="RC38" s="167">
        <v>0</v>
      </c>
      <c r="RD38" s="167">
        <v>0</v>
      </c>
      <c r="RE38" s="167">
        <v>0</v>
      </c>
      <c r="RF38" s="167">
        <v>0</v>
      </c>
      <c r="RG38" s="167">
        <v>0</v>
      </c>
      <c r="RH38" s="167">
        <v>0</v>
      </c>
      <c r="RI38" s="167">
        <v>0</v>
      </c>
      <c r="RJ38" s="167">
        <v>0</v>
      </c>
      <c r="RK38" s="167">
        <v>0</v>
      </c>
      <c r="RL38" s="167">
        <v>0</v>
      </c>
      <c r="RM38" s="166">
        <v>-36.24</v>
      </c>
      <c r="RN38" s="166">
        <v>-12.19</v>
      </c>
      <c r="RO38" s="166">
        <v>-0.49499999985304</v>
      </c>
      <c r="RP38" s="166">
        <v>0</v>
      </c>
      <c r="RQ38" s="166">
        <v>-0.6749999978508</v>
      </c>
      <c r="RR38" s="166">
        <v>-2.2500001032418901</v>
      </c>
      <c r="RS38" s="166">
        <v>3.8091447641100001E-3</v>
      </c>
      <c r="RT38" s="166">
        <v>0</v>
      </c>
      <c r="RU38" s="166">
        <v>0</v>
      </c>
      <c r="RV38" s="166">
        <v>0</v>
      </c>
      <c r="RW38" s="166">
        <v>-2.6730000055193202</v>
      </c>
      <c r="RX38" s="166">
        <v>0</v>
      </c>
      <c r="RY38" s="166">
        <v>0.24193933629212999</v>
      </c>
      <c r="RZ38" s="166">
        <v>0</v>
      </c>
      <c r="SA38" s="166">
        <v>0</v>
      </c>
      <c r="SB38" s="166">
        <v>0</v>
      </c>
      <c r="SC38" s="166">
        <v>-0.55250002206245996</v>
      </c>
      <c r="SD38" s="166">
        <v>0</v>
      </c>
      <c r="SE38" s="166">
        <v>0</v>
      </c>
      <c r="SF38" s="166">
        <v>0</v>
      </c>
      <c r="SG38" s="166">
        <v>0</v>
      </c>
      <c r="SH38" s="166">
        <v>0</v>
      </c>
      <c r="SI38" s="166">
        <v>0</v>
      </c>
      <c r="SJ38" s="166">
        <v>0</v>
      </c>
      <c r="SK38" s="166">
        <v>0</v>
      </c>
      <c r="SL38" s="166">
        <v>0</v>
      </c>
      <c r="SM38" s="166">
        <v>0</v>
      </c>
      <c r="SN38" s="166">
        <v>0</v>
      </c>
      <c r="SO38" s="166">
        <v>-1.1249997913251899</v>
      </c>
      <c r="SP38" s="166">
        <v>0</v>
      </c>
      <c r="SQ38" s="166">
        <v>-36.24</v>
      </c>
      <c r="SR38" s="166">
        <v>-12.19</v>
      </c>
      <c r="SS38" s="166">
        <v>0</v>
      </c>
      <c r="ST38" s="166">
        <v>0</v>
      </c>
      <c r="SU38" s="166">
        <v>0.16999999245874001</v>
      </c>
      <c r="SV38" s="166">
        <v>-0.34000001287501003</v>
      </c>
      <c r="SW38" s="166">
        <v>0</v>
      </c>
      <c r="SX38" s="166">
        <v>0</v>
      </c>
      <c r="SY38" s="166">
        <v>0</v>
      </c>
      <c r="SZ38" s="166">
        <v>0</v>
      </c>
      <c r="TA38" s="166">
        <v>0</v>
      </c>
      <c r="TB38" s="166">
        <v>0</v>
      </c>
      <c r="TC38" s="166">
        <v>0</v>
      </c>
      <c r="TD38" s="166">
        <v>0</v>
      </c>
      <c r="TE38" s="166">
        <v>0</v>
      </c>
      <c r="TF38" s="166">
        <v>0</v>
      </c>
      <c r="TG38" s="166">
        <v>0</v>
      </c>
      <c r="TH38" s="166">
        <v>0</v>
      </c>
      <c r="TI38" s="166">
        <v>0</v>
      </c>
      <c r="TJ38" s="166">
        <v>0</v>
      </c>
      <c r="TK38" s="166">
        <v>0</v>
      </c>
      <c r="TL38" s="166">
        <v>0</v>
      </c>
      <c r="TM38" s="166">
        <v>0</v>
      </c>
      <c r="TN38" s="166">
        <v>0</v>
      </c>
      <c r="TO38" s="166">
        <v>0</v>
      </c>
      <c r="TP38" s="166">
        <v>0</v>
      </c>
      <c r="TQ38" s="166">
        <v>0</v>
      </c>
      <c r="TR38" s="166">
        <v>0</v>
      </c>
      <c r="TS38" s="166">
        <v>0</v>
      </c>
      <c r="TT38" s="166">
        <v>0</v>
      </c>
      <c r="TU38" s="166">
        <v>0.32427054210787998</v>
      </c>
      <c r="TV38" s="166">
        <v>0</v>
      </c>
      <c r="TW38" s="166">
        <v>7.1761123343059993E-2</v>
      </c>
      <c r="TX38" s="166">
        <v>-0.10763674585152</v>
      </c>
      <c r="TY38" s="166">
        <v>0.15498719241010001</v>
      </c>
      <c r="TZ38" s="166">
        <v>-0.31459523459174998</v>
      </c>
      <c r="UA38" s="166">
        <v>2.6427586937070001E-2</v>
      </c>
      <c r="UB38" s="166">
        <v>0</v>
      </c>
      <c r="UC38" s="166">
        <v>8.6323241554E-4</v>
      </c>
      <c r="UD38" s="166">
        <v>0</v>
      </c>
      <c r="UE38" s="166">
        <v>-0.12051623005662</v>
      </c>
      <c r="UF38" s="166">
        <v>-6.2200000165595002</v>
      </c>
      <c r="UG38" s="166">
        <v>0.1863435666447</v>
      </c>
      <c r="UH38" s="166">
        <v>0</v>
      </c>
      <c r="UI38" s="166">
        <v>0.18488462604497</v>
      </c>
      <c r="UJ38" s="166">
        <v>0</v>
      </c>
      <c r="UK38" s="166">
        <v>-0.33340576039571002</v>
      </c>
      <c r="UL38" s="166">
        <v>-1.64804415386377</v>
      </c>
      <c r="UM38" s="166">
        <v>0</v>
      </c>
      <c r="UN38" s="166">
        <v>0</v>
      </c>
      <c r="UO38" s="166">
        <v>0</v>
      </c>
      <c r="UP38" s="166">
        <v>0</v>
      </c>
      <c r="UQ38" s="166">
        <v>0</v>
      </c>
      <c r="UR38" s="166">
        <v>-6.5876852553219303</v>
      </c>
      <c r="US38" s="163">
        <v>0</v>
      </c>
      <c r="UT38" s="163">
        <v>0</v>
      </c>
      <c r="UU38" s="163">
        <v>0</v>
      </c>
      <c r="UV38" s="163">
        <v>0</v>
      </c>
      <c r="UW38" s="163">
        <v>0</v>
      </c>
      <c r="UX38" s="163">
        <v>-6.8764483252300003E-3</v>
      </c>
      <c r="UY38" s="166">
        <v>-1.165054313982E-2</v>
      </c>
      <c r="UZ38" s="166">
        <v>0</v>
      </c>
      <c r="VA38" s="166">
        <v>0</v>
      </c>
      <c r="VB38" s="166">
        <v>0</v>
      </c>
      <c r="VC38" s="166">
        <v>0</v>
      </c>
      <c r="VD38" s="166">
        <v>0</v>
      </c>
      <c r="VE38" s="267">
        <v>202</v>
      </c>
      <c r="VF38" s="267">
        <v>279</v>
      </c>
      <c r="VG38" s="267">
        <v>354</v>
      </c>
      <c r="VH38" s="267">
        <v>0</v>
      </c>
      <c r="VI38" s="267">
        <v>403</v>
      </c>
      <c r="VJ38" s="267">
        <v>0</v>
      </c>
      <c r="VK38" s="267">
        <v>0</v>
      </c>
      <c r="VL38" s="257">
        <v>0</v>
      </c>
      <c r="VM38" s="257">
        <v>0</v>
      </c>
      <c r="VN38" s="257">
        <v>0</v>
      </c>
      <c r="VO38" s="257">
        <v>0</v>
      </c>
      <c r="VP38" s="257">
        <v>0</v>
      </c>
      <c r="VQ38" s="257">
        <v>0</v>
      </c>
      <c r="VR38" s="257">
        <v>0</v>
      </c>
      <c r="VS38" s="257">
        <v>0</v>
      </c>
      <c r="VT38" s="257">
        <v>0</v>
      </c>
      <c r="VU38" s="257">
        <v>0</v>
      </c>
      <c r="VV38" s="257">
        <v>0</v>
      </c>
      <c r="VW38" s="257">
        <v>0</v>
      </c>
      <c r="VX38" s="257">
        <v>0</v>
      </c>
      <c r="VY38" s="257">
        <v>0</v>
      </c>
      <c r="VZ38" s="257">
        <v>0</v>
      </c>
      <c r="WA38" s="257">
        <v>0</v>
      </c>
      <c r="WB38" s="257">
        <v>0</v>
      </c>
      <c r="WC38" s="257">
        <v>0</v>
      </c>
      <c r="WD38" s="257">
        <v>0</v>
      </c>
      <c r="WE38" s="257">
        <v>0</v>
      </c>
      <c r="WF38" s="257">
        <v>0</v>
      </c>
      <c r="WG38" s="257">
        <v>0</v>
      </c>
      <c r="WH38" s="257">
        <v>0</v>
      </c>
      <c r="WI38" s="257">
        <v>0</v>
      </c>
      <c r="WJ38" s="257">
        <v>0</v>
      </c>
      <c r="WK38" s="257">
        <v>0</v>
      </c>
      <c r="WL38" s="257">
        <v>0</v>
      </c>
      <c r="WM38" s="257">
        <v>0</v>
      </c>
      <c r="WN38" s="257">
        <v>0</v>
      </c>
      <c r="WO38" s="257">
        <v>0</v>
      </c>
      <c r="WP38" s="257">
        <v>0</v>
      </c>
      <c r="WQ38" s="257">
        <v>0</v>
      </c>
      <c r="WR38" s="257">
        <v>0</v>
      </c>
      <c r="WS38" s="572">
        <v>93.132199999999997</v>
      </c>
      <c r="WT38" s="572">
        <v>73.883582463465544</v>
      </c>
      <c r="WU38" s="572">
        <v>81.660801670146128</v>
      </c>
      <c r="WV38" s="572">
        <v>85.549411273486427</v>
      </c>
      <c r="WW38" s="572">
        <v>131.43500459290189</v>
      </c>
      <c r="WX38" s="247">
        <v>17528.33368</v>
      </c>
      <c r="WY38" s="4">
        <v>78</v>
      </c>
      <c r="WZ38" s="4">
        <v>15</v>
      </c>
      <c r="XA38" s="4">
        <v>7.0000000000000009</v>
      </c>
      <c r="XB38" s="4">
        <v>0</v>
      </c>
      <c r="XC38" s="1037">
        <v>1972.0622899039665</v>
      </c>
      <c r="XD38" s="1037">
        <v>0</v>
      </c>
      <c r="XE38" s="1037">
        <v>0</v>
      </c>
      <c r="XF38" s="1037">
        <v>0</v>
      </c>
      <c r="XG38" s="1037">
        <v>0</v>
      </c>
      <c r="XH38" s="1037">
        <v>0</v>
      </c>
      <c r="XI38" s="1037">
        <v>493.01557247599163</v>
      </c>
      <c r="XJ38" s="1037">
        <v>1327.3496182045926</v>
      </c>
      <c r="XK38" s="1037">
        <v>2115.5405060424905</v>
      </c>
      <c r="XL38" s="1037">
        <v>0</v>
      </c>
      <c r="XM38" s="1037">
        <v>0</v>
      </c>
      <c r="XN38" s="1037">
        <v>0</v>
      </c>
      <c r="XO38" s="1037">
        <v>0</v>
      </c>
      <c r="XP38" s="1037">
        <v>0</v>
      </c>
      <c r="XQ38" s="1037">
        <v>528.88512651062263</v>
      </c>
      <c r="XR38" s="1037">
        <v>1423.9214944516762</v>
      </c>
      <c r="XS38" s="1037">
        <v>2216.280530139752</v>
      </c>
      <c r="XT38" s="1037">
        <v>0</v>
      </c>
      <c r="XU38" s="1037">
        <v>0</v>
      </c>
      <c r="XV38" s="1037">
        <v>0</v>
      </c>
      <c r="XW38" s="1037">
        <v>0</v>
      </c>
      <c r="XX38" s="1037">
        <v>0</v>
      </c>
      <c r="XY38" s="1037">
        <v>554.07013253493801</v>
      </c>
      <c r="XZ38" s="1037">
        <v>1491.727279901756</v>
      </c>
      <c r="YA38" s="1037">
        <v>3405.012814487437</v>
      </c>
      <c r="YB38" s="1037">
        <v>0</v>
      </c>
      <c r="YC38" s="1037">
        <v>0</v>
      </c>
      <c r="YD38" s="1037">
        <v>0</v>
      </c>
      <c r="YE38" s="1037">
        <v>0</v>
      </c>
      <c r="YF38" s="1037">
        <v>0</v>
      </c>
      <c r="YG38" s="1037">
        <v>851.25320362185926</v>
      </c>
      <c r="YH38" s="1037">
        <v>2291.8355482126976</v>
      </c>
      <c r="YI38" s="1037">
        <v>2717.063599423243</v>
      </c>
      <c r="YJ38" s="1037">
        <v>0</v>
      </c>
      <c r="YK38" s="1037">
        <v>0</v>
      </c>
      <c r="YL38" s="1037">
        <v>0</v>
      </c>
      <c r="YM38" s="1037">
        <v>0</v>
      </c>
      <c r="YN38" s="1037">
        <v>0</v>
      </c>
      <c r="YO38" s="1037">
        <v>679.26589985581074</v>
      </c>
      <c r="YP38" s="1037">
        <v>1828.7928073041055</v>
      </c>
      <c r="YQ38" s="1037">
        <v>2914.7446972140979</v>
      </c>
      <c r="YR38" s="1037">
        <v>0</v>
      </c>
      <c r="YS38" s="1037">
        <v>0</v>
      </c>
      <c r="YT38" s="1037">
        <v>0</v>
      </c>
      <c r="YU38" s="1037">
        <v>0</v>
      </c>
      <c r="YV38" s="1037">
        <v>0</v>
      </c>
      <c r="YW38" s="1037">
        <v>728.68617430352447</v>
      </c>
      <c r="YX38" s="1037">
        <v>1961.8473923556426</v>
      </c>
      <c r="YY38" s="1037">
        <v>3053.5420637481029</v>
      </c>
      <c r="YZ38" s="1037">
        <v>0</v>
      </c>
      <c r="ZA38" s="1037">
        <v>0</v>
      </c>
      <c r="ZB38" s="1037">
        <v>0</v>
      </c>
      <c r="ZC38" s="1037">
        <v>0</v>
      </c>
      <c r="ZD38" s="1037">
        <v>0</v>
      </c>
      <c r="ZE38" s="1037">
        <v>763.38551593702573</v>
      </c>
      <c r="ZF38" s="1037">
        <v>2055.2686967535305</v>
      </c>
      <c r="ZG38" s="1037">
        <v>4691.3509888493572</v>
      </c>
      <c r="ZH38" s="1037">
        <v>0</v>
      </c>
      <c r="ZI38" s="1037">
        <v>0</v>
      </c>
      <c r="ZJ38" s="1037">
        <v>0</v>
      </c>
      <c r="ZK38" s="1037">
        <v>0</v>
      </c>
      <c r="ZL38" s="1037">
        <v>0</v>
      </c>
      <c r="ZM38" s="1037">
        <v>1172.8377472123393</v>
      </c>
      <c r="ZN38" s="1037">
        <v>3157.6400886486058</v>
      </c>
      <c r="ZO38" s="1037">
        <v>7230.8950629812107</v>
      </c>
      <c r="ZP38" s="1037">
        <v>0</v>
      </c>
      <c r="ZQ38" s="1037">
        <v>0</v>
      </c>
      <c r="ZR38" s="1037">
        <v>0</v>
      </c>
      <c r="ZS38" s="1037">
        <v>0</v>
      </c>
      <c r="ZT38" s="1037">
        <v>0</v>
      </c>
      <c r="ZU38" s="1037">
        <v>1807.7237657453027</v>
      </c>
      <c r="ZV38" s="1037">
        <v>4866.9486000835068</v>
      </c>
      <c r="ZW38" s="1037">
        <v>7992.0419117160754</v>
      </c>
      <c r="ZX38" s="1037">
        <v>0</v>
      </c>
      <c r="ZY38" s="1037">
        <v>0</v>
      </c>
      <c r="ZZ38" s="1037">
        <v>0</v>
      </c>
      <c r="AAA38" s="1037">
        <v>0</v>
      </c>
      <c r="AAB38" s="1037">
        <v>0</v>
      </c>
      <c r="AAC38" s="1037">
        <v>1998.0104779290189</v>
      </c>
      <c r="AAD38" s="1037">
        <v>5379.2589790396651</v>
      </c>
      <c r="AAE38" s="1037">
        <v>8372.6153360835069</v>
      </c>
      <c r="AAF38" s="1037">
        <v>0</v>
      </c>
      <c r="AAG38" s="1037">
        <v>0</v>
      </c>
      <c r="AAH38" s="1037">
        <v>0</v>
      </c>
      <c r="AAI38" s="1037">
        <v>0</v>
      </c>
      <c r="AAJ38" s="1037">
        <v>0</v>
      </c>
      <c r="AAK38" s="1037">
        <v>2093.1538340208767</v>
      </c>
      <c r="AAL38" s="1037">
        <v>5635.4141685177447</v>
      </c>
      <c r="AAM38" s="1037">
        <v>12863.381743619206</v>
      </c>
      <c r="AAN38" s="1037">
        <v>0</v>
      </c>
      <c r="AAO38" s="1037">
        <v>0</v>
      </c>
      <c r="AAP38" s="1037">
        <v>0</v>
      </c>
      <c r="AAQ38" s="1037">
        <v>0</v>
      </c>
      <c r="AAR38" s="1037">
        <v>0</v>
      </c>
      <c r="AAS38" s="1037">
        <v>3215.8454359048014</v>
      </c>
      <c r="AAT38" s="1037">
        <v>8658.0454043590798</v>
      </c>
      <c r="AAU38" s="1037">
        <v>9947.9586624044532</v>
      </c>
      <c r="AAV38" s="1037">
        <v>0</v>
      </c>
      <c r="AAW38" s="1037">
        <v>0</v>
      </c>
      <c r="AAX38" s="1037">
        <v>0</v>
      </c>
      <c r="AAY38" s="1037">
        <v>0</v>
      </c>
      <c r="AAZ38" s="1037">
        <v>0</v>
      </c>
      <c r="ABA38" s="1037">
        <v>2486.9896656011133</v>
      </c>
      <c r="ABB38" s="1037">
        <v>6695.7414073876116</v>
      </c>
      <c r="ABC38" s="1037">
        <v>10530.690518967063</v>
      </c>
      <c r="ABD38" s="1037">
        <v>0</v>
      </c>
      <c r="ABE38" s="1037">
        <v>0</v>
      </c>
      <c r="ABF38" s="1037">
        <v>0</v>
      </c>
      <c r="ABG38" s="1037">
        <v>0</v>
      </c>
      <c r="ABH38" s="1037">
        <v>0</v>
      </c>
      <c r="ABI38" s="1037">
        <v>2632.6726297417658</v>
      </c>
      <c r="ABJ38" s="1037">
        <v>7087.964772381677</v>
      </c>
      <c r="ABK38" s="1037">
        <v>11032.151972251209</v>
      </c>
      <c r="ABL38" s="1037">
        <v>0</v>
      </c>
      <c r="ABM38" s="1037">
        <v>0</v>
      </c>
      <c r="ABN38" s="1037">
        <v>0</v>
      </c>
      <c r="ABO38" s="1037">
        <v>0</v>
      </c>
      <c r="ABP38" s="1037">
        <v>0</v>
      </c>
      <c r="ABQ38" s="1037">
        <v>2758.0379930628023</v>
      </c>
      <c r="ABR38" s="1037">
        <v>7425.4869043998524</v>
      </c>
      <c r="ABS38" s="1037">
        <v>31023.450087552199</v>
      </c>
      <c r="ABT38" s="1037">
        <v>0</v>
      </c>
      <c r="ABU38" s="1037">
        <v>0</v>
      </c>
      <c r="ABV38" s="1037">
        <v>0</v>
      </c>
      <c r="ABW38" s="1037">
        <v>0</v>
      </c>
      <c r="ABX38" s="1037">
        <v>0</v>
      </c>
      <c r="ABY38" s="1037">
        <v>7755.8625218880497</v>
      </c>
      <c r="ABZ38" s="1037">
        <v>20881.168328160133</v>
      </c>
      <c r="ACA38" s="1037">
        <v>12884.140294039247</v>
      </c>
      <c r="ACB38" s="1037">
        <v>0</v>
      </c>
      <c r="ACC38" s="1037">
        <v>0</v>
      </c>
      <c r="ACD38" s="1037">
        <v>0</v>
      </c>
      <c r="ACE38" s="1037">
        <v>0</v>
      </c>
      <c r="ACF38" s="1037">
        <v>0</v>
      </c>
      <c r="ACG38" s="1037">
        <v>3221.0350735098118</v>
      </c>
      <c r="ACH38" s="1037">
        <v>8672.0175056033386</v>
      </c>
      <c r="ACI38" s="1037">
        <v>13774.519294898884</v>
      </c>
      <c r="ACJ38" s="1037">
        <v>0</v>
      </c>
      <c r="ACK38" s="1037">
        <v>0</v>
      </c>
      <c r="ACL38" s="1037">
        <v>0</v>
      </c>
      <c r="ACM38" s="1037">
        <v>0</v>
      </c>
      <c r="ACN38" s="1037">
        <v>0</v>
      </c>
      <c r="ACO38" s="1037">
        <v>3443.6298237247211</v>
      </c>
      <c r="ACP38" s="1037">
        <v>9271.3110638742473</v>
      </c>
      <c r="ACQ38" s="1037">
        <v>14430.448785132165</v>
      </c>
      <c r="ACR38" s="1037">
        <v>0</v>
      </c>
      <c r="ACS38" s="1037">
        <v>0</v>
      </c>
      <c r="ACT38" s="1037">
        <v>0</v>
      </c>
      <c r="ACU38" s="1037">
        <v>0</v>
      </c>
      <c r="ACV38" s="1037">
        <v>0</v>
      </c>
      <c r="ACW38" s="1037">
        <v>3607.6121962830412</v>
      </c>
      <c r="ACX38" s="1037">
        <v>9712.8020669158795</v>
      </c>
      <c r="ACY38" s="1037">
        <v>22170.416769884869</v>
      </c>
      <c r="ACZ38" s="1037">
        <v>0</v>
      </c>
      <c r="ADA38" s="1037">
        <v>0</v>
      </c>
      <c r="ADB38" s="1037">
        <v>0</v>
      </c>
      <c r="ADC38" s="1037">
        <v>0</v>
      </c>
      <c r="ADD38" s="1037">
        <v>0</v>
      </c>
      <c r="ADE38" s="1037">
        <v>5542.6041924712172</v>
      </c>
      <c r="ADF38" s="1037">
        <v>14922.39590280712</v>
      </c>
      <c r="ADG38" s="1037">
        <v>15732.674712789423</v>
      </c>
      <c r="ADH38" s="1037">
        <v>0</v>
      </c>
      <c r="ADI38" s="1037">
        <v>0</v>
      </c>
      <c r="ADJ38" s="1037">
        <v>0</v>
      </c>
      <c r="ADK38" s="1037">
        <v>0</v>
      </c>
      <c r="ADL38" s="1037">
        <v>0</v>
      </c>
      <c r="ADM38" s="1037">
        <v>3933.1686781973558</v>
      </c>
      <c r="ADN38" s="1037">
        <v>10589.300287454418</v>
      </c>
      <c r="ADO38" s="1037">
        <v>16924.324048339924</v>
      </c>
      <c r="ADP38" s="1037">
        <v>0</v>
      </c>
      <c r="ADQ38" s="1037">
        <v>0</v>
      </c>
      <c r="ADR38" s="1037">
        <v>0</v>
      </c>
      <c r="ADS38" s="1037">
        <v>0</v>
      </c>
      <c r="ADT38" s="1037">
        <v>0</v>
      </c>
      <c r="ADU38" s="1037">
        <v>4231.081012084981</v>
      </c>
      <c r="ADV38" s="1037">
        <v>11391.371955613409</v>
      </c>
      <c r="ADW38" s="1037">
        <v>17730.244241118016</v>
      </c>
      <c r="ADX38" s="1037">
        <v>0</v>
      </c>
      <c r="ADY38" s="1037">
        <v>0</v>
      </c>
      <c r="ADZ38" s="1037">
        <v>0</v>
      </c>
      <c r="AEA38" s="1037">
        <v>0</v>
      </c>
      <c r="AEB38" s="1037">
        <v>0</v>
      </c>
      <c r="AEC38" s="1037">
        <v>4432.5610602795041</v>
      </c>
      <c r="AED38" s="1037">
        <v>11933.818239214048</v>
      </c>
      <c r="AEE38" s="1037">
        <v>27240.102515899496</v>
      </c>
      <c r="AEF38" s="1037">
        <v>0</v>
      </c>
      <c r="AEG38" s="1037">
        <v>0</v>
      </c>
      <c r="AEH38" s="1037">
        <v>0</v>
      </c>
      <c r="AEI38" s="1037">
        <v>0</v>
      </c>
      <c r="AEJ38" s="1037">
        <v>0</v>
      </c>
      <c r="AEK38" s="1037">
        <v>6810.0256289748741</v>
      </c>
      <c r="AEL38" s="1037">
        <v>18334.684385701581</v>
      </c>
      <c r="AEM38" s="1037">
        <v>18142.973067116494</v>
      </c>
      <c r="AEN38" s="1037">
        <v>0</v>
      </c>
      <c r="AEO38" s="1037">
        <v>0</v>
      </c>
      <c r="AEP38" s="1037">
        <v>0</v>
      </c>
      <c r="AEQ38" s="1037">
        <v>0</v>
      </c>
      <c r="AER38" s="1037">
        <v>0</v>
      </c>
      <c r="AES38" s="1037">
        <v>4535.7432667791236</v>
      </c>
      <c r="AET38" s="1037">
        <v>12211.616487482255</v>
      </c>
      <c r="AEU38" s="1037">
        <v>19274.924610609356</v>
      </c>
      <c r="AEV38" s="1037">
        <v>0</v>
      </c>
      <c r="AEW38" s="1037">
        <v>0</v>
      </c>
      <c r="AEX38" s="1037">
        <v>0</v>
      </c>
      <c r="AEY38" s="1037">
        <v>0</v>
      </c>
      <c r="AEZ38" s="1037">
        <v>0</v>
      </c>
      <c r="AFA38" s="1037">
        <v>4818.731152652339</v>
      </c>
      <c r="AFB38" s="1037">
        <v>12973.506949448603</v>
      </c>
      <c r="AFC38" s="1037">
        <v>20192.778163495517</v>
      </c>
      <c r="AFD38" s="1037">
        <v>0</v>
      </c>
      <c r="AFE38" s="1037">
        <v>0</v>
      </c>
      <c r="AFF38" s="1037">
        <v>0</v>
      </c>
      <c r="AFG38" s="1037">
        <v>0</v>
      </c>
      <c r="AFH38" s="1037">
        <v>0</v>
      </c>
      <c r="AFI38" s="1037">
        <v>5048.1945408738793</v>
      </c>
      <c r="AFJ38" s="1037">
        <v>13591.292994660444</v>
      </c>
      <c r="AFK38" s="1037">
        <v>31023.450087552199</v>
      </c>
      <c r="AFL38" s="1037">
        <v>0</v>
      </c>
      <c r="AFM38" s="1037">
        <v>0</v>
      </c>
      <c r="AFN38" s="1037">
        <v>0</v>
      </c>
      <c r="AFO38" s="1037">
        <v>0</v>
      </c>
      <c r="AFP38" s="1037">
        <v>0</v>
      </c>
      <c r="AFQ38" s="1037">
        <v>7755.8625218880497</v>
      </c>
      <c r="AFR38" s="1037">
        <v>20881.168328160133</v>
      </c>
      <c r="AFS38" s="247">
        <v>7230.8950629812107</v>
      </c>
      <c r="AFT38" s="247">
        <v>0</v>
      </c>
      <c r="AFU38" s="247">
        <v>0</v>
      </c>
      <c r="AFV38" s="247">
        <v>0</v>
      </c>
      <c r="AFW38" s="247">
        <v>0</v>
      </c>
      <c r="AFX38" s="247">
        <v>0</v>
      </c>
      <c r="AFY38" s="247">
        <v>1807.7237657453027</v>
      </c>
      <c r="AFZ38" s="247">
        <v>4866.9486000835068</v>
      </c>
      <c r="AGA38" s="247">
        <v>7992.0419117160754</v>
      </c>
      <c r="AGB38" s="247">
        <v>0</v>
      </c>
      <c r="AGC38" s="247">
        <v>0</v>
      </c>
      <c r="AGD38" s="247">
        <v>0</v>
      </c>
      <c r="AGE38" s="247">
        <v>0</v>
      </c>
      <c r="AGF38" s="247">
        <v>0</v>
      </c>
      <c r="AGG38" s="247">
        <v>1998.0104779290189</v>
      </c>
      <c r="AGH38" s="247">
        <v>5379.2589790396651</v>
      </c>
      <c r="AGI38" s="247">
        <v>8372.6153360835069</v>
      </c>
      <c r="AGJ38" s="247">
        <v>0</v>
      </c>
      <c r="AGK38" s="247">
        <v>0</v>
      </c>
      <c r="AGL38" s="247">
        <v>0</v>
      </c>
      <c r="AGM38" s="247">
        <v>0</v>
      </c>
      <c r="AGN38" s="247">
        <v>0</v>
      </c>
      <c r="AGO38" s="247">
        <v>2093.1538340208767</v>
      </c>
      <c r="AGP38" s="247">
        <v>5635.4141685177447</v>
      </c>
      <c r="AGQ38" s="247">
        <v>12863.381743619206</v>
      </c>
      <c r="AGR38" s="247">
        <v>0</v>
      </c>
      <c r="AGS38" s="247">
        <v>0</v>
      </c>
      <c r="AGT38" s="247">
        <v>0</v>
      </c>
      <c r="AGU38" s="247">
        <v>0</v>
      </c>
      <c r="AGV38" s="247">
        <v>0</v>
      </c>
      <c r="AGW38" s="247">
        <v>3215.8454359048014</v>
      </c>
      <c r="AGX38" s="247">
        <v>8658.0454043590798</v>
      </c>
      <c r="AGY38" s="249">
        <v>0</v>
      </c>
      <c r="AGZ38" s="249">
        <v>0</v>
      </c>
      <c r="AHA38" s="249">
        <v>0</v>
      </c>
      <c r="AHB38" s="249">
        <v>0</v>
      </c>
      <c r="AHC38" s="249">
        <v>0</v>
      </c>
      <c r="AHD38" s="249">
        <v>0</v>
      </c>
      <c r="AHE38" s="249">
        <v>0</v>
      </c>
      <c r="AHF38" s="249">
        <v>0</v>
      </c>
      <c r="AHG38" s="249">
        <v>137.27516779929027</v>
      </c>
      <c r="AHH38" s="249">
        <v>4.5758389266430086</v>
      </c>
      <c r="AHI38" s="249">
        <v>13.727516779929026</v>
      </c>
      <c r="AHJ38" s="249">
        <v>0</v>
      </c>
      <c r="AHK38" s="249">
        <v>0</v>
      </c>
      <c r="AHL38" s="249">
        <v>0</v>
      </c>
      <c r="AHM38" s="249">
        <v>2.2879194633215043</v>
      </c>
      <c r="AHN38" s="249">
        <v>70.925503362966637</v>
      </c>
      <c r="AHO38" s="249">
        <v>217.16327265436854</v>
      </c>
      <c r="AHP38" s="249">
        <v>7.2387757551456184</v>
      </c>
      <c r="AHQ38" s="249">
        <v>21.716327265436853</v>
      </c>
      <c r="AHR38" s="249">
        <v>0</v>
      </c>
      <c r="AHS38" s="249">
        <v>0</v>
      </c>
      <c r="AHT38" s="249">
        <v>0</v>
      </c>
      <c r="AHU38" s="249">
        <v>3.6193878775728092</v>
      </c>
      <c r="AHV38" s="249">
        <v>112.20102420475709</v>
      </c>
      <c r="AHW38" s="249">
        <v>67.329344229882736</v>
      </c>
      <c r="AHX38" s="249">
        <v>2.2443114743294248</v>
      </c>
      <c r="AHY38" s="249">
        <v>6.732934422988273</v>
      </c>
      <c r="AHZ38" s="249">
        <v>0</v>
      </c>
      <c r="AIA38" s="249">
        <v>0</v>
      </c>
      <c r="AIB38" s="249">
        <v>0</v>
      </c>
      <c r="AIC38" s="249">
        <v>1.1221557371647124</v>
      </c>
      <c r="AID38" s="249">
        <v>34.786827852106079</v>
      </c>
      <c r="AIE38" s="249"/>
      <c r="AIF38" s="249"/>
      <c r="AIG38" s="249"/>
      <c r="AIH38" s="249"/>
      <c r="AII38" s="249"/>
      <c r="AIJ38" s="249"/>
      <c r="AIK38" s="249"/>
      <c r="AIL38" s="249"/>
      <c r="AIM38" s="249">
        <v>239.50903444320323</v>
      </c>
      <c r="AIN38" s="249">
        <v>7.9836344814401086</v>
      </c>
      <c r="AIO38" s="249">
        <v>23.950903444320325</v>
      </c>
      <c r="AIP38" s="249">
        <v>0</v>
      </c>
      <c r="AIQ38" s="249">
        <v>0</v>
      </c>
      <c r="AIR38" s="249">
        <v>0</v>
      </c>
      <c r="AIS38" s="249">
        <v>3.9918172407200543</v>
      </c>
      <c r="AIT38" s="249">
        <v>123.74633446232167</v>
      </c>
      <c r="AIU38" s="134" t="s">
        <v>1216</v>
      </c>
      <c r="AIV38" s="134" t="s">
        <v>1219</v>
      </c>
      <c r="AIW38" s="134" t="s">
        <v>1218</v>
      </c>
      <c r="AIX38" s="134" t="s">
        <v>1217</v>
      </c>
      <c r="AIY38" s="134" t="s">
        <v>1228</v>
      </c>
      <c r="AIZ38" s="134" t="s">
        <v>1229</v>
      </c>
      <c r="AJA38" s="134" t="s">
        <v>1230</v>
      </c>
      <c r="AJB38" s="134" t="s">
        <v>1231</v>
      </c>
      <c r="AJC38" s="134" t="s">
        <v>1232</v>
      </c>
      <c r="AJD38" s="134" t="s">
        <v>1233</v>
      </c>
    </row>
    <row r="39" spans="1:940" ht="18" customHeight="1">
      <c r="A39" s="664" t="s">
        <v>30</v>
      </c>
      <c r="B39" s="670">
        <v>0.1</v>
      </c>
      <c r="C39" s="8">
        <v>0.1</v>
      </c>
      <c r="D39" s="8">
        <v>0.1</v>
      </c>
      <c r="E39" s="74">
        <v>0</v>
      </c>
      <c r="F39" s="72">
        <v>-3.5</v>
      </c>
      <c r="G39" s="11">
        <v>-4.5</v>
      </c>
      <c r="H39" s="11">
        <v>-4.5</v>
      </c>
      <c r="I39" s="266">
        <v>350</v>
      </c>
      <c r="J39" s="125">
        <v>0</v>
      </c>
      <c r="K39" s="125">
        <v>0</v>
      </c>
      <c r="L39" s="125">
        <v>0</v>
      </c>
      <c r="M39" s="1">
        <v>738.27841644621572</v>
      </c>
      <c r="N39" s="2">
        <v>12</v>
      </c>
      <c r="O39" s="8">
        <v>0.6</v>
      </c>
      <c r="P39" s="8">
        <v>0.5</v>
      </c>
      <c r="Q39" s="8">
        <v>0.5</v>
      </c>
      <c r="R39" s="7">
        <v>1</v>
      </c>
      <c r="S39" s="7">
        <v>0</v>
      </c>
      <c r="T39" s="7">
        <v>99</v>
      </c>
      <c r="U39" s="7">
        <v>0</v>
      </c>
      <c r="V39" s="71">
        <v>0</v>
      </c>
      <c r="W39" s="119">
        <v>2</v>
      </c>
      <c r="X39" s="120">
        <v>1.5</v>
      </c>
      <c r="Y39" s="119">
        <v>1</v>
      </c>
      <c r="Z39" s="120">
        <v>0.8</v>
      </c>
      <c r="AA39" s="120">
        <v>0.5</v>
      </c>
      <c r="AB39" s="559">
        <v>433.01922201480062</v>
      </c>
      <c r="AC39" s="559">
        <v>470.67306740739195</v>
      </c>
      <c r="AD39" s="559">
        <v>433.37222681535616</v>
      </c>
      <c r="AE39" s="559">
        <v>649.0581599547935</v>
      </c>
      <c r="AF39" s="622">
        <v>0.82209484106305364</v>
      </c>
      <c r="AG39" s="559">
        <v>261.91600618637949</v>
      </c>
      <c r="AH39" s="559">
        <v>284.69131107215162</v>
      </c>
      <c r="AI39" s="559">
        <v>262.12952466968363</v>
      </c>
      <c r="AJ39" s="559">
        <v>392.58931796849708</v>
      </c>
      <c r="AK39" s="622">
        <v>0.96717040125065135</v>
      </c>
      <c r="AL39" s="996">
        <v>0.2</v>
      </c>
      <c r="AM39" s="996">
        <v>0.4</v>
      </c>
      <c r="AN39" s="996">
        <v>0.9</v>
      </c>
      <c r="AO39" s="996">
        <v>1.2</v>
      </c>
      <c r="AP39" s="996">
        <v>1.5</v>
      </c>
      <c r="AQ39" s="996">
        <v>1.9</v>
      </c>
      <c r="AR39" s="996">
        <v>2.2999999999999998</v>
      </c>
      <c r="AS39" s="1005">
        <v>0</v>
      </c>
      <c r="AT39" s="1005">
        <v>10</v>
      </c>
      <c r="AU39" s="1005">
        <v>20</v>
      </c>
      <c r="AV39" s="1005">
        <v>70</v>
      </c>
      <c r="AW39" s="1005">
        <v>100</v>
      </c>
      <c r="AX39" s="1">
        <v>11427.641256281695</v>
      </c>
      <c r="AY39" s="5">
        <v>1.61</v>
      </c>
      <c r="AZ39" s="8">
        <v>0.8</v>
      </c>
      <c r="BA39" s="8">
        <v>0.5</v>
      </c>
      <c r="BB39" s="8">
        <v>0.5</v>
      </c>
      <c r="BC39" s="73">
        <v>0.19257506503275143</v>
      </c>
      <c r="BD39" s="73">
        <v>0.18193358900561235</v>
      </c>
      <c r="BE39" s="9">
        <v>1.2862287772251757E-2</v>
      </c>
      <c r="BF39" s="9">
        <v>9.2179729034470928E-2</v>
      </c>
      <c r="BG39" s="9">
        <v>0.93251586348825255</v>
      </c>
      <c r="BH39" s="9">
        <v>66.442291202195165</v>
      </c>
      <c r="BI39" s="9">
        <v>1.9572114560109759</v>
      </c>
      <c r="BJ39" s="9"/>
      <c r="BK39" s="9">
        <v>29.638998456525467</v>
      </c>
      <c r="BL39" s="9">
        <v>0.15220373863831246</v>
      </c>
      <c r="BM39" s="9"/>
      <c r="BN39" s="9">
        <v>2.1437146287086265E-3</v>
      </c>
      <c r="BO39" s="9">
        <v>0</v>
      </c>
      <c r="BP39" s="9">
        <v>0</v>
      </c>
      <c r="BQ39" s="9">
        <v>0.15006002400960386</v>
      </c>
      <c r="BR39" s="9">
        <v>4.287429257417253E-3</v>
      </c>
      <c r="BS39" s="9">
        <v>0.61524609843937572</v>
      </c>
      <c r="BT39" s="262">
        <v>261.13475999999997</v>
      </c>
      <c r="BU39" s="262">
        <v>96.5</v>
      </c>
      <c r="BV39" s="262">
        <v>63.215999999999994</v>
      </c>
      <c r="BW39" s="262">
        <v>233.35949490734063</v>
      </c>
      <c r="BX39" s="262">
        <v>157.40783999999999</v>
      </c>
      <c r="BY39" s="68"/>
      <c r="BZ39" s="262">
        <v>256.20808011776955</v>
      </c>
      <c r="CA39" s="262">
        <v>165.17663999999999</v>
      </c>
      <c r="CB39" s="68"/>
      <c r="CC39" s="785">
        <v>0</v>
      </c>
      <c r="CD39" s="262">
        <v>6.585</v>
      </c>
      <c r="CE39" s="262">
        <v>1.3169999999999999</v>
      </c>
      <c r="CF39" s="262">
        <v>38</v>
      </c>
      <c r="CG39" s="262">
        <v>225.83915999999996</v>
      </c>
      <c r="CH39" s="68">
        <v>0.2</v>
      </c>
      <c r="CI39" s="262">
        <v>175.08124000000001</v>
      </c>
      <c r="CJ39" s="262">
        <v>60.4</v>
      </c>
      <c r="CK39" s="262">
        <v>42.384</v>
      </c>
      <c r="CL39" s="262">
        <v>156.45894761061641</v>
      </c>
      <c r="CM39" s="262">
        <v>105.53616</v>
      </c>
      <c r="CN39" s="68"/>
      <c r="CO39" s="262">
        <v>159.24945066654416</v>
      </c>
      <c r="CP39" s="262">
        <v>102.66767999999999</v>
      </c>
      <c r="CQ39" s="68"/>
      <c r="CR39" s="262">
        <v>0</v>
      </c>
      <c r="CS39" s="262">
        <v>4.415</v>
      </c>
      <c r="CT39" s="262">
        <v>0.88300000000000001</v>
      </c>
      <c r="CU39" s="262">
        <v>27</v>
      </c>
      <c r="CV39" s="262">
        <v>151.41683999999998</v>
      </c>
      <c r="CW39" s="68">
        <v>0.2</v>
      </c>
      <c r="CX39" s="120">
        <v>0.3</v>
      </c>
      <c r="CY39" s="120">
        <v>0.7</v>
      </c>
      <c r="CZ39" s="120">
        <v>1.2</v>
      </c>
      <c r="DA39" s="120">
        <v>1.2</v>
      </c>
      <c r="DB39" s="119">
        <v>3</v>
      </c>
      <c r="DC39" s="1005">
        <v>0</v>
      </c>
      <c r="DD39" s="1005">
        <v>10</v>
      </c>
      <c r="DE39" s="1005">
        <v>20</v>
      </c>
      <c r="DF39" s="1005">
        <v>70</v>
      </c>
      <c r="DG39" s="1005">
        <v>100</v>
      </c>
      <c r="DH39" s="2">
        <v>3.7658425631410335</v>
      </c>
      <c r="DI39" s="2">
        <v>18</v>
      </c>
      <c r="DJ39" s="63">
        <v>12</v>
      </c>
      <c r="DK39" s="8">
        <v>1.6</v>
      </c>
      <c r="DL39" s="8">
        <v>1.2</v>
      </c>
      <c r="DM39" s="8">
        <v>1.2</v>
      </c>
      <c r="DN39" s="1030" t="s">
        <v>1033</v>
      </c>
      <c r="DO39" s="1030" t="s">
        <v>997</v>
      </c>
      <c r="DP39" s="1030" t="s">
        <v>997</v>
      </c>
      <c r="DQ39" s="1030" t="s">
        <v>997</v>
      </c>
      <c r="DR39" s="1030" t="s">
        <v>997</v>
      </c>
      <c r="DS39" s="1030" t="s">
        <v>997</v>
      </c>
      <c r="DT39" s="1030" t="s">
        <v>997</v>
      </c>
      <c r="DU39" s="1097">
        <v>587.5</v>
      </c>
      <c r="DV39" s="1097">
        <v>0</v>
      </c>
      <c r="DW39" s="1097">
        <v>0</v>
      </c>
      <c r="DX39" s="1097">
        <v>0</v>
      </c>
      <c r="DY39" s="1097">
        <v>0</v>
      </c>
      <c r="DZ39" s="1097">
        <v>0</v>
      </c>
      <c r="EA39" s="1097">
        <v>0</v>
      </c>
      <c r="EB39" s="207">
        <v>0.58750000000000002</v>
      </c>
      <c r="EC39" s="207">
        <v>18</v>
      </c>
      <c r="ED39" s="221">
        <v>5</v>
      </c>
      <c r="EE39" s="1038">
        <v>1.6</v>
      </c>
      <c r="EF39" s="1038">
        <v>1.2</v>
      </c>
      <c r="EG39" s="1038">
        <v>1.2</v>
      </c>
      <c r="EH39" s="210" t="s">
        <v>1055</v>
      </c>
      <c r="EI39" s="208" t="s">
        <v>1071</v>
      </c>
      <c r="EJ39" s="208" t="s">
        <v>1086</v>
      </c>
      <c r="EK39" s="210" t="s">
        <v>1033</v>
      </c>
      <c r="EL39" s="208" t="s">
        <v>1108</v>
      </c>
      <c r="EM39" s="210" t="s">
        <v>1117</v>
      </c>
      <c r="EN39" s="213" t="s">
        <v>997</v>
      </c>
      <c r="EO39" s="213" t="s">
        <v>997</v>
      </c>
      <c r="EP39" s="213" t="s">
        <v>997</v>
      </c>
      <c r="EQ39" s="213" t="s">
        <v>997</v>
      </c>
      <c r="ER39" s="213" t="s">
        <v>997</v>
      </c>
      <c r="ES39" s="213" t="s">
        <v>997</v>
      </c>
      <c r="ET39" s="213" t="s">
        <v>997</v>
      </c>
      <c r="EU39" s="213" t="s">
        <v>997</v>
      </c>
      <c r="EV39" s="213" t="s">
        <v>997</v>
      </c>
      <c r="EW39" s="213" t="s">
        <v>997</v>
      </c>
      <c r="EX39" s="213" t="s">
        <v>997</v>
      </c>
      <c r="EY39" s="213" t="s">
        <v>997</v>
      </c>
      <c r="EZ39" s="213" t="s">
        <v>997</v>
      </c>
      <c r="FA39" s="213" t="s">
        <v>997</v>
      </c>
      <c r="FB39" s="213" t="s">
        <v>997</v>
      </c>
      <c r="FC39" s="213" t="s">
        <v>997</v>
      </c>
      <c r="FD39" s="213" t="s">
        <v>997</v>
      </c>
      <c r="FE39" s="213" t="s">
        <v>997</v>
      </c>
      <c r="FF39" s="213" t="s">
        <v>997</v>
      </c>
      <c r="FG39" s="213" t="s">
        <v>997</v>
      </c>
      <c r="FH39" s="213" t="s">
        <v>997</v>
      </c>
      <c r="FI39" s="213" t="s">
        <v>997</v>
      </c>
      <c r="FJ39" s="213" t="s">
        <v>997</v>
      </c>
      <c r="FK39" s="213" t="s">
        <v>997</v>
      </c>
      <c r="FL39" s="213" t="s">
        <v>997</v>
      </c>
      <c r="FM39" s="213" t="s">
        <v>997</v>
      </c>
      <c r="FN39" s="213" t="s">
        <v>997</v>
      </c>
      <c r="FO39" s="213" t="s">
        <v>997</v>
      </c>
      <c r="FP39" s="213" t="s">
        <v>997</v>
      </c>
      <c r="FQ39" s="213" t="s">
        <v>997</v>
      </c>
      <c r="FR39" s="213" t="s">
        <v>997</v>
      </c>
      <c r="FS39" s="213" t="s">
        <v>997</v>
      </c>
      <c r="FT39" s="213" t="s">
        <v>997</v>
      </c>
      <c r="FU39" s="213" t="s">
        <v>997</v>
      </c>
      <c r="FV39" s="213" t="s">
        <v>997</v>
      </c>
      <c r="FW39" s="213" t="s">
        <v>997</v>
      </c>
      <c r="FX39" s="213" t="s">
        <v>997</v>
      </c>
      <c r="FY39" s="213" t="s">
        <v>997</v>
      </c>
      <c r="FZ39" s="213" t="s">
        <v>997</v>
      </c>
      <c r="GA39" s="213" t="s">
        <v>997</v>
      </c>
      <c r="GB39" s="213" t="s">
        <v>997</v>
      </c>
      <c r="GC39" s="213" t="s">
        <v>997</v>
      </c>
      <c r="GD39" s="213" t="s">
        <v>997</v>
      </c>
      <c r="GE39" s="213" t="s">
        <v>997</v>
      </c>
      <c r="GF39" s="213" t="s">
        <v>997</v>
      </c>
      <c r="GG39" s="213" t="s">
        <v>997</v>
      </c>
      <c r="GH39" s="213" t="s">
        <v>997</v>
      </c>
      <c r="GI39" s="213" t="s">
        <v>997</v>
      </c>
      <c r="GJ39" s="213" t="s">
        <v>997</v>
      </c>
      <c r="GK39" s="213" t="s">
        <v>997</v>
      </c>
      <c r="GL39" s="213" t="s">
        <v>997</v>
      </c>
      <c r="GM39" s="213" t="s">
        <v>997</v>
      </c>
      <c r="GN39" s="1051">
        <v>171.81727131092811</v>
      </c>
      <c r="GO39" s="1051">
        <v>87.346984197640779</v>
      </c>
      <c r="GP39" s="1051">
        <v>94.146450033385278</v>
      </c>
      <c r="GQ39" s="1051">
        <v>20.398397507233476</v>
      </c>
      <c r="GR39" s="1051">
        <v>23.144335633207209</v>
      </c>
      <c r="GS39" s="1051">
        <v>190.64656131760518</v>
      </c>
      <c r="GT39" s="1051">
        <v>0</v>
      </c>
      <c r="GU39" s="1051">
        <v>0</v>
      </c>
      <c r="GV39" s="1051">
        <v>0</v>
      </c>
      <c r="GW39" s="1051">
        <v>0</v>
      </c>
      <c r="GX39" s="1051">
        <v>0</v>
      </c>
      <c r="GY39" s="1051">
        <v>0</v>
      </c>
      <c r="GZ39" s="1051">
        <v>0</v>
      </c>
      <c r="HA39" s="1051">
        <v>0</v>
      </c>
      <c r="HB39" s="1051">
        <v>0</v>
      </c>
      <c r="HC39" s="1051">
        <v>0</v>
      </c>
      <c r="HD39" s="1051">
        <v>0</v>
      </c>
      <c r="HE39" s="1051">
        <v>0</v>
      </c>
      <c r="HF39" s="1051">
        <v>0</v>
      </c>
      <c r="HG39" s="1051">
        <v>0</v>
      </c>
      <c r="HH39" s="1051">
        <v>0</v>
      </c>
      <c r="HI39" s="1051">
        <v>0</v>
      </c>
      <c r="HJ39" s="1051">
        <v>0</v>
      </c>
      <c r="HK39" s="1051">
        <v>0</v>
      </c>
      <c r="HL39" s="1051">
        <v>0</v>
      </c>
      <c r="HM39" s="1051">
        <v>0</v>
      </c>
      <c r="HN39" s="1051">
        <v>0</v>
      </c>
      <c r="HO39" s="1051">
        <v>0</v>
      </c>
      <c r="HP39" s="1051">
        <v>0</v>
      </c>
      <c r="HQ39" s="1051">
        <v>0</v>
      </c>
      <c r="HR39" s="1051">
        <v>0</v>
      </c>
      <c r="HS39" s="1051">
        <v>0</v>
      </c>
      <c r="HT39" s="1051">
        <v>0</v>
      </c>
      <c r="HU39" s="1051">
        <v>0</v>
      </c>
      <c r="HV39" s="1051">
        <v>0</v>
      </c>
      <c r="HW39" s="1051">
        <v>0</v>
      </c>
      <c r="HX39" s="1051">
        <v>0</v>
      </c>
      <c r="HY39" s="1051">
        <v>0</v>
      </c>
      <c r="HZ39" s="1051">
        <v>0</v>
      </c>
      <c r="IA39" s="1051">
        <v>0</v>
      </c>
      <c r="IB39" s="1051">
        <v>0</v>
      </c>
      <c r="IC39" s="1051">
        <v>0</v>
      </c>
      <c r="ID39" s="1051">
        <v>0</v>
      </c>
      <c r="IE39" s="1051">
        <v>0</v>
      </c>
      <c r="IF39" s="1051">
        <v>0</v>
      </c>
      <c r="IG39" s="1051">
        <v>0</v>
      </c>
      <c r="IH39" s="1051">
        <v>0</v>
      </c>
      <c r="II39" s="1051">
        <v>0</v>
      </c>
      <c r="IJ39" s="1051">
        <v>0</v>
      </c>
      <c r="IK39" s="1051">
        <v>0</v>
      </c>
      <c r="IL39" s="1051">
        <v>0</v>
      </c>
      <c r="IM39" s="1051">
        <v>0</v>
      </c>
      <c r="IN39" s="1051">
        <v>0</v>
      </c>
      <c r="IO39" s="1051">
        <v>0</v>
      </c>
      <c r="IP39" s="1051">
        <v>0</v>
      </c>
      <c r="IQ39" s="1051">
        <v>0</v>
      </c>
      <c r="IR39" s="1051">
        <v>0</v>
      </c>
      <c r="IS39" s="1051">
        <v>0</v>
      </c>
      <c r="IT39" s="215">
        <v>2375.6537374490717</v>
      </c>
      <c r="IU39" s="207">
        <v>179.9</v>
      </c>
      <c r="IV39" s="216">
        <v>2647.0800000000199</v>
      </c>
      <c r="IW39" s="272">
        <v>12.64</v>
      </c>
      <c r="IX39" s="207">
        <v>50</v>
      </c>
      <c r="IY39" s="204">
        <v>1.6</v>
      </c>
      <c r="IZ39" s="204">
        <v>1.2</v>
      </c>
      <c r="JA39" s="204">
        <v>1.2</v>
      </c>
      <c r="JB39" s="52">
        <v>2</v>
      </c>
      <c r="JC39" s="24">
        <v>1.5</v>
      </c>
      <c r="JD39" s="24">
        <v>0.7</v>
      </c>
      <c r="JE39" s="24">
        <v>0.7</v>
      </c>
      <c r="JF39" s="24">
        <v>0.5</v>
      </c>
      <c r="JG39" s="1"/>
      <c r="JH39" s="216">
        <v>2647.0800000000199</v>
      </c>
      <c r="JI39" s="272">
        <v>12.64</v>
      </c>
      <c r="JJ39" s="207">
        <v>50</v>
      </c>
      <c r="JK39" s="8">
        <v>1.9</v>
      </c>
      <c r="JL39" s="8">
        <v>1.1000000000000001</v>
      </c>
      <c r="JM39" s="8">
        <v>1.1000000000000001</v>
      </c>
      <c r="JN39" s="216">
        <v>2</v>
      </c>
      <c r="JO39" s="216">
        <v>2</v>
      </c>
      <c r="JP39" s="216">
        <v>1</v>
      </c>
      <c r="JQ39" s="216">
        <v>1</v>
      </c>
      <c r="JR39" s="214">
        <v>0.5</v>
      </c>
      <c r="JS39" s="1212">
        <v>2000</v>
      </c>
      <c r="JT39" s="215"/>
      <c r="JU39" s="215">
        <v>500</v>
      </c>
      <c r="JV39" s="207">
        <v>1.5</v>
      </c>
      <c r="JW39" s="207">
        <v>0.7</v>
      </c>
      <c r="JX39" s="207">
        <v>0.7</v>
      </c>
      <c r="JY39" s="214">
        <v>2</v>
      </c>
      <c r="JZ39" s="214">
        <v>1.5</v>
      </c>
      <c r="KA39" s="214">
        <v>0.5</v>
      </c>
      <c r="KB39" s="214">
        <v>1</v>
      </c>
      <c r="KC39" s="214">
        <v>0.5</v>
      </c>
      <c r="KD39" s="1186">
        <v>15.198351365275631</v>
      </c>
      <c r="KE39" s="1186">
        <v>0</v>
      </c>
      <c r="KF39" s="1186">
        <v>83.281813498196811</v>
      </c>
      <c r="KG39" s="1186"/>
      <c r="KH39" s="1186">
        <v>0.41215868109222054</v>
      </c>
      <c r="KI39" s="1186">
        <v>1.1076764554353424</v>
      </c>
      <c r="KJ39" s="1186">
        <v>0</v>
      </c>
      <c r="KK39" s="1186">
        <v>0</v>
      </c>
      <c r="KL39" s="1186"/>
      <c r="KM39" s="1187">
        <v>580</v>
      </c>
      <c r="KN39" s="1187">
        <v>580</v>
      </c>
      <c r="KO39" s="1187">
        <v>580</v>
      </c>
      <c r="KP39" s="1187">
        <v>580</v>
      </c>
      <c r="KQ39" s="1187"/>
      <c r="KR39" s="1187">
        <v>580</v>
      </c>
      <c r="KS39" s="1187">
        <v>580</v>
      </c>
      <c r="KT39" s="1187">
        <v>580</v>
      </c>
      <c r="KU39" s="1187">
        <v>580</v>
      </c>
      <c r="KV39" s="262">
        <v>370</v>
      </c>
      <c r="KW39" s="262">
        <v>370</v>
      </c>
      <c r="KX39" s="262">
        <v>370</v>
      </c>
      <c r="KY39" s="262">
        <v>370</v>
      </c>
      <c r="KZ39" s="262"/>
      <c r="LA39" s="262">
        <v>370</v>
      </c>
      <c r="LB39" s="262">
        <v>370</v>
      </c>
      <c r="LC39" s="262">
        <v>370</v>
      </c>
      <c r="LD39" s="262">
        <v>370</v>
      </c>
      <c r="LE39" s="1213">
        <v>0</v>
      </c>
      <c r="LF39" s="1213">
        <v>10</v>
      </c>
      <c r="LG39" s="1213">
        <v>20</v>
      </c>
      <c r="LH39" s="1213">
        <v>70</v>
      </c>
      <c r="LI39" s="1213">
        <v>100</v>
      </c>
      <c r="LJ39" s="1212">
        <v>1000</v>
      </c>
      <c r="LK39" s="1"/>
      <c r="LL39" s="4">
        <v>29</v>
      </c>
      <c r="LM39" s="10">
        <v>1</v>
      </c>
      <c r="LN39" s="8">
        <v>0.7</v>
      </c>
      <c r="LO39" s="8">
        <v>0.7</v>
      </c>
      <c r="LP39" s="214">
        <v>2</v>
      </c>
      <c r="LQ39" s="214">
        <v>1</v>
      </c>
      <c r="LR39" s="214">
        <v>0.5</v>
      </c>
      <c r="LS39" s="214">
        <v>0.7</v>
      </c>
      <c r="LT39" s="214">
        <v>0.2</v>
      </c>
      <c r="LU39" s="1212">
        <v>1500</v>
      </c>
      <c r="LV39" s="122">
        <v>0</v>
      </c>
      <c r="LW39" s="122">
        <v>0</v>
      </c>
      <c r="LX39" s="122">
        <v>0</v>
      </c>
      <c r="LY39" s="165">
        <v>0</v>
      </c>
      <c r="LZ39" s="165">
        <v>0</v>
      </c>
      <c r="MA39" s="165">
        <v>0</v>
      </c>
      <c r="MB39" s="165">
        <v>0</v>
      </c>
      <c r="MC39" s="165">
        <v>0</v>
      </c>
      <c r="MD39" s="165">
        <v>0</v>
      </c>
      <c r="ME39" s="165">
        <v>0</v>
      </c>
      <c r="MF39" s="165">
        <v>0</v>
      </c>
      <c r="MG39" s="165">
        <v>0</v>
      </c>
      <c r="MH39" s="165">
        <v>0</v>
      </c>
      <c r="MI39" s="165">
        <v>0</v>
      </c>
      <c r="MJ39" s="165">
        <v>0</v>
      </c>
      <c r="MK39" s="165">
        <v>0</v>
      </c>
      <c r="ML39" s="165">
        <v>0</v>
      </c>
      <c r="MM39" s="165">
        <v>0</v>
      </c>
      <c r="MN39" s="165">
        <v>0</v>
      </c>
      <c r="MO39" s="165">
        <v>0</v>
      </c>
      <c r="MP39" s="165">
        <v>0</v>
      </c>
      <c r="MQ39" s="165">
        <v>0</v>
      </c>
      <c r="MR39" s="165">
        <v>0</v>
      </c>
      <c r="MS39" s="165">
        <v>0</v>
      </c>
      <c r="MT39" s="165">
        <v>0</v>
      </c>
      <c r="MU39" s="165">
        <v>0</v>
      </c>
      <c r="MV39" s="165">
        <v>0</v>
      </c>
      <c r="MW39" s="166">
        <v>0.59669679822082</v>
      </c>
      <c r="MX39" s="166">
        <v>0</v>
      </c>
      <c r="MY39" s="166">
        <v>0.14164557926633001</v>
      </c>
      <c r="MZ39" s="166">
        <v>0.46783850379175002</v>
      </c>
      <c r="NA39" s="166">
        <v>0.68695558356205</v>
      </c>
      <c r="NB39" s="166">
        <v>-7.7999996215049994E-2</v>
      </c>
      <c r="NC39" s="166">
        <v>0.52814884201516998</v>
      </c>
      <c r="ND39" s="166">
        <v>0</v>
      </c>
      <c r="NE39" s="166">
        <v>0.14515855296715999</v>
      </c>
      <c r="NF39" s="166">
        <v>0.69586265974032002</v>
      </c>
      <c r="NG39" s="166">
        <v>0.98400448959574005</v>
      </c>
      <c r="NH39" s="166">
        <v>-7.800000569526E-2</v>
      </c>
      <c r="NI39" s="166">
        <v>0.50390236485010997</v>
      </c>
      <c r="NJ39" s="166">
        <v>0</v>
      </c>
      <c r="NK39" s="166">
        <v>0.34864569988595001</v>
      </c>
      <c r="NL39" s="166">
        <v>0.65438332820162004</v>
      </c>
      <c r="NM39" s="166">
        <v>1.4472467808016101</v>
      </c>
      <c r="NN39" s="166">
        <v>-7.8000002207670005E-2</v>
      </c>
      <c r="NO39" s="166">
        <v>0.93965479199029001</v>
      </c>
      <c r="NP39" s="166">
        <v>0</v>
      </c>
      <c r="NQ39" s="166">
        <v>0.25580961960389997</v>
      </c>
      <c r="NR39" s="166">
        <v>0.43622798789435002</v>
      </c>
      <c r="NS39" s="166">
        <v>2.2673390027143401</v>
      </c>
      <c r="NT39" s="166">
        <v>-7.8000128133900004E-2</v>
      </c>
      <c r="NU39" s="166">
        <v>0.57624299474596996</v>
      </c>
      <c r="NV39" s="166">
        <v>0</v>
      </c>
      <c r="NW39" s="166">
        <v>0.19927651459313001</v>
      </c>
      <c r="NX39" s="166">
        <v>0.67890564116041996</v>
      </c>
      <c r="NY39" s="166">
        <v>4.2133102664313</v>
      </c>
      <c r="NZ39" s="166">
        <v>-7.8E-2</v>
      </c>
      <c r="OA39" s="166">
        <v>-96.53</v>
      </c>
      <c r="OB39" s="166">
        <v>-25.54</v>
      </c>
      <c r="OC39" s="166">
        <v>-0.52627152911694997</v>
      </c>
      <c r="OD39" s="166">
        <v>0</v>
      </c>
      <c r="OE39" s="166">
        <v>-0.82833201380301003</v>
      </c>
      <c r="OF39" s="166">
        <v>-9.5200027802205405</v>
      </c>
      <c r="OG39" s="166">
        <v>8.1735351245400004E-2</v>
      </c>
      <c r="OH39" s="166">
        <v>0</v>
      </c>
      <c r="OI39" s="166">
        <v>0</v>
      </c>
      <c r="OJ39" s="166">
        <v>0</v>
      </c>
      <c r="OK39" s="166">
        <v>-0.35490784775706002</v>
      </c>
      <c r="OL39" s="166">
        <v>-9.5200000043626005</v>
      </c>
      <c r="OM39" s="166">
        <v>8.8369629563699995E-2</v>
      </c>
      <c r="ON39" s="166">
        <v>0</v>
      </c>
      <c r="OO39" s="166">
        <v>0</v>
      </c>
      <c r="OP39" s="166">
        <v>0</v>
      </c>
      <c r="OQ39" s="166">
        <v>0.44041879737056999</v>
      </c>
      <c r="OR39" s="166">
        <v>-9.5200002877049297</v>
      </c>
      <c r="OS39" s="166">
        <v>0.19930173102723001</v>
      </c>
      <c r="OT39" s="166">
        <v>0</v>
      </c>
      <c r="OU39" s="166">
        <v>0</v>
      </c>
      <c r="OV39" s="166">
        <v>0</v>
      </c>
      <c r="OW39" s="166">
        <v>1.9046825717203399</v>
      </c>
      <c r="OX39" s="166">
        <v>-1.3617145366046199</v>
      </c>
      <c r="OY39" s="166">
        <v>0.22853150063502001</v>
      </c>
      <c r="OZ39" s="166">
        <v>0</v>
      </c>
      <c r="PA39" s="166">
        <v>0</v>
      </c>
      <c r="PB39" s="166">
        <v>0</v>
      </c>
      <c r="PC39" s="166">
        <v>2.5511451528286502</v>
      </c>
      <c r="PD39" s="166">
        <v>2.4799999572671498</v>
      </c>
      <c r="PE39" s="166">
        <v>-96.53</v>
      </c>
      <c r="PF39" s="166">
        <v>-25.54</v>
      </c>
      <c r="PG39" s="166">
        <v>-0.87834878525189997</v>
      </c>
      <c r="PH39" s="166">
        <v>0</v>
      </c>
      <c r="PI39" s="166">
        <v>-1.1171874694004</v>
      </c>
      <c r="PJ39" s="166">
        <v>-7.9153319042444297</v>
      </c>
      <c r="PK39" s="166">
        <v>-8.2623638855050002E-2</v>
      </c>
      <c r="PL39" s="166">
        <v>0</v>
      </c>
      <c r="PM39" s="166">
        <v>0</v>
      </c>
      <c r="PN39" s="166">
        <v>0</v>
      </c>
      <c r="PO39" s="166">
        <v>0.36145903216832997</v>
      </c>
      <c r="PP39" s="166">
        <v>-9.3294333960876301</v>
      </c>
      <c r="PQ39" s="166">
        <v>0.51362800738282</v>
      </c>
      <c r="PR39" s="166">
        <v>0</v>
      </c>
      <c r="PS39" s="166">
        <v>0</v>
      </c>
      <c r="PT39" s="166">
        <v>0</v>
      </c>
      <c r="PU39" s="166">
        <v>1.8722721977422701</v>
      </c>
      <c r="PV39" s="166">
        <v>-7.8386550861367397</v>
      </c>
      <c r="PW39" s="166">
        <v>0.1322289843809</v>
      </c>
      <c r="PX39" s="166">
        <v>0</v>
      </c>
      <c r="PY39" s="166">
        <v>0</v>
      </c>
      <c r="PZ39" s="166">
        <v>0</v>
      </c>
      <c r="QA39" s="166">
        <v>2.0479174824185602</v>
      </c>
      <c r="QB39" s="166">
        <v>-1.9719461028521099</v>
      </c>
      <c r="QC39" s="166">
        <v>0.4983774403024</v>
      </c>
      <c r="QD39" s="166">
        <v>0</v>
      </c>
      <c r="QE39" s="166">
        <v>0</v>
      </c>
      <c r="QF39" s="166">
        <v>0</v>
      </c>
      <c r="QG39" s="166">
        <v>1.64640472929269</v>
      </c>
      <c r="QH39" s="166">
        <v>2.9593901131667999</v>
      </c>
      <c r="QI39" s="162">
        <v>0</v>
      </c>
      <c r="QJ39" s="167">
        <v>0</v>
      </c>
      <c r="QK39" s="167">
        <v>0</v>
      </c>
      <c r="QL39" s="167">
        <v>0</v>
      </c>
      <c r="QM39" s="167">
        <v>0</v>
      </c>
      <c r="QN39" s="162">
        <v>0</v>
      </c>
      <c r="QO39" s="162">
        <v>0</v>
      </c>
      <c r="QP39" s="162">
        <v>0</v>
      </c>
      <c r="QQ39" s="162">
        <v>0</v>
      </c>
      <c r="QR39" s="162">
        <v>0</v>
      </c>
      <c r="QS39" s="162">
        <v>0</v>
      </c>
      <c r="QT39" s="162">
        <v>0</v>
      </c>
      <c r="QU39" s="162">
        <v>-6.5474762075847597</v>
      </c>
      <c r="QV39" s="162">
        <v>0</v>
      </c>
      <c r="QW39" s="162">
        <v>-1.12011919345712</v>
      </c>
      <c r="QX39" s="162">
        <v>0</v>
      </c>
      <c r="QY39" s="162">
        <v>-2.2619427176410198</v>
      </c>
      <c r="QZ39" s="162">
        <v>-5.2540997889467196</v>
      </c>
      <c r="RA39" s="167">
        <v>-0.10852420930351001</v>
      </c>
      <c r="RB39" s="167">
        <v>0</v>
      </c>
      <c r="RC39" s="167">
        <v>0</v>
      </c>
      <c r="RD39" s="167">
        <v>0</v>
      </c>
      <c r="RE39" s="167">
        <v>-0.77717696399944003</v>
      </c>
      <c r="RF39" s="167">
        <v>-4.0752428981230198</v>
      </c>
      <c r="RG39" s="167">
        <v>-0.28964842635364002</v>
      </c>
      <c r="RH39" s="167">
        <v>0</v>
      </c>
      <c r="RI39" s="167">
        <v>0</v>
      </c>
      <c r="RJ39" s="167">
        <v>0</v>
      </c>
      <c r="RK39" s="167">
        <v>-1.544701313647</v>
      </c>
      <c r="RL39" s="167">
        <v>-4.7817315295901004</v>
      </c>
      <c r="RM39" s="166">
        <v>-96.53</v>
      </c>
      <c r="RN39" s="166">
        <v>-25.54</v>
      </c>
      <c r="RO39" s="166">
        <v>-0.88206278524589998</v>
      </c>
      <c r="RP39" s="166">
        <v>0</v>
      </c>
      <c r="RQ39" s="166">
        <v>-0.97643430850954005</v>
      </c>
      <c r="RR39" s="166">
        <v>-7.0646425614278501</v>
      </c>
      <c r="RS39" s="166">
        <v>-0.18099306371446999</v>
      </c>
      <c r="RT39" s="166">
        <v>0</v>
      </c>
      <c r="RU39" s="166">
        <v>0</v>
      </c>
      <c r="RV39" s="166">
        <v>0</v>
      </c>
      <c r="RW39" s="166">
        <v>-0.35302904987094003</v>
      </c>
      <c r="RX39" s="166">
        <v>-5.1653966069150004</v>
      </c>
      <c r="RY39" s="166">
        <v>-0.13494668933319001</v>
      </c>
      <c r="RZ39" s="166">
        <v>0</v>
      </c>
      <c r="SA39" s="166">
        <v>0</v>
      </c>
      <c r="SB39" s="166">
        <v>0</v>
      </c>
      <c r="SC39" s="166">
        <v>-0.53130813733500004</v>
      </c>
      <c r="SD39" s="166">
        <v>-5.1603192650255698</v>
      </c>
      <c r="SE39" s="166">
        <v>0.11852336685426999</v>
      </c>
      <c r="SF39" s="166">
        <v>0</v>
      </c>
      <c r="SG39" s="166">
        <v>0</v>
      </c>
      <c r="SH39" s="166">
        <v>0</v>
      </c>
      <c r="SI39" s="166">
        <v>0.11031129331172</v>
      </c>
      <c r="SJ39" s="166">
        <v>-5.7796627519320198</v>
      </c>
      <c r="SK39" s="166">
        <v>1.0815823628370001E-2</v>
      </c>
      <c r="SL39" s="166">
        <v>0</v>
      </c>
      <c r="SM39" s="166">
        <v>0</v>
      </c>
      <c r="SN39" s="166">
        <v>0</v>
      </c>
      <c r="SO39" s="166">
        <v>0.43610264376618002</v>
      </c>
      <c r="SP39" s="166">
        <v>0</v>
      </c>
      <c r="SQ39" s="166">
        <v>-96.53</v>
      </c>
      <c r="SR39" s="166">
        <v>-25.54</v>
      </c>
      <c r="SS39" s="166">
        <v>-0.96859751376040004</v>
      </c>
      <c r="ST39" s="166">
        <v>0</v>
      </c>
      <c r="SU39" s="166">
        <v>-3.9872203904001799</v>
      </c>
      <c r="SV39" s="166">
        <v>0</v>
      </c>
      <c r="SW39" s="166">
        <v>-0.35485273638893999</v>
      </c>
      <c r="SX39" s="166">
        <v>0</v>
      </c>
      <c r="SY39" s="166">
        <v>0</v>
      </c>
      <c r="SZ39" s="166">
        <v>0</v>
      </c>
      <c r="TA39" s="166">
        <v>-2.55127686562171</v>
      </c>
      <c r="TB39" s="166">
        <v>-11.999999873885351</v>
      </c>
      <c r="TC39" s="166">
        <v>-0.46379416101254001</v>
      </c>
      <c r="TD39" s="166">
        <v>0</v>
      </c>
      <c r="TE39" s="166">
        <v>0</v>
      </c>
      <c r="TF39" s="166">
        <v>0</v>
      </c>
      <c r="TG39" s="166">
        <v>-2.5556733512114298</v>
      </c>
      <c r="TH39" s="166">
        <v>-11.99999994138023</v>
      </c>
      <c r="TI39" s="166">
        <v>-2.0004685838399998E-3</v>
      </c>
      <c r="TJ39" s="166">
        <v>0</v>
      </c>
      <c r="TK39" s="166">
        <v>0</v>
      </c>
      <c r="TL39" s="166">
        <v>0</v>
      </c>
      <c r="TM39" s="166">
        <v>-2.8676560469559999E-2</v>
      </c>
      <c r="TN39" s="166">
        <v>-12</v>
      </c>
      <c r="TO39" s="166">
        <v>-6.1171924309660002E-2</v>
      </c>
      <c r="TP39" s="166">
        <v>0</v>
      </c>
      <c r="TQ39" s="166">
        <v>0</v>
      </c>
      <c r="TR39" s="166">
        <v>0</v>
      </c>
      <c r="TS39" s="166">
        <v>-0.35792008867167002</v>
      </c>
      <c r="TT39" s="166">
        <v>0</v>
      </c>
      <c r="TU39" s="166">
        <v>0.60113619630357995</v>
      </c>
      <c r="TV39" s="166">
        <v>0</v>
      </c>
      <c r="TW39" s="166">
        <v>2.8005612640350001E-2</v>
      </c>
      <c r="TX39" s="166">
        <v>-3.4232747484629997E-2</v>
      </c>
      <c r="TY39" s="166">
        <v>2.4931931318999999E-3</v>
      </c>
      <c r="TZ39" s="166">
        <v>-7.7999999765379996E-2</v>
      </c>
      <c r="UA39" s="166">
        <v>0.21366444610008001</v>
      </c>
      <c r="UB39" s="166">
        <v>0</v>
      </c>
      <c r="UC39" s="166">
        <v>0</v>
      </c>
      <c r="UD39" s="166">
        <v>0</v>
      </c>
      <c r="UE39" s="166">
        <v>0.2042951285339</v>
      </c>
      <c r="UF39" s="166">
        <v>-9.5199999999021401</v>
      </c>
      <c r="UG39" s="166">
        <v>1.882880099973E-2</v>
      </c>
      <c r="UH39" s="166">
        <v>0</v>
      </c>
      <c r="UI39" s="166">
        <v>0</v>
      </c>
      <c r="UJ39" s="166">
        <v>0</v>
      </c>
      <c r="UK39" s="166">
        <v>-0.11904104568618</v>
      </c>
      <c r="UL39" s="166">
        <v>-9.0822944395772307</v>
      </c>
      <c r="UM39" s="166">
        <v>0</v>
      </c>
      <c r="UN39" s="166">
        <v>0</v>
      </c>
      <c r="UO39" s="166">
        <v>0</v>
      </c>
      <c r="UP39" s="166">
        <v>0</v>
      </c>
      <c r="UQ39" s="166">
        <v>0</v>
      </c>
      <c r="UR39" s="166">
        <v>0</v>
      </c>
      <c r="US39" s="163">
        <v>2.4691270545000002E-4</v>
      </c>
      <c r="UT39" s="163">
        <v>0</v>
      </c>
      <c r="UU39" s="163">
        <v>0</v>
      </c>
      <c r="UV39" s="163">
        <v>0</v>
      </c>
      <c r="UW39" s="163">
        <v>2.4371794992599999E-3</v>
      </c>
      <c r="UX39" s="163">
        <v>-4.8510578965523603</v>
      </c>
      <c r="UY39" s="166">
        <v>8.0795327702999999E-4</v>
      </c>
      <c r="UZ39" s="166">
        <v>0</v>
      </c>
      <c r="VA39" s="166">
        <v>0</v>
      </c>
      <c r="VB39" s="166">
        <v>0</v>
      </c>
      <c r="VC39" s="166">
        <v>5.614983634529E-2</v>
      </c>
      <c r="VD39" s="166">
        <v>-2.5349841686251202</v>
      </c>
      <c r="VE39" s="267">
        <v>202</v>
      </c>
      <c r="VF39" s="267">
        <v>279</v>
      </c>
      <c r="VG39" s="267">
        <v>354</v>
      </c>
      <c r="VH39" s="267">
        <v>0</v>
      </c>
      <c r="VI39" s="267">
        <v>403</v>
      </c>
      <c r="VJ39" s="267">
        <v>0</v>
      </c>
      <c r="VK39" s="267">
        <v>0</v>
      </c>
      <c r="VL39" s="257">
        <v>0</v>
      </c>
      <c r="VM39" s="257">
        <v>0</v>
      </c>
      <c r="VN39" s="257">
        <v>0</v>
      </c>
      <c r="VO39" s="257">
        <v>0</v>
      </c>
      <c r="VP39" s="257">
        <v>0</v>
      </c>
      <c r="VQ39" s="257">
        <v>0</v>
      </c>
      <c r="VR39" s="257">
        <v>0</v>
      </c>
      <c r="VS39" s="257">
        <v>0</v>
      </c>
      <c r="VT39" s="257">
        <v>0</v>
      </c>
      <c r="VU39" s="257">
        <v>0</v>
      </c>
      <c r="VV39" s="257">
        <v>0</v>
      </c>
      <c r="VW39" s="257">
        <v>0</v>
      </c>
      <c r="VX39" s="257">
        <v>0</v>
      </c>
      <c r="VY39" s="257">
        <v>0</v>
      </c>
      <c r="VZ39" s="257">
        <v>0</v>
      </c>
      <c r="WA39" s="257">
        <v>0</v>
      </c>
      <c r="WB39" s="257">
        <v>0</v>
      </c>
      <c r="WC39" s="257">
        <v>0</v>
      </c>
      <c r="WD39" s="257">
        <v>0</v>
      </c>
      <c r="WE39" s="257">
        <v>0</v>
      </c>
      <c r="WF39" s="257">
        <v>0</v>
      </c>
      <c r="WG39" s="257">
        <v>0</v>
      </c>
      <c r="WH39" s="257">
        <v>0</v>
      </c>
      <c r="WI39" s="257">
        <v>0</v>
      </c>
      <c r="WJ39" s="257">
        <v>0</v>
      </c>
      <c r="WK39" s="257">
        <v>0</v>
      </c>
      <c r="WL39" s="257">
        <v>0</v>
      </c>
      <c r="WM39" s="257">
        <v>0</v>
      </c>
      <c r="WN39" s="257">
        <v>0</v>
      </c>
      <c r="WO39" s="257">
        <v>0</v>
      </c>
      <c r="WP39" s="257">
        <v>0</v>
      </c>
      <c r="WQ39" s="257">
        <v>0</v>
      </c>
      <c r="WR39" s="257">
        <v>0</v>
      </c>
      <c r="WS39" s="572">
        <v>87.807500000000005</v>
      </c>
      <c r="WT39" s="572">
        <v>69.65939457202505</v>
      </c>
      <c r="WU39" s="572">
        <v>76.991962421711904</v>
      </c>
      <c r="WV39" s="572">
        <v>80.65824634655533</v>
      </c>
      <c r="WW39" s="572">
        <v>123.92039665970773</v>
      </c>
      <c r="WX39" s="247">
        <v>14318.32</v>
      </c>
      <c r="WY39" s="4">
        <v>78</v>
      </c>
      <c r="WZ39" s="4">
        <v>15</v>
      </c>
      <c r="XA39" s="4">
        <v>7.0000000000000009</v>
      </c>
      <c r="XB39" s="4">
        <v>0</v>
      </c>
      <c r="XC39" s="1037">
        <v>1486.996527614348</v>
      </c>
      <c r="XD39" s="1037">
        <v>0</v>
      </c>
      <c r="XE39" s="1037">
        <v>0</v>
      </c>
      <c r="XF39" s="1037">
        <v>0</v>
      </c>
      <c r="XG39" s="1037">
        <v>0</v>
      </c>
      <c r="XH39" s="1037">
        <v>0</v>
      </c>
      <c r="XI39" s="1037">
        <v>1115.2473957107609</v>
      </c>
      <c r="XJ39" s="1037">
        <v>495.66550920478267</v>
      </c>
      <c r="XK39" s="1037">
        <v>1595.1835814810265</v>
      </c>
      <c r="XL39" s="1037">
        <v>0</v>
      </c>
      <c r="XM39" s="1037">
        <v>0</v>
      </c>
      <c r="XN39" s="1037">
        <v>0</v>
      </c>
      <c r="XO39" s="1037">
        <v>0</v>
      </c>
      <c r="XP39" s="1037">
        <v>0</v>
      </c>
      <c r="XQ39" s="1037">
        <v>1196.3876861107699</v>
      </c>
      <c r="XR39" s="1037">
        <v>531.72786049367551</v>
      </c>
      <c r="XS39" s="1037">
        <v>1671.1447044086947</v>
      </c>
      <c r="XT39" s="1037">
        <v>0</v>
      </c>
      <c r="XU39" s="1037">
        <v>0</v>
      </c>
      <c r="XV39" s="1037">
        <v>0</v>
      </c>
      <c r="XW39" s="1037">
        <v>0</v>
      </c>
      <c r="XX39" s="1037">
        <v>0</v>
      </c>
      <c r="XY39" s="1037">
        <v>1253.3585283065211</v>
      </c>
      <c r="XZ39" s="1037">
        <v>557.04823480289826</v>
      </c>
      <c r="YA39" s="1037">
        <v>2567.4859549551761</v>
      </c>
      <c r="YB39" s="1037">
        <v>0</v>
      </c>
      <c r="YC39" s="1037">
        <v>0</v>
      </c>
      <c r="YD39" s="1037">
        <v>0</v>
      </c>
      <c r="YE39" s="1037">
        <v>0</v>
      </c>
      <c r="YF39" s="1037">
        <v>0</v>
      </c>
      <c r="YG39" s="1037">
        <v>1925.614466216382</v>
      </c>
      <c r="YH39" s="1037">
        <v>855.82865165172541</v>
      </c>
      <c r="YI39" s="1037">
        <v>1024.3753856898841</v>
      </c>
      <c r="YJ39" s="1037">
        <v>1536.5630785348262</v>
      </c>
      <c r="YK39" s="1037">
        <v>469.50538510786362</v>
      </c>
      <c r="YL39" s="1037">
        <v>128.04692321123551</v>
      </c>
      <c r="YM39" s="1037">
        <v>0</v>
      </c>
      <c r="YN39" s="1037">
        <v>0</v>
      </c>
      <c r="YO39" s="1037">
        <v>768.28153926741311</v>
      </c>
      <c r="YP39" s="1037">
        <v>341.45846189662808</v>
      </c>
      <c r="YQ39" s="1037">
        <v>1098.9042450202628</v>
      </c>
      <c r="YR39" s="1037">
        <v>1648.356367530394</v>
      </c>
      <c r="YS39" s="1037">
        <v>503.66444563428712</v>
      </c>
      <c r="YT39" s="1037">
        <v>137.36303062753285</v>
      </c>
      <c r="YU39" s="1037">
        <v>0</v>
      </c>
      <c r="YV39" s="1037">
        <v>0</v>
      </c>
      <c r="YW39" s="1037">
        <v>824.17818376519699</v>
      </c>
      <c r="YX39" s="1037">
        <v>366.30141500675427</v>
      </c>
      <c r="YY39" s="1037">
        <v>1151.2330185926562</v>
      </c>
      <c r="YZ39" s="1037">
        <v>1726.8495278889843</v>
      </c>
      <c r="ZA39" s="1037">
        <v>527.64846685496741</v>
      </c>
      <c r="ZB39" s="1037">
        <v>143.90412732408203</v>
      </c>
      <c r="ZC39" s="1037">
        <v>0</v>
      </c>
      <c r="ZD39" s="1037">
        <v>0</v>
      </c>
      <c r="ZE39" s="1037">
        <v>863.42476394449216</v>
      </c>
      <c r="ZF39" s="1037">
        <v>383.74433953088544</v>
      </c>
      <c r="ZG39" s="1037">
        <v>1768.7125467468989</v>
      </c>
      <c r="ZH39" s="1037">
        <v>2653.0688201203484</v>
      </c>
      <c r="ZI39" s="1037">
        <v>810.65991725899528</v>
      </c>
      <c r="ZJ39" s="1037">
        <v>221.08906834336236</v>
      </c>
      <c r="ZK39" s="1037">
        <v>0</v>
      </c>
      <c r="ZL39" s="1037">
        <v>0</v>
      </c>
      <c r="ZM39" s="1037">
        <v>1326.5344100601742</v>
      </c>
      <c r="ZN39" s="1037">
        <v>589.57084891563295</v>
      </c>
      <c r="ZO39" s="1037">
        <v>2726.1603006263049</v>
      </c>
      <c r="ZP39" s="1037">
        <v>4089.2404509394569</v>
      </c>
      <c r="ZQ39" s="1037">
        <v>1249.4901377870565</v>
      </c>
      <c r="ZR39" s="1037">
        <v>340.77003757828811</v>
      </c>
      <c r="ZS39" s="1037">
        <v>0</v>
      </c>
      <c r="ZT39" s="1037">
        <v>0</v>
      </c>
      <c r="ZU39" s="1037">
        <v>2044.6202254697284</v>
      </c>
      <c r="ZV39" s="1037">
        <v>908.72010020876826</v>
      </c>
      <c r="ZW39" s="1037">
        <v>3013.1245427974945</v>
      </c>
      <c r="ZX39" s="1037">
        <v>4519.6868141962423</v>
      </c>
      <c r="ZY39" s="1037">
        <v>1381.0154154488519</v>
      </c>
      <c r="ZZ39" s="1037">
        <v>376.64056784968682</v>
      </c>
      <c r="AAA39" s="1037">
        <v>0</v>
      </c>
      <c r="AAB39" s="1037">
        <v>0</v>
      </c>
      <c r="AAC39" s="1037">
        <v>2259.8434070981211</v>
      </c>
      <c r="AAD39" s="1037">
        <v>1004.3748475991649</v>
      </c>
      <c r="AAE39" s="1037">
        <v>3156.6066638830898</v>
      </c>
      <c r="AAF39" s="1037">
        <v>4734.9099958246343</v>
      </c>
      <c r="AAG39" s="1037">
        <v>1446.7780542797495</v>
      </c>
      <c r="AAH39" s="1037">
        <v>394.57583298538623</v>
      </c>
      <c r="AAI39" s="1037">
        <v>0</v>
      </c>
      <c r="AAJ39" s="1037">
        <v>0</v>
      </c>
      <c r="AAK39" s="1037">
        <v>2367.4549979123171</v>
      </c>
      <c r="AAL39" s="1037">
        <v>1052.2022212943632</v>
      </c>
      <c r="AAM39" s="1037">
        <v>4849.6956926931098</v>
      </c>
      <c r="AAN39" s="1037">
        <v>7274.5435390396651</v>
      </c>
      <c r="AAO39" s="1037">
        <v>2222.7771924843423</v>
      </c>
      <c r="AAP39" s="1037">
        <v>606.21196158663872</v>
      </c>
      <c r="AAQ39" s="1037">
        <v>0</v>
      </c>
      <c r="AAR39" s="1037">
        <v>0</v>
      </c>
      <c r="AAS39" s="1037">
        <v>3637.2717695198326</v>
      </c>
      <c r="AAT39" s="1037">
        <v>1616.5652308977035</v>
      </c>
      <c r="AAU39" s="1037">
        <v>3750.5356863161887</v>
      </c>
      <c r="AAV39" s="1037">
        <v>5625.8035294742831</v>
      </c>
      <c r="AAW39" s="1037">
        <v>1718.99552289492</v>
      </c>
      <c r="AAX39" s="1037">
        <v>468.81696078952359</v>
      </c>
      <c r="AAY39" s="1037">
        <v>0</v>
      </c>
      <c r="AAZ39" s="1037">
        <v>0</v>
      </c>
      <c r="ABA39" s="1037">
        <v>2812.9017647371415</v>
      </c>
      <c r="ABB39" s="1037">
        <v>1250.1785621053964</v>
      </c>
      <c r="ABC39" s="1037">
        <v>3970.2346916861111</v>
      </c>
      <c r="ABD39" s="1037">
        <v>5955.3520375291664</v>
      </c>
      <c r="ABE39" s="1037">
        <v>1819.6909003561343</v>
      </c>
      <c r="ABF39" s="1037">
        <v>496.27933646076389</v>
      </c>
      <c r="ABG39" s="1037">
        <v>0</v>
      </c>
      <c r="ABH39" s="1037">
        <v>0</v>
      </c>
      <c r="ABI39" s="1037">
        <v>2977.6760187645832</v>
      </c>
      <c r="ABJ39" s="1037">
        <v>1323.4115638953704</v>
      </c>
      <c r="ABK39" s="1037">
        <v>4159.2934865283069</v>
      </c>
      <c r="ABL39" s="1037">
        <v>6238.9402297924598</v>
      </c>
      <c r="ABM39" s="1037">
        <v>1906.3428479921406</v>
      </c>
      <c r="ABN39" s="1037">
        <v>519.91168581603836</v>
      </c>
      <c r="ABO39" s="1037">
        <v>0</v>
      </c>
      <c r="ABP39" s="1037">
        <v>0</v>
      </c>
      <c r="ABQ39" s="1037">
        <v>3119.4701148962299</v>
      </c>
      <c r="ABR39" s="1037">
        <v>1386.4311621761024</v>
      </c>
      <c r="ABS39" s="1037">
        <v>0</v>
      </c>
      <c r="ABT39" s="1037">
        <v>0</v>
      </c>
      <c r="ABU39" s="1037">
        <v>0</v>
      </c>
      <c r="ABV39" s="1037">
        <v>0</v>
      </c>
      <c r="ABW39" s="1037">
        <v>0</v>
      </c>
      <c r="ABX39" s="1037">
        <v>0</v>
      </c>
      <c r="ABY39" s="1037">
        <v>0</v>
      </c>
      <c r="ABZ39" s="1037">
        <v>0</v>
      </c>
      <c r="ACA39" s="1037">
        <v>4857.5219902068702</v>
      </c>
      <c r="ACB39" s="1037">
        <v>7286.2829853103058</v>
      </c>
      <c r="ACC39" s="1037">
        <v>2226.3642455114823</v>
      </c>
      <c r="ACD39" s="1037">
        <v>607.19024877585878</v>
      </c>
      <c r="ACE39" s="1037">
        <v>0</v>
      </c>
      <c r="ACF39" s="1037">
        <v>0</v>
      </c>
      <c r="ACG39" s="1037">
        <v>3643.1414926551529</v>
      </c>
      <c r="ACH39" s="1037">
        <v>1619.1739967356236</v>
      </c>
      <c r="ACI39" s="1037">
        <v>5193.208770821564</v>
      </c>
      <c r="ACJ39" s="1037">
        <v>7789.813156232347</v>
      </c>
      <c r="ACK39" s="1037">
        <v>2380.2206866265506</v>
      </c>
      <c r="ACL39" s="1037">
        <v>649.1510963526955</v>
      </c>
      <c r="ACM39" s="1037">
        <v>0</v>
      </c>
      <c r="ACN39" s="1037">
        <v>0</v>
      </c>
      <c r="ACO39" s="1037">
        <v>3894.9065781161735</v>
      </c>
      <c r="ACP39" s="1037">
        <v>1731.0695902738548</v>
      </c>
      <c r="ACQ39" s="1037">
        <v>5440.5044265749721</v>
      </c>
      <c r="ACR39" s="1037">
        <v>8160.7566398624585</v>
      </c>
      <c r="ACS39" s="1037">
        <v>2493.5645288468622</v>
      </c>
      <c r="ACT39" s="1037">
        <v>680.06305332187151</v>
      </c>
      <c r="ACU39" s="1037">
        <v>0</v>
      </c>
      <c r="ACV39" s="1037">
        <v>0</v>
      </c>
      <c r="ACW39" s="1037">
        <v>4080.3783199312293</v>
      </c>
      <c r="ACX39" s="1037">
        <v>1813.5014755249908</v>
      </c>
      <c r="ACY39" s="1037">
        <v>8358.5931644651846</v>
      </c>
      <c r="ACZ39" s="1037">
        <v>12537.889746697776</v>
      </c>
      <c r="ADA39" s="1037">
        <v>3831.0218670465429</v>
      </c>
      <c r="ADB39" s="1037">
        <v>1044.8241455581481</v>
      </c>
      <c r="ADC39" s="1037">
        <v>0</v>
      </c>
      <c r="ADD39" s="1037">
        <v>0</v>
      </c>
      <c r="ADE39" s="1037">
        <v>6268.944873348888</v>
      </c>
      <c r="ADF39" s="1037">
        <v>2786.197721488395</v>
      </c>
      <c r="ADG39" s="1037">
        <v>5931.4639268172323</v>
      </c>
      <c r="ADH39" s="1037">
        <v>8897.1958902258484</v>
      </c>
      <c r="ADI39" s="1037">
        <v>2718.5876331245649</v>
      </c>
      <c r="ADJ39" s="1037">
        <v>741.43299085215403</v>
      </c>
      <c r="ADK39" s="1037">
        <v>0</v>
      </c>
      <c r="ADL39" s="1037">
        <v>0</v>
      </c>
      <c r="ADM39" s="1037">
        <v>4448.5979451129242</v>
      </c>
      <c r="ADN39" s="1037">
        <v>1977.1546422724109</v>
      </c>
      <c r="ADO39" s="1037">
        <v>6380.7343259241061</v>
      </c>
      <c r="ADP39" s="1037">
        <v>9571.1014888861591</v>
      </c>
      <c r="ADQ39" s="1037">
        <v>2924.5032327152153</v>
      </c>
      <c r="ADR39" s="1037">
        <v>797.59179074051326</v>
      </c>
      <c r="ADS39" s="1037">
        <v>0</v>
      </c>
      <c r="ADT39" s="1037">
        <v>0</v>
      </c>
      <c r="ADU39" s="1037">
        <v>4785.5507444430796</v>
      </c>
      <c r="ADV39" s="1037">
        <v>2126.911441974702</v>
      </c>
      <c r="ADW39" s="1037">
        <v>6684.5788176347787</v>
      </c>
      <c r="ADX39" s="1037">
        <v>10026.868226452169</v>
      </c>
      <c r="ADY39" s="1037">
        <v>3063.7652914159403</v>
      </c>
      <c r="ADZ39" s="1037">
        <v>835.57235220434734</v>
      </c>
      <c r="AEA39" s="1037">
        <v>0</v>
      </c>
      <c r="AEB39" s="1037">
        <v>0</v>
      </c>
      <c r="AEC39" s="1037">
        <v>5013.4341132260843</v>
      </c>
      <c r="AED39" s="1037">
        <v>2228.1929392115931</v>
      </c>
      <c r="AEE39" s="1037">
        <v>10269.943819820704</v>
      </c>
      <c r="AEF39" s="1037">
        <v>15404.915729731056</v>
      </c>
      <c r="AEG39" s="1037">
        <v>4707.0575840844895</v>
      </c>
      <c r="AEH39" s="1037">
        <v>1283.7429774775881</v>
      </c>
      <c r="AEI39" s="1037">
        <v>0</v>
      </c>
      <c r="AEJ39" s="1037">
        <v>0</v>
      </c>
      <c r="AEK39" s="1037">
        <v>7702.4578648655279</v>
      </c>
      <c r="AEL39" s="1037">
        <v>3423.3146066069016</v>
      </c>
      <c r="AEM39" s="1037">
        <v>6840.1840270260018</v>
      </c>
      <c r="AEN39" s="1037">
        <v>10260.276040539002</v>
      </c>
      <c r="AEO39" s="1037">
        <v>3135.0843457202509</v>
      </c>
      <c r="AEP39" s="1037">
        <v>855.02300337825022</v>
      </c>
      <c r="AEQ39" s="1037">
        <v>0</v>
      </c>
      <c r="AER39" s="1037">
        <v>0</v>
      </c>
      <c r="AES39" s="1037">
        <v>5130.1380202695009</v>
      </c>
      <c r="AET39" s="1037">
        <v>2280.0613423420004</v>
      </c>
      <c r="AEU39" s="1037">
        <v>7266.9474267468986</v>
      </c>
      <c r="AEV39" s="1037">
        <v>10900.421140120348</v>
      </c>
      <c r="AEW39" s="1037">
        <v>3330.6842372589954</v>
      </c>
      <c r="AEX39" s="1037">
        <v>908.36842834336232</v>
      </c>
      <c r="AEY39" s="1037">
        <v>0</v>
      </c>
      <c r="AEZ39" s="1037">
        <v>0</v>
      </c>
      <c r="AFA39" s="1037">
        <v>5450.2105700601742</v>
      </c>
      <c r="AFB39" s="1037">
        <v>2422.3158089156332</v>
      </c>
      <c r="AFC39" s="1037">
        <v>7612.9925423062741</v>
      </c>
      <c r="AFD39" s="1037">
        <v>11419.488813459411</v>
      </c>
      <c r="AFE39" s="1037">
        <v>3489.2882485570426</v>
      </c>
      <c r="AFF39" s="1037">
        <v>951.62406778828426</v>
      </c>
      <c r="AFG39" s="1037">
        <v>0</v>
      </c>
      <c r="AFH39" s="1037">
        <v>0</v>
      </c>
      <c r="AFI39" s="1037">
        <v>5709.7444067297056</v>
      </c>
      <c r="AFJ39" s="1037">
        <v>2537.6641807687583</v>
      </c>
      <c r="AFK39" s="1037">
        <v>11696.324905906913</v>
      </c>
      <c r="AFL39" s="1037">
        <v>17544.48735886037</v>
      </c>
      <c r="AFM39" s="1037">
        <v>5360.8155818740024</v>
      </c>
      <c r="AFN39" s="1037">
        <v>1462.0406132383641</v>
      </c>
      <c r="AFO39" s="1037">
        <v>0</v>
      </c>
      <c r="AFP39" s="1037">
        <v>0</v>
      </c>
      <c r="AFQ39" s="1037">
        <v>8772.2436794301848</v>
      </c>
      <c r="AFR39" s="1037">
        <v>3898.7749686356378</v>
      </c>
      <c r="AFS39" s="247">
        <v>2726.1603006263049</v>
      </c>
      <c r="AFT39" s="247">
        <v>4089.2404509394569</v>
      </c>
      <c r="AFU39" s="247">
        <v>1249.4901377870565</v>
      </c>
      <c r="AFV39" s="247">
        <v>340.77003757828811</v>
      </c>
      <c r="AFW39" s="247">
        <v>0</v>
      </c>
      <c r="AFX39" s="247">
        <v>0</v>
      </c>
      <c r="AFY39" s="247">
        <v>2044.6202254697284</v>
      </c>
      <c r="AFZ39" s="247">
        <v>908.72010020876826</v>
      </c>
      <c r="AGA39" s="247">
        <v>3013.1245427974945</v>
      </c>
      <c r="AGB39" s="247">
        <v>4519.6868141962423</v>
      </c>
      <c r="AGC39" s="247">
        <v>1381.0154154488519</v>
      </c>
      <c r="AGD39" s="247">
        <v>376.64056784968682</v>
      </c>
      <c r="AGE39" s="247">
        <v>0</v>
      </c>
      <c r="AGF39" s="247">
        <v>0</v>
      </c>
      <c r="AGG39" s="247">
        <v>2259.8434070981211</v>
      </c>
      <c r="AGH39" s="247">
        <v>1004.3748475991649</v>
      </c>
      <c r="AGI39" s="247">
        <v>3156.6066638830898</v>
      </c>
      <c r="AGJ39" s="247">
        <v>4734.9099958246343</v>
      </c>
      <c r="AGK39" s="247">
        <v>1446.7780542797495</v>
      </c>
      <c r="AGL39" s="247">
        <v>394.57583298538623</v>
      </c>
      <c r="AGM39" s="247">
        <v>0</v>
      </c>
      <c r="AGN39" s="247">
        <v>0</v>
      </c>
      <c r="AGO39" s="247">
        <v>2367.4549979123171</v>
      </c>
      <c r="AGP39" s="247">
        <v>1052.2022212943632</v>
      </c>
      <c r="AGQ39" s="247">
        <v>4849.6956926931098</v>
      </c>
      <c r="AGR39" s="247">
        <v>7274.5435390396651</v>
      </c>
      <c r="AGS39" s="247">
        <v>2222.7771924843423</v>
      </c>
      <c r="AGT39" s="247">
        <v>606.21196158663872</v>
      </c>
      <c r="AGU39" s="247">
        <v>0</v>
      </c>
      <c r="AGV39" s="247">
        <v>0</v>
      </c>
      <c r="AGW39" s="247">
        <v>3637.2717695198326</v>
      </c>
      <c r="AGX39" s="247">
        <v>1616.5652308977035</v>
      </c>
      <c r="AGY39" s="249">
        <v>0</v>
      </c>
      <c r="AGZ39" s="249">
        <v>0</v>
      </c>
      <c r="AHA39" s="249">
        <v>0</v>
      </c>
      <c r="AHB39" s="249">
        <v>0</v>
      </c>
      <c r="AHC39" s="249">
        <v>0</v>
      </c>
      <c r="AHD39" s="249">
        <v>0</v>
      </c>
      <c r="AHE39" s="249">
        <v>0</v>
      </c>
      <c r="AHF39" s="249">
        <v>0</v>
      </c>
      <c r="AHG39" s="249">
        <v>0</v>
      </c>
      <c r="AHH39" s="249">
        <v>0</v>
      </c>
      <c r="AHI39" s="249">
        <v>0</v>
      </c>
      <c r="AHJ39" s="249">
        <v>0</v>
      </c>
      <c r="AHK39" s="249">
        <v>0</v>
      </c>
      <c r="AHL39" s="249">
        <v>0</v>
      </c>
      <c r="AHM39" s="249">
        <v>0</v>
      </c>
      <c r="AHN39" s="249">
        <v>0</v>
      </c>
      <c r="AHO39" s="249">
        <v>0</v>
      </c>
      <c r="AHP39" s="249">
        <v>0</v>
      </c>
      <c r="AHQ39" s="249">
        <v>0</v>
      </c>
      <c r="AHR39" s="249">
        <v>0</v>
      </c>
      <c r="AHS39" s="249">
        <v>0</v>
      </c>
      <c r="AHT39" s="249">
        <v>0</v>
      </c>
      <c r="AHU39" s="249">
        <v>0</v>
      </c>
      <c r="AHV39" s="249">
        <v>0</v>
      </c>
      <c r="AHW39" s="249">
        <v>0</v>
      </c>
      <c r="AHX39" s="249">
        <v>0</v>
      </c>
      <c r="AHY39" s="249">
        <v>0</v>
      </c>
      <c r="AHZ39" s="249">
        <v>0</v>
      </c>
      <c r="AIA39" s="249">
        <v>0</v>
      </c>
      <c r="AIB39" s="249">
        <v>0</v>
      </c>
      <c r="AIC39" s="249">
        <v>0</v>
      </c>
      <c r="AID39" s="249">
        <v>0</v>
      </c>
      <c r="AIE39" s="249"/>
      <c r="AIF39" s="249"/>
      <c r="AIG39" s="249"/>
      <c r="AIH39" s="249"/>
      <c r="AII39" s="249"/>
      <c r="AIJ39" s="249"/>
      <c r="AIK39" s="249"/>
      <c r="AIL39" s="249"/>
      <c r="AIM39" s="249">
        <v>0</v>
      </c>
      <c r="AIN39" s="249">
        <v>0</v>
      </c>
      <c r="AIO39" s="249">
        <v>0</v>
      </c>
      <c r="AIP39" s="249">
        <v>0</v>
      </c>
      <c r="AIQ39" s="249">
        <v>0</v>
      </c>
      <c r="AIR39" s="249">
        <v>0</v>
      </c>
      <c r="AIS39" s="249">
        <v>0</v>
      </c>
      <c r="AIT39" s="249">
        <v>0</v>
      </c>
      <c r="AIU39" s="134" t="s">
        <v>1216</v>
      </c>
      <c r="AIV39" s="134" t="s">
        <v>1219</v>
      </c>
      <c r="AIW39" s="134" t="s">
        <v>1218</v>
      </c>
      <c r="AIX39" s="134" t="s">
        <v>1217</v>
      </c>
      <c r="AIY39" s="134" t="s">
        <v>1228</v>
      </c>
      <c r="AIZ39" s="134" t="s">
        <v>1229</v>
      </c>
      <c r="AJA39" s="134" t="s">
        <v>1230</v>
      </c>
      <c r="AJB39" s="134" t="s">
        <v>1231</v>
      </c>
      <c r="AJC39" s="134" t="s">
        <v>1232</v>
      </c>
      <c r="AJD39" s="134" t="s">
        <v>1233</v>
      </c>
    </row>
    <row r="40" spans="1:940" ht="18" customHeight="1">
      <c r="A40" s="664" t="s">
        <v>28</v>
      </c>
      <c r="B40" s="669">
        <v>0.5</v>
      </c>
      <c r="C40" s="6">
        <v>0.5</v>
      </c>
      <c r="D40" s="6">
        <v>0.5</v>
      </c>
      <c r="E40" s="1">
        <v>259.61373390557941</v>
      </c>
      <c r="F40" s="7">
        <v>-5.8</v>
      </c>
      <c r="G40" s="7">
        <v>-1.5</v>
      </c>
      <c r="H40" s="7">
        <v>-1.5</v>
      </c>
      <c r="I40" s="266">
        <v>350</v>
      </c>
      <c r="J40" s="125">
        <v>0</v>
      </c>
      <c r="K40" s="125">
        <v>0</v>
      </c>
      <c r="L40" s="125">
        <v>0</v>
      </c>
      <c r="M40" s="1">
        <v>541.70374958491891</v>
      </c>
      <c r="N40" s="2">
        <v>12</v>
      </c>
      <c r="O40" s="8">
        <v>0.3</v>
      </c>
      <c r="P40" s="8">
        <v>0.1</v>
      </c>
      <c r="Q40" s="8">
        <v>0.1</v>
      </c>
      <c r="R40" s="7">
        <v>2.5</v>
      </c>
      <c r="S40" s="7">
        <v>0</v>
      </c>
      <c r="T40" s="7">
        <v>97.5</v>
      </c>
      <c r="U40" s="7">
        <v>0</v>
      </c>
      <c r="V40" s="71">
        <v>0</v>
      </c>
      <c r="W40" s="119">
        <v>2</v>
      </c>
      <c r="X40" s="120">
        <v>1.5</v>
      </c>
      <c r="Y40" s="119">
        <v>1</v>
      </c>
      <c r="Z40" s="120">
        <v>0.8</v>
      </c>
      <c r="AA40" s="120">
        <v>0.5</v>
      </c>
      <c r="AB40" s="559">
        <v>433.01922201480062</v>
      </c>
      <c r="AC40" s="559">
        <v>470.67306740739195</v>
      </c>
      <c r="AD40" s="559">
        <v>433.37222681535616</v>
      </c>
      <c r="AE40" s="559">
        <v>649.0581599547935</v>
      </c>
      <c r="AF40" s="622">
        <v>0.82209484106305364</v>
      </c>
      <c r="AG40" s="559">
        <v>261.91600618637949</v>
      </c>
      <c r="AH40" s="559">
        <v>284.69131107215162</v>
      </c>
      <c r="AI40" s="559">
        <v>262.12952466968363</v>
      </c>
      <c r="AJ40" s="559">
        <v>392.58931796849708</v>
      </c>
      <c r="AK40" s="622">
        <v>0.96717040125065135</v>
      </c>
      <c r="AL40" s="995">
        <v>0.4</v>
      </c>
      <c r="AM40" s="995">
        <v>0.6</v>
      </c>
      <c r="AN40" s="995">
        <v>1.3</v>
      </c>
      <c r="AO40" s="995">
        <v>1.7</v>
      </c>
      <c r="AP40" s="995">
        <v>2.1</v>
      </c>
      <c r="AQ40" s="995">
        <v>2.7</v>
      </c>
      <c r="AR40" s="995">
        <v>3.3</v>
      </c>
      <c r="AS40" s="1005">
        <v>0</v>
      </c>
      <c r="AT40" s="1005">
        <v>10</v>
      </c>
      <c r="AU40" s="1005">
        <v>20</v>
      </c>
      <c r="AV40" s="1005">
        <v>70</v>
      </c>
      <c r="AW40" s="1005">
        <v>100</v>
      </c>
      <c r="AX40" s="1">
        <v>10062.301353275248</v>
      </c>
      <c r="AY40" s="5">
        <v>1.56</v>
      </c>
      <c r="AZ40" s="8">
        <v>0.8</v>
      </c>
      <c r="BA40" s="8">
        <v>0.6</v>
      </c>
      <c r="BB40" s="8">
        <v>0.6</v>
      </c>
      <c r="BC40" s="73">
        <v>0.18084</v>
      </c>
      <c r="BD40" s="73">
        <v>0.17335999999999999</v>
      </c>
      <c r="BE40" s="9"/>
      <c r="BF40" s="9">
        <v>1.202485753233595E-3</v>
      </c>
      <c r="BG40" s="9">
        <v>0.26457534563712537</v>
      </c>
      <c r="BH40" s="9">
        <v>58.54078480422551</v>
      </c>
      <c r="BI40" s="9">
        <v>1.2708723837944664</v>
      </c>
      <c r="BJ40" s="9">
        <v>0.39067812791701684</v>
      </c>
      <c r="BK40" s="9">
        <v>39.231528062568245</v>
      </c>
      <c r="BL40" s="9">
        <v>3.1881694641653864E-2</v>
      </c>
      <c r="BM40" s="9">
        <v>5.1042355788573383E-3</v>
      </c>
      <c r="BN40" s="9">
        <v>3.2910136404287863E-4</v>
      </c>
      <c r="BO40" s="9"/>
      <c r="BP40" s="9"/>
      <c r="BQ40" s="9">
        <v>8.6854280181585475E-2</v>
      </c>
      <c r="BR40" s="9">
        <v>1.0854016141029555E-3</v>
      </c>
      <c r="BS40" s="9">
        <v>0.17510407672416045</v>
      </c>
      <c r="BT40" s="262">
        <v>261.13475999999997</v>
      </c>
      <c r="BU40" s="262">
        <v>96.5</v>
      </c>
      <c r="BV40" s="262">
        <v>63.215999999999994</v>
      </c>
      <c r="BW40" s="262">
        <v>233.35949490734063</v>
      </c>
      <c r="BX40" s="262">
        <v>157.40783999999999</v>
      </c>
      <c r="BY40" s="68"/>
      <c r="BZ40" s="262">
        <v>256.20808011776955</v>
      </c>
      <c r="CA40" s="262">
        <v>165.17663999999999</v>
      </c>
      <c r="CB40" s="68"/>
      <c r="CC40" s="785">
        <v>0</v>
      </c>
      <c r="CD40" s="262">
        <v>6.585</v>
      </c>
      <c r="CE40" s="262">
        <v>1.3169999999999999</v>
      </c>
      <c r="CF40" s="262">
        <v>38</v>
      </c>
      <c r="CG40" s="262">
        <v>225.83915999999996</v>
      </c>
      <c r="CH40" s="68">
        <v>0.2</v>
      </c>
      <c r="CI40" s="262">
        <v>175.08124000000001</v>
      </c>
      <c r="CJ40" s="262">
        <v>60.4</v>
      </c>
      <c r="CK40" s="262">
        <v>42.384</v>
      </c>
      <c r="CL40" s="262">
        <v>156.45894761061641</v>
      </c>
      <c r="CM40" s="262">
        <v>105.53616</v>
      </c>
      <c r="CN40" s="68"/>
      <c r="CO40" s="262">
        <v>159.24945066654416</v>
      </c>
      <c r="CP40" s="262">
        <v>102.66767999999999</v>
      </c>
      <c r="CQ40" s="68"/>
      <c r="CR40" s="262">
        <v>0</v>
      </c>
      <c r="CS40" s="262">
        <v>4.415</v>
      </c>
      <c r="CT40" s="262">
        <v>0.88300000000000001</v>
      </c>
      <c r="CU40" s="262">
        <v>27</v>
      </c>
      <c r="CV40" s="262">
        <v>151.41683999999998</v>
      </c>
      <c r="CW40" s="68">
        <v>0.2</v>
      </c>
      <c r="CX40" s="120">
        <v>0.3</v>
      </c>
      <c r="CY40" s="120">
        <v>0.7</v>
      </c>
      <c r="CZ40" s="120">
        <v>1.2</v>
      </c>
      <c r="DA40" s="120">
        <v>1.2</v>
      </c>
      <c r="DB40" s="119">
        <v>3</v>
      </c>
      <c r="DC40" s="1005">
        <v>0</v>
      </c>
      <c r="DD40" s="1005">
        <v>10</v>
      </c>
      <c r="DE40" s="1005">
        <v>20</v>
      </c>
      <c r="DF40" s="1005">
        <v>70</v>
      </c>
      <c r="DG40" s="1005">
        <v>100</v>
      </c>
      <c r="DH40" s="2">
        <v>1.0682498070272575</v>
      </c>
      <c r="DI40" s="2">
        <v>18</v>
      </c>
      <c r="DJ40" s="63">
        <v>12</v>
      </c>
      <c r="DK40" s="8">
        <v>1.1000000000000001</v>
      </c>
      <c r="DL40" s="8">
        <v>0.6</v>
      </c>
      <c r="DM40" s="8">
        <v>0.6</v>
      </c>
      <c r="DN40" s="1030" t="s">
        <v>1034</v>
      </c>
      <c r="DO40" s="1030" t="s">
        <v>1035</v>
      </c>
      <c r="DP40" s="1030" t="s">
        <v>997</v>
      </c>
      <c r="DQ40" s="1030" t="s">
        <v>997</v>
      </c>
      <c r="DR40" s="1030" t="s">
        <v>997</v>
      </c>
      <c r="DS40" s="1030" t="s">
        <v>997</v>
      </c>
      <c r="DT40" s="1030" t="s">
        <v>997</v>
      </c>
      <c r="DU40" s="1097">
        <v>38.52849315068493</v>
      </c>
      <c r="DV40" s="1097">
        <v>6992.921506849314</v>
      </c>
      <c r="DW40" s="1097">
        <v>0</v>
      </c>
      <c r="DX40" s="1097">
        <v>0</v>
      </c>
      <c r="DY40" s="1097">
        <v>0</v>
      </c>
      <c r="DZ40" s="1097">
        <v>0</v>
      </c>
      <c r="EA40" s="1097">
        <v>0</v>
      </c>
      <c r="EB40" s="207">
        <v>7.0314500000000004</v>
      </c>
      <c r="EC40" s="207">
        <v>18</v>
      </c>
      <c r="ED40" s="221">
        <v>5</v>
      </c>
      <c r="EE40" s="214">
        <v>1.1000000000000001</v>
      </c>
      <c r="EF40" s="214">
        <v>0.6</v>
      </c>
      <c r="EG40" s="214">
        <v>0.6</v>
      </c>
      <c r="EH40" s="208" t="s">
        <v>1056</v>
      </c>
      <c r="EI40" s="208" t="s">
        <v>1072</v>
      </c>
      <c r="EJ40" s="208" t="s">
        <v>243</v>
      </c>
      <c r="EK40" s="208" t="s">
        <v>1098</v>
      </c>
      <c r="EL40" s="208" t="s">
        <v>1109</v>
      </c>
      <c r="EM40" s="208" t="s">
        <v>1118</v>
      </c>
      <c r="EN40" s="208" t="s">
        <v>1123</v>
      </c>
      <c r="EO40" s="208" t="s">
        <v>1129</v>
      </c>
      <c r="EP40" s="208" t="s">
        <v>1135</v>
      </c>
      <c r="EQ40" s="204" t="s">
        <v>997</v>
      </c>
      <c r="ER40" s="204" t="s">
        <v>997</v>
      </c>
      <c r="ES40" s="204" t="s">
        <v>997</v>
      </c>
      <c r="ET40" s="204" t="s">
        <v>997</v>
      </c>
      <c r="EU40" s="204" t="s">
        <v>997</v>
      </c>
      <c r="EV40" s="204" t="s">
        <v>997</v>
      </c>
      <c r="EW40" s="204" t="s">
        <v>997</v>
      </c>
      <c r="EX40" s="204" t="s">
        <v>997</v>
      </c>
      <c r="EY40" s="204" t="s">
        <v>997</v>
      </c>
      <c r="EZ40" s="204" t="s">
        <v>997</v>
      </c>
      <c r="FA40" s="204" t="s">
        <v>997</v>
      </c>
      <c r="FB40" s="204" t="s">
        <v>997</v>
      </c>
      <c r="FC40" s="204" t="s">
        <v>997</v>
      </c>
      <c r="FD40" s="204" t="s">
        <v>997</v>
      </c>
      <c r="FE40" s="204" t="s">
        <v>997</v>
      </c>
      <c r="FF40" s="204" t="s">
        <v>997</v>
      </c>
      <c r="FG40" s="204" t="s">
        <v>997</v>
      </c>
      <c r="FH40" s="204" t="s">
        <v>997</v>
      </c>
      <c r="FI40" s="204" t="s">
        <v>997</v>
      </c>
      <c r="FJ40" s="204" t="s">
        <v>997</v>
      </c>
      <c r="FK40" s="204" t="s">
        <v>997</v>
      </c>
      <c r="FL40" s="204" t="s">
        <v>997</v>
      </c>
      <c r="FM40" s="204" t="s">
        <v>997</v>
      </c>
      <c r="FN40" s="204" t="s">
        <v>997</v>
      </c>
      <c r="FO40" s="204" t="s">
        <v>997</v>
      </c>
      <c r="FP40" s="204" t="s">
        <v>997</v>
      </c>
      <c r="FQ40" s="204" t="s">
        <v>997</v>
      </c>
      <c r="FR40" s="204" t="s">
        <v>997</v>
      </c>
      <c r="FS40" s="204" t="s">
        <v>997</v>
      </c>
      <c r="FT40" s="204" t="s">
        <v>997</v>
      </c>
      <c r="FU40" s="204" t="s">
        <v>997</v>
      </c>
      <c r="FV40" s="204" t="s">
        <v>997</v>
      </c>
      <c r="FW40" s="204" t="s">
        <v>997</v>
      </c>
      <c r="FX40" s="204" t="s">
        <v>997</v>
      </c>
      <c r="FY40" s="204" t="s">
        <v>997</v>
      </c>
      <c r="FZ40" s="204" t="s">
        <v>997</v>
      </c>
      <c r="GA40" s="204" t="s">
        <v>997</v>
      </c>
      <c r="GB40" s="204" t="s">
        <v>997</v>
      </c>
      <c r="GC40" s="204" t="s">
        <v>997</v>
      </c>
      <c r="GD40" s="204" t="s">
        <v>997</v>
      </c>
      <c r="GE40" s="204" t="s">
        <v>997</v>
      </c>
      <c r="GF40" s="204" t="s">
        <v>997</v>
      </c>
      <c r="GG40" s="204" t="s">
        <v>997</v>
      </c>
      <c r="GH40" s="204" t="s">
        <v>997</v>
      </c>
      <c r="GI40" s="204" t="s">
        <v>997</v>
      </c>
      <c r="GJ40" s="204" t="s">
        <v>997</v>
      </c>
      <c r="GK40" s="204" t="s">
        <v>997</v>
      </c>
      <c r="GL40" s="204" t="s">
        <v>997</v>
      </c>
      <c r="GM40" s="204" t="s">
        <v>997</v>
      </c>
      <c r="GN40" s="1051">
        <v>388.23957055214743</v>
      </c>
      <c r="GO40" s="1051">
        <v>86.2754601226994</v>
      </c>
      <c r="GP40" s="1051">
        <v>301.96411042944789</v>
      </c>
      <c r="GQ40" s="1051">
        <v>647.06595092024543</v>
      </c>
      <c r="GR40" s="1051">
        <v>2609.8326687116569</v>
      </c>
      <c r="GS40" s="1051">
        <v>905.89233128834394</v>
      </c>
      <c r="GT40" s="1051">
        <v>625.4970858895706</v>
      </c>
      <c r="GU40" s="1051">
        <v>366.67070552147254</v>
      </c>
      <c r="GV40" s="1051">
        <v>1100.0121165644173</v>
      </c>
      <c r="GW40" s="1051">
        <v>0</v>
      </c>
      <c r="GX40" s="1051">
        <v>0</v>
      </c>
      <c r="GY40" s="1051">
        <v>0</v>
      </c>
      <c r="GZ40" s="1051">
        <v>0</v>
      </c>
      <c r="HA40" s="1051">
        <v>0</v>
      </c>
      <c r="HB40" s="1051">
        <v>0</v>
      </c>
      <c r="HC40" s="1051">
        <v>0</v>
      </c>
      <c r="HD40" s="1051">
        <v>0</v>
      </c>
      <c r="HE40" s="1051">
        <v>0</v>
      </c>
      <c r="HF40" s="1051">
        <v>0</v>
      </c>
      <c r="HG40" s="1051">
        <v>0</v>
      </c>
      <c r="HH40" s="1051">
        <v>0</v>
      </c>
      <c r="HI40" s="1051">
        <v>0</v>
      </c>
      <c r="HJ40" s="1051">
        <v>0</v>
      </c>
      <c r="HK40" s="1051">
        <v>0</v>
      </c>
      <c r="HL40" s="1051">
        <v>0</v>
      </c>
      <c r="HM40" s="1051">
        <v>0</v>
      </c>
      <c r="HN40" s="1051">
        <v>0</v>
      </c>
      <c r="HO40" s="1051">
        <v>0</v>
      </c>
      <c r="HP40" s="1051">
        <v>0</v>
      </c>
      <c r="HQ40" s="1051">
        <v>0</v>
      </c>
      <c r="HR40" s="1051">
        <v>0</v>
      </c>
      <c r="HS40" s="1051">
        <v>0</v>
      </c>
      <c r="HT40" s="1051">
        <v>0</v>
      </c>
      <c r="HU40" s="1051">
        <v>0</v>
      </c>
      <c r="HV40" s="1051">
        <v>0</v>
      </c>
      <c r="HW40" s="1051">
        <v>0</v>
      </c>
      <c r="HX40" s="1051">
        <v>0</v>
      </c>
      <c r="HY40" s="1051">
        <v>0</v>
      </c>
      <c r="HZ40" s="1051">
        <v>0</v>
      </c>
      <c r="IA40" s="1051">
        <v>0</v>
      </c>
      <c r="IB40" s="1051">
        <v>0</v>
      </c>
      <c r="IC40" s="1051">
        <v>0</v>
      </c>
      <c r="ID40" s="1051">
        <v>0</v>
      </c>
      <c r="IE40" s="1051">
        <v>0</v>
      </c>
      <c r="IF40" s="1051">
        <v>0</v>
      </c>
      <c r="IG40" s="1051">
        <v>0</v>
      </c>
      <c r="IH40" s="1051">
        <v>0</v>
      </c>
      <c r="II40" s="1051">
        <v>0</v>
      </c>
      <c r="IJ40" s="1051">
        <v>0</v>
      </c>
      <c r="IK40" s="1051">
        <v>0</v>
      </c>
      <c r="IL40" s="1051">
        <v>0</v>
      </c>
      <c r="IM40" s="1051">
        <v>0</v>
      </c>
      <c r="IN40" s="1051">
        <v>0</v>
      </c>
      <c r="IO40" s="1051">
        <v>0</v>
      </c>
      <c r="IP40" s="1051">
        <v>0</v>
      </c>
      <c r="IQ40" s="1051">
        <v>0</v>
      </c>
      <c r="IR40" s="1051">
        <v>0</v>
      </c>
      <c r="IS40" s="1051">
        <v>0</v>
      </c>
      <c r="IT40" s="215">
        <v>1020.0468636800275</v>
      </c>
      <c r="IU40" s="207">
        <v>179.9</v>
      </c>
      <c r="IV40" s="216">
        <v>2647.0800000000199</v>
      </c>
      <c r="IW40" s="272">
        <v>12.64</v>
      </c>
      <c r="IX40" s="207">
        <v>50</v>
      </c>
      <c r="IY40" s="204">
        <v>1.1000000000000001</v>
      </c>
      <c r="IZ40" s="204">
        <v>0.6</v>
      </c>
      <c r="JA40" s="204">
        <v>0.6</v>
      </c>
      <c r="JB40" s="52">
        <v>2</v>
      </c>
      <c r="JC40" s="24">
        <v>1.5</v>
      </c>
      <c r="JD40" s="24">
        <v>0.7</v>
      </c>
      <c r="JE40" s="24">
        <v>0.7</v>
      </c>
      <c r="JF40" s="24">
        <v>0.5</v>
      </c>
      <c r="JG40" s="1">
        <v>27.2564358745006</v>
      </c>
      <c r="JH40" s="216">
        <v>2647.0800000000199</v>
      </c>
      <c r="JI40" s="272">
        <v>12.64</v>
      </c>
      <c r="JJ40" s="207">
        <v>50</v>
      </c>
      <c r="JK40" s="8">
        <v>1.1000000000000001</v>
      </c>
      <c r="JL40" s="8">
        <v>0.7</v>
      </c>
      <c r="JM40" s="8">
        <v>0.7</v>
      </c>
      <c r="JN40" s="216">
        <v>2</v>
      </c>
      <c r="JO40" s="216">
        <v>2</v>
      </c>
      <c r="JP40" s="216">
        <v>1</v>
      </c>
      <c r="JQ40" s="216">
        <v>1</v>
      </c>
      <c r="JR40" s="214">
        <v>0.5</v>
      </c>
      <c r="JS40" s="1212">
        <v>2000</v>
      </c>
      <c r="JT40" s="215">
        <v>270.36392543224167</v>
      </c>
      <c r="JU40" s="215">
        <v>500</v>
      </c>
      <c r="JV40" s="207">
        <v>0.9</v>
      </c>
      <c r="JW40" s="207">
        <v>0.8</v>
      </c>
      <c r="JX40" s="207">
        <v>0.8</v>
      </c>
      <c r="JY40" s="214">
        <v>2</v>
      </c>
      <c r="JZ40" s="214">
        <v>1.5</v>
      </c>
      <c r="KA40" s="214">
        <v>0.5</v>
      </c>
      <c r="KB40" s="214">
        <v>1</v>
      </c>
      <c r="KC40" s="214">
        <v>0.5</v>
      </c>
      <c r="KD40" s="1186">
        <v>3.2487385213471143</v>
      </c>
      <c r="KE40" s="1186"/>
      <c r="KF40" s="1186">
        <v>96.092297742072091</v>
      </c>
      <c r="KG40" s="1186"/>
      <c r="KH40" s="1186">
        <v>0.17983959323988347</v>
      </c>
      <c r="KI40" s="1186">
        <v>0.33204602638892106</v>
      </c>
      <c r="KJ40" s="1186"/>
      <c r="KK40" s="1186"/>
      <c r="KL40" s="1186">
        <v>0.14707811695199774</v>
      </c>
      <c r="KM40" s="1187">
        <v>580</v>
      </c>
      <c r="KN40" s="1187">
        <v>580</v>
      </c>
      <c r="KO40" s="1187">
        <v>580</v>
      </c>
      <c r="KP40" s="1187">
        <v>580</v>
      </c>
      <c r="KQ40" s="1187"/>
      <c r="KR40" s="1187">
        <v>580</v>
      </c>
      <c r="KS40" s="1187">
        <v>580</v>
      </c>
      <c r="KT40" s="1187">
        <v>580</v>
      </c>
      <c r="KU40" s="1187">
        <v>580</v>
      </c>
      <c r="KV40" s="262">
        <v>370</v>
      </c>
      <c r="KW40" s="262">
        <v>370</v>
      </c>
      <c r="KX40" s="262">
        <v>370</v>
      </c>
      <c r="KY40" s="262">
        <v>370</v>
      </c>
      <c r="KZ40" s="262"/>
      <c r="LA40" s="262">
        <v>370</v>
      </c>
      <c r="LB40" s="262">
        <v>370</v>
      </c>
      <c r="LC40" s="262">
        <v>370</v>
      </c>
      <c r="LD40" s="262">
        <v>370</v>
      </c>
      <c r="LE40" s="1213">
        <v>0</v>
      </c>
      <c r="LF40" s="1213">
        <v>10</v>
      </c>
      <c r="LG40" s="1213">
        <v>20</v>
      </c>
      <c r="LH40" s="1213">
        <v>70</v>
      </c>
      <c r="LI40" s="1213">
        <v>100</v>
      </c>
      <c r="LJ40" s="1212">
        <v>1000</v>
      </c>
      <c r="LK40" s="1"/>
      <c r="LL40" s="4">
        <v>29</v>
      </c>
      <c r="LM40" s="8">
        <v>0.7</v>
      </c>
      <c r="LN40" s="8">
        <v>0.4</v>
      </c>
      <c r="LO40" s="8">
        <v>0.4</v>
      </c>
      <c r="LP40" s="214">
        <v>2</v>
      </c>
      <c r="LQ40" s="214">
        <v>1</v>
      </c>
      <c r="LR40" s="214">
        <v>0.5</v>
      </c>
      <c r="LS40" s="214">
        <v>0.7</v>
      </c>
      <c r="LT40" s="214">
        <v>0.2</v>
      </c>
      <c r="LU40" s="1212">
        <v>1500</v>
      </c>
      <c r="LV40" s="122">
        <v>0</v>
      </c>
      <c r="LW40" s="122">
        <v>0</v>
      </c>
      <c r="LX40" s="122">
        <v>0</v>
      </c>
      <c r="LY40" s="165">
        <v>0</v>
      </c>
      <c r="LZ40" s="165">
        <v>0</v>
      </c>
      <c r="MA40" s="165">
        <v>0</v>
      </c>
      <c r="MB40" s="165">
        <v>0</v>
      </c>
      <c r="MC40" s="165">
        <v>0</v>
      </c>
      <c r="MD40" s="165">
        <v>0</v>
      </c>
      <c r="ME40" s="165">
        <v>0</v>
      </c>
      <c r="MF40" s="165">
        <v>0</v>
      </c>
      <c r="MG40" s="165">
        <v>0</v>
      </c>
      <c r="MH40" s="165">
        <v>0</v>
      </c>
      <c r="MI40" s="165">
        <v>0</v>
      </c>
      <c r="MJ40" s="165">
        <v>0</v>
      </c>
      <c r="MK40" s="165">
        <v>0</v>
      </c>
      <c r="ML40" s="165">
        <v>0</v>
      </c>
      <c r="MM40" s="165">
        <v>0</v>
      </c>
      <c r="MN40" s="165">
        <v>0</v>
      </c>
      <c r="MO40" s="165">
        <v>0</v>
      </c>
      <c r="MP40" s="165">
        <v>0</v>
      </c>
      <c r="MQ40" s="165">
        <v>0</v>
      </c>
      <c r="MR40" s="165">
        <v>0</v>
      </c>
      <c r="MS40" s="165">
        <v>0</v>
      </c>
      <c r="MT40" s="165">
        <v>0</v>
      </c>
      <c r="MU40" s="165">
        <v>0</v>
      </c>
      <c r="MV40" s="165">
        <v>0</v>
      </c>
      <c r="MW40" s="166">
        <v>1.03948054544979</v>
      </c>
      <c r="MX40" s="166">
        <v>0</v>
      </c>
      <c r="MY40" s="166">
        <v>3.2035175790709997E-2</v>
      </c>
      <c r="MZ40" s="166">
        <v>3.1447236279289997E-2</v>
      </c>
      <c r="NA40" s="166">
        <v>-0.86482107521568996</v>
      </c>
      <c r="NB40" s="166">
        <v>-1.8012726629615701</v>
      </c>
      <c r="NC40" s="166">
        <v>0.96328192735308005</v>
      </c>
      <c r="ND40" s="166">
        <v>0</v>
      </c>
      <c r="NE40" s="166">
        <v>3.1380670670009998E-2</v>
      </c>
      <c r="NF40" s="166">
        <v>3.2292330521510003E-2</v>
      </c>
      <c r="NG40" s="166">
        <v>-0.81421167295139996</v>
      </c>
      <c r="NH40" s="166">
        <v>-1.8368365049938999</v>
      </c>
      <c r="NI40" s="166">
        <v>0</v>
      </c>
      <c r="NJ40" s="166">
        <v>0</v>
      </c>
      <c r="NK40" s="166">
        <v>0</v>
      </c>
      <c r="NL40" s="166">
        <v>0</v>
      </c>
      <c r="NM40" s="166">
        <v>0</v>
      </c>
      <c r="NN40" s="166">
        <v>0</v>
      </c>
      <c r="NO40" s="166">
        <v>0.96874207766439002</v>
      </c>
      <c r="NP40" s="166">
        <v>0</v>
      </c>
      <c r="NQ40" s="166">
        <v>3.1680755701349997E-2</v>
      </c>
      <c r="NR40" s="166">
        <v>3.3838737307260003E-2</v>
      </c>
      <c r="NS40" s="166">
        <v>-0.82158639124974997</v>
      </c>
      <c r="NT40" s="166">
        <v>-1.83324465156092</v>
      </c>
      <c r="NU40" s="166">
        <v>0</v>
      </c>
      <c r="NV40" s="166">
        <v>0</v>
      </c>
      <c r="NW40" s="166">
        <v>0</v>
      </c>
      <c r="NX40" s="166">
        <v>0</v>
      </c>
      <c r="NY40" s="166">
        <v>0</v>
      </c>
      <c r="NZ40" s="166">
        <v>0</v>
      </c>
      <c r="OA40" s="166">
        <v>-58</v>
      </c>
      <c r="OB40" s="166">
        <v>-21</v>
      </c>
      <c r="OC40" s="166">
        <v>0</v>
      </c>
      <c r="OD40" s="166">
        <v>0</v>
      </c>
      <c r="OE40" s="166">
        <v>-2.7869589789376001</v>
      </c>
      <c r="OF40" s="166">
        <v>-8.1929958048348706</v>
      </c>
      <c r="OG40" s="166">
        <v>7.5004243842049997E-2</v>
      </c>
      <c r="OH40" s="166">
        <v>0</v>
      </c>
      <c r="OI40" s="166">
        <v>0</v>
      </c>
      <c r="OJ40" s="166">
        <v>0</v>
      </c>
      <c r="OK40" s="166">
        <v>-1.46908084463514</v>
      </c>
      <c r="OL40" s="166">
        <v>-5</v>
      </c>
      <c r="OM40" s="166">
        <v>0</v>
      </c>
      <c r="ON40" s="166">
        <v>0</v>
      </c>
      <c r="OO40" s="166">
        <v>0</v>
      </c>
      <c r="OP40" s="166">
        <v>0</v>
      </c>
      <c r="OQ40" s="166">
        <v>0</v>
      </c>
      <c r="OR40" s="166">
        <v>0</v>
      </c>
      <c r="OS40" s="166">
        <v>0.11244542283282</v>
      </c>
      <c r="OT40" s="166">
        <v>0</v>
      </c>
      <c r="OU40" s="166">
        <v>0</v>
      </c>
      <c r="OV40" s="166">
        <v>0</v>
      </c>
      <c r="OW40" s="166">
        <v>0.72203775335576004</v>
      </c>
      <c r="OX40" s="166">
        <v>0</v>
      </c>
      <c r="OY40" s="166">
        <v>0</v>
      </c>
      <c r="OZ40" s="166">
        <v>0</v>
      </c>
      <c r="PA40" s="166">
        <v>0</v>
      </c>
      <c r="PB40" s="166">
        <v>0</v>
      </c>
      <c r="PC40" s="166">
        <v>0</v>
      </c>
      <c r="PD40" s="166">
        <v>0</v>
      </c>
      <c r="PE40" s="166">
        <v>-58</v>
      </c>
      <c r="PF40" s="166">
        <v>-21</v>
      </c>
      <c r="PG40" s="166">
        <v>-0.32005009274176999</v>
      </c>
      <c r="PH40" s="166">
        <v>0</v>
      </c>
      <c r="PI40" s="166">
        <v>-0.87664817478873003</v>
      </c>
      <c r="PJ40" s="166">
        <v>-2.2913329997320102</v>
      </c>
      <c r="PK40" s="166">
        <v>-7.4670100074400003E-2</v>
      </c>
      <c r="PL40" s="166">
        <v>0</v>
      </c>
      <c r="PM40" s="166">
        <v>0</v>
      </c>
      <c r="PN40" s="166">
        <v>0</v>
      </c>
      <c r="PO40" s="166">
        <v>0.60354010295710003</v>
      </c>
      <c r="PP40" s="166">
        <v>0</v>
      </c>
      <c r="PQ40" s="166">
        <v>0</v>
      </c>
      <c r="PR40" s="166">
        <v>0</v>
      </c>
      <c r="PS40" s="166">
        <v>0</v>
      </c>
      <c r="PT40" s="166">
        <v>0</v>
      </c>
      <c r="PU40" s="166">
        <v>0</v>
      </c>
      <c r="PV40" s="166">
        <v>0</v>
      </c>
      <c r="PW40" s="166">
        <v>3.9320583716809999E-2</v>
      </c>
      <c r="PX40" s="166">
        <v>0</v>
      </c>
      <c r="PY40" s="166">
        <v>0</v>
      </c>
      <c r="PZ40" s="166">
        <v>0</v>
      </c>
      <c r="QA40" s="166">
        <v>1.62052036365977</v>
      </c>
      <c r="QB40" s="166">
        <v>0</v>
      </c>
      <c r="QC40" s="166">
        <v>0</v>
      </c>
      <c r="QD40" s="166">
        <v>0</v>
      </c>
      <c r="QE40" s="166">
        <v>0</v>
      </c>
      <c r="QF40" s="166">
        <v>0</v>
      </c>
      <c r="QG40" s="166">
        <v>0</v>
      </c>
      <c r="QH40" s="166">
        <v>0</v>
      </c>
      <c r="QI40" s="162">
        <v>0</v>
      </c>
      <c r="QJ40" s="167">
        <v>0</v>
      </c>
      <c r="QK40" s="167">
        <v>0</v>
      </c>
      <c r="QL40" s="167">
        <v>0</v>
      </c>
      <c r="QM40" s="167">
        <v>0</v>
      </c>
      <c r="QN40" s="162">
        <v>-3.3607565879262902</v>
      </c>
      <c r="QO40" s="162">
        <v>0</v>
      </c>
      <c r="QP40" s="162">
        <v>0</v>
      </c>
      <c r="QQ40" s="162">
        <v>0</v>
      </c>
      <c r="QR40" s="162">
        <v>0</v>
      </c>
      <c r="QS40" s="162">
        <v>0</v>
      </c>
      <c r="QT40" s="162">
        <v>0</v>
      </c>
      <c r="QU40" s="162">
        <v>-9.0276228947917403</v>
      </c>
      <c r="QV40" s="162">
        <v>0</v>
      </c>
      <c r="QW40" s="162">
        <v>-3.21179082673933</v>
      </c>
      <c r="QX40" s="162">
        <v>0</v>
      </c>
      <c r="QY40" s="162">
        <v>0</v>
      </c>
      <c r="QZ40" s="162">
        <v>-7.7845095932750005E-2</v>
      </c>
      <c r="RA40" s="167">
        <v>0</v>
      </c>
      <c r="RB40" s="167">
        <v>0</v>
      </c>
      <c r="RC40" s="167">
        <v>0</v>
      </c>
      <c r="RD40" s="167">
        <v>0</v>
      </c>
      <c r="RE40" s="167">
        <v>0</v>
      </c>
      <c r="RF40" s="167">
        <v>-1.4314629265132199</v>
      </c>
      <c r="RG40" s="167">
        <v>0</v>
      </c>
      <c r="RH40" s="167">
        <v>0</v>
      </c>
      <c r="RI40" s="167">
        <v>0</v>
      </c>
      <c r="RJ40" s="167">
        <v>0</v>
      </c>
      <c r="RK40" s="167">
        <v>0</v>
      </c>
      <c r="RL40" s="167">
        <v>0</v>
      </c>
      <c r="RM40" s="166">
        <v>-58</v>
      </c>
      <c r="RN40" s="166">
        <v>-21</v>
      </c>
      <c r="RO40" s="166">
        <v>-1.16787612775673</v>
      </c>
      <c r="RP40" s="166">
        <v>0</v>
      </c>
      <c r="RQ40" s="166">
        <v>-5.8504340549786997</v>
      </c>
      <c r="RR40" s="166">
        <v>-1.43043212221642</v>
      </c>
      <c r="RS40" s="166">
        <v>-0.11050478633685</v>
      </c>
      <c r="RT40" s="166">
        <v>0</v>
      </c>
      <c r="RU40" s="166">
        <v>0</v>
      </c>
      <c r="RV40" s="166">
        <v>0</v>
      </c>
      <c r="RW40" s="166">
        <v>-1.40296358822661</v>
      </c>
      <c r="RX40" s="166">
        <v>0</v>
      </c>
      <c r="RY40" s="166">
        <v>-3.4817417770870003E-2</v>
      </c>
      <c r="RZ40" s="166">
        <v>0</v>
      </c>
      <c r="SA40" s="166">
        <v>0</v>
      </c>
      <c r="SB40" s="166">
        <v>0</v>
      </c>
      <c r="SC40" s="166">
        <v>-3.29578097970797</v>
      </c>
      <c r="SD40" s="166">
        <v>-5</v>
      </c>
      <c r="SE40" s="166">
        <v>-3.1782701170096801</v>
      </c>
      <c r="SF40" s="166">
        <v>0</v>
      </c>
      <c r="SG40" s="166">
        <v>-0.36971713606036999</v>
      </c>
      <c r="SH40" s="166">
        <v>0</v>
      </c>
      <c r="SI40" s="166">
        <v>0</v>
      </c>
      <c r="SJ40" s="166">
        <v>-7.8999999999996096</v>
      </c>
      <c r="SK40" s="166">
        <v>0</v>
      </c>
      <c r="SL40" s="166">
        <v>0</v>
      </c>
      <c r="SM40" s="166">
        <v>0</v>
      </c>
      <c r="SN40" s="166">
        <v>0</v>
      </c>
      <c r="SO40" s="166">
        <v>0</v>
      </c>
      <c r="SP40" s="166">
        <v>0</v>
      </c>
      <c r="SQ40" s="166">
        <v>-58</v>
      </c>
      <c r="SR40" s="166">
        <v>-21</v>
      </c>
      <c r="SS40" s="166">
        <v>0</v>
      </c>
      <c r="ST40" s="166">
        <v>0</v>
      </c>
      <c r="SU40" s="166">
        <v>0</v>
      </c>
      <c r="SV40" s="166">
        <v>0</v>
      </c>
      <c r="SW40" s="166">
        <v>0</v>
      </c>
      <c r="SX40" s="166">
        <v>0</v>
      </c>
      <c r="SY40" s="166">
        <v>0</v>
      </c>
      <c r="SZ40" s="166">
        <v>0</v>
      </c>
      <c r="TA40" s="166">
        <v>0</v>
      </c>
      <c r="TB40" s="166">
        <v>0</v>
      </c>
      <c r="TC40" s="166">
        <v>0</v>
      </c>
      <c r="TD40" s="166">
        <v>0</v>
      </c>
      <c r="TE40" s="166">
        <v>0</v>
      </c>
      <c r="TF40" s="166">
        <v>0</v>
      </c>
      <c r="TG40" s="166">
        <v>0</v>
      </c>
      <c r="TH40" s="166">
        <v>0</v>
      </c>
      <c r="TI40" s="166">
        <v>0</v>
      </c>
      <c r="TJ40" s="166">
        <v>0</v>
      </c>
      <c r="TK40" s="166">
        <v>0</v>
      </c>
      <c r="TL40" s="166">
        <v>0</v>
      </c>
      <c r="TM40" s="166">
        <v>0</v>
      </c>
      <c r="TN40" s="166">
        <v>0</v>
      </c>
      <c r="TO40" s="166">
        <v>0</v>
      </c>
      <c r="TP40" s="166">
        <v>0</v>
      </c>
      <c r="TQ40" s="166">
        <v>0</v>
      </c>
      <c r="TR40" s="166">
        <v>0</v>
      </c>
      <c r="TS40" s="166">
        <v>0</v>
      </c>
      <c r="TT40" s="166">
        <v>0</v>
      </c>
      <c r="TU40" s="166">
        <v>0.74674534352536004</v>
      </c>
      <c r="TV40" s="166">
        <v>0</v>
      </c>
      <c r="TW40" s="166">
        <v>0.30694075296427997</v>
      </c>
      <c r="TX40" s="166">
        <v>3.5224377511960003E-2</v>
      </c>
      <c r="TY40" s="166">
        <v>0.39646846980299</v>
      </c>
      <c r="TZ40" s="166">
        <v>0.18390103738746</v>
      </c>
      <c r="UA40" s="166">
        <v>-3.3402415103999999E-4</v>
      </c>
      <c r="UB40" s="166">
        <v>0</v>
      </c>
      <c r="UC40" s="166">
        <v>0</v>
      </c>
      <c r="UD40" s="166">
        <v>0</v>
      </c>
      <c r="UE40" s="166">
        <v>-0.33072750986945998</v>
      </c>
      <c r="UF40" s="166">
        <v>-8.1842184147153496</v>
      </c>
      <c r="UG40" s="166">
        <v>-1.2328214672199999E-3</v>
      </c>
      <c r="UH40" s="166">
        <v>0</v>
      </c>
      <c r="UI40" s="166">
        <v>0</v>
      </c>
      <c r="UJ40" s="166">
        <v>0</v>
      </c>
      <c r="UK40" s="166">
        <v>0.15403660317230999</v>
      </c>
      <c r="UL40" s="166">
        <v>-0.59690735620322</v>
      </c>
      <c r="UM40" s="166">
        <v>0</v>
      </c>
      <c r="UN40" s="166">
        <v>0</v>
      </c>
      <c r="UO40" s="166">
        <v>0</v>
      </c>
      <c r="UP40" s="166">
        <v>0</v>
      </c>
      <c r="UQ40" s="166">
        <v>0</v>
      </c>
      <c r="UR40" s="166">
        <v>-4.2914216278757298</v>
      </c>
      <c r="US40" s="163">
        <v>0</v>
      </c>
      <c r="UT40" s="163">
        <v>0</v>
      </c>
      <c r="UU40" s="163">
        <v>0</v>
      </c>
      <c r="UV40" s="163">
        <v>0</v>
      </c>
      <c r="UW40" s="163">
        <v>0</v>
      </c>
      <c r="UX40" s="163">
        <v>-0.16472733387600999</v>
      </c>
      <c r="UY40" s="166">
        <v>0</v>
      </c>
      <c r="UZ40" s="166">
        <v>0</v>
      </c>
      <c r="VA40" s="166">
        <v>0</v>
      </c>
      <c r="VB40" s="166">
        <v>0</v>
      </c>
      <c r="VC40" s="166">
        <v>-0.31915413422182998</v>
      </c>
      <c r="VD40" s="166">
        <v>-0.92421205094351</v>
      </c>
      <c r="VE40" s="267">
        <v>202</v>
      </c>
      <c r="VF40" s="267">
        <v>279</v>
      </c>
      <c r="VG40" s="267">
        <v>354</v>
      </c>
      <c r="VH40" s="267">
        <v>0</v>
      </c>
      <c r="VI40" s="267">
        <v>403</v>
      </c>
      <c r="VJ40" s="267">
        <v>0</v>
      </c>
      <c r="VK40" s="267">
        <v>0</v>
      </c>
      <c r="VL40" s="257">
        <v>0</v>
      </c>
      <c r="VM40" s="257">
        <v>0</v>
      </c>
      <c r="VN40" s="257">
        <v>0</v>
      </c>
      <c r="VO40" s="257">
        <v>0</v>
      </c>
      <c r="VP40" s="257">
        <v>0</v>
      </c>
      <c r="VQ40" s="257">
        <v>0</v>
      </c>
      <c r="VR40" s="257">
        <v>0</v>
      </c>
      <c r="VS40" s="257">
        <v>0</v>
      </c>
      <c r="VT40" s="257">
        <v>0</v>
      </c>
      <c r="VU40" s="257">
        <v>0</v>
      </c>
      <c r="VV40" s="257">
        <v>0</v>
      </c>
      <c r="VW40" s="257">
        <v>0</v>
      </c>
      <c r="VX40" s="257">
        <v>0</v>
      </c>
      <c r="VY40" s="257">
        <v>0</v>
      </c>
      <c r="VZ40" s="257">
        <v>0</v>
      </c>
      <c r="WA40" s="257">
        <v>0</v>
      </c>
      <c r="WB40" s="257">
        <v>0</v>
      </c>
      <c r="WC40" s="257">
        <v>0</v>
      </c>
      <c r="WD40" s="257">
        <v>0</v>
      </c>
      <c r="WE40" s="257">
        <v>0</v>
      </c>
      <c r="WF40" s="257">
        <v>0</v>
      </c>
      <c r="WG40" s="257">
        <v>0</v>
      </c>
      <c r="WH40" s="257">
        <v>0</v>
      </c>
      <c r="WI40" s="257">
        <v>0</v>
      </c>
      <c r="WJ40" s="257">
        <v>0</v>
      </c>
      <c r="WK40" s="257">
        <v>0</v>
      </c>
      <c r="WL40" s="257">
        <v>0</v>
      </c>
      <c r="WM40" s="257">
        <v>0</v>
      </c>
      <c r="WN40" s="257">
        <v>0</v>
      </c>
      <c r="WO40" s="257">
        <v>0</v>
      </c>
      <c r="WP40" s="257">
        <v>0</v>
      </c>
      <c r="WQ40" s="257">
        <v>0</v>
      </c>
      <c r="WR40" s="257">
        <v>0</v>
      </c>
      <c r="WS40" s="572">
        <v>91.367900000000006</v>
      </c>
      <c r="WT40" s="572">
        <v>72.483929018789141</v>
      </c>
      <c r="WU40" s="572">
        <v>80.113816283924848</v>
      </c>
      <c r="WV40" s="572">
        <v>83.928759916492695</v>
      </c>
      <c r="WW40" s="572">
        <v>128.94509478079334</v>
      </c>
      <c r="WX40" s="247">
        <v>14814.69087</v>
      </c>
      <c r="WY40" s="4">
        <v>80</v>
      </c>
      <c r="WZ40" s="4">
        <v>14.000000000000002</v>
      </c>
      <c r="XA40" s="4">
        <v>6</v>
      </c>
      <c r="XB40" s="4">
        <v>0</v>
      </c>
      <c r="XC40" s="1037">
        <v>2564.2433238641111</v>
      </c>
      <c r="XD40" s="1037">
        <v>0</v>
      </c>
      <c r="XE40" s="1037">
        <v>0</v>
      </c>
      <c r="XF40" s="1037">
        <v>0</v>
      </c>
      <c r="XG40" s="1037">
        <v>0</v>
      </c>
      <c r="XH40" s="1037">
        <v>0</v>
      </c>
      <c r="XI40" s="1037">
        <v>534.21735913835653</v>
      </c>
      <c r="XJ40" s="1037">
        <v>106.84347182767128</v>
      </c>
      <c r="XK40" s="1037">
        <v>2750.8059186344103</v>
      </c>
      <c r="XL40" s="1037">
        <v>0</v>
      </c>
      <c r="XM40" s="1037">
        <v>0</v>
      </c>
      <c r="XN40" s="1037">
        <v>0</v>
      </c>
      <c r="XO40" s="1037">
        <v>0</v>
      </c>
      <c r="XP40" s="1037">
        <v>0</v>
      </c>
      <c r="XQ40" s="1037">
        <v>573.08456638216887</v>
      </c>
      <c r="XR40" s="1037">
        <v>114.61691327643375</v>
      </c>
      <c r="XS40" s="1037">
        <v>2881.7966766646205</v>
      </c>
      <c r="XT40" s="1037">
        <v>0</v>
      </c>
      <c r="XU40" s="1037">
        <v>0</v>
      </c>
      <c r="XV40" s="1037">
        <v>0</v>
      </c>
      <c r="XW40" s="1037">
        <v>0</v>
      </c>
      <c r="XX40" s="1037">
        <v>0</v>
      </c>
      <c r="XY40" s="1037">
        <v>600.3743076384626</v>
      </c>
      <c r="XZ40" s="1037">
        <v>120.07486152769251</v>
      </c>
      <c r="YA40" s="1037">
        <v>4427.4876214210981</v>
      </c>
      <c r="YB40" s="1037">
        <v>0</v>
      </c>
      <c r="YC40" s="1037">
        <v>0</v>
      </c>
      <c r="YD40" s="1037">
        <v>0</v>
      </c>
      <c r="YE40" s="1037">
        <v>0</v>
      </c>
      <c r="YF40" s="1037">
        <v>0</v>
      </c>
      <c r="YG40" s="1037">
        <v>922.39325446272881</v>
      </c>
      <c r="YH40" s="1037">
        <v>184.47865089254574</v>
      </c>
      <c r="YI40" s="1037">
        <v>1059.8872405304992</v>
      </c>
      <c r="YJ40" s="1037">
        <v>2738.0420380371229</v>
      </c>
      <c r="YK40" s="1037">
        <v>309.13377848806232</v>
      </c>
      <c r="YL40" s="1037">
        <v>44.161968355437466</v>
      </c>
      <c r="YM40" s="1037">
        <v>0</v>
      </c>
      <c r="YN40" s="1037">
        <v>0</v>
      </c>
      <c r="YO40" s="1037">
        <v>220.80984177718733</v>
      </c>
      <c r="YP40" s="1037">
        <v>44.161968355437466</v>
      </c>
      <c r="YQ40" s="1037">
        <v>1136.9997797022227</v>
      </c>
      <c r="YR40" s="1037">
        <v>2937.2494308974087</v>
      </c>
      <c r="YS40" s="1037">
        <v>331.6249357464817</v>
      </c>
      <c r="YT40" s="1037">
        <v>47.374990820925952</v>
      </c>
      <c r="YU40" s="1037">
        <v>0</v>
      </c>
      <c r="YV40" s="1037">
        <v>0</v>
      </c>
      <c r="YW40" s="1037">
        <v>236.87495410462975</v>
      </c>
      <c r="YX40" s="1037">
        <v>47.374990820925952</v>
      </c>
      <c r="YY40" s="1037">
        <v>1191.1426263547096</v>
      </c>
      <c r="YZ40" s="1037">
        <v>3077.1184514163328</v>
      </c>
      <c r="ZA40" s="1037">
        <v>347.416599353457</v>
      </c>
      <c r="ZB40" s="1037">
        <v>49.630942764779569</v>
      </c>
      <c r="ZC40" s="1037">
        <v>0</v>
      </c>
      <c r="ZD40" s="1037">
        <v>0</v>
      </c>
      <c r="ZE40" s="1037">
        <v>248.15471382389785</v>
      </c>
      <c r="ZF40" s="1037">
        <v>49.630942764779569</v>
      </c>
      <c r="ZG40" s="1037">
        <v>1830.0282168540537</v>
      </c>
      <c r="ZH40" s="1037">
        <v>4727.5728935396392</v>
      </c>
      <c r="ZI40" s="1037">
        <v>533.7582299157657</v>
      </c>
      <c r="ZJ40" s="1037">
        <v>76.25117570225224</v>
      </c>
      <c r="ZK40" s="1037">
        <v>0</v>
      </c>
      <c r="ZL40" s="1037">
        <v>0</v>
      </c>
      <c r="ZM40" s="1037">
        <v>381.25587851126124</v>
      </c>
      <c r="ZN40" s="1037">
        <v>76.25117570225224</v>
      </c>
      <c r="ZO40" s="1037">
        <v>2820.6676562505218</v>
      </c>
      <c r="ZP40" s="1037">
        <v>7286.7247786471817</v>
      </c>
      <c r="ZQ40" s="1037">
        <v>822.69473307306896</v>
      </c>
      <c r="ZR40" s="1037">
        <v>117.52781901043842</v>
      </c>
      <c r="ZS40" s="1037">
        <v>0</v>
      </c>
      <c r="ZT40" s="1037">
        <v>0</v>
      </c>
      <c r="ZU40" s="1037">
        <v>587.63909505219215</v>
      </c>
      <c r="ZV40" s="1037">
        <v>117.52781901043842</v>
      </c>
      <c r="ZW40" s="1037">
        <v>3117.580041118998</v>
      </c>
      <c r="ZX40" s="1037">
        <v>8053.7484395574111</v>
      </c>
      <c r="ZY40" s="1037">
        <v>909.29417865970777</v>
      </c>
      <c r="ZZ40" s="1037">
        <v>129.89916837995824</v>
      </c>
      <c r="AAA40" s="1037">
        <v>0</v>
      </c>
      <c r="AAB40" s="1037">
        <v>0</v>
      </c>
      <c r="AAC40" s="1037">
        <v>649.49584189979123</v>
      </c>
      <c r="AAD40" s="1037">
        <v>129.89916837995824</v>
      </c>
      <c r="AAE40" s="1037">
        <v>3266.0362335532359</v>
      </c>
      <c r="AAF40" s="1037">
        <v>8437.2602700125262</v>
      </c>
      <c r="AAG40" s="1037">
        <v>952.59390145302723</v>
      </c>
      <c r="AAH40" s="1037">
        <v>136.08484306471817</v>
      </c>
      <c r="AAI40" s="1037">
        <v>0</v>
      </c>
      <c r="AAJ40" s="1037">
        <v>0</v>
      </c>
      <c r="AAK40" s="1037">
        <v>680.42421532359094</v>
      </c>
      <c r="AAL40" s="1037">
        <v>136.08484306471817</v>
      </c>
      <c r="AAM40" s="1037">
        <v>5017.8193042772446</v>
      </c>
      <c r="AAN40" s="1037">
        <v>12962.699869382881</v>
      </c>
      <c r="AAO40" s="1037">
        <v>1463.5306304141964</v>
      </c>
      <c r="AAP40" s="1037">
        <v>209.0758043448852</v>
      </c>
      <c r="AAQ40" s="1037">
        <v>0</v>
      </c>
      <c r="AAR40" s="1037">
        <v>0</v>
      </c>
      <c r="AAS40" s="1037">
        <v>1045.3790217244259</v>
      </c>
      <c r="AAT40" s="1037">
        <v>209.0758043448852</v>
      </c>
      <c r="AAU40" s="1037">
        <v>3880.5548967810209</v>
      </c>
      <c r="AAV40" s="1037">
        <v>10024.766816684303</v>
      </c>
      <c r="AAW40" s="1037">
        <v>1131.8285115611311</v>
      </c>
      <c r="AAX40" s="1037">
        <v>161.68978736587587</v>
      </c>
      <c r="AAY40" s="1037">
        <v>0</v>
      </c>
      <c r="AAZ40" s="1037">
        <v>0</v>
      </c>
      <c r="ABA40" s="1037">
        <v>808.44893682937936</v>
      </c>
      <c r="ABB40" s="1037">
        <v>161.68978736587587</v>
      </c>
      <c r="ABC40" s="1037">
        <v>4107.870171827386</v>
      </c>
      <c r="ABD40" s="1037">
        <v>10611.997943887412</v>
      </c>
      <c r="ABE40" s="1037">
        <v>1198.1288001163209</v>
      </c>
      <c r="ABF40" s="1037">
        <v>171.16125715947442</v>
      </c>
      <c r="ABG40" s="1037">
        <v>0</v>
      </c>
      <c r="ABH40" s="1037">
        <v>0</v>
      </c>
      <c r="ABI40" s="1037">
        <v>855.80628579737208</v>
      </c>
      <c r="ABJ40" s="1037">
        <v>171.16125715947442</v>
      </c>
      <c r="ABK40" s="1037">
        <v>4303.4830371524986</v>
      </c>
      <c r="ABL40" s="1037">
        <v>11117.331179310622</v>
      </c>
      <c r="ABM40" s="1037">
        <v>1255.1825525028123</v>
      </c>
      <c r="ABN40" s="1037">
        <v>179.31179321468747</v>
      </c>
      <c r="ABO40" s="1037">
        <v>0</v>
      </c>
      <c r="ABP40" s="1037">
        <v>0</v>
      </c>
      <c r="ABQ40" s="1037">
        <v>896.55896607343732</v>
      </c>
      <c r="ABR40" s="1037">
        <v>179.31179321468747</v>
      </c>
      <c r="ABS40" s="1037">
        <v>0</v>
      </c>
      <c r="ABT40" s="1037">
        <v>0</v>
      </c>
      <c r="ABU40" s="1037">
        <v>0</v>
      </c>
      <c r="ABV40" s="1037">
        <v>0</v>
      </c>
      <c r="ABW40" s="1037">
        <v>0</v>
      </c>
      <c r="ABX40" s="1037">
        <v>0</v>
      </c>
      <c r="ABY40" s="1037">
        <v>0</v>
      </c>
      <c r="ABZ40" s="1037">
        <v>0</v>
      </c>
      <c r="ACA40" s="1037">
        <v>5025.9169147736566</v>
      </c>
      <c r="ACB40" s="1037">
        <v>12983.618696498614</v>
      </c>
      <c r="ACC40" s="1037">
        <v>1465.89243347565</v>
      </c>
      <c r="ACD40" s="1037">
        <v>209.41320478223571</v>
      </c>
      <c r="ACE40" s="1037">
        <v>0</v>
      </c>
      <c r="ACF40" s="1037">
        <v>0</v>
      </c>
      <c r="ACG40" s="1037">
        <v>1047.0660239111785</v>
      </c>
      <c r="ACH40" s="1037">
        <v>209.41320478223571</v>
      </c>
      <c r="ACI40" s="1037">
        <v>5373.2408943992141</v>
      </c>
      <c r="ACJ40" s="1037">
        <v>13880.872310531302</v>
      </c>
      <c r="ACK40" s="1037">
        <v>1567.1952608664376</v>
      </c>
      <c r="ACL40" s="1037">
        <v>223.88503726663393</v>
      </c>
      <c r="ACM40" s="1037">
        <v>0</v>
      </c>
      <c r="ACN40" s="1037">
        <v>0</v>
      </c>
      <c r="ACO40" s="1037">
        <v>1119.4251863331697</v>
      </c>
      <c r="ACP40" s="1037">
        <v>223.88503726663393</v>
      </c>
      <c r="ACQ40" s="1037">
        <v>5629.1095084182243</v>
      </c>
      <c r="ACR40" s="1037">
        <v>14541.866230080414</v>
      </c>
      <c r="ACS40" s="1037">
        <v>1641.8236066219824</v>
      </c>
      <c r="ACT40" s="1037">
        <v>234.54622951742604</v>
      </c>
      <c r="ACU40" s="1037">
        <v>0</v>
      </c>
      <c r="ACV40" s="1037">
        <v>0</v>
      </c>
      <c r="ACW40" s="1037">
        <v>1172.7311475871302</v>
      </c>
      <c r="ACX40" s="1037">
        <v>234.54622951742604</v>
      </c>
      <c r="ACY40" s="1037">
        <v>8648.3591538425444</v>
      </c>
      <c r="ACZ40" s="1037">
        <v>22341.594480759908</v>
      </c>
      <c r="ADA40" s="1037">
        <v>2522.4380865374092</v>
      </c>
      <c r="ADB40" s="1037">
        <v>360.34829807677272</v>
      </c>
      <c r="ADC40" s="1037">
        <v>0</v>
      </c>
      <c r="ADD40" s="1037">
        <v>0</v>
      </c>
      <c r="ADE40" s="1037">
        <v>1801.7414903838635</v>
      </c>
      <c r="ADF40" s="1037">
        <v>360.34829807677272</v>
      </c>
      <c r="ADG40" s="1037">
        <v>6137.0890217814385</v>
      </c>
      <c r="ADH40" s="1037">
        <v>15854.14663960205</v>
      </c>
      <c r="ADI40" s="1037">
        <v>1789.9842980195865</v>
      </c>
      <c r="ADJ40" s="1037">
        <v>255.71204257422661</v>
      </c>
      <c r="ADK40" s="1037">
        <v>0</v>
      </c>
      <c r="ADL40" s="1037">
        <v>0</v>
      </c>
      <c r="ADM40" s="1037">
        <v>1278.5602128711332</v>
      </c>
      <c r="ADN40" s="1037">
        <v>255.71204257422661</v>
      </c>
      <c r="ADO40" s="1037">
        <v>6601.9342047225837</v>
      </c>
      <c r="ADP40" s="1037">
        <v>17054.996695533344</v>
      </c>
      <c r="ADQ40" s="1037">
        <v>1925.5641430440871</v>
      </c>
      <c r="ADR40" s="1037">
        <v>275.08059186344099</v>
      </c>
      <c r="ADS40" s="1037">
        <v>0</v>
      </c>
      <c r="ADT40" s="1037">
        <v>0</v>
      </c>
      <c r="ADU40" s="1037">
        <v>1375.4029593172052</v>
      </c>
      <c r="ADV40" s="1037">
        <v>275.08059186344099</v>
      </c>
      <c r="ADW40" s="1037">
        <v>6916.3120239950877</v>
      </c>
      <c r="ADX40" s="1037">
        <v>17867.139395320646</v>
      </c>
      <c r="ADY40" s="1037">
        <v>2017.2576736652343</v>
      </c>
      <c r="ADZ40" s="1037">
        <v>288.17966766646202</v>
      </c>
      <c r="AEA40" s="1037">
        <v>0</v>
      </c>
      <c r="AEB40" s="1037">
        <v>0</v>
      </c>
      <c r="AEC40" s="1037">
        <v>1440.8983383323102</v>
      </c>
      <c r="AED40" s="1037">
        <v>288.17966766646202</v>
      </c>
      <c r="AEE40" s="1037">
        <v>10625.970291410635</v>
      </c>
      <c r="AEF40" s="1037">
        <v>27450.423252810804</v>
      </c>
      <c r="AEG40" s="1037">
        <v>3099.2413349947687</v>
      </c>
      <c r="AEH40" s="1037">
        <v>442.7487621421098</v>
      </c>
      <c r="AEI40" s="1037">
        <v>0</v>
      </c>
      <c r="AEJ40" s="1037">
        <v>0</v>
      </c>
      <c r="AEK40" s="1037">
        <v>2213.743810710549</v>
      </c>
      <c r="AEL40" s="1037">
        <v>442.7487621421098</v>
      </c>
      <c r="AEM40" s="1037">
        <v>7077.3115738649458</v>
      </c>
      <c r="AEN40" s="1037">
        <v>18283.05489915111</v>
      </c>
      <c r="AEO40" s="1037">
        <v>2064.2158757106095</v>
      </c>
      <c r="AEP40" s="1037">
        <v>294.88798224437278</v>
      </c>
      <c r="AEQ40" s="1037">
        <v>0</v>
      </c>
      <c r="AER40" s="1037">
        <v>0</v>
      </c>
      <c r="AES40" s="1037">
        <v>1474.4399112218639</v>
      </c>
      <c r="AET40" s="1037">
        <v>294.88798224437278</v>
      </c>
      <c r="AEU40" s="1037">
        <v>7518.8695109340524</v>
      </c>
      <c r="AEV40" s="1037">
        <v>19423.746236579638</v>
      </c>
      <c r="AEW40" s="1037">
        <v>2193.0036073557658</v>
      </c>
      <c r="AEX40" s="1037">
        <v>313.28622962225222</v>
      </c>
      <c r="AEY40" s="1037">
        <v>0</v>
      </c>
      <c r="AEZ40" s="1037">
        <v>0</v>
      </c>
      <c r="AFA40" s="1037">
        <v>1566.4311481112611</v>
      </c>
      <c r="AFB40" s="1037">
        <v>313.28622962225222</v>
      </c>
      <c r="AFC40" s="1037">
        <v>7876.9109162166278</v>
      </c>
      <c r="AFD40" s="1037">
        <v>20348.686533559623</v>
      </c>
      <c r="AFE40" s="1037">
        <v>2297.4323505631837</v>
      </c>
      <c r="AFF40" s="1037">
        <v>328.2046215090262</v>
      </c>
      <c r="AFG40" s="1037">
        <v>0</v>
      </c>
      <c r="AFH40" s="1037">
        <v>0</v>
      </c>
      <c r="AFI40" s="1037">
        <v>1641.0231075451311</v>
      </c>
      <c r="AFJ40" s="1037">
        <v>328.2046215090262</v>
      </c>
      <c r="AFK40" s="1037">
        <v>12101.799498550999</v>
      </c>
      <c r="AFL40" s="1037">
        <v>31262.982037923419</v>
      </c>
      <c r="AFM40" s="1037">
        <v>3529.691520410709</v>
      </c>
      <c r="AFN40" s="1037">
        <v>504.24164577295835</v>
      </c>
      <c r="AFO40" s="1037">
        <v>0</v>
      </c>
      <c r="AFP40" s="1037">
        <v>0</v>
      </c>
      <c r="AFQ40" s="1037">
        <v>2521.2082288647921</v>
      </c>
      <c r="AFR40" s="1037">
        <v>504.24164577295835</v>
      </c>
      <c r="AFS40" s="247">
        <v>2820.6676562505218</v>
      </c>
      <c r="AFT40" s="247">
        <v>7286.7247786471817</v>
      </c>
      <c r="AFU40" s="247">
        <v>822.69473307306896</v>
      </c>
      <c r="AFV40" s="247">
        <v>117.52781901043842</v>
      </c>
      <c r="AFW40" s="247">
        <v>0</v>
      </c>
      <c r="AFX40" s="247">
        <v>0</v>
      </c>
      <c r="AFY40" s="247">
        <v>587.63909505219215</v>
      </c>
      <c r="AFZ40" s="247">
        <v>117.52781901043842</v>
      </c>
      <c r="AGA40" s="247">
        <v>3117.580041118998</v>
      </c>
      <c r="AGB40" s="247">
        <v>8053.7484395574111</v>
      </c>
      <c r="AGC40" s="247">
        <v>909.29417865970777</v>
      </c>
      <c r="AGD40" s="247">
        <v>129.89916837995824</v>
      </c>
      <c r="AGE40" s="247">
        <v>0</v>
      </c>
      <c r="AGF40" s="247">
        <v>0</v>
      </c>
      <c r="AGG40" s="247">
        <v>649.49584189979123</v>
      </c>
      <c r="AGH40" s="247">
        <v>129.89916837995824</v>
      </c>
      <c r="AGI40" s="247">
        <v>3266.0362335532359</v>
      </c>
      <c r="AGJ40" s="247">
        <v>8437.2602700125262</v>
      </c>
      <c r="AGK40" s="247">
        <v>952.59390145302723</v>
      </c>
      <c r="AGL40" s="247">
        <v>136.08484306471817</v>
      </c>
      <c r="AGM40" s="247">
        <v>0</v>
      </c>
      <c r="AGN40" s="247">
        <v>0</v>
      </c>
      <c r="AGO40" s="247">
        <v>680.42421532359094</v>
      </c>
      <c r="AGP40" s="247">
        <v>136.08484306471817</v>
      </c>
      <c r="AGQ40" s="247">
        <v>5017.8193042772446</v>
      </c>
      <c r="AGR40" s="247">
        <v>12962.699869382881</v>
      </c>
      <c r="AGS40" s="247">
        <v>1463.5306304141964</v>
      </c>
      <c r="AGT40" s="247">
        <v>209.0758043448852</v>
      </c>
      <c r="AGU40" s="247">
        <v>0</v>
      </c>
      <c r="AGV40" s="247">
        <v>0</v>
      </c>
      <c r="AGW40" s="247">
        <v>1045.3790217244259</v>
      </c>
      <c r="AGX40" s="247">
        <v>209.0758043448852</v>
      </c>
      <c r="AGY40" s="249">
        <v>0</v>
      </c>
      <c r="AGZ40" s="249">
        <v>0</v>
      </c>
      <c r="AHA40" s="249">
        <v>0</v>
      </c>
      <c r="AHB40" s="249">
        <v>0</v>
      </c>
      <c r="AHC40" s="249">
        <v>0</v>
      </c>
      <c r="AHD40" s="249">
        <v>0</v>
      </c>
      <c r="AHE40" s="249">
        <v>0</v>
      </c>
      <c r="AHF40" s="249">
        <v>0</v>
      </c>
      <c r="AHG40" s="249">
        <v>252.32447937081599</v>
      </c>
      <c r="AHH40" s="249">
        <v>241.81095939703201</v>
      </c>
      <c r="AHI40" s="249">
        <v>21.027039947567999</v>
      </c>
      <c r="AHJ40" s="249">
        <v>0</v>
      </c>
      <c r="AHK40" s="249">
        <v>0</v>
      </c>
      <c r="AHL40" s="249">
        <v>0</v>
      </c>
      <c r="AHM40" s="249">
        <v>0</v>
      </c>
      <c r="AHN40" s="249">
        <v>10.513519973784</v>
      </c>
      <c r="AHO40" s="249">
        <v>317.35263140378692</v>
      </c>
      <c r="AHP40" s="249">
        <v>304.1296050952958</v>
      </c>
      <c r="AHQ40" s="249">
        <v>26.446052616982243</v>
      </c>
      <c r="AHR40" s="249">
        <v>0</v>
      </c>
      <c r="AHS40" s="249">
        <v>0</v>
      </c>
      <c r="AHT40" s="249">
        <v>0</v>
      </c>
      <c r="AHU40" s="249">
        <v>0</v>
      </c>
      <c r="AHV40" s="249">
        <v>13.223026308491121</v>
      </c>
      <c r="AHW40" s="249">
        <v>125.73900116466247</v>
      </c>
      <c r="AHX40" s="249">
        <v>120.49987611613489</v>
      </c>
      <c r="AHY40" s="249">
        <v>10.478250097055207</v>
      </c>
      <c r="AHZ40" s="249">
        <v>0</v>
      </c>
      <c r="AIA40" s="249">
        <v>0</v>
      </c>
      <c r="AIB40" s="249">
        <v>0</v>
      </c>
      <c r="AIC40" s="249">
        <v>0</v>
      </c>
      <c r="AID40" s="249">
        <v>5.2391250485276037</v>
      </c>
      <c r="AIE40" s="249"/>
      <c r="AIF40" s="249"/>
      <c r="AIG40" s="249"/>
      <c r="AIH40" s="249"/>
      <c r="AII40" s="249"/>
      <c r="AIJ40" s="249"/>
      <c r="AIK40" s="249"/>
      <c r="AIL40" s="249"/>
      <c r="AIM40" s="249">
        <v>45.782751187738434</v>
      </c>
      <c r="AIN40" s="249">
        <v>43.875136554916004</v>
      </c>
      <c r="AIO40" s="249">
        <v>3.8152292656448696</v>
      </c>
      <c r="AIP40" s="249">
        <v>0</v>
      </c>
      <c r="AIQ40" s="249">
        <v>0</v>
      </c>
      <c r="AIR40" s="249">
        <v>0</v>
      </c>
      <c r="AIS40" s="249">
        <v>0</v>
      </c>
      <c r="AIT40" s="249">
        <v>1.9076146328224348</v>
      </c>
      <c r="AIU40" s="134" t="s">
        <v>1216</v>
      </c>
      <c r="AIV40" s="134" t="s">
        <v>1219</v>
      </c>
      <c r="AIW40" s="134" t="s">
        <v>1218</v>
      </c>
      <c r="AIX40" s="134" t="s">
        <v>1217</v>
      </c>
      <c r="AIY40" s="134" t="s">
        <v>1228</v>
      </c>
      <c r="AIZ40" s="134" t="s">
        <v>1229</v>
      </c>
      <c r="AJA40" s="134" t="s">
        <v>1230</v>
      </c>
      <c r="AJB40" s="134" t="s">
        <v>1231</v>
      </c>
      <c r="AJC40" s="134" t="s">
        <v>1232</v>
      </c>
      <c r="AJD40" s="134" t="s">
        <v>1233</v>
      </c>
    </row>
    <row r="41" spans="1:940" ht="18" customHeight="1" thickBot="1">
      <c r="A41" s="665" t="s">
        <v>225</v>
      </c>
      <c r="B41" s="671">
        <f>INDEX(B42:B100,START!$E$3,1)</f>
        <v>0</v>
      </c>
      <c r="C41" s="132">
        <f>INDEX(C42:C100,START!$E$3,1)</f>
        <v>0.4</v>
      </c>
      <c r="D41" s="132">
        <f>INDEX(D42:D100,START!$E$3,1)</f>
        <v>0.4</v>
      </c>
      <c r="E41" s="132">
        <f>INDEX(E42:E100,START!$E$3,1)</f>
        <v>364.08695652173913</v>
      </c>
      <c r="F41" s="132">
        <f>INDEX(F42:F100,START!$E$3,1)</f>
        <v>-1.5</v>
      </c>
      <c r="G41" s="132">
        <f>INDEX(G42:G100,START!$E$3,1)</f>
        <v>-3.8</v>
      </c>
      <c r="H41" s="132">
        <f>INDEX(H42:H100,START!$E$3,1)</f>
        <v>-3.8</v>
      </c>
      <c r="I41" s="132">
        <f>INDEX(I42:I100,START!$E$3,1)</f>
        <v>0</v>
      </c>
      <c r="J41" s="132">
        <f>INDEX(J42:J100,START!$E$3,1)</f>
        <v>0</v>
      </c>
      <c r="K41" s="132">
        <f>INDEX(K42:K100,START!$E$3,1)</f>
        <v>0</v>
      </c>
      <c r="L41" s="132">
        <f>INDEX(L42:L100,START!$E$3,1)</f>
        <v>0</v>
      </c>
      <c r="M41" s="132">
        <f>INDEX(M42:M100,START!$E$3,1)</f>
        <v>2124.3106214374661</v>
      </c>
      <c r="N41" s="132">
        <f>INDEX(N42:N100,START!$E$3,1)</f>
        <v>12</v>
      </c>
      <c r="O41" s="132">
        <f>INDEX(O42:O100,START!$E$3,1)</f>
        <v>0.7</v>
      </c>
      <c r="P41" s="132">
        <f>INDEX(P42:P100,START!$E$3,1)</f>
        <v>0.7</v>
      </c>
      <c r="Q41" s="132">
        <f>INDEX(Q42:Q100,START!$E$3,1)</f>
        <v>0.7</v>
      </c>
      <c r="R41" s="132">
        <f>INDEX(R42:R100,START!$E$3,1)</f>
        <v>0.1</v>
      </c>
      <c r="S41" s="132">
        <f>INDEX(S42:S100,START!$E$3,1)</f>
        <v>0</v>
      </c>
      <c r="T41" s="132">
        <f>INDEX(T42:T100,START!$E$3,1)</f>
        <v>99.9</v>
      </c>
      <c r="U41" s="132">
        <f>INDEX(U42:U100,START!$E$3,1)</f>
        <v>0</v>
      </c>
      <c r="V41" s="132">
        <f>INDEX(V42:V100,START!$E$3,1)</f>
        <v>0</v>
      </c>
      <c r="W41" s="132">
        <f>INDEX(W42:W100,START!$E$3,1)</f>
        <v>1</v>
      </c>
      <c r="X41" s="132">
        <f>INDEX(X42:X100,START!$E$3,1)</f>
        <v>1</v>
      </c>
      <c r="Y41" s="132">
        <f>INDEX(Y42:Y100,START!$E$3,1)</f>
        <v>1</v>
      </c>
      <c r="Z41" s="132">
        <f>INDEX(Z42:Z100,START!$E$3,1)</f>
        <v>1</v>
      </c>
      <c r="AA41" s="132">
        <f>INDEX(AA42:AA100,START!$E$3,1)</f>
        <v>1</v>
      </c>
      <c r="AB41" s="132">
        <f>INDEX(AB42:AB100,START!$E$3,1)</f>
        <v>0</v>
      </c>
      <c r="AC41" s="132">
        <f>INDEX(AC42:AC100,START!$E$3,1)</f>
        <v>0</v>
      </c>
      <c r="AD41" s="132">
        <f>INDEX(AD42:AD100,START!$E$3,1)</f>
        <v>0</v>
      </c>
      <c r="AE41" s="132">
        <f>INDEX(AE42:AE100,START!$E$3,1)</f>
        <v>0</v>
      </c>
      <c r="AF41" s="132">
        <f>INDEX(AF42:AF100,START!$E$3,1)</f>
        <v>0</v>
      </c>
      <c r="AG41" s="132">
        <f>INDEX(AG42:AG100,START!$E$3,1)</f>
        <v>0</v>
      </c>
      <c r="AH41" s="132">
        <f>INDEX(AH42:AH100,START!$E$3,1)</f>
        <v>0</v>
      </c>
      <c r="AI41" s="132">
        <f>INDEX(AI42:AI100,START!$E$3,1)</f>
        <v>0</v>
      </c>
      <c r="AJ41" s="132">
        <f>INDEX(AJ42:AJ100,START!$E$3,1)</f>
        <v>0</v>
      </c>
      <c r="AK41" s="132">
        <f>INDEX(AK42:AK100,START!$E$3,1)</f>
        <v>0</v>
      </c>
      <c r="AL41" s="132">
        <f>INDEX(AL42:AL100,START!$E$3,1)</f>
        <v>0</v>
      </c>
      <c r="AM41" s="132">
        <f>INDEX(AM42:AM100,START!$E$3,1)</f>
        <v>0</v>
      </c>
      <c r="AN41" s="132">
        <f>INDEX(AN42:AN100,START!$E$3,1)</f>
        <v>0</v>
      </c>
      <c r="AO41" s="132">
        <f>INDEX(AO42:AO100,START!$E$3,1)</f>
        <v>0</v>
      </c>
      <c r="AP41" s="132">
        <f>INDEX(AP42:AP100,START!$E$3,1)</f>
        <v>0</v>
      </c>
      <c r="AQ41" s="132">
        <f>INDEX(AQ42:AQ100,START!$E$3,1)</f>
        <v>0</v>
      </c>
      <c r="AR41" s="132">
        <f>INDEX(AR42:AR100,START!$E$3,1)</f>
        <v>0</v>
      </c>
      <c r="AS41" s="132">
        <f>INDEX(AS42:AS100,START!$E$3,1)</f>
        <v>0</v>
      </c>
      <c r="AT41" s="132">
        <f>INDEX(AT42:AT100,START!$E$3,1)</f>
        <v>0</v>
      </c>
      <c r="AU41" s="132">
        <f>INDEX(AU42:AU100,START!$E$3,1)</f>
        <v>0</v>
      </c>
      <c r="AV41" s="132">
        <f>INDEX(AV42:AV100,START!$E$3,1)</f>
        <v>0</v>
      </c>
      <c r="AW41" s="132">
        <f>INDEX(AW42:AW100,START!$E$3,1)</f>
        <v>0</v>
      </c>
      <c r="AX41" s="132">
        <f>INDEX(AX42:AX100,START!$E$3,1)</f>
        <v>11785.626724936825</v>
      </c>
      <c r="AY41" s="132">
        <f>INDEX(AY42:AY100,START!$E$3,1)</f>
        <v>1.5</v>
      </c>
      <c r="AZ41" s="132">
        <f>INDEX(AZ42:AZ100,START!$E$3,1)</f>
        <v>1.8</v>
      </c>
      <c r="BA41" s="132">
        <f>INDEX(BA42:BA100,START!$E$3,1)</f>
        <v>0.8</v>
      </c>
      <c r="BB41" s="132">
        <f>INDEX(BB42:BB100,START!$E$3,1)</f>
        <v>0.8</v>
      </c>
      <c r="BC41" s="132">
        <f>INDEX(BC42:BC100,START!$E$3,1)</f>
        <v>0.16458882635095481</v>
      </c>
      <c r="BD41" s="132">
        <f>INDEX(BD42:BD100,START!$E$3,1)</f>
        <v>0.17241435895653787</v>
      </c>
      <c r="BE41" s="132">
        <f>INDEX(BE42:BE100,START!$E$3,1)</f>
        <v>0</v>
      </c>
      <c r="BF41" s="132">
        <f>INDEX(BF42:BF100,START!$E$3,1)</f>
        <v>0</v>
      </c>
      <c r="BG41" s="132">
        <f>INDEX(BG42:BG100,START!$E$3,1)</f>
        <v>3.1069255412930827</v>
      </c>
      <c r="BH41" s="132">
        <f>INDEX(BH42:BH100,START!$E$3,1)</f>
        <v>38.101872755810703</v>
      </c>
      <c r="BI41" s="132">
        <f>INDEX(BI42:BI100,START!$E$3,1)</f>
        <v>0</v>
      </c>
      <c r="BJ41" s="132">
        <f>INDEX(BJ42:BJ100,START!$E$3,1)</f>
        <v>0</v>
      </c>
      <c r="BK41" s="132">
        <f>INDEX(BK42:BK100,START!$E$3,1)</f>
        <v>55.68427616160313</v>
      </c>
      <c r="BL41" s="132">
        <f>INDEX(BL42:BL100,START!$E$3,1)</f>
        <v>0</v>
      </c>
      <c r="BM41" s="132">
        <f>INDEX(BM42:BM100,START!$E$3,1)</f>
        <v>0</v>
      </c>
      <c r="BN41" s="132">
        <f>INDEX(BN42:BN100,START!$E$3,1)</f>
        <v>0</v>
      </c>
      <c r="BO41" s="132">
        <f>INDEX(BO42:BO100,START!$E$3,1)</f>
        <v>0</v>
      </c>
      <c r="BP41" s="132">
        <f>INDEX(BP42:BP100,START!$E$3,1)</f>
        <v>0</v>
      </c>
      <c r="BQ41" s="132">
        <f>INDEX(BQ42:BQ100,START!$E$3,1)</f>
        <v>0</v>
      </c>
      <c r="BR41" s="132">
        <f>INDEX(BR42:BR100,START!$E$3,1)</f>
        <v>2.7375346707088952</v>
      </c>
      <c r="BS41" s="132">
        <f>INDEX(BS42:BS100,START!$E$3,1)</f>
        <v>0.36939087058418801</v>
      </c>
      <c r="BT41" s="132">
        <f>INDEX(BT42:BT100,START!$E$3,1)</f>
        <v>0</v>
      </c>
      <c r="BU41" s="132">
        <f>INDEX(BU42:BU100,START!$E$3,1)</f>
        <v>0</v>
      </c>
      <c r="BV41" s="132">
        <f>INDEX(BV42:BV100,START!$E$3,1)</f>
        <v>0</v>
      </c>
      <c r="BW41" s="132">
        <f>INDEX(BW42:BW100,START!$E$3,1)</f>
        <v>0</v>
      </c>
      <c r="BX41" s="132">
        <f>INDEX(BX42:BX100,START!$E$3,1)</f>
        <v>0</v>
      </c>
      <c r="BY41" s="132">
        <f>INDEX(BY42:BY100,START!$E$3,1)</f>
        <v>0</v>
      </c>
      <c r="BZ41" s="132">
        <f>INDEX(BZ42:BZ100,START!$E$3,1)</f>
        <v>0</v>
      </c>
      <c r="CA41" s="132">
        <f>INDEX(CA42:CA100,START!$E$3,1)</f>
        <v>0</v>
      </c>
      <c r="CB41" s="132">
        <f>INDEX(CB42:CB100,START!$E$3,1)</f>
        <v>0</v>
      </c>
      <c r="CC41" s="132">
        <f>INDEX(CC42:CC100,START!$E$3,1)</f>
        <v>0</v>
      </c>
      <c r="CD41" s="132">
        <f>INDEX(CD42:CD100,START!$E$3,1)</f>
        <v>0</v>
      </c>
      <c r="CE41" s="132">
        <f>INDEX(CE42:CE100,START!$E$3,1)</f>
        <v>0</v>
      </c>
      <c r="CF41" s="132">
        <f>INDEX(CF42:CF100,START!$E$3,1)</f>
        <v>0</v>
      </c>
      <c r="CG41" s="132">
        <f>INDEX(CG42:CG100,START!$E$3,1)</f>
        <v>0</v>
      </c>
      <c r="CH41" s="132">
        <f>INDEX(CH42:CH100,START!$E$3,1)</f>
        <v>0</v>
      </c>
      <c r="CI41" s="132">
        <f>INDEX(CI42:CI100,START!$E$3,1)</f>
        <v>0</v>
      </c>
      <c r="CJ41" s="132">
        <f>INDEX(CJ42:CJ100,START!$E$3,1)</f>
        <v>0</v>
      </c>
      <c r="CK41" s="132">
        <f>INDEX(CK42:CK100,START!$E$3,1)</f>
        <v>0</v>
      </c>
      <c r="CL41" s="132">
        <f>INDEX(CL42:CL100,START!$E$3,1)</f>
        <v>0</v>
      </c>
      <c r="CM41" s="132">
        <f>INDEX(CM42:CM100,START!$E$3,1)</f>
        <v>0</v>
      </c>
      <c r="CN41" s="132">
        <f>INDEX(CN42:CN100,START!$E$3,1)</f>
        <v>0</v>
      </c>
      <c r="CO41" s="132">
        <f>INDEX(CO42:CO100,START!$E$3,1)</f>
        <v>0</v>
      </c>
      <c r="CP41" s="132">
        <f>INDEX(CP42:CP100,START!$E$3,1)</f>
        <v>0</v>
      </c>
      <c r="CQ41" s="132">
        <f>INDEX(CQ42:CQ100,START!$E$3,1)</f>
        <v>0</v>
      </c>
      <c r="CR41" s="132">
        <f>INDEX(CR42:CR100,START!$E$3,1)</f>
        <v>0</v>
      </c>
      <c r="CS41" s="132">
        <f>INDEX(CS42:CS100,START!$E$3,1)</f>
        <v>0</v>
      </c>
      <c r="CT41" s="132">
        <f>INDEX(CT42:CT100,START!$E$3,1)</f>
        <v>0</v>
      </c>
      <c r="CU41" s="132">
        <f>INDEX(CU42:CU100,START!$E$3,1)</f>
        <v>0</v>
      </c>
      <c r="CV41" s="132">
        <f>INDEX(CV42:CV100,START!$E$3,1)</f>
        <v>0</v>
      </c>
      <c r="CW41" s="132">
        <f>INDEX(CW42:CW100,START!$E$3,1)</f>
        <v>0</v>
      </c>
      <c r="CX41" s="132">
        <f>INDEX(CX42:CX100,START!$E$3,1)</f>
        <v>1</v>
      </c>
      <c r="CY41" s="132">
        <f>INDEX(CY42:CY100,START!$E$3,1)</f>
        <v>1</v>
      </c>
      <c r="CZ41" s="132">
        <f>INDEX(CZ42:CZ100,START!$E$3,1)</f>
        <v>1</v>
      </c>
      <c r="DA41" s="132">
        <f>INDEX(DA42:DA100,START!$E$3,1)</f>
        <v>1</v>
      </c>
      <c r="DB41" s="132">
        <f>INDEX(DB42:DB100,START!$E$3,1)</f>
        <v>1</v>
      </c>
      <c r="DC41" s="132"/>
      <c r="DD41" s="132"/>
      <c r="DE41" s="132"/>
      <c r="DF41" s="132"/>
      <c r="DG41" s="132"/>
      <c r="DH41" s="132">
        <f>INDEX(DH42:DH100,START!$E$3,1)</f>
        <v>0</v>
      </c>
      <c r="DI41" s="132">
        <f>INDEX(DI42:DI100,START!$E$3,1)</f>
        <v>18</v>
      </c>
      <c r="DJ41" s="132">
        <f>INDEX(DJ42:DJ100,START!$E$3,1)</f>
        <v>0</v>
      </c>
      <c r="DK41" s="132">
        <f>INDEX(DK42:DK100,START!$E$3,1)</f>
        <v>0.8</v>
      </c>
      <c r="DL41" s="132">
        <f>INDEX(DL42:DL100,START!$E$3,1)</f>
        <v>0.6</v>
      </c>
      <c r="DM41" s="132">
        <f>INDEX(DM42:DM100,START!$E$3,1)</f>
        <v>0.6</v>
      </c>
      <c r="DN41" s="132">
        <f>INDEX(DN42:DN100,START!$E$3,1)</f>
        <v>0</v>
      </c>
      <c r="DO41" s="132">
        <f>INDEX(DO42:DO100,START!$E$3,1)</f>
        <v>0</v>
      </c>
      <c r="DP41" s="132">
        <f>INDEX(DP42:DP100,START!$E$3,1)</f>
        <v>0</v>
      </c>
      <c r="DQ41" s="132">
        <f>INDEX(DQ42:DQ100,START!$E$3,1)</f>
        <v>0</v>
      </c>
      <c r="DR41" s="132">
        <f>INDEX(DR42:DR100,START!$E$3,1)</f>
        <v>0</v>
      </c>
      <c r="DS41" s="132">
        <f>INDEX(DS42:DS100,START!$E$3,1)</f>
        <v>0</v>
      </c>
      <c r="DT41" s="132">
        <f>INDEX(DT42:DT100,START!$E$3,1)</f>
        <v>0</v>
      </c>
      <c r="DU41" s="132">
        <f>INDEX(DU42:DU100,START!$E$3,1)</f>
        <v>0</v>
      </c>
      <c r="DV41" s="132">
        <f>INDEX(DV42:DV100,START!$E$3,1)</f>
        <v>0</v>
      </c>
      <c r="DW41" s="132">
        <f>INDEX(DW42:DW100,START!$E$3,1)</f>
        <v>0</v>
      </c>
      <c r="DX41" s="132">
        <f>INDEX(DX42:DX100,START!$E$3,1)</f>
        <v>0</v>
      </c>
      <c r="DY41" s="132">
        <f>INDEX(DY42:DY100,START!$E$3,1)</f>
        <v>0</v>
      </c>
      <c r="DZ41" s="132">
        <f>INDEX(DZ42:DZ100,START!$E$3,1)</f>
        <v>0</v>
      </c>
      <c r="EA41" s="132">
        <f>INDEX(EA42:EA100,START!$E$3,1)</f>
        <v>0</v>
      </c>
      <c r="EB41" s="132">
        <f>INDEX(EB42:EB100,START!$E$3,1)</f>
        <v>0.86295970746011463</v>
      </c>
      <c r="EC41" s="132">
        <f>INDEX(EC42:EC100,START!$E$3,1)</f>
        <v>18</v>
      </c>
      <c r="ED41" s="132">
        <f>INDEX(ED42:ED100,START!$E$3,1)</f>
        <v>5184.5982608695649</v>
      </c>
      <c r="EE41" s="132">
        <f>INDEX(EE42:EE100,START!$E$3,1)</f>
        <v>0.8</v>
      </c>
      <c r="EF41" s="132">
        <f>INDEX(EF42:EF100,START!$E$3,1)</f>
        <v>0.6</v>
      </c>
      <c r="EG41" s="132">
        <f>INDEX(EG42:EG100,START!$E$3,1)</f>
        <v>0.6</v>
      </c>
      <c r="EH41" s="132">
        <f>INDEX(EH42:EH100,START!$E$3,1)</f>
        <v>0</v>
      </c>
      <c r="EI41" s="132">
        <f>INDEX(EI42:EI100,START!$E$3,1)</f>
        <v>0</v>
      </c>
      <c r="EJ41" s="132">
        <f>INDEX(EJ42:EJ100,START!$E$3,1)</f>
        <v>0</v>
      </c>
      <c r="EK41" s="132">
        <f>INDEX(EK42:EK100,START!$E$3,1)</f>
        <v>0</v>
      </c>
      <c r="EL41" s="132">
        <f>INDEX(EL42:EL100,START!$E$3,1)</f>
        <v>0</v>
      </c>
      <c r="EM41" s="132">
        <f>INDEX(EM42:EM100,START!$E$3,1)</f>
        <v>0</v>
      </c>
      <c r="EN41" s="132">
        <f>INDEX(EN42:EN100,START!$E$3,1)</f>
        <v>0</v>
      </c>
      <c r="EO41" s="132">
        <f>INDEX(EO42:EO100,START!$E$3,1)</f>
        <v>0</v>
      </c>
      <c r="EP41" s="132">
        <f>INDEX(EP42:EP100,START!$E$3,1)</f>
        <v>0</v>
      </c>
      <c r="EQ41" s="132">
        <f>INDEX(EQ42:EQ100,START!$E$3,1)</f>
        <v>0</v>
      </c>
      <c r="ER41" s="132">
        <f>INDEX(ER42:ER100,START!$E$3,1)</f>
        <v>0</v>
      </c>
      <c r="ES41" s="132">
        <f>INDEX(ES42:ES100,START!$E$3,1)</f>
        <v>0</v>
      </c>
      <c r="ET41" s="132">
        <f>INDEX(ET42:ET100,START!$E$3,1)</f>
        <v>0</v>
      </c>
      <c r="EU41" s="132">
        <f>INDEX(EU42:EU100,START!$E$3,1)</f>
        <v>0</v>
      </c>
      <c r="EV41" s="132">
        <f>INDEX(EV42:EV100,START!$E$3,1)</f>
        <v>0</v>
      </c>
      <c r="EW41" s="132">
        <f>INDEX(EW42:EW100,START!$E$3,1)</f>
        <v>0</v>
      </c>
      <c r="EX41" s="132">
        <f>INDEX(EX42:EX100,START!$E$3,1)</f>
        <v>0</v>
      </c>
      <c r="EY41" s="132">
        <f>INDEX(EY42:EY100,START!$E$3,1)</f>
        <v>0</v>
      </c>
      <c r="EZ41" s="132">
        <f>INDEX(EZ42:EZ100,START!$E$3,1)</f>
        <v>0</v>
      </c>
      <c r="FA41" s="132">
        <f>INDEX(FA42:FA100,START!$E$3,1)</f>
        <v>0</v>
      </c>
      <c r="FB41" s="132">
        <f>INDEX(FB42:FB100,START!$E$3,1)</f>
        <v>0</v>
      </c>
      <c r="FC41" s="132">
        <f>INDEX(FC42:FC100,START!$E$3,1)</f>
        <v>0</v>
      </c>
      <c r="FD41" s="132">
        <f>INDEX(FD42:FD100,START!$E$3,1)</f>
        <v>0</v>
      </c>
      <c r="FE41" s="132">
        <f>INDEX(FE42:FE100,START!$E$3,1)</f>
        <v>0</v>
      </c>
      <c r="FF41" s="132">
        <f>INDEX(FF42:FF100,START!$E$3,1)</f>
        <v>0</v>
      </c>
      <c r="FG41" s="132">
        <f>INDEX(FG42:FG100,START!$E$3,1)</f>
        <v>0</v>
      </c>
      <c r="FH41" s="132">
        <f>INDEX(FH42:FH100,START!$E$3,1)</f>
        <v>0</v>
      </c>
      <c r="FI41" s="132">
        <f>INDEX(FI42:FI100,START!$E$3,1)</f>
        <v>0</v>
      </c>
      <c r="FJ41" s="132">
        <f>INDEX(FJ42:FJ100,START!$E$3,1)</f>
        <v>0</v>
      </c>
      <c r="FK41" s="132">
        <f>INDEX(FK42:FK100,START!$E$3,1)</f>
        <v>0</v>
      </c>
      <c r="FL41" s="132">
        <f>INDEX(FL42:FL100,START!$E$3,1)</f>
        <v>0</v>
      </c>
      <c r="FM41" s="132">
        <f>INDEX(FM42:FM100,START!$E$3,1)</f>
        <v>0</v>
      </c>
      <c r="FN41" s="132">
        <f>INDEX(FN42:FN100,START!$E$3,1)</f>
        <v>0</v>
      </c>
      <c r="FO41" s="132">
        <f>INDEX(FO42:FO100,START!$E$3,1)</f>
        <v>0</v>
      </c>
      <c r="FP41" s="132">
        <f>INDEX(FP42:FP100,START!$E$3,1)</f>
        <v>0</v>
      </c>
      <c r="FQ41" s="132">
        <f>INDEX(FQ42:FQ100,START!$E$3,1)</f>
        <v>0</v>
      </c>
      <c r="FR41" s="132">
        <f>INDEX(FR42:FR100,START!$E$3,1)</f>
        <v>0</v>
      </c>
      <c r="FS41" s="132">
        <f>INDEX(FS42:FS100,START!$E$3,1)</f>
        <v>0</v>
      </c>
      <c r="FT41" s="132">
        <f>INDEX(FT42:FT100,START!$E$3,1)</f>
        <v>0</v>
      </c>
      <c r="FU41" s="132">
        <f>INDEX(FU42:FU100,START!$E$3,1)</f>
        <v>0</v>
      </c>
      <c r="FV41" s="132">
        <f>INDEX(FV42:FV100,START!$E$3,1)</f>
        <v>0</v>
      </c>
      <c r="FW41" s="132">
        <f>INDEX(FW42:FW100,START!$E$3,1)</f>
        <v>0</v>
      </c>
      <c r="FX41" s="132">
        <f>INDEX(FX42:FX100,START!$E$3,1)</f>
        <v>0</v>
      </c>
      <c r="FY41" s="132">
        <f>INDEX(FY42:FY100,START!$E$3,1)</f>
        <v>0</v>
      </c>
      <c r="FZ41" s="132">
        <f>INDEX(FZ42:FZ100,START!$E$3,1)</f>
        <v>0</v>
      </c>
      <c r="GA41" s="132">
        <f>INDEX(GA42:GA100,START!$E$3,1)</f>
        <v>0</v>
      </c>
      <c r="GB41" s="132">
        <f>INDEX(GB42:GB100,START!$E$3,1)</f>
        <v>0</v>
      </c>
      <c r="GC41" s="132">
        <f>INDEX(GC42:GC100,START!$E$3,1)</f>
        <v>0</v>
      </c>
      <c r="GD41" s="132">
        <f>INDEX(GD42:GD100,START!$E$3,1)</f>
        <v>0</v>
      </c>
      <c r="GE41" s="132">
        <f>INDEX(GE42:GE100,START!$E$3,1)</f>
        <v>0</v>
      </c>
      <c r="GF41" s="132">
        <f>INDEX(GF42:GF100,START!$E$3,1)</f>
        <v>0</v>
      </c>
      <c r="GG41" s="132">
        <f>INDEX(GG42:GG100,START!$E$3,1)</f>
        <v>0</v>
      </c>
      <c r="GH41" s="132">
        <f>INDEX(GH42:GH100,START!$E$3,1)</f>
        <v>0</v>
      </c>
      <c r="GI41" s="132">
        <f>INDEX(GI42:GI100,START!$E$3,1)</f>
        <v>0</v>
      </c>
      <c r="GJ41" s="132">
        <f>INDEX(GJ42:GJ100,START!$E$3,1)</f>
        <v>0</v>
      </c>
      <c r="GK41" s="132">
        <f>INDEX(GK42:GK100,START!$E$3,1)</f>
        <v>0</v>
      </c>
      <c r="GL41" s="132">
        <f>INDEX(GL42:GL100,START!$E$3,1)</f>
        <v>0</v>
      </c>
      <c r="GM41" s="132">
        <f>INDEX(GM42:GM100,START!$E$3,1)</f>
        <v>0</v>
      </c>
      <c r="GN41" s="132">
        <f>INDEX(GN42:GN100,START!$E$3,1)</f>
        <v>0</v>
      </c>
      <c r="GO41" s="132">
        <f>INDEX(GO42:GO100,START!$E$3,1)</f>
        <v>0</v>
      </c>
      <c r="GP41" s="132">
        <f>INDEX(GP42:GP100,START!$E$3,1)</f>
        <v>0</v>
      </c>
      <c r="GQ41" s="132">
        <f>INDEX(GQ42:GQ100,START!$E$3,1)</f>
        <v>0</v>
      </c>
      <c r="GR41" s="132">
        <f>INDEX(GR42:GR100,START!$E$3,1)</f>
        <v>0</v>
      </c>
      <c r="GS41" s="132">
        <f>INDEX(GS42:GS100,START!$E$3,1)</f>
        <v>0</v>
      </c>
      <c r="GT41" s="132">
        <f>INDEX(GT42:GT100,START!$E$3,1)</f>
        <v>0</v>
      </c>
      <c r="GU41" s="132">
        <f>INDEX(GU42:GU100,START!$E$3,1)</f>
        <v>0</v>
      </c>
      <c r="GV41" s="132">
        <f>INDEX(GV42:GV100,START!$E$3,1)</f>
        <v>0</v>
      </c>
      <c r="GW41" s="132">
        <f>INDEX(GW42:GW100,START!$E$3,1)</f>
        <v>0</v>
      </c>
      <c r="GX41" s="132">
        <f>INDEX(GX42:GX100,START!$E$3,1)</f>
        <v>0</v>
      </c>
      <c r="GY41" s="132">
        <f>INDEX(GY42:GY100,START!$E$3,1)</f>
        <v>0</v>
      </c>
      <c r="GZ41" s="132">
        <f>INDEX(GZ42:GZ100,START!$E$3,1)</f>
        <v>0</v>
      </c>
      <c r="HA41" s="132">
        <f>INDEX(HA42:HA100,START!$E$3,1)</f>
        <v>0</v>
      </c>
      <c r="HB41" s="132">
        <f>INDEX(HB42:HB100,START!$E$3,1)</f>
        <v>0</v>
      </c>
      <c r="HC41" s="132">
        <f>INDEX(HC42:HC100,START!$E$3,1)</f>
        <v>0</v>
      </c>
      <c r="HD41" s="132">
        <f>INDEX(HD42:HD100,START!$E$3,1)</f>
        <v>0</v>
      </c>
      <c r="HE41" s="132">
        <f>INDEX(HE42:HE100,START!$E$3,1)</f>
        <v>0</v>
      </c>
      <c r="HF41" s="132">
        <f>INDEX(HF42:HF100,START!$E$3,1)</f>
        <v>0</v>
      </c>
      <c r="HG41" s="132">
        <f>INDEX(HG42:HG100,START!$E$3,1)</f>
        <v>0</v>
      </c>
      <c r="HH41" s="132">
        <f>INDEX(HH42:HH100,START!$E$3,1)</f>
        <v>0</v>
      </c>
      <c r="HI41" s="132">
        <f>INDEX(HI42:HI100,START!$E$3,1)</f>
        <v>0</v>
      </c>
      <c r="HJ41" s="132">
        <f>INDEX(HJ42:HJ100,START!$E$3,1)</f>
        <v>0</v>
      </c>
      <c r="HK41" s="132">
        <f>INDEX(HK42:HK100,START!$E$3,1)</f>
        <v>0</v>
      </c>
      <c r="HL41" s="132">
        <f>INDEX(HL42:HL100,START!$E$3,1)</f>
        <v>0</v>
      </c>
      <c r="HM41" s="132">
        <f>INDEX(HM42:HM100,START!$E$3,1)</f>
        <v>0</v>
      </c>
      <c r="HN41" s="132">
        <f>INDEX(HN42:HN100,START!$E$3,1)</f>
        <v>0</v>
      </c>
      <c r="HO41" s="132">
        <f>INDEX(HO42:HO100,START!$E$3,1)</f>
        <v>0</v>
      </c>
      <c r="HP41" s="132">
        <f>INDEX(HP42:HP100,START!$E$3,1)</f>
        <v>0</v>
      </c>
      <c r="HQ41" s="132">
        <f>INDEX(HQ42:HQ100,START!$E$3,1)</f>
        <v>0</v>
      </c>
      <c r="HR41" s="132">
        <f>INDEX(HR42:HR100,START!$E$3,1)</f>
        <v>0</v>
      </c>
      <c r="HS41" s="132">
        <f>INDEX(HS42:HS100,START!$E$3,1)</f>
        <v>0</v>
      </c>
      <c r="HT41" s="132">
        <f>INDEX(HT42:HT100,START!$E$3,1)</f>
        <v>0</v>
      </c>
      <c r="HU41" s="132">
        <f>INDEX(HU42:HU100,START!$E$3,1)</f>
        <v>0</v>
      </c>
      <c r="HV41" s="132">
        <f>INDEX(HV42:HV100,START!$E$3,1)</f>
        <v>0</v>
      </c>
      <c r="HW41" s="132">
        <f>INDEX(HW42:HW100,START!$E$3,1)</f>
        <v>0</v>
      </c>
      <c r="HX41" s="132">
        <f>INDEX(HX42:HX100,START!$E$3,1)</f>
        <v>0</v>
      </c>
      <c r="HY41" s="132">
        <f>INDEX(HY42:HY100,START!$E$3,1)</f>
        <v>0</v>
      </c>
      <c r="HZ41" s="132">
        <f>INDEX(HZ42:HZ100,START!$E$3,1)</f>
        <v>0</v>
      </c>
      <c r="IA41" s="132">
        <f>INDEX(IA42:IA100,START!$E$3,1)</f>
        <v>0</v>
      </c>
      <c r="IB41" s="132">
        <f>INDEX(IB42:IB100,START!$E$3,1)</f>
        <v>0</v>
      </c>
      <c r="IC41" s="132">
        <f>INDEX(IC42:IC100,START!$E$3,1)</f>
        <v>0</v>
      </c>
      <c r="ID41" s="132">
        <f>INDEX(ID42:ID100,START!$E$3,1)</f>
        <v>0</v>
      </c>
      <c r="IE41" s="132">
        <f>INDEX(IE42:IE100,START!$E$3,1)</f>
        <v>0</v>
      </c>
      <c r="IF41" s="132">
        <f>INDEX(IF42:IF100,START!$E$3,1)</f>
        <v>0</v>
      </c>
      <c r="IG41" s="132">
        <f>INDEX(IG42:IG100,START!$E$3,1)</f>
        <v>0</v>
      </c>
      <c r="IH41" s="132">
        <f>INDEX(IH42:IH100,START!$E$3,1)</f>
        <v>0</v>
      </c>
      <c r="II41" s="132">
        <f>INDEX(II42:II100,START!$E$3,1)</f>
        <v>0</v>
      </c>
      <c r="IJ41" s="132">
        <f>INDEX(IJ42:IJ100,START!$E$3,1)</f>
        <v>0</v>
      </c>
      <c r="IK41" s="132">
        <f>INDEX(IK42:IK100,START!$E$3,1)</f>
        <v>0</v>
      </c>
      <c r="IL41" s="132">
        <f>INDEX(IL42:IL100,START!$E$3,1)</f>
        <v>0</v>
      </c>
      <c r="IM41" s="132">
        <f>INDEX(IM42:IM100,START!$E$3,1)</f>
        <v>0</v>
      </c>
      <c r="IN41" s="132">
        <f>INDEX(IN42:IN100,START!$E$3,1)</f>
        <v>0</v>
      </c>
      <c r="IO41" s="132">
        <f>INDEX(IO42:IO100,START!$E$3,1)</f>
        <v>0</v>
      </c>
      <c r="IP41" s="132">
        <f>INDEX(IP42:IP100,START!$E$3,1)</f>
        <v>0</v>
      </c>
      <c r="IQ41" s="132">
        <f>INDEX(IQ42:IQ100,START!$E$3,1)</f>
        <v>0</v>
      </c>
      <c r="IR41" s="132">
        <f>INDEX(IR42:IR100,START!$E$3,1)</f>
        <v>0</v>
      </c>
      <c r="IS41" s="132">
        <f>INDEX(IS42:IS100,START!$E$3,1)</f>
        <v>0</v>
      </c>
      <c r="IT41" s="132">
        <f>INDEX(IT42:IT100,START!$E$3,1)</f>
        <v>455.57067467001087</v>
      </c>
      <c r="IU41" s="132">
        <f>INDEX(IU42:IU100,START!$E$3,1)</f>
        <v>179.9</v>
      </c>
      <c r="IV41" s="132">
        <f>INDEX(IV42:IV100,START!$E$3,1)</f>
        <v>3624.5695652174013</v>
      </c>
      <c r="IW41" s="132">
        <f>INDEX(IW42:IW100,START!$E$3,1)</f>
        <v>0</v>
      </c>
      <c r="IX41" s="132">
        <f>INDEX(IX42:IX100,START!$E$3,1)</f>
        <v>0</v>
      </c>
      <c r="IY41" s="132">
        <f>INDEX(IY42:IY100,START!$E$3,1)</f>
        <v>0.8</v>
      </c>
      <c r="IZ41" s="132">
        <f>INDEX(IZ42:IZ100,START!$E$3,1)</f>
        <v>0.6</v>
      </c>
      <c r="JA41" s="132">
        <f>INDEX(JA42:JA100,START!$E$3,1)</f>
        <v>0.6</v>
      </c>
      <c r="JB41" s="132">
        <f>INDEX(JB42:JB100,START!$E$3,1)</f>
        <v>1</v>
      </c>
      <c r="JC41" s="132">
        <f>INDEX(JC42:JC100,START!$E$3,1)</f>
        <v>1</v>
      </c>
      <c r="JD41" s="132">
        <f>INDEX(JD42:JD100,START!$E$3,1)</f>
        <v>1</v>
      </c>
      <c r="JE41" s="132">
        <f>INDEX(JE42:JE100,START!$E$3,1)</f>
        <v>1</v>
      </c>
      <c r="JF41" s="132">
        <f>INDEX(JF42:JF100,START!$E$3,1)</f>
        <v>1</v>
      </c>
      <c r="JG41" s="132">
        <f>INDEX(JG42:JG100,START!$E$3,1)</f>
        <v>2.4643245884135658</v>
      </c>
      <c r="JH41" s="132">
        <f>INDEX(JH42:JH100,START!$E$3,1)</f>
        <v>0</v>
      </c>
      <c r="JI41" s="132">
        <f>INDEX(JI42:JI100,START!$E$3,1)</f>
        <v>0</v>
      </c>
      <c r="JJ41" s="132">
        <f>INDEX(JJ42:JJ100,START!$E$3,1)</f>
        <v>7623.1670434783009</v>
      </c>
      <c r="JK41" s="132">
        <f>INDEX(JK42:JK100,START!$E$3,1)</f>
        <v>1.4</v>
      </c>
      <c r="JL41" s="132">
        <f>INDEX(JL42:JL100,START!$E$3,1)</f>
        <v>1.1000000000000001</v>
      </c>
      <c r="JM41" s="132">
        <f>INDEX(JM42:JM100,START!$E$3,1)</f>
        <v>1.1000000000000001</v>
      </c>
      <c r="JN41" s="1154">
        <f>INDEX(JN42:JN100,START!$E$3,1)</f>
        <v>1</v>
      </c>
      <c r="JO41" s="1154">
        <f>INDEX(JO42:JO100,START!$E$3,1)</f>
        <v>1</v>
      </c>
      <c r="JP41" s="1154">
        <f>INDEX(JP42:JP100,START!$E$3,1)</f>
        <v>1</v>
      </c>
      <c r="JQ41" s="1154">
        <f>INDEX(JQ42:JQ100,START!$E$3,1)</f>
        <v>1</v>
      </c>
      <c r="JR41" s="1154">
        <f>INDEX(JR42:JR100,START!$E$3,1)</f>
        <v>1</v>
      </c>
      <c r="JS41" s="1154"/>
      <c r="JT41" s="1154">
        <f>INDEX(JT42:JT100,START!$E$3,1)</f>
        <v>417.57875862283845</v>
      </c>
      <c r="JU41" s="1154">
        <f>INDEX(JU42:JU100,START!$E$3,1)</f>
        <v>500</v>
      </c>
      <c r="JV41" s="1154">
        <f>INDEX(JV42:JV100,START!$E$3,1)</f>
        <v>2.5</v>
      </c>
      <c r="JW41" s="1154">
        <f>INDEX(JW42:JW100,START!$E$3,1)</f>
        <v>1.3</v>
      </c>
      <c r="JX41" s="1154">
        <f>INDEX(JX42:JX100,START!$E$3,1)</f>
        <v>1.3</v>
      </c>
      <c r="JY41" s="1154">
        <f>INDEX(JY42:JY100,START!$E$3,1)</f>
        <v>1</v>
      </c>
      <c r="JZ41" s="1154">
        <f>INDEX(JZ42:JZ100,START!$E$3,1)</f>
        <v>1</v>
      </c>
      <c r="KA41" s="1154">
        <f>INDEX(KA42:KA100,START!$E$3,1)</f>
        <v>1</v>
      </c>
      <c r="KB41" s="1154">
        <f>INDEX(KB42:KB100,START!$E$3,1)</f>
        <v>1</v>
      </c>
      <c r="KC41" s="1154">
        <f>INDEX(KC42:KC100,START!$E$3,1)</f>
        <v>1</v>
      </c>
      <c r="KD41" s="1154"/>
      <c r="KE41" s="1154"/>
      <c r="KF41" s="1154"/>
      <c r="KG41" s="1154"/>
      <c r="KH41" s="1154"/>
      <c r="KI41" s="1154"/>
      <c r="KJ41" s="1154"/>
      <c r="KK41" s="1154"/>
      <c r="KL41" s="1154"/>
      <c r="KM41" s="1154"/>
      <c r="KN41" s="1154"/>
      <c r="KO41" s="1154"/>
      <c r="KP41" s="1154"/>
      <c r="KQ41" s="1154"/>
      <c r="KR41" s="1154"/>
      <c r="KS41" s="1154"/>
      <c r="KT41" s="1154"/>
      <c r="KU41" s="1154"/>
      <c r="KV41" s="1154"/>
      <c r="KW41" s="1154"/>
      <c r="KX41" s="1154"/>
      <c r="KY41" s="1154"/>
      <c r="KZ41" s="1154"/>
      <c r="LA41" s="1154"/>
      <c r="LB41" s="1154"/>
      <c r="LC41" s="1154"/>
      <c r="LD41" s="1154"/>
      <c r="LE41" s="1154"/>
      <c r="LF41" s="1154"/>
      <c r="LG41" s="1154"/>
      <c r="LH41" s="1154"/>
      <c r="LI41" s="1154"/>
      <c r="LJ41" s="1154"/>
      <c r="LK41" s="132">
        <f>INDEX(LK42:LK100,START!$E$3,1)</f>
        <v>0</v>
      </c>
      <c r="LL41" s="132">
        <f>INDEX(LL42:LL100,START!$E$3,1)</f>
        <v>29</v>
      </c>
      <c r="LM41" s="132">
        <f>INDEX(LM42:LM100,START!$E$3,1)</f>
        <v>1.6</v>
      </c>
      <c r="LN41" s="132">
        <f>INDEX(LN42:LN100,START!$E$3,1)</f>
        <v>1.2</v>
      </c>
      <c r="LO41" s="132">
        <f>INDEX(LO42:LO100,START!$E$3,1)</f>
        <v>1.2</v>
      </c>
      <c r="LP41" s="132">
        <f>INDEX(LP42:LP100,START!$E$3,1)</f>
        <v>1</v>
      </c>
      <c r="LQ41" s="132">
        <f>INDEX(LQ42:LQ100,START!$E$3,1)</f>
        <v>1</v>
      </c>
      <c r="LR41" s="132">
        <f>INDEX(LR42:LR100,START!$E$3,1)</f>
        <v>1</v>
      </c>
      <c r="LS41" s="132">
        <f>INDEX(LS42:LS100,START!$E$3,1)</f>
        <v>1</v>
      </c>
      <c r="LT41" s="132">
        <f>INDEX(LT42:LT100,START!$E$3,1)</f>
        <v>1</v>
      </c>
      <c r="LU41" s="132"/>
      <c r="LV41" s="132">
        <f>INDEX(LV42:LV100,START!$E$3,1)</f>
        <v>0</v>
      </c>
      <c r="LW41" s="132">
        <f>INDEX(LW42:LW100,START!$E$3,1)</f>
        <v>0</v>
      </c>
      <c r="LX41" s="132">
        <f>INDEX(LX42:LX100,START!$E$3,1)</f>
        <v>0</v>
      </c>
      <c r="LY41" s="132">
        <f>INDEX(LY42:LY100,START!$E$3,1)</f>
        <v>0</v>
      </c>
      <c r="LZ41" s="132">
        <f>INDEX(LZ42:LZ100,START!$E$3,1)</f>
        <v>0</v>
      </c>
      <c r="MA41" s="132">
        <f>INDEX(MA42:MA100,START!$E$3,1)</f>
        <v>0</v>
      </c>
      <c r="MB41" s="132">
        <f>INDEX(MB42:MB100,START!$E$3,1)</f>
        <v>0</v>
      </c>
      <c r="MC41" s="132">
        <f>INDEX(MC42:MC100,START!$E$3,1)</f>
        <v>0</v>
      </c>
      <c r="MD41" s="132">
        <f>INDEX(MD42:MD100,START!$E$3,1)</f>
        <v>0</v>
      </c>
      <c r="ME41" s="132">
        <f>INDEX(ME42:ME100,START!$E$3,1)</f>
        <v>0</v>
      </c>
      <c r="MF41" s="132">
        <f>INDEX(MF42:MF100,START!$E$3,1)</f>
        <v>0</v>
      </c>
      <c r="MG41" s="132">
        <f>INDEX(MG42:MG100,START!$E$3,1)</f>
        <v>0</v>
      </c>
      <c r="MH41" s="132">
        <f>INDEX(MH42:MH100,START!$E$3,1)</f>
        <v>0</v>
      </c>
      <c r="MI41" s="132">
        <f>INDEX(MI42:MI100,START!$E$3,1)</f>
        <v>0</v>
      </c>
      <c r="MJ41" s="132">
        <f>INDEX(MJ42:MJ100,START!$E$3,1)</f>
        <v>0</v>
      </c>
      <c r="MK41" s="132">
        <f>INDEX(MK42:MK100,START!$E$3,1)</f>
        <v>0</v>
      </c>
      <c r="ML41" s="132">
        <f>INDEX(ML42:ML100,START!$E$3,1)</f>
        <v>0</v>
      </c>
      <c r="MM41" s="132">
        <f>INDEX(MM42:MM100,START!$E$3,1)</f>
        <v>0</v>
      </c>
      <c r="MN41" s="132">
        <f>INDEX(MN42:MN100,START!$E$3,1)</f>
        <v>0</v>
      </c>
      <c r="MO41" s="132">
        <f>INDEX(MO42:MO100,START!$E$3,1)</f>
        <v>0</v>
      </c>
      <c r="MP41" s="132">
        <f>INDEX(MP42:MP100,START!$E$3,1)</f>
        <v>0</v>
      </c>
      <c r="MQ41" s="132">
        <f>INDEX(MQ42:MQ100,START!$E$3,1)</f>
        <v>0</v>
      </c>
      <c r="MR41" s="132">
        <f>INDEX(MR42:MR100,START!$E$3,1)</f>
        <v>0</v>
      </c>
      <c r="MS41" s="132">
        <f>INDEX(MS42:MS100,START!$E$3,1)</f>
        <v>0</v>
      </c>
      <c r="MT41" s="132">
        <f>INDEX(MT42:MT100,START!$E$3,1)</f>
        <v>0</v>
      </c>
      <c r="MU41" s="132">
        <f>INDEX(MU42:MU100,START!$E$3,1)</f>
        <v>0</v>
      </c>
      <c r="MV41" s="132">
        <f>INDEX(MV42:MV100,START!$E$3,1)</f>
        <v>0</v>
      </c>
      <c r="MW41" s="132">
        <f>INDEX(MW42:MW100,START!$E$3,1)</f>
        <v>200</v>
      </c>
      <c r="MX41" s="132">
        <f>INDEX(MX42:MX100,START!$E$3,1)</f>
        <v>200</v>
      </c>
      <c r="MY41" s="132">
        <f>INDEX(MY42:MY100,START!$E$3,1)</f>
        <v>200</v>
      </c>
      <c r="MZ41" s="132">
        <f>INDEX(MZ42:MZ100,START!$E$3,1)</f>
        <v>200</v>
      </c>
      <c r="NA41" s="132">
        <f>INDEX(NA42:NA100,START!$E$3,1)</f>
        <v>200</v>
      </c>
      <c r="NB41" s="132">
        <f>INDEX(NB42:NB100,START!$E$3,1)</f>
        <v>200</v>
      </c>
      <c r="NC41" s="132">
        <f>INDEX(NC42:NC100,START!$E$3,1)</f>
        <v>200</v>
      </c>
      <c r="ND41" s="132">
        <f>INDEX(ND42:ND100,START!$E$3,1)</f>
        <v>200</v>
      </c>
      <c r="NE41" s="132">
        <f>INDEX(NE42:NE100,START!$E$3,1)</f>
        <v>200</v>
      </c>
      <c r="NF41" s="132">
        <f>INDEX(NF42:NF100,START!$E$3,1)</f>
        <v>200</v>
      </c>
      <c r="NG41" s="132">
        <f>INDEX(NG42:NG100,START!$E$3,1)</f>
        <v>200</v>
      </c>
      <c r="NH41" s="132">
        <f>INDEX(NH42:NH100,START!$E$3,1)</f>
        <v>200</v>
      </c>
      <c r="NI41" s="132">
        <f>INDEX(NI42:NI100,START!$E$3,1)</f>
        <v>200</v>
      </c>
      <c r="NJ41" s="132">
        <f>INDEX(NJ42:NJ100,START!$E$3,1)</f>
        <v>200</v>
      </c>
      <c r="NK41" s="132">
        <f>INDEX(NK42:NK100,START!$E$3,1)</f>
        <v>200</v>
      </c>
      <c r="NL41" s="132">
        <f>INDEX(NL42:NL100,START!$E$3,1)</f>
        <v>200</v>
      </c>
      <c r="NM41" s="132">
        <f>INDEX(NM42:NM100,START!$E$3,1)</f>
        <v>200</v>
      </c>
      <c r="NN41" s="132">
        <f>INDEX(NN42:NN100,START!$E$3,1)</f>
        <v>200</v>
      </c>
      <c r="NO41" s="132">
        <f>INDEX(NO42:NO100,START!$E$3,1)</f>
        <v>200</v>
      </c>
      <c r="NP41" s="132">
        <f>INDEX(NP42:NP100,START!$E$3,1)</f>
        <v>200</v>
      </c>
      <c r="NQ41" s="132">
        <f>INDEX(NQ42:NQ100,START!$E$3,1)</f>
        <v>200</v>
      </c>
      <c r="NR41" s="132">
        <f>INDEX(NR42:NR100,START!$E$3,1)</f>
        <v>200</v>
      </c>
      <c r="NS41" s="132">
        <f>INDEX(NS42:NS100,START!$E$3,1)</f>
        <v>200</v>
      </c>
      <c r="NT41" s="132">
        <f>INDEX(NT42:NT100,START!$E$3,1)</f>
        <v>200</v>
      </c>
      <c r="NU41" s="132">
        <f>INDEX(NU42:NU100,START!$E$3,1)</f>
        <v>200</v>
      </c>
      <c r="NV41" s="132">
        <f>INDEX(NV42:NV100,START!$E$3,1)</f>
        <v>200</v>
      </c>
      <c r="NW41" s="132">
        <f>INDEX(NW42:NW100,START!$E$3,1)</f>
        <v>200</v>
      </c>
      <c r="NX41" s="132">
        <f>INDEX(NX42:NX100,START!$E$3,1)</f>
        <v>200</v>
      </c>
      <c r="NY41" s="132">
        <f>INDEX(NY42:NY100,START!$E$3,1)</f>
        <v>200</v>
      </c>
      <c r="NZ41" s="132">
        <f>INDEX(NZ42:NZ100,START!$E$3,1)</f>
        <v>200</v>
      </c>
      <c r="OA41" s="132">
        <f>INDEX(OA42:OA100,START!$E$3,1)</f>
        <v>200</v>
      </c>
      <c r="OB41" s="132">
        <f>INDEX(OB42:OB100,START!$E$3,1)</f>
        <v>200</v>
      </c>
      <c r="OC41" s="132">
        <f>INDEX(OC42:OC100,START!$E$3,1)</f>
        <v>200</v>
      </c>
      <c r="OD41" s="132">
        <f>INDEX(OD42:OD100,START!$E$3,1)</f>
        <v>200</v>
      </c>
      <c r="OE41" s="132">
        <f>INDEX(OE42:OE100,START!$E$3,1)</f>
        <v>200</v>
      </c>
      <c r="OF41" s="132">
        <f>INDEX(OF42:OF100,START!$E$3,1)</f>
        <v>200</v>
      </c>
      <c r="OG41" s="132">
        <f>INDEX(OG42:OG100,START!$E$3,1)</f>
        <v>200</v>
      </c>
      <c r="OH41" s="132">
        <f>INDEX(OH42:OH100,START!$E$3,1)</f>
        <v>200</v>
      </c>
      <c r="OI41" s="132">
        <f>INDEX(OI42:OI100,START!$E$3,1)</f>
        <v>200</v>
      </c>
      <c r="OJ41" s="132">
        <f>INDEX(OJ42:OJ100,START!$E$3,1)</f>
        <v>200</v>
      </c>
      <c r="OK41" s="132">
        <f>INDEX(OK42:OK100,START!$E$3,1)</f>
        <v>200</v>
      </c>
      <c r="OL41" s="132">
        <f>INDEX(OL42:OL100,START!$E$3,1)</f>
        <v>200</v>
      </c>
      <c r="OM41" s="132">
        <f>INDEX(OM42:OM100,START!$E$3,1)</f>
        <v>200</v>
      </c>
      <c r="ON41" s="132">
        <f>INDEX(ON42:ON100,START!$E$3,1)</f>
        <v>200</v>
      </c>
      <c r="OO41" s="132">
        <f>INDEX(OO42:OO100,START!$E$3,1)</f>
        <v>200</v>
      </c>
      <c r="OP41" s="132">
        <f>INDEX(OP42:OP100,START!$E$3,1)</f>
        <v>200</v>
      </c>
      <c r="OQ41" s="132">
        <f>INDEX(OQ42:OQ100,START!$E$3,1)</f>
        <v>200</v>
      </c>
      <c r="OR41" s="132">
        <f>INDEX(OR42:OR100,START!$E$3,1)</f>
        <v>200</v>
      </c>
      <c r="OS41" s="132">
        <f>INDEX(OS42:OS100,START!$E$3,1)</f>
        <v>200</v>
      </c>
      <c r="OT41" s="132">
        <f>INDEX(OT42:OT100,START!$E$3,1)</f>
        <v>200</v>
      </c>
      <c r="OU41" s="132">
        <f>INDEX(OU42:OU100,START!$E$3,1)</f>
        <v>200</v>
      </c>
      <c r="OV41" s="132">
        <f>INDEX(OV42:OV100,START!$E$3,1)</f>
        <v>200</v>
      </c>
      <c r="OW41" s="132">
        <f>INDEX(OW42:OW100,START!$E$3,1)</f>
        <v>200</v>
      </c>
      <c r="OX41" s="132">
        <f>INDEX(OX42:OX100,START!$E$3,1)</f>
        <v>200</v>
      </c>
      <c r="OY41" s="132">
        <f>INDEX(OY42:OY100,START!$E$3,1)</f>
        <v>200</v>
      </c>
      <c r="OZ41" s="132">
        <f>INDEX(OZ42:OZ100,START!$E$3,1)</f>
        <v>200</v>
      </c>
      <c r="PA41" s="132">
        <f>INDEX(PA42:PA100,START!$E$3,1)</f>
        <v>200</v>
      </c>
      <c r="PB41" s="132">
        <f>INDEX(PB42:PB100,START!$E$3,1)</f>
        <v>200</v>
      </c>
      <c r="PC41" s="132">
        <f>INDEX(PC42:PC100,START!$E$3,1)</f>
        <v>200</v>
      </c>
      <c r="PD41" s="132">
        <f>INDEX(PD42:PD100,START!$E$3,1)</f>
        <v>200</v>
      </c>
      <c r="PE41" s="132">
        <f>INDEX(PE42:PE100,START!$E$3,1)</f>
        <v>200</v>
      </c>
      <c r="PF41" s="132">
        <f>INDEX(PF42:PF100,START!$E$3,1)</f>
        <v>200</v>
      </c>
      <c r="PG41" s="132">
        <f>INDEX(PG42:PG100,START!$E$3,1)</f>
        <v>200</v>
      </c>
      <c r="PH41" s="132">
        <f>INDEX(PH42:PH100,START!$E$3,1)</f>
        <v>200</v>
      </c>
      <c r="PI41" s="132">
        <f>INDEX(PI42:PI100,START!$E$3,1)</f>
        <v>200</v>
      </c>
      <c r="PJ41" s="132">
        <f>INDEX(PJ42:PJ100,START!$E$3,1)</f>
        <v>200</v>
      </c>
      <c r="PK41" s="132">
        <f>INDEX(PK42:PK100,START!$E$3,1)</f>
        <v>200</v>
      </c>
      <c r="PL41" s="132">
        <f>INDEX(PL42:PL100,START!$E$3,1)</f>
        <v>200</v>
      </c>
      <c r="PM41" s="132">
        <f>INDEX(PM42:PM100,START!$E$3,1)</f>
        <v>200</v>
      </c>
      <c r="PN41" s="132">
        <f>INDEX(PN42:PN100,START!$E$3,1)</f>
        <v>200</v>
      </c>
      <c r="PO41" s="132">
        <f>INDEX(PO42:PO100,START!$E$3,1)</f>
        <v>200</v>
      </c>
      <c r="PP41" s="132">
        <f>INDEX(PP42:PP100,START!$E$3,1)</f>
        <v>200</v>
      </c>
      <c r="PQ41" s="132">
        <f>INDEX(PQ42:PQ100,START!$E$3,1)</f>
        <v>200</v>
      </c>
      <c r="PR41" s="132">
        <f>INDEX(PR42:PR100,START!$E$3,1)</f>
        <v>200</v>
      </c>
      <c r="PS41" s="132">
        <f>INDEX(PS42:PS100,START!$E$3,1)</f>
        <v>200</v>
      </c>
      <c r="PT41" s="132">
        <f>INDEX(PT42:PT100,START!$E$3,1)</f>
        <v>200</v>
      </c>
      <c r="PU41" s="132">
        <f>INDEX(PU42:PU100,START!$E$3,1)</f>
        <v>200</v>
      </c>
      <c r="PV41" s="132">
        <f>INDEX(PV42:PV100,START!$E$3,1)</f>
        <v>200</v>
      </c>
      <c r="PW41" s="132">
        <f>INDEX(PW42:PW100,START!$E$3,1)</f>
        <v>200</v>
      </c>
      <c r="PX41" s="132">
        <f>INDEX(PX42:PX100,START!$E$3,1)</f>
        <v>200</v>
      </c>
      <c r="PY41" s="132">
        <f>INDEX(PY42:PY100,START!$E$3,1)</f>
        <v>200</v>
      </c>
      <c r="PZ41" s="132">
        <f>INDEX(PZ42:PZ100,START!$E$3,1)</f>
        <v>200</v>
      </c>
      <c r="QA41" s="132">
        <f>INDEX(QA42:QA100,START!$E$3,1)</f>
        <v>200</v>
      </c>
      <c r="QB41" s="132">
        <f>INDEX(QB42:QB100,START!$E$3,1)</f>
        <v>200</v>
      </c>
      <c r="QC41" s="132">
        <f>INDEX(QC42:QC100,START!$E$3,1)</f>
        <v>200</v>
      </c>
      <c r="QD41" s="132">
        <f>INDEX(QD42:QD100,START!$E$3,1)</f>
        <v>200</v>
      </c>
      <c r="QE41" s="132">
        <f>INDEX(QE42:QE100,START!$E$3,1)</f>
        <v>200</v>
      </c>
      <c r="QF41" s="132">
        <f>INDEX(QF42:QF100,START!$E$3,1)</f>
        <v>200</v>
      </c>
      <c r="QG41" s="132">
        <f>INDEX(QG42:QG100,START!$E$3,1)</f>
        <v>200</v>
      </c>
      <c r="QH41" s="132">
        <f>INDEX(QH42:QH100,START!$E$3,1)</f>
        <v>200</v>
      </c>
      <c r="QI41" s="132">
        <f>INDEX(QI42:QI100,START!$E$3,1)</f>
        <v>200</v>
      </c>
      <c r="QJ41" s="132">
        <f>INDEX(QJ42:QJ100,START!$E$3,1)</f>
        <v>200</v>
      </c>
      <c r="QK41" s="132">
        <f>INDEX(QK42:QK100,START!$E$3,1)</f>
        <v>200</v>
      </c>
      <c r="QL41" s="132">
        <f>INDEX(QL42:QL100,START!$E$3,1)</f>
        <v>200</v>
      </c>
      <c r="QM41" s="132">
        <f>INDEX(QM42:QM100,START!$E$3,1)</f>
        <v>200</v>
      </c>
      <c r="QN41" s="132">
        <f>INDEX(QN42:QN100,START!$E$3,1)</f>
        <v>200</v>
      </c>
      <c r="QO41" s="132">
        <f>INDEX(QO42:QO100,START!$E$3,1)</f>
        <v>200</v>
      </c>
      <c r="QP41" s="132">
        <f>INDEX(QP42:QP100,START!$E$3,1)</f>
        <v>200</v>
      </c>
      <c r="QQ41" s="132">
        <f>INDEX(QQ42:QQ100,START!$E$3,1)</f>
        <v>200</v>
      </c>
      <c r="QR41" s="132">
        <f>INDEX(QR42:QR100,START!$E$3,1)</f>
        <v>200</v>
      </c>
      <c r="QS41" s="132">
        <f>INDEX(QS42:QS100,START!$E$3,1)</f>
        <v>200</v>
      </c>
      <c r="QT41" s="132">
        <f>INDEX(QT42:QT100,START!$E$3,1)</f>
        <v>200</v>
      </c>
      <c r="QU41" s="132">
        <f>INDEX(QU42:QU100,START!$E$3,1)</f>
        <v>200</v>
      </c>
      <c r="QV41" s="132">
        <f>INDEX(QV42:QV100,START!$E$3,1)</f>
        <v>200</v>
      </c>
      <c r="QW41" s="132">
        <f>INDEX(QW42:QW100,START!$E$3,1)</f>
        <v>200</v>
      </c>
      <c r="QX41" s="132">
        <f>INDEX(QX42:QX100,START!$E$3,1)</f>
        <v>200</v>
      </c>
      <c r="QY41" s="132">
        <f>INDEX(QY42:QY100,START!$E$3,1)</f>
        <v>200</v>
      </c>
      <c r="QZ41" s="132">
        <f>INDEX(QZ42:QZ100,START!$E$3,1)</f>
        <v>200</v>
      </c>
      <c r="RA41" s="132">
        <f>INDEX(RA42:RA100,START!$E$3,1)</f>
        <v>200</v>
      </c>
      <c r="RB41" s="132">
        <f>INDEX(RB42:RB100,START!$E$3,1)</f>
        <v>200</v>
      </c>
      <c r="RC41" s="132">
        <f>INDEX(RC42:RC100,START!$E$3,1)</f>
        <v>200</v>
      </c>
      <c r="RD41" s="132">
        <f>INDEX(RD42:RD100,START!$E$3,1)</f>
        <v>200</v>
      </c>
      <c r="RE41" s="132">
        <f>INDEX(RE42:RE100,START!$E$3,1)</f>
        <v>200</v>
      </c>
      <c r="RF41" s="132">
        <f>INDEX(RF42:RF100,START!$E$3,1)</f>
        <v>200</v>
      </c>
      <c r="RG41" s="132">
        <f>INDEX(RG42:RG100,START!$E$3,1)</f>
        <v>200</v>
      </c>
      <c r="RH41" s="132">
        <f>INDEX(RH42:RH100,START!$E$3,1)</f>
        <v>200</v>
      </c>
      <c r="RI41" s="132">
        <f>INDEX(RI42:RI100,START!$E$3,1)</f>
        <v>200</v>
      </c>
      <c r="RJ41" s="132">
        <f>INDEX(RJ42:RJ100,START!$E$3,1)</f>
        <v>200</v>
      </c>
      <c r="RK41" s="132">
        <f>INDEX(RK42:RK100,START!$E$3,1)</f>
        <v>200</v>
      </c>
      <c r="RL41" s="132">
        <f>INDEX(RL42:RL100,START!$E$3,1)</f>
        <v>200</v>
      </c>
      <c r="RM41" s="132">
        <f>INDEX(RM42:RM100,START!$E$3,1)</f>
        <v>200</v>
      </c>
      <c r="RN41" s="132">
        <f>INDEX(RN42:RN100,START!$E$3,1)</f>
        <v>200</v>
      </c>
      <c r="RO41" s="132">
        <f>INDEX(RO42:RO100,START!$E$3,1)</f>
        <v>200</v>
      </c>
      <c r="RP41" s="132">
        <f>INDEX(RP42:RP100,START!$E$3,1)</f>
        <v>200</v>
      </c>
      <c r="RQ41" s="132">
        <f>INDEX(RQ42:RQ100,START!$E$3,1)</f>
        <v>200</v>
      </c>
      <c r="RR41" s="132">
        <f>INDEX(RR42:RR100,START!$E$3,1)</f>
        <v>200</v>
      </c>
      <c r="RS41" s="132">
        <f>INDEX(RS42:RS100,START!$E$3,1)</f>
        <v>200</v>
      </c>
      <c r="RT41" s="132">
        <f>INDEX(RT42:RT100,START!$E$3,1)</f>
        <v>200</v>
      </c>
      <c r="RU41" s="132">
        <f>INDEX(RU42:RU100,START!$E$3,1)</f>
        <v>200</v>
      </c>
      <c r="RV41" s="132">
        <f>INDEX(RV42:RV100,START!$E$3,1)</f>
        <v>200</v>
      </c>
      <c r="RW41" s="132">
        <f>INDEX(RW42:RW100,START!$E$3,1)</f>
        <v>200</v>
      </c>
      <c r="RX41" s="132">
        <f>INDEX(RX42:RX100,START!$E$3,1)</f>
        <v>200</v>
      </c>
      <c r="RY41" s="132">
        <f>INDEX(RY42:RY100,START!$E$3,1)</f>
        <v>200</v>
      </c>
      <c r="RZ41" s="132">
        <f>INDEX(RZ42:RZ100,START!$E$3,1)</f>
        <v>200</v>
      </c>
      <c r="SA41" s="132">
        <f>INDEX(SA42:SA100,START!$E$3,1)</f>
        <v>200</v>
      </c>
      <c r="SB41" s="132">
        <f>INDEX(SB42:SB100,START!$E$3,1)</f>
        <v>200</v>
      </c>
      <c r="SC41" s="132">
        <f>INDEX(SC42:SC100,START!$E$3,1)</f>
        <v>200</v>
      </c>
      <c r="SD41" s="132">
        <f>INDEX(SD42:SD100,START!$E$3,1)</f>
        <v>200</v>
      </c>
      <c r="SE41" s="132">
        <f>INDEX(SE42:SE100,START!$E$3,1)</f>
        <v>200</v>
      </c>
      <c r="SF41" s="132">
        <f>INDEX(SF42:SF100,START!$E$3,1)</f>
        <v>200</v>
      </c>
      <c r="SG41" s="132">
        <f>INDEX(SG42:SG100,START!$E$3,1)</f>
        <v>200</v>
      </c>
      <c r="SH41" s="132">
        <f>INDEX(SH42:SH100,START!$E$3,1)</f>
        <v>200</v>
      </c>
      <c r="SI41" s="132">
        <f>INDEX(SI42:SI100,START!$E$3,1)</f>
        <v>200</v>
      </c>
      <c r="SJ41" s="132">
        <f>INDEX(SJ42:SJ100,START!$E$3,1)</f>
        <v>200</v>
      </c>
      <c r="SK41" s="132">
        <f>INDEX(SK42:SK100,START!$E$3,1)</f>
        <v>200</v>
      </c>
      <c r="SL41" s="132">
        <f>INDEX(SL42:SL100,START!$E$3,1)</f>
        <v>200</v>
      </c>
      <c r="SM41" s="132">
        <f>INDEX(SM42:SM100,START!$E$3,1)</f>
        <v>200</v>
      </c>
      <c r="SN41" s="132">
        <f>INDEX(SN42:SN100,START!$E$3,1)</f>
        <v>200</v>
      </c>
      <c r="SO41" s="132">
        <f>INDEX(SO42:SO100,START!$E$3,1)</f>
        <v>200</v>
      </c>
      <c r="SP41" s="132">
        <f>INDEX(SP42:SP100,START!$E$3,1)</f>
        <v>200</v>
      </c>
      <c r="SQ41" s="132">
        <f>INDEX(SQ42:SQ100,START!$E$3,1)</f>
        <v>200</v>
      </c>
      <c r="SR41" s="132">
        <f>INDEX(SR42:SR100,START!$E$3,1)</f>
        <v>200</v>
      </c>
      <c r="SS41" s="132">
        <f>INDEX(SS42:SS100,START!$E$3,1)</f>
        <v>200</v>
      </c>
      <c r="ST41" s="132">
        <f>INDEX(ST42:ST100,START!$E$3,1)</f>
        <v>200</v>
      </c>
      <c r="SU41" s="132">
        <f>INDEX(SU42:SU100,START!$E$3,1)</f>
        <v>200</v>
      </c>
      <c r="SV41" s="132">
        <f>INDEX(SV42:SV100,START!$E$3,1)</f>
        <v>200</v>
      </c>
      <c r="SW41" s="132">
        <f>INDEX(SW42:SW100,START!$E$3,1)</f>
        <v>200</v>
      </c>
      <c r="SX41" s="132">
        <f>INDEX(SX42:SX100,START!$E$3,1)</f>
        <v>200</v>
      </c>
      <c r="SY41" s="132">
        <f>INDEX(SY42:SY100,START!$E$3,1)</f>
        <v>200</v>
      </c>
      <c r="SZ41" s="132">
        <f>INDEX(SZ42:SZ100,START!$E$3,1)</f>
        <v>200</v>
      </c>
      <c r="TA41" s="132">
        <f>INDEX(TA42:TA100,START!$E$3,1)</f>
        <v>200</v>
      </c>
      <c r="TB41" s="132">
        <f>INDEX(TB42:TB100,START!$E$3,1)</f>
        <v>200</v>
      </c>
      <c r="TC41" s="132">
        <f>INDEX(TC42:TC100,START!$E$3,1)</f>
        <v>200</v>
      </c>
      <c r="TD41" s="132">
        <f>INDEX(TD42:TD100,START!$E$3,1)</f>
        <v>200</v>
      </c>
      <c r="TE41" s="132">
        <f>INDEX(TE42:TE100,START!$E$3,1)</f>
        <v>200</v>
      </c>
      <c r="TF41" s="132">
        <f>INDEX(TF42:TF100,START!$E$3,1)</f>
        <v>200</v>
      </c>
      <c r="TG41" s="132">
        <f>INDEX(TG42:TG100,START!$E$3,1)</f>
        <v>200</v>
      </c>
      <c r="TH41" s="132">
        <f>INDEX(TH42:TH100,START!$E$3,1)</f>
        <v>200</v>
      </c>
      <c r="TI41" s="132">
        <f>INDEX(TI42:TI100,START!$E$3,1)</f>
        <v>200</v>
      </c>
      <c r="TJ41" s="132">
        <f>INDEX(TJ42:TJ100,START!$E$3,1)</f>
        <v>200</v>
      </c>
      <c r="TK41" s="132">
        <f>INDEX(TK42:TK100,START!$E$3,1)</f>
        <v>200</v>
      </c>
      <c r="TL41" s="132">
        <f>INDEX(TL42:TL100,START!$E$3,1)</f>
        <v>200</v>
      </c>
      <c r="TM41" s="132">
        <f>INDEX(TM42:TM100,START!$E$3,1)</f>
        <v>200</v>
      </c>
      <c r="TN41" s="132">
        <f>INDEX(TN42:TN100,START!$E$3,1)</f>
        <v>200</v>
      </c>
      <c r="TO41" s="132">
        <f>INDEX(TO42:TO100,START!$E$3,1)</f>
        <v>200</v>
      </c>
      <c r="TP41" s="132">
        <f>INDEX(TP42:TP100,START!$E$3,1)</f>
        <v>200</v>
      </c>
      <c r="TQ41" s="132">
        <f>INDEX(TQ42:TQ100,START!$E$3,1)</f>
        <v>200</v>
      </c>
      <c r="TR41" s="132">
        <f>INDEX(TR42:TR100,START!$E$3,1)</f>
        <v>200</v>
      </c>
      <c r="TS41" s="132">
        <f>INDEX(TS42:TS100,START!$E$3,1)</f>
        <v>200</v>
      </c>
      <c r="TT41" s="132">
        <f>INDEX(TT42:TT100,START!$E$3,1)</f>
        <v>200</v>
      </c>
      <c r="TU41" s="132">
        <f>INDEX(TU42:TU100,START!$E$3,1)</f>
        <v>200</v>
      </c>
      <c r="TV41" s="132">
        <f>INDEX(TV42:TV100,START!$E$3,1)</f>
        <v>200</v>
      </c>
      <c r="TW41" s="132">
        <f>INDEX(TW42:TW100,START!$E$3,1)</f>
        <v>200</v>
      </c>
      <c r="TX41" s="132">
        <f>INDEX(TX42:TX100,START!$E$3,1)</f>
        <v>200</v>
      </c>
      <c r="TY41" s="132">
        <f>INDEX(TY42:TY100,START!$E$3,1)</f>
        <v>200</v>
      </c>
      <c r="TZ41" s="132">
        <f>INDEX(TZ42:TZ100,START!$E$3,1)</f>
        <v>200</v>
      </c>
      <c r="UA41" s="132">
        <f>INDEX(UA42:UA100,START!$E$3,1)</f>
        <v>200</v>
      </c>
      <c r="UB41" s="132">
        <f>INDEX(UB42:UB100,START!$E$3,1)</f>
        <v>200</v>
      </c>
      <c r="UC41" s="132">
        <f>INDEX(UC42:UC100,START!$E$3,1)</f>
        <v>200</v>
      </c>
      <c r="UD41" s="132">
        <f>INDEX(UD42:UD100,START!$E$3,1)</f>
        <v>200</v>
      </c>
      <c r="UE41" s="132">
        <f>INDEX(UE42:UE100,START!$E$3,1)</f>
        <v>200</v>
      </c>
      <c r="UF41" s="132">
        <f>INDEX(UF42:UF100,START!$E$3,1)</f>
        <v>200</v>
      </c>
      <c r="UG41" s="132">
        <f>INDEX(UG42:UG100,START!$E$3,1)</f>
        <v>200</v>
      </c>
      <c r="UH41" s="132">
        <f>INDEX(UH42:UH100,START!$E$3,1)</f>
        <v>200</v>
      </c>
      <c r="UI41" s="132">
        <f>INDEX(UI42:UI100,START!$E$3,1)</f>
        <v>200</v>
      </c>
      <c r="UJ41" s="132">
        <f>INDEX(UJ42:UJ100,START!$E$3,1)</f>
        <v>200</v>
      </c>
      <c r="UK41" s="132">
        <f>INDEX(UK42:UK100,START!$E$3,1)</f>
        <v>200</v>
      </c>
      <c r="UL41" s="132">
        <f>INDEX(UL42:UL100,START!$E$3,1)</f>
        <v>200</v>
      </c>
      <c r="UM41" s="132">
        <f>INDEX(UM42:UM100,START!$E$3,1)</f>
        <v>200</v>
      </c>
      <c r="UN41" s="132">
        <f>INDEX(UN42:UN100,START!$E$3,1)</f>
        <v>200</v>
      </c>
      <c r="UO41" s="132">
        <f>INDEX(UO42:UO100,START!$E$3,1)</f>
        <v>200</v>
      </c>
      <c r="UP41" s="132">
        <f>INDEX(UP42:UP100,START!$E$3,1)</f>
        <v>200</v>
      </c>
      <c r="UQ41" s="132">
        <f>INDEX(UQ42:UQ100,START!$E$3,1)</f>
        <v>200</v>
      </c>
      <c r="UR41" s="132">
        <f>INDEX(UR42:UR100,START!$E$3,1)</f>
        <v>200</v>
      </c>
      <c r="US41" s="132">
        <f>INDEX(US42:US100,START!$E$3,1)</f>
        <v>200</v>
      </c>
      <c r="UT41" s="132">
        <f>INDEX(UT42:UT100,START!$E$3,1)</f>
        <v>200</v>
      </c>
      <c r="UU41" s="132">
        <f>INDEX(UU42:UU100,START!$E$3,1)</f>
        <v>200</v>
      </c>
      <c r="UV41" s="132">
        <f>INDEX(UV42:UV100,START!$E$3,1)</f>
        <v>200</v>
      </c>
      <c r="UW41" s="132">
        <f>INDEX(UW42:UW100,START!$E$3,1)</f>
        <v>200</v>
      </c>
      <c r="UX41" s="132">
        <f>INDEX(UX42:UX100,START!$E$3,1)</f>
        <v>200</v>
      </c>
      <c r="UY41" s="132">
        <f>INDEX(UY42:UY100,START!$E$3,1)</f>
        <v>200</v>
      </c>
      <c r="UZ41" s="132">
        <f>INDEX(UZ42:UZ100,START!$E$3,1)</f>
        <v>200</v>
      </c>
      <c r="VA41" s="132">
        <f>INDEX(VA42:VA100,START!$E$3,1)</f>
        <v>200</v>
      </c>
      <c r="VB41" s="132">
        <f>INDEX(VB42:VB100,START!$E$3,1)</f>
        <v>200</v>
      </c>
      <c r="VC41" s="132">
        <f>INDEX(VC42:VC100,START!$E$3,1)</f>
        <v>200</v>
      </c>
      <c r="VD41" s="132">
        <f>INDEX(VD42:VD100,START!$E$3,1)</f>
        <v>200</v>
      </c>
      <c r="VE41" s="132">
        <f>INDEX(VE42:VE100,START!$E$3,1)</f>
        <v>0</v>
      </c>
      <c r="VF41" s="132">
        <f>INDEX(VF42:VF100,START!$E$3,1)</f>
        <v>0</v>
      </c>
      <c r="VG41" s="132">
        <f>INDEX(VG42:VG100,START!$E$3,1)</f>
        <v>0</v>
      </c>
      <c r="VH41" s="132">
        <f>INDEX(VH42:VH100,START!$E$3,1)</f>
        <v>0</v>
      </c>
      <c r="VI41" s="132">
        <f>INDEX(VI42:VI100,START!$E$3,1)</f>
        <v>0</v>
      </c>
      <c r="VJ41" s="132">
        <f>INDEX(VJ42:VJ100,START!$E$3,1)</f>
        <v>0</v>
      </c>
      <c r="VK41" s="132">
        <f>INDEX(VK42:VK100,START!$E$3,1)</f>
        <v>0</v>
      </c>
      <c r="VL41" s="132">
        <f>INDEX(VL42:VL100,START!$E$3,1)</f>
        <v>0</v>
      </c>
      <c r="VM41" s="132">
        <f>INDEX(VM42:VM100,START!$E$3,1)</f>
        <v>0</v>
      </c>
      <c r="VN41" s="132">
        <f>INDEX(VN42:VN100,START!$E$3,1)</f>
        <v>0</v>
      </c>
      <c r="VO41" s="132">
        <f>INDEX(VO42:VO100,START!$E$3,1)</f>
        <v>0</v>
      </c>
      <c r="VP41" s="132">
        <f>INDEX(VP42:VP100,START!$E$3,1)</f>
        <v>0</v>
      </c>
      <c r="VQ41" s="132">
        <f>INDEX(VQ42:VQ100,START!$E$3,1)</f>
        <v>0</v>
      </c>
      <c r="VR41" s="132">
        <f>INDEX(VR42:VR100,START!$E$3,1)</f>
        <v>0</v>
      </c>
      <c r="VS41" s="132">
        <f>INDEX(VS42:VS100,START!$E$3,1)</f>
        <v>0</v>
      </c>
      <c r="VT41" s="132">
        <f>INDEX(VT42:VT100,START!$E$3,1)</f>
        <v>0</v>
      </c>
      <c r="VU41" s="132">
        <f>INDEX(VU42:VU100,START!$E$3,1)</f>
        <v>0</v>
      </c>
      <c r="VV41" s="132">
        <f>INDEX(VV42:VV100,START!$E$3,1)</f>
        <v>0</v>
      </c>
      <c r="VW41" s="132">
        <f>INDEX(VW42:VW100,START!$E$3,1)</f>
        <v>0</v>
      </c>
      <c r="VX41" s="132">
        <f>INDEX(VX42:VX100,START!$E$3,1)</f>
        <v>0</v>
      </c>
      <c r="VY41" s="132">
        <f>INDEX(VY42:VY100,START!$E$3,1)</f>
        <v>0</v>
      </c>
      <c r="VZ41" s="132">
        <f>INDEX(VZ42:VZ100,START!$E$3,1)</f>
        <v>0</v>
      </c>
      <c r="WA41" s="132">
        <f>INDEX(WA42:WA100,START!$E$3,1)</f>
        <v>0</v>
      </c>
      <c r="WB41" s="132">
        <f>INDEX(WB42:WB100,START!$E$3,1)</f>
        <v>0</v>
      </c>
      <c r="WC41" s="132">
        <f>INDEX(WC42:WC100,START!$E$3,1)</f>
        <v>0</v>
      </c>
      <c r="WD41" s="132">
        <f>INDEX(WD42:WD100,START!$E$3,1)</f>
        <v>0</v>
      </c>
      <c r="WE41" s="132">
        <f>INDEX(WE42:WE100,START!$E$3,1)</f>
        <v>0</v>
      </c>
      <c r="WF41" s="132">
        <f>INDEX(WF42:WF100,START!$E$3,1)</f>
        <v>0</v>
      </c>
      <c r="WG41" s="132">
        <f>INDEX(WG42:WG100,START!$E$3,1)</f>
        <v>0</v>
      </c>
      <c r="WH41" s="132">
        <f>INDEX(WH42:WH100,START!$E$3,1)</f>
        <v>0</v>
      </c>
      <c r="WI41" s="132">
        <f>INDEX(WI42:WI100,START!$E$3,1)</f>
        <v>0</v>
      </c>
      <c r="WJ41" s="132">
        <f>INDEX(WJ42:WJ100,START!$E$3,1)</f>
        <v>0</v>
      </c>
      <c r="WK41" s="132">
        <f>INDEX(WK42:WK100,START!$E$3,1)</f>
        <v>0</v>
      </c>
      <c r="WL41" s="132">
        <f>INDEX(WL42:WL100,START!$E$3,1)</f>
        <v>0</v>
      </c>
      <c r="WM41" s="132">
        <f>INDEX(WM42:WM100,START!$E$3,1)</f>
        <v>0</v>
      </c>
      <c r="WN41" s="132">
        <f>INDEX(WN42:WN100,START!$E$3,1)</f>
        <v>0</v>
      </c>
      <c r="WO41" s="132">
        <f>INDEX(WO42:WO100,START!$E$3,1)</f>
        <v>0</v>
      </c>
      <c r="WP41" s="132">
        <f>INDEX(WP42:WP100,START!$E$3,1)</f>
        <v>0</v>
      </c>
      <c r="WQ41" s="132">
        <f>INDEX(WQ42:WQ100,START!$E$3,1)</f>
        <v>0</v>
      </c>
      <c r="WR41" s="132">
        <f>INDEX(WR42:WR100,START!$E$3,1)</f>
        <v>0</v>
      </c>
      <c r="WS41" s="132">
        <f>INDEX(WS42:WS100,START!$E$3,1)</f>
        <v>0</v>
      </c>
      <c r="WT41" s="132">
        <f>INDEX(WT42:WT100,START!$E$3,1)</f>
        <v>0</v>
      </c>
      <c r="WU41" s="132">
        <f>INDEX(WU42:WU100,START!$E$3,1)</f>
        <v>0</v>
      </c>
      <c r="WV41" s="132">
        <f>INDEX(WV42:WV100,START!$E$3,1)</f>
        <v>0</v>
      </c>
      <c r="WW41" s="132">
        <f>INDEX(WW42:WW100,START!$E$3,1)</f>
        <v>0</v>
      </c>
      <c r="WX41" s="132">
        <f>INDEX(WX42:WX100,START!$E$3,1)</f>
        <v>0</v>
      </c>
      <c r="WY41" s="132">
        <f>INDEX(WY42:WY100,START!$E$3,1)</f>
        <v>0</v>
      </c>
      <c r="WZ41" s="132">
        <f>INDEX(WZ42:WZ100,START!$E$3,1)</f>
        <v>0</v>
      </c>
      <c r="XA41" s="132">
        <f>INDEX(XA42:XA100,START!$E$3,1)</f>
        <v>0</v>
      </c>
      <c r="XB41" s="132">
        <f>INDEX(XB42:XB100,START!$E$3,1)</f>
        <v>0</v>
      </c>
      <c r="XC41" s="132">
        <f>INDEX(XC42:XC100,START!$E$3,1)</f>
        <v>0</v>
      </c>
      <c r="XD41" s="132">
        <f>INDEX(XD42:XD100,START!$E$3,1)</f>
        <v>0</v>
      </c>
      <c r="XE41" s="132">
        <f>INDEX(XE42:XE100,START!$E$3,1)</f>
        <v>0</v>
      </c>
      <c r="XF41" s="132">
        <f>INDEX(XF42:XF100,START!$E$3,1)</f>
        <v>0</v>
      </c>
      <c r="XG41" s="132">
        <f>INDEX(XG42:XG100,START!$E$3,1)</f>
        <v>0</v>
      </c>
      <c r="XH41" s="132">
        <f>INDEX(XH42:XH100,START!$E$3,1)</f>
        <v>0</v>
      </c>
      <c r="XI41" s="132">
        <f>INDEX(XI42:XI100,START!$E$3,1)</f>
        <v>0</v>
      </c>
      <c r="XJ41" s="132">
        <f>INDEX(XJ42:XJ100,START!$E$3,1)</f>
        <v>0</v>
      </c>
      <c r="XK41" s="132">
        <f>INDEX(XK42:XK100,START!$E$3,1)</f>
        <v>0</v>
      </c>
      <c r="XL41" s="132">
        <f>INDEX(XL42:XL100,START!$E$3,1)</f>
        <v>0</v>
      </c>
      <c r="XM41" s="132">
        <f>INDEX(XM42:XM100,START!$E$3,1)</f>
        <v>0</v>
      </c>
      <c r="XN41" s="132">
        <f>INDEX(XN42:XN100,START!$E$3,1)</f>
        <v>0</v>
      </c>
      <c r="XO41" s="132">
        <f>INDEX(XO42:XO100,START!$E$3,1)</f>
        <v>0</v>
      </c>
      <c r="XP41" s="132">
        <f>INDEX(XP42:XP100,START!$E$3,1)</f>
        <v>0</v>
      </c>
      <c r="XQ41" s="132">
        <f>INDEX(XQ42:XQ100,START!$E$3,1)</f>
        <v>0</v>
      </c>
      <c r="XR41" s="132">
        <f>INDEX(XR42:XR100,START!$E$3,1)</f>
        <v>0</v>
      </c>
      <c r="XS41" s="132">
        <f>INDEX(XS42:XS100,START!$E$3,1)</f>
        <v>0</v>
      </c>
      <c r="XT41" s="132">
        <f>INDEX(XT42:XT100,START!$E$3,1)</f>
        <v>0</v>
      </c>
      <c r="XU41" s="132">
        <f>INDEX(XU42:XU100,START!$E$3,1)</f>
        <v>0</v>
      </c>
      <c r="XV41" s="132">
        <f>INDEX(XV42:XV100,START!$E$3,1)</f>
        <v>0</v>
      </c>
      <c r="XW41" s="132">
        <f>INDEX(XW42:XW100,START!$E$3,1)</f>
        <v>0</v>
      </c>
      <c r="XX41" s="132">
        <f>INDEX(XX42:XX100,START!$E$3,1)</f>
        <v>0</v>
      </c>
      <c r="XY41" s="132">
        <f>INDEX(XY42:XY100,START!$E$3,1)</f>
        <v>0</v>
      </c>
      <c r="XZ41" s="132">
        <f>INDEX(XZ42:XZ100,START!$E$3,1)</f>
        <v>0</v>
      </c>
      <c r="YA41" s="132">
        <f>INDEX(YA42:YA100,START!$E$3,1)</f>
        <v>0</v>
      </c>
      <c r="YB41" s="132">
        <f>INDEX(YB42:YB100,START!$E$3,1)</f>
        <v>0</v>
      </c>
      <c r="YC41" s="132">
        <f>INDEX(YC42:YC100,START!$E$3,1)</f>
        <v>0</v>
      </c>
      <c r="YD41" s="132">
        <f>INDEX(YD42:YD100,START!$E$3,1)</f>
        <v>0</v>
      </c>
      <c r="YE41" s="132">
        <f>INDEX(YE42:YE100,START!$E$3,1)</f>
        <v>0</v>
      </c>
      <c r="YF41" s="132">
        <f>INDEX(YF42:YF100,START!$E$3,1)</f>
        <v>0</v>
      </c>
      <c r="YG41" s="132">
        <f>INDEX(YG42:YG100,START!$E$3,1)</f>
        <v>0</v>
      </c>
      <c r="YH41" s="132">
        <f>INDEX(YH42:YH100,START!$E$3,1)</f>
        <v>0</v>
      </c>
      <c r="YI41" s="132">
        <f>INDEX(YI42:YI100,START!$E$3,1)</f>
        <v>0</v>
      </c>
      <c r="YJ41" s="132">
        <f>INDEX(YJ42:YJ100,START!$E$3,1)</f>
        <v>0</v>
      </c>
      <c r="YK41" s="132">
        <f>INDEX(YK42:YK100,START!$E$3,1)</f>
        <v>0</v>
      </c>
      <c r="YL41" s="132">
        <f>INDEX(YL42:YL100,START!$E$3,1)</f>
        <v>0</v>
      </c>
      <c r="YM41" s="132">
        <f>INDEX(YM42:YM100,START!$E$3,1)</f>
        <v>0</v>
      </c>
      <c r="YN41" s="132">
        <f>INDEX(YN42:YN100,START!$E$3,1)</f>
        <v>0</v>
      </c>
      <c r="YO41" s="132">
        <f>INDEX(YO42:YO100,START!$E$3,1)</f>
        <v>0</v>
      </c>
      <c r="YP41" s="132">
        <f>INDEX(YP42:YP100,START!$E$3,1)</f>
        <v>0</v>
      </c>
      <c r="YQ41" s="132">
        <f>INDEX(YQ42:YQ100,START!$E$3,1)</f>
        <v>0</v>
      </c>
      <c r="YR41" s="132">
        <f>INDEX(YR42:YR100,START!$E$3,1)</f>
        <v>0</v>
      </c>
      <c r="YS41" s="132">
        <f>INDEX(YS42:YS100,START!$E$3,1)</f>
        <v>0</v>
      </c>
      <c r="YT41" s="132">
        <f>INDEX(YT42:YT100,START!$E$3,1)</f>
        <v>0</v>
      </c>
      <c r="YU41" s="132">
        <f>INDEX(YU42:YU100,START!$E$3,1)</f>
        <v>0</v>
      </c>
      <c r="YV41" s="132">
        <f>INDEX(YV42:YV100,START!$E$3,1)</f>
        <v>0</v>
      </c>
      <c r="YW41" s="132">
        <f>INDEX(YW42:YW100,START!$E$3,1)</f>
        <v>0</v>
      </c>
      <c r="YX41" s="132">
        <f>INDEX(YX42:YX100,START!$E$3,1)</f>
        <v>0</v>
      </c>
      <c r="YY41" s="132">
        <f>INDEX(YY42:YY100,START!$E$3,1)</f>
        <v>0</v>
      </c>
      <c r="YZ41" s="132">
        <f>INDEX(YZ42:YZ100,START!$E$3,1)</f>
        <v>0</v>
      </c>
      <c r="ZA41" s="132">
        <f>INDEX(ZA42:ZA100,START!$E$3,1)</f>
        <v>0</v>
      </c>
      <c r="ZB41" s="132">
        <f>INDEX(ZB42:ZB100,START!$E$3,1)</f>
        <v>0</v>
      </c>
      <c r="ZC41" s="132">
        <f>INDEX(ZC42:ZC100,START!$E$3,1)</f>
        <v>0</v>
      </c>
      <c r="ZD41" s="132">
        <f>INDEX(ZD42:ZD100,START!$E$3,1)</f>
        <v>0</v>
      </c>
      <c r="ZE41" s="132">
        <f>INDEX(ZE42:ZE100,START!$E$3,1)</f>
        <v>0</v>
      </c>
      <c r="ZF41" s="132">
        <f>INDEX(ZF42:ZF100,START!$E$3,1)</f>
        <v>0</v>
      </c>
      <c r="ZG41" s="132">
        <f>INDEX(ZG42:ZG100,START!$E$3,1)</f>
        <v>0</v>
      </c>
      <c r="ZH41" s="132">
        <f>INDEX(ZH42:ZH100,START!$E$3,1)</f>
        <v>0</v>
      </c>
      <c r="ZI41" s="132">
        <f>INDEX(ZI42:ZI100,START!$E$3,1)</f>
        <v>0</v>
      </c>
      <c r="ZJ41" s="132">
        <f>INDEX(ZJ42:ZJ100,START!$E$3,1)</f>
        <v>0</v>
      </c>
      <c r="ZK41" s="132">
        <f>INDEX(ZK42:ZK100,START!$E$3,1)</f>
        <v>0</v>
      </c>
      <c r="ZL41" s="132">
        <f>INDEX(ZL42:ZL100,START!$E$3,1)</f>
        <v>0</v>
      </c>
      <c r="ZM41" s="132">
        <f>INDEX(ZM42:ZM100,START!$E$3,1)</f>
        <v>0</v>
      </c>
      <c r="ZN41" s="132">
        <f>INDEX(ZN42:ZN100,START!$E$3,1)</f>
        <v>0</v>
      </c>
      <c r="ZO41" s="132">
        <f>INDEX(ZO42:ZO100,START!$E$3,1)</f>
        <v>0</v>
      </c>
      <c r="ZP41" s="132">
        <f>INDEX(ZP42:ZP100,START!$E$3,1)</f>
        <v>0</v>
      </c>
      <c r="ZQ41" s="132">
        <f>INDEX(ZQ42:ZQ100,START!$E$3,1)</f>
        <v>0</v>
      </c>
      <c r="ZR41" s="132">
        <f>INDEX(ZR42:ZR100,START!$E$3,1)</f>
        <v>0</v>
      </c>
      <c r="ZS41" s="132">
        <f>INDEX(ZS42:ZS100,START!$E$3,1)</f>
        <v>0</v>
      </c>
      <c r="ZT41" s="132">
        <f>INDEX(ZT42:ZT100,START!$E$3,1)</f>
        <v>0</v>
      </c>
      <c r="ZU41" s="132">
        <f>INDEX(ZU42:ZU100,START!$E$3,1)</f>
        <v>0</v>
      </c>
      <c r="ZV41" s="132">
        <f>INDEX(ZV42:ZV100,START!$E$3,1)</f>
        <v>0</v>
      </c>
      <c r="ZW41" s="132">
        <f>INDEX(ZW42:ZW100,START!$E$3,1)</f>
        <v>0</v>
      </c>
      <c r="ZX41" s="132">
        <f>INDEX(ZX42:ZX100,START!$E$3,1)</f>
        <v>0</v>
      </c>
      <c r="ZY41" s="132">
        <f>INDEX(ZY42:ZY100,START!$E$3,1)</f>
        <v>0</v>
      </c>
      <c r="ZZ41" s="132">
        <f>INDEX(ZZ42:ZZ100,START!$E$3,1)</f>
        <v>0</v>
      </c>
      <c r="AAA41" s="132">
        <f>INDEX(AAA42:AAA100,START!$E$3,1)</f>
        <v>0</v>
      </c>
      <c r="AAB41" s="132">
        <f>INDEX(AAB42:AAB100,START!$E$3,1)</f>
        <v>0</v>
      </c>
      <c r="AAC41" s="132">
        <f>INDEX(AAC42:AAC100,START!$E$3,1)</f>
        <v>0</v>
      </c>
      <c r="AAD41" s="132">
        <f>INDEX(AAD42:AAD100,START!$E$3,1)</f>
        <v>0</v>
      </c>
      <c r="AAE41" s="132">
        <f>INDEX(AAE42:AAE100,START!$E$3,1)</f>
        <v>0</v>
      </c>
      <c r="AAF41" s="132">
        <f>INDEX(AAF42:AAF100,START!$E$3,1)</f>
        <v>0</v>
      </c>
      <c r="AAG41" s="132">
        <f>INDEX(AAG42:AAG100,START!$E$3,1)</f>
        <v>0</v>
      </c>
      <c r="AAH41" s="132">
        <f>INDEX(AAH42:AAH100,START!$E$3,1)</f>
        <v>0</v>
      </c>
      <c r="AAI41" s="132">
        <f>INDEX(AAI42:AAI100,START!$E$3,1)</f>
        <v>0</v>
      </c>
      <c r="AAJ41" s="132">
        <f>INDEX(AAJ42:AAJ100,START!$E$3,1)</f>
        <v>0</v>
      </c>
      <c r="AAK41" s="132">
        <f>INDEX(AAK42:AAK100,START!$E$3,1)</f>
        <v>0</v>
      </c>
      <c r="AAL41" s="132">
        <f>INDEX(AAL42:AAL100,START!$E$3,1)</f>
        <v>0</v>
      </c>
      <c r="AAM41" s="132">
        <f>INDEX(AAM42:AAM100,START!$E$3,1)</f>
        <v>0</v>
      </c>
      <c r="AAN41" s="132">
        <f>INDEX(AAN42:AAN100,START!$E$3,1)</f>
        <v>0</v>
      </c>
      <c r="AAO41" s="132">
        <f>INDEX(AAO42:AAO100,START!$E$3,1)</f>
        <v>0</v>
      </c>
      <c r="AAP41" s="132">
        <f>INDEX(AAP42:AAP100,START!$E$3,1)</f>
        <v>0</v>
      </c>
      <c r="AAQ41" s="132">
        <f>INDEX(AAQ42:AAQ100,START!$E$3,1)</f>
        <v>0</v>
      </c>
      <c r="AAR41" s="132">
        <f>INDEX(AAR42:AAR100,START!$E$3,1)</f>
        <v>0</v>
      </c>
      <c r="AAS41" s="132">
        <f>INDEX(AAS42:AAS100,START!$E$3,1)</f>
        <v>0</v>
      </c>
      <c r="AAT41" s="132">
        <f>INDEX(AAT42:AAT100,START!$E$3,1)</f>
        <v>0</v>
      </c>
      <c r="AAU41" s="132">
        <f>INDEX(AAU42:AAU100,START!$E$3,1)</f>
        <v>0</v>
      </c>
      <c r="AAV41" s="132">
        <f>INDEX(AAV42:AAV100,START!$E$3,1)</f>
        <v>0</v>
      </c>
      <c r="AAW41" s="132">
        <f>INDEX(AAW42:AAW100,START!$E$3,1)</f>
        <v>0</v>
      </c>
      <c r="AAX41" s="132">
        <f>INDEX(AAX42:AAX100,START!$E$3,1)</f>
        <v>0</v>
      </c>
      <c r="AAY41" s="132">
        <f>INDEX(AAY42:AAY100,START!$E$3,1)</f>
        <v>0</v>
      </c>
      <c r="AAZ41" s="132">
        <f>INDEX(AAZ42:AAZ100,START!$E$3,1)</f>
        <v>0</v>
      </c>
      <c r="ABA41" s="132">
        <f>INDEX(ABA42:ABA100,START!$E$3,1)</f>
        <v>0</v>
      </c>
      <c r="ABB41" s="132">
        <f>INDEX(ABB42:ABB100,START!$E$3,1)</f>
        <v>0</v>
      </c>
      <c r="ABC41" s="132">
        <f>INDEX(ABC42:ABC100,START!$E$3,1)</f>
        <v>0</v>
      </c>
      <c r="ABD41" s="132">
        <f>INDEX(ABD42:ABD100,START!$E$3,1)</f>
        <v>0</v>
      </c>
      <c r="ABE41" s="132">
        <f>INDEX(ABE42:ABE100,START!$E$3,1)</f>
        <v>0</v>
      </c>
      <c r="ABF41" s="132">
        <f>INDEX(ABF42:ABF100,START!$E$3,1)</f>
        <v>0</v>
      </c>
      <c r="ABG41" s="132">
        <f>INDEX(ABG42:ABG100,START!$E$3,1)</f>
        <v>0</v>
      </c>
      <c r="ABH41" s="132">
        <f>INDEX(ABH42:ABH100,START!$E$3,1)</f>
        <v>0</v>
      </c>
      <c r="ABI41" s="132">
        <f>INDEX(ABI42:ABI100,START!$E$3,1)</f>
        <v>0</v>
      </c>
      <c r="ABJ41" s="132">
        <f>INDEX(ABJ42:ABJ100,START!$E$3,1)</f>
        <v>0</v>
      </c>
      <c r="ABK41" s="132">
        <f>INDEX(ABK42:ABK100,START!$E$3,1)</f>
        <v>0</v>
      </c>
      <c r="ABL41" s="132">
        <f>INDEX(ABL42:ABL100,START!$E$3,1)</f>
        <v>0</v>
      </c>
      <c r="ABM41" s="132">
        <f>INDEX(ABM42:ABM100,START!$E$3,1)</f>
        <v>0</v>
      </c>
      <c r="ABN41" s="132">
        <f>INDEX(ABN42:ABN100,START!$E$3,1)</f>
        <v>0</v>
      </c>
      <c r="ABO41" s="132">
        <f>INDEX(ABO42:ABO100,START!$E$3,1)</f>
        <v>0</v>
      </c>
      <c r="ABP41" s="132">
        <f>INDEX(ABP42:ABP100,START!$E$3,1)</f>
        <v>0</v>
      </c>
      <c r="ABQ41" s="132">
        <f>INDEX(ABQ42:ABQ100,START!$E$3,1)</f>
        <v>0</v>
      </c>
      <c r="ABR41" s="132">
        <f>INDEX(ABR42:ABR100,START!$E$3,1)</f>
        <v>0</v>
      </c>
      <c r="ABS41" s="132">
        <f>INDEX(ABS42:ABS100,START!$E$3,1)</f>
        <v>0</v>
      </c>
      <c r="ABT41" s="132">
        <f>INDEX(ABT42:ABT100,START!$E$3,1)</f>
        <v>0</v>
      </c>
      <c r="ABU41" s="132">
        <f>INDEX(ABU42:ABU100,START!$E$3,1)</f>
        <v>0</v>
      </c>
      <c r="ABV41" s="132">
        <f>INDEX(ABV42:ABV100,START!$E$3,1)</f>
        <v>0</v>
      </c>
      <c r="ABW41" s="132">
        <f>INDEX(ABW42:ABW100,START!$E$3,1)</f>
        <v>0</v>
      </c>
      <c r="ABX41" s="132">
        <f>INDEX(ABX42:ABX100,START!$E$3,1)</f>
        <v>0</v>
      </c>
      <c r="ABY41" s="132">
        <f>INDEX(ABY42:ABY100,START!$E$3,1)</f>
        <v>0</v>
      </c>
      <c r="ABZ41" s="132">
        <f>INDEX(ABZ42:ABZ100,START!$E$3,1)</f>
        <v>0</v>
      </c>
      <c r="ACA41" s="132">
        <f>INDEX(ACA42:ACA100,START!$E$3,1)</f>
        <v>0</v>
      </c>
      <c r="ACB41" s="132">
        <f>INDEX(ACB42:ACB100,START!$E$3,1)</f>
        <v>0</v>
      </c>
      <c r="ACC41" s="132">
        <f>INDEX(ACC42:ACC100,START!$E$3,1)</f>
        <v>0</v>
      </c>
      <c r="ACD41" s="132">
        <f>INDEX(ACD42:ACD100,START!$E$3,1)</f>
        <v>0</v>
      </c>
      <c r="ACE41" s="132">
        <f>INDEX(ACE42:ACE100,START!$E$3,1)</f>
        <v>0</v>
      </c>
      <c r="ACF41" s="132">
        <f>INDEX(ACF42:ACF100,START!$E$3,1)</f>
        <v>0</v>
      </c>
      <c r="ACG41" s="132">
        <f>INDEX(ACG42:ACG100,START!$E$3,1)</f>
        <v>0</v>
      </c>
      <c r="ACH41" s="132">
        <f>INDEX(ACH42:ACH100,START!$E$3,1)</f>
        <v>0</v>
      </c>
      <c r="ACI41" s="132">
        <f>INDEX(ACI42:ACI100,START!$E$3,1)</f>
        <v>0</v>
      </c>
      <c r="ACJ41" s="132">
        <f>INDEX(ACJ42:ACJ100,START!$E$3,1)</f>
        <v>0</v>
      </c>
      <c r="ACK41" s="132">
        <f>INDEX(ACK42:ACK100,START!$E$3,1)</f>
        <v>0</v>
      </c>
      <c r="ACL41" s="132">
        <f>INDEX(ACL42:ACL100,START!$E$3,1)</f>
        <v>0</v>
      </c>
      <c r="ACM41" s="132">
        <f>INDEX(ACM42:ACM100,START!$E$3,1)</f>
        <v>0</v>
      </c>
      <c r="ACN41" s="132">
        <f>INDEX(ACN42:ACN100,START!$E$3,1)</f>
        <v>0</v>
      </c>
      <c r="ACO41" s="132">
        <f>INDEX(ACO42:ACO100,START!$E$3,1)</f>
        <v>0</v>
      </c>
      <c r="ACP41" s="132">
        <f>INDEX(ACP42:ACP100,START!$E$3,1)</f>
        <v>0</v>
      </c>
      <c r="ACQ41" s="132">
        <f>INDEX(ACQ42:ACQ100,START!$E$3,1)</f>
        <v>0</v>
      </c>
      <c r="ACR41" s="132">
        <f>INDEX(ACR42:ACR100,START!$E$3,1)</f>
        <v>0</v>
      </c>
      <c r="ACS41" s="132">
        <f>INDEX(ACS42:ACS100,START!$E$3,1)</f>
        <v>0</v>
      </c>
      <c r="ACT41" s="132">
        <f>INDEX(ACT42:ACT100,START!$E$3,1)</f>
        <v>0</v>
      </c>
      <c r="ACU41" s="132">
        <f>INDEX(ACU42:ACU100,START!$E$3,1)</f>
        <v>0</v>
      </c>
      <c r="ACV41" s="132">
        <f>INDEX(ACV42:ACV100,START!$E$3,1)</f>
        <v>0</v>
      </c>
      <c r="ACW41" s="132">
        <f>INDEX(ACW42:ACW100,START!$E$3,1)</f>
        <v>0</v>
      </c>
      <c r="ACX41" s="132">
        <f>INDEX(ACX42:ACX100,START!$E$3,1)</f>
        <v>0</v>
      </c>
      <c r="ACY41" s="132">
        <f>INDEX(ACY42:ACY100,START!$E$3,1)</f>
        <v>0</v>
      </c>
      <c r="ACZ41" s="132">
        <f>INDEX(ACZ42:ACZ100,START!$E$3,1)</f>
        <v>0</v>
      </c>
      <c r="ADA41" s="132">
        <f>INDEX(ADA42:ADA100,START!$E$3,1)</f>
        <v>0</v>
      </c>
      <c r="ADB41" s="132">
        <f>INDEX(ADB42:ADB100,START!$E$3,1)</f>
        <v>0</v>
      </c>
      <c r="ADC41" s="132">
        <f>INDEX(ADC42:ADC100,START!$E$3,1)</f>
        <v>0</v>
      </c>
      <c r="ADD41" s="132">
        <f>INDEX(ADD42:ADD100,START!$E$3,1)</f>
        <v>0</v>
      </c>
      <c r="ADE41" s="132">
        <f>INDEX(ADE42:ADE100,START!$E$3,1)</f>
        <v>0</v>
      </c>
      <c r="ADF41" s="132">
        <f>INDEX(ADF42:ADF100,START!$E$3,1)</f>
        <v>0</v>
      </c>
      <c r="ADG41" s="132">
        <f>INDEX(ADG42:ADG100,START!$E$3,1)</f>
        <v>0</v>
      </c>
      <c r="ADH41" s="132">
        <f>INDEX(ADH42:ADH100,START!$E$3,1)</f>
        <v>0</v>
      </c>
      <c r="ADI41" s="132">
        <f>INDEX(ADI42:ADI100,START!$E$3,1)</f>
        <v>0</v>
      </c>
      <c r="ADJ41" s="132">
        <f>INDEX(ADJ42:ADJ100,START!$E$3,1)</f>
        <v>0</v>
      </c>
      <c r="ADK41" s="132">
        <f>INDEX(ADK42:ADK100,START!$E$3,1)</f>
        <v>0</v>
      </c>
      <c r="ADL41" s="132">
        <f>INDEX(ADL42:ADL100,START!$E$3,1)</f>
        <v>0</v>
      </c>
      <c r="ADM41" s="132">
        <f>INDEX(ADM42:ADM100,START!$E$3,1)</f>
        <v>0</v>
      </c>
      <c r="ADN41" s="132">
        <f>INDEX(ADN42:ADN100,START!$E$3,1)</f>
        <v>0</v>
      </c>
      <c r="ADO41" s="132">
        <f>INDEX(ADO42:ADO100,START!$E$3,1)</f>
        <v>0</v>
      </c>
      <c r="ADP41" s="132">
        <f>INDEX(ADP42:ADP100,START!$E$3,1)</f>
        <v>0</v>
      </c>
      <c r="ADQ41" s="132">
        <f>INDEX(ADQ42:ADQ100,START!$E$3,1)</f>
        <v>0</v>
      </c>
      <c r="ADR41" s="132">
        <f>INDEX(ADR42:ADR100,START!$E$3,1)</f>
        <v>0</v>
      </c>
      <c r="ADS41" s="132">
        <f>INDEX(ADS42:ADS100,START!$E$3,1)</f>
        <v>0</v>
      </c>
      <c r="ADT41" s="132">
        <f>INDEX(ADT42:ADT100,START!$E$3,1)</f>
        <v>0</v>
      </c>
      <c r="ADU41" s="132">
        <f>INDEX(ADU42:ADU100,START!$E$3,1)</f>
        <v>0</v>
      </c>
      <c r="ADV41" s="132">
        <f>INDEX(ADV42:ADV100,START!$E$3,1)</f>
        <v>0</v>
      </c>
      <c r="ADW41" s="132">
        <f>INDEX(ADW42:ADW100,START!$E$3,1)</f>
        <v>0</v>
      </c>
      <c r="ADX41" s="132">
        <f>INDEX(ADX42:ADX100,START!$E$3,1)</f>
        <v>0</v>
      </c>
      <c r="ADY41" s="132">
        <f>INDEX(ADY42:ADY100,START!$E$3,1)</f>
        <v>0</v>
      </c>
      <c r="ADZ41" s="132">
        <f>INDEX(ADZ42:ADZ100,START!$E$3,1)</f>
        <v>0</v>
      </c>
      <c r="AEA41" s="132">
        <f>INDEX(AEA42:AEA100,START!$E$3,1)</f>
        <v>0</v>
      </c>
      <c r="AEB41" s="132">
        <f>INDEX(AEB42:AEB100,START!$E$3,1)</f>
        <v>0</v>
      </c>
      <c r="AEC41" s="132">
        <f>INDEX(AEC42:AEC100,START!$E$3,1)</f>
        <v>0</v>
      </c>
      <c r="AED41" s="132">
        <f>INDEX(AED42:AED100,START!$E$3,1)</f>
        <v>0</v>
      </c>
      <c r="AEE41" s="132">
        <f>INDEX(AEE42:AEE100,START!$E$3,1)</f>
        <v>0</v>
      </c>
      <c r="AEF41" s="132">
        <f>INDEX(AEF42:AEF100,START!$E$3,1)</f>
        <v>0</v>
      </c>
      <c r="AEG41" s="132">
        <f>INDEX(AEG42:AEG100,START!$E$3,1)</f>
        <v>0</v>
      </c>
      <c r="AEH41" s="132">
        <f>INDEX(AEH42:AEH100,START!$E$3,1)</f>
        <v>0</v>
      </c>
      <c r="AEI41" s="132">
        <f>INDEX(AEI42:AEI100,START!$E$3,1)</f>
        <v>0</v>
      </c>
      <c r="AEJ41" s="132">
        <f>INDEX(AEJ42:AEJ100,START!$E$3,1)</f>
        <v>0</v>
      </c>
      <c r="AEK41" s="132">
        <f>INDEX(AEK42:AEK100,START!$E$3,1)</f>
        <v>0</v>
      </c>
      <c r="AEL41" s="132">
        <f>INDEX(AEL42:AEL100,START!$E$3,1)</f>
        <v>0</v>
      </c>
      <c r="AEM41" s="132">
        <f>INDEX(AEM42:AEM100,START!$E$3,1)</f>
        <v>0</v>
      </c>
      <c r="AEN41" s="132">
        <f>INDEX(AEN42:AEN100,START!$E$3,1)</f>
        <v>0</v>
      </c>
      <c r="AEO41" s="132">
        <f>INDEX(AEO42:AEO100,START!$E$3,1)</f>
        <v>0</v>
      </c>
      <c r="AEP41" s="132">
        <f>INDEX(AEP42:AEP100,START!$E$3,1)</f>
        <v>0</v>
      </c>
      <c r="AEQ41" s="132">
        <f>INDEX(AEQ42:AEQ100,START!$E$3,1)</f>
        <v>0</v>
      </c>
      <c r="AER41" s="132">
        <f>INDEX(AER42:AER100,START!$E$3,1)</f>
        <v>0</v>
      </c>
      <c r="AES41" s="132">
        <f>INDEX(AES42:AES100,START!$E$3,1)</f>
        <v>0</v>
      </c>
      <c r="AET41" s="132">
        <f>INDEX(AET42:AET100,START!$E$3,1)</f>
        <v>0</v>
      </c>
      <c r="AEU41" s="132">
        <f>INDEX(AEU42:AEU100,START!$E$3,1)</f>
        <v>0</v>
      </c>
      <c r="AEV41" s="132">
        <f>INDEX(AEV42:AEV100,START!$E$3,1)</f>
        <v>0</v>
      </c>
      <c r="AEW41" s="132">
        <f>INDEX(AEW42:AEW100,START!$E$3,1)</f>
        <v>0</v>
      </c>
      <c r="AEX41" s="132">
        <f>INDEX(AEX42:AEX100,START!$E$3,1)</f>
        <v>0</v>
      </c>
      <c r="AEY41" s="132">
        <f>INDEX(AEY42:AEY100,START!$E$3,1)</f>
        <v>0</v>
      </c>
      <c r="AEZ41" s="132">
        <f>INDEX(AEZ42:AEZ100,START!$E$3,1)</f>
        <v>0</v>
      </c>
      <c r="AFA41" s="132">
        <f>INDEX(AFA42:AFA100,START!$E$3,1)</f>
        <v>0</v>
      </c>
      <c r="AFB41" s="132">
        <f>INDEX(AFB42:AFB100,START!$E$3,1)</f>
        <v>0</v>
      </c>
      <c r="AFC41" s="132">
        <f>INDEX(AFC42:AFC100,START!$E$3,1)</f>
        <v>0</v>
      </c>
      <c r="AFD41" s="132">
        <f>INDEX(AFD42:AFD100,START!$E$3,1)</f>
        <v>0</v>
      </c>
      <c r="AFE41" s="132">
        <f>INDEX(AFE42:AFE100,START!$E$3,1)</f>
        <v>0</v>
      </c>
      <c r="AFF41" s="132">
        <f>INDEX(AFF42:AFF100,START!$E$3,1)</f>
        <v>0</v>
      </c>
      <c r="AFG41" s="132">
        <f>INDEX(AFG42:AFG100,START!$E$3,1)</f>
        <v>0</v>
      </c>
      <c r="AFH41" s="132">
        <f>INDEX(AFH42:AFH100,START!$E$3,1)</f>
        <v>0</v>
      </c>
      <c r="AFI41" s="132">
        <f>INDEX(AFI42:AFI100,START!$E$3,1)</f>
        <v>0</v>
      </c>
      <c r="AFJ41" s="132">
        <f>INDEX(AFJ42:AFJ100,START!$E$3,1)</f>
        <v>0</v>
      </c>
      <c r="AFK41" s="132">
        <f>INDEX(AFK42:AFK100,START!$E$3,1)</f>
        <v>0</v>
      </c>
      <c r="AFL41" s="132">
        <f>INDEX(AFL42:AFL100,START!$E$3,1)</f>
        <v>0</v>
      </c>
      <c r="AFM41" s="132">
        <f>INDEX(AFM42:AFM100,START!$E$3,1)</f>
        <v>0</v>
      </c>
      <c r="AFN41" s="132">
        <f>INDEX(AFN42:AFN100,START!$E$3,1)</f>
        <v>0</v>
      </c>
      <c r="AFO41" s="132">
        <f>INDEX(AFO42:AFO100,START!$E$3,1)</f>
        <v>0</v>
      </c>
      <c r="AFP41" s="132">
        <f>INDEX(AFP42:AFP100,START!$E$3,1)</f>
        <v>0</v>
      </c>
      <c r="AFQ41" s="132">
        <f>INDEX(AFQ42:AFQ100,START!$E$3,1)</f>
        <v>0</v>
      </c>
      <c r="AFR41" s="132">
        <f>INDEX(AFR42:AFR100,START!$E$3,1)</f>
        <v>0</v>
      </c>
      <c r="AFS41" s="132">
        <f>INDEX(AFS42:AFS100,START!$E$3,1)</f>
        <v>0</v>
      </c>
      <c r="AFT41" s="132">
        <f>INDEX(AFT42:AFT100,START!$E$3,1)</f>
        <v>0</v>
      </c>
      <c r="AFU41" s="132">
        <f>INDEX(AFU42:AFU100,START!$E$3,1)</f>
        <v>0</v>
      </c>
      <c r="AFV41" s="132">
        <f>INDEX(AFV42:AFV100,START!$E$3,1)</f>
        <v>0</v>
      </c>
      <c r="AFW41" s="132">
        <f>INDEX(AFW42:AFW100,START!$E$3,1)</f>
        <v>0</v>
      </c>
      <c r="AFX41" s="132">
        <f>INDEX(AFX42:AFX100,START!$E$3,1)</f>
        <v>0</v>
      </c>
      <c r="AFY41" s="132">
        <f>INDEX(AFY42:AFY100,START!$E$3,1)</f>
        <v>0</v>
      </c>
      <c r="AFZ41" s="132">
        <f>INDEX(AFZ42:AFZ100,START!$E$3,1)</f>
        <v>0</v>
      </c>
      <c r="AGA41" s="132">
        <f>INDEX(AGA42:AGA100,START!$E$3,1)</f>
        <v>0</v>
      </c>
      <c r="AGB41" s="132">
        <f>INDEX(AGB42:AGB100,START!$E$3,1)</f>
        <v>0</v>
      </c>
      <c r="AGC41" s="132">
        <f>INDEX(AGC42:AGC100,START!$E$3,1)</f>
        <v>0</v>
      </c>
      <c r="AGD41" s="132">
        <f>INDEX(AGD42:AGD100,START!$E$3,1)</f>
        <v>0</v>
      </c>
      <c r="AGE41" s="132">
        <f>INDEX(AGE42:AGE100,START!$E$3,1)</f>
        <v>0</v>
      </c>
      <c r="AGF41" s="132">
        <f>INDEX(AGF42:AGF100,START!$E$3,1)</f>
        <v>0</v>
      </c>
      <c r="AGG41" s="132">
        <f>INDEX(AGG42:AGG100,START!$E$3,1)</f>
        <v>0</v>
      </c>
      <c r="AGH41" s="132">
        <f>INDEX(AGH42:AGH100,START!$E$3,1)</f>
        <v>0</v>
      </c>
      <c r="AGI41" s="132">
        <f>INDEX(AGI42:AGI100,START!$E$3,1)</f>
        <v>0</v>
      </c>
      <c r="AGJ41" s="132">
        <f>INDEX(AGJ42:AGJ100,START!$E$3,1)</f>
        <v>0</v>
      </c>
      <c r="AGK41" s="132">
        <f>INDEX(AGK42:AGK100,START!$E$3,1)</f>
        <v>0</v>
      </c>
      <c r="AGL41" s="132">
        <f>INDEX(AGL42:AGL100,START!$E$3,1)</f>
        <v>0</v>
      </c>
      <c r="AGM41" s="132">
        <f>INDEX(AGM42:AGM100,START!$E$3,1)</f>
        <v>0</v>
      </c>
      <c r="AGN41" s="132">
        <f>INDEX(AGN42:AGN100,START!$E$3,1)</f>
        <v>0</v>
      </c>
      <c r="AGO41" s="132">
        <f>INDEX(AGO42:AGO100,START!$E$3,1)</f>
        <v>0</v>
      </c>
      <c r="AGP41" s="132">
        <f>INDEX(AGP42:AGP100,START!$E$3,1)</f>
        <v>0</v>
      </c>
      <c r="AGQ41" s="132">
        <f>INDEX(AGQ42:AGQ100,START!$E$3,1)</f>
        <v>0</v>
      </c>
      <c r="AGR41" s="132">
        <f>INDEX(AGR42:AGR100,START!$E$3,1)</f>
        <v>0</v>
      </c>
      <c r="AGS41" s="132">
        <f>INDEX(AGS42:AGS100,START!$E$3,1)</f>
        <v>0</v>
      </c>
      <c r="AGT41" s="132">
        <f>INDEX(AGT42:AGT100,START!$E$3,1)</f>
        <v>0</v>
      </c>
      <c r="AGU41" s="132">
        <f>INDEX(AGU42:AGU100,START!$E$3,1)</f>
        <v>0</v>
      </c>
      <c r="AGV41" s="132">
        <f>INDEX(AGV42:AGV100,START!$E$3,1)</f>
        <v>0</v>
      </c>
      <c r="AGW41" s="132">
        <f>INDEX(AGW42:AGW100,START!$E$3,1)</f>
        <v>0</v>
      </c>
      <c r="AGX41" s="132">
        <f>INDEX(AGX42:AGX100,START!$E$3,1)</f>
        <v>0</v>
      </c>
      <c r="AGY41" s="132">
        <f>INDEX(AGY42:AGY100,START!$E$3,1)</f>
        <v>0</v>
      </c>
      <c r="AGZ41" s="132">
        <f>INDEX(AGZ42:AGZ100,START!$E$3,1)</f>
        <v>0</v>
      </c>
      <c r="AHA41" s="132">
        <f>INDEX(AHA42:AHA100,START!$E$3,1)</f>
        <v>0</v>
      </c>
      <c r="AHB41" s="132">
        <f>INDEX(AHB42:AHB100,START!$E$3,1)</f>
        <v>0</v>
      </c>
      <c r="AHC41" s="132">
        <f>INDEX(AHC42:AHC100,START!$E$3,1)</f>
        <v>0</v>
      </c>
      <c r="AHD41" s="132">
        <f>INDEX(AHD42:AHD100,START!$E$3,1)</f>
        <v>0</v>
      </c>
      <c r="AHE41" s="132">
        <f>INDEX(AHE42:AHE100,START!$E$3,1)</f>
        <v>0</v>
      </c>
      <c r="AHF41" s="132">
        <f>INDEX(AHF42:AHF100,START!$E$3,1)</f>
        <v>0</v>
      </c>
      <c r="AHG41" s="132">
        <f>INDEX(AHG42:AHG100,START!$E$3,1)</f>
        <v>0</v>
      </c>
      <c r="AHH41" s="132">
        <f>INDEX(AHH42:AHH100,START!$E$3,1)</f>
        <v>0</v>
      </c>
      <c r="AHI41" s="132">
        <f>INDEX(AHI42:AHI100,START!$E$3,1)</f>
        <v>0</v>
      </c>
      <c r="AHJ41" s="132">
        <f>INDEX(AHJ42:AHJ100,START!$E$3,1)</f>
        <v>0</v>
      </c>
      <c r="AHK41" s="132">
        <f>INDEX(AHK42:AHK100,START!$E$3,1)</f>
        <v>0</v>
      </c>
      <c r="AHL41" s="132">
        <f>INDEX(AHL42:AHL100,START!$E$3,1)</f>
        <v>0</v>
      </c>
      <c r="AHM41" s="132">
        <f>INDEX(AHM42:AHM100,START!$E$3,1)</f>
        <v>0</v>
      </c>
      <c r="AHN41" s="132">
        <f>INDEX(AHN42:AHN100,START!$E$3,1)</f>
        <v>0</v>
      </c>
      <c r="AHO41" s="132">
        <f>INDEX(AHO42:AHO100,START!$E$3,1)</f>
        <v>0</v>
      </c>
      <c r="AHP41" s="132">
        <f>INDEX(AHP42:AHP100,START!$E$3,1)</f>
        <v>0</v>
      </c>
      <c r="AHQ41" s="132">
        <f>INDEX(AHQ42:AHQ100,START!$E$3,1)</f>
        <v>0</v>
      </c>
      <c r="AHR41" s="132">
        <f>INDEX(AHR42:AHR100,START!$E$3,1)</f>
        <v>0</v>
      </c>
      <c r="AHS41" s="132">
        <f>INDEX(AHS42:AHS100,START!$E$3,1)</f>
        <v>0</v>
      </c>
      <c r="AHT41" s="132">
        <f>INDEX(AHT42:AHT100,START!$E$3,1)</f>
        <v>0</v>
      </c>
      <c r="AHU41" s="132">
        <f>INDEX(AHU42:AHU100,START!$E$3,1)</f>
        <v>0</v>
      </c>
      <c r="AHV41" s="132">
        <f>INDEX(AHV42:AHV100,START!$E$3,1)</f>
        <v>0</v>
      </c>
      <c r="AHW41" s="132">
        <f>INDEX(AHW42:AHW100,START!$E$3,1)</f>
        <v>0</v>
      </c>
      <c r="AHX41" s="132">
        <f>INDEX(AHX42:AHX100,START!$E$3,1)</f>
        <v>0</v>
      </c>
      <c r="AHY41" s="132">
        <f>INDEX(AHY42:AHY100,START!$E$3,1)</f>
        <v>0</v>
      </c>
      <c r="AHZ41" s="132">
        <f>INDEX(AHZ42:AHZ100,START!$E$3,1)</f>
        <v>0</v>
      </c>
      <c r="AIA41" s="132">
        <f>INDEX(AIA42:AIA100,START!$E$3,1)</f>
        <v>0</v>
      </c>
      <c r="AIB41" s="132">
        <f>INDEX(AIB42:AIB100,START!$E$3,1)</f>
        <v>0</v>
      </c>
      <c r="AIC41" s="132">
        <f>INDEX(AIC42:AIC100,START!$E$3,1)</f>
        <v>0</v>
      </c>
      <c r="AID41" s="132">
        <f>INDEX(AID42:AID100,START!$E$3,1)</f>
        <v>0</v>
      </c>
      <c r="AIE41" s="132">
        <f>INDEX(AIE42:AIE100,START!$E$3,1)</f>
        <v>0</v>
      </c>
      <c r="AIF41" s="132">
        <f>INDEX(AIF42:AIF100,START!$E$3,1)</f>
        <v>0</v>
      </c>
      <c r="AIG41" s="132">
        <f>INDEX(AIG42:AIG100,START!$E$3,1)</f>
        <v>0</v>
      </c>
      <c r="AIH41" s="132">
        <f>INDEX(AIH42:AIH100,START!$E$3,1)</f>
        <v>0</v>
      </c>
      <c r="AII41" s="132">
        <f>INDEX(AII42:AII100,START!$E$3,1)</f>
        <v>0</v>
      </c>
      <c r="AIJ41" s="132">
        <f>INDEX(AIJ42:AIJ100,START!$E$3,1)</f>
        <v>0</v>
      </c>
      <c r="AIK41" s="132">
        <f>INDEX(AIK42:AIK100,START!$E$3,1)</f>
        <v>0</v>
      </c>
      <c r="AIL41" s="132">
        <f>INDEX(AIL42:AIL100,START!$E$3,1)</f>
        <v>0</v>
      </c>
      <c r="AIM41" s="132">
        <f>INDEX(AIM42:AIM100,START!$E$3,1)</f>
        <v>0</v>
      </c>
      <c r="AIN41" s="132">
        <f>INDEX(AIN42:AIN100,START!$E$3,1)</f>
        <v>0</v>
      </c>
      <c r="AIO41" s="132">
        <f>INDEX(AIO42:AIO100,START!$E$3,1)</f>
        <v>0</v>
      </c>
      <c r="AIP41" s="132">
        <f>INDEX(AIP42:AIP100,START!$E$3,1)</f>
        <v>0</v>
      </c>
      <c r="AIQ41" s="132">
        <f>INDEX(AIQ42:AIQ100,START!$E$3,1)</f>
        <v>0</v>
      </c>
      <c r="AIR41" s="132">
        <f>INDEX(AIR42:AIR100,START!$E$3,1)</f>
        <v>0</v>
      </c>
      <c r="AIS41" s="132">
        <f>INDEX(AIS42:AIS100,START!$E$3,1)</f>
        <v>0</v>
      </c>
      <c r="AIT41" s="132">
        <f>INDEX(AIT42:AIT100,START!$E$3,1)</f>
        <v>0</v>
      </c>
      <c r="AIU41" s="132">
        <f>INDEX(AIU42:AIU100,START!$E$3,1)</f>
        <v>0</v>
      </c>
      <c r="AIV41" s="132">
        <f>INDEX(AIV42:AIV100,START!$E$3,1)</f>
        <v>0</v>
      </c>
      <c r="AIW41" s="132">
        <f>INDEX(AIW42:AIW100,START!$E$3,1)</f>
        <v>0</v>
      </c>
      <c r="AIX41" s="132">
        <f>INDEX(AIX42:AIX100,START!$E$3,1)</f>
        <v>0</v>
      </c>
      <c r="AIY41" s="132">
        <f>INDEX(AIY42:AIY100,START!$E$3,1)</f>
        <v>0</v>
      </c>
      <c r="AIZ41" s="132">
        <f>INDEX(AIZ42:AIZ100,START!$E$3,1)</f>
        <v>0</v>
      </c>
      <c r="AJA41" s="132">
        <f>INDEX(AJA42:AJA100,START!$E$3,1)</f>
        <v>0</v>
      </c>
      <c r="AJB41" s="132">
        <f>INDEX(AJB42:AJB100,START!$E$3,1)</f>
        <v>0</v>
      </c>
      <c r="AJC41" s="132">
        <f>INDEX(AJC42:AJC100,START!$E$3,1)</f>
        <v>0</v>
      </c>
      <c r="AJD41" s="132">
        <f>INDEX(AJD42:AJD100,START!$E$3,1)</f>
        <v>0</v>
      </c>
    </row>
    <row r="42" spans="1:940" ht="18" customHeight="1">
      <c r="A42" s="666" t="s">
        <v>243</v>
      </c>
      <c r="B42" s="672">
        <v>0.5</v>
      </c>
      <c r="C42" s="62">
        <v>0.5</v>
      </c>
      <c r="D42" s="62">
        <v>0.5</v>
      </c>
      <c r="E42" s="63">
        <v>259.61373390557941</v>
      </c>
      <c r="F42" s="64">
        <v>-5.8</v>
      </c>
      <c r="G42" s="64">
        <v>-1.5</v>
      </c>
      <c r="H42" s="64">
        <v>-1.5</v>
      </c>
      <c r="I42" s="64"/>
      <c r="J42" s="64"/>
      <c r="K42" s="64"/>
      <c r="L42" s="64"/>
      <c r="M42" s="63">
        <v>541.70374958491891</v>
      </c>
      <c r="N42" s="65">
        <v>12</v>
      </c>
      <c r="O42" s="66">
        <v>0.3</v>
      </c>
      <c r="P42" s="66">
        <v>0.1</v>
      </c>
      <c r="Q42" s="66">
        <v>0.1</v>
      </c>
      <c r="R42" s="64">
        <v>2.5</v>
      </c>
      <c r="S42" s="64">
        <v>0</v>
      </c>
      <c r="T42" s="64">
        <v>97.5</v>
      </c>
      <c r="U42" s="64">
        <v>0</v>
      </c>
      <c r="V42" s="69">
        <v>0</v>
      </c>
      <c r="W42" s="69">
        <v>1</v>
      </c>
      <c r="X42" s="69">
        <v>1</v>
      </c>
      <c r="Y42" s="69">
        <v>1</v>
      </c>
      <c r="Z42" s="69">
        <v>1</v>
      </c>
      <c r="AA42" s="69">
        <v>1</v>
      </c>
      <c r="AB42" s="69"/>
      <c r="AC42" s="69"/>
      <c r="AD42" s="69"/>
      <c r="AE42" s="69"/>
      <c r="AF42" s="69"/>
      <c r="AG42" s="69"/>
      <c r="AH42" s="69"/>
      <c r="AI42" s="69"/>
      <c r="AJ42" s="69"/>
      <c r="AK42" s="69"/>
      <c r="AL42" s="69"/>
      <c r="AM42" s="69"/>
      <c r="AN42" s="69"/>
      <c r="AO42" s="69"/>
      <c r="AP42" s="69"/>
      <c r="AQ42" s="69"/>
      <c r="AR42" s="69"/>
      <c r="AS42" s="69"/>
      <c r="AT42" s="69"/>
      <c r="AU42" s="69"/>
      <c r="AV42" s="69"/>
      <c r="AW42" s="69"/>
      <c r="AX42" s="63">
        <v>10062.301353275248</v>
      </c>
      <c r="AY42" s="67">
        <v>1.56</v>
      </c>
      <c r="AZ42" s="66">
        <v>0.8</v>
      </c>
      <c r="BA42" s="66">
        <v>0.6</v>
      </c>
      <c r="BB42" s="66">
        <v>0.6</v>
      </c>
      <c r="BC42" s="70">
        <v>0.18084</v>
      </c>
      <c r="BD42" s="70">
        <v>0.17335999999999999</v>
      </c>
      <c r="BE42" s="68"/>
      <c r="BF42" s="68">
        <v>1.202485753233595E-3</v>
      </c>
      <c r="BG42" s="68">
        <v>0.26457534563712537</v>
      </c>
      <c r="BH42" s="68">
        <v>58.54078480422551</v>
      </c>
      <c r="BI42" s="68">
        <v>1.2708723837944664</v>
      </c>
      <c r="BJ42" s="68">
        <v>0.39067812791701684</v>
      </c>
      <c r="BK42" s="9">
        <v>39.231528062568245</v>
      </c>
      <c r="BL42" s="9">
        <v>3.1881694641653864E-2</v>
      </c>
      <c r="BM42" s="9">
        <v>5.1042355788573383E-3</v>
      </c>
      <c r="BN42" s="9">
        <v>3.2910136404287863E-4</v>
      </c>
      <c r="BO42" s="9"/>
      <c r="BP42" s="9"/>
      <c r="BQ42" s="9">
        <v>8.6854280181585475E-2</v>
      </c>
      <c r="BR42" s="9">
        <v>1.0854016141029555E-3</v>
      </c>
      <c r="BS42" s="9">
        <v>0.17510407672416045</v>
      </c>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6">
        <v>1</v>
      </c>
      <c r="CY42" s="66">
        <v>1</v>
      </c>
      <c r="CZ42" s="66">
        <v>1</v>
      </c>
      <c r="DA42" s="66">
        <v>1</v>
      </c>
      <c r="DB42" s="66">
        <v>1</v>
      </c>
      <c r="DC42" s="66"/>
      <c r="DD42" s="66"/>
      <c r="DE42" s="66"/>
      <c r="DF42" s="66"/>
      <c r="DG42" s="66"/>
      <c r="DH42" s="65">
        <v>1.0682498070272575</v>
      </c>
      <c r="DI42" s="63">
        <v>18</v>
      </c>
      <c r="DJ42" s="63">
        <f t="shared" ref="DJ42" si="930">DH42*DI42</f>
        <v>19.228496526490634</v>
      </c>
      <c r="DK42" s="66">
        <v>1.1000000000000001</v>
      </c>
      <c r="DL42" s="66">
        <v>0.6</v>
      </c>
      <c r="DM42" s="66">
        <v>0.6</v>
      </c>
      <c r="DN42" s="66"/>
      <c r="DO42" s="66"/>
      <c r="DP42" s="66"/>
      <c r="DQ42" s="66"/>
      <c r="DR42" s="66"/>
      <c r="DS42" s="66"/>
      <c r="DT42" s="66"/>
      <c r="DU42" s="66"/>
      <c r="DV42" s="66"/>
      <c r="DW42" s="66"/>
      <c r="DX42" s="66"/>
      <c r="DY42" s="66"/>
      <c r="DZ42" s="66"/>
      <c r="EA42" s="66"/>
      <c r="EB42" s="65">
        <v>0.47705402341217251</v>
      </c>
      <c r="EC42" s="65">
        <v>18</v>
      </c>
      <c r="ED42" s="63">
        <v>8110.3330472103007</v>
      </c>
      <c r="EE42" s="66">
        <v>1.1000000000000001</v>
      </c>
      <c r="EF42" s="66">
        <v>0.6</v>
      </c>
      <c r="EG42" s="66">
        <v>0.6</v>
      </c>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3">
        <v>1020.0468636800275</v>
      </c>
      <c r="IU42" s="65">
        <v>179.9</v>
      </c>
      <c r="IV42" s="65">
        <v>2964.2987982832719</v>
      </c>
      <c r="IW42" s="65"/>
      <c r="IX42" s="65"/>
      <c r="IY42" s="66">
        <v>1.1000000000000001</v>
      </c>
      <c r="IZ42" s="66">
        <v>0.6</v>
      </c>
      <c r="JA42" s="66">
        <v>0.6</v>
      </c>
      <c r="JB42" s="66">
        <v>1</v>
      </c>
      <c r="JC42" s="66">
        <v>1</v>
      </c>
      <c r="JD42" s="66">
        <v>1</v>
      </c>
      <c r="JE42" s="66">
        <v>1</v>
      </c>
      <c r="JF42" s="66">
        <v>1</v>
      </c>
      <c r="JG42" s="63">
        <v>27.2564358745006</v>
      </c>
      <c r="JH42" s="63"/>
      <c r="JI42" s="63"/>
      <c r="JJ42" s="63">
        <v>7042.8182918455341</v>
      </c>
      <c r="JK42" s="66">
        <v>1.1000000000000001</v>
      </c>
      <c r="JL42" s="66">
        <v>0.7</v>
      </c>
      <c r="JM42" s="66">
        <v>0.7</v>
      </c>
      <c r="JN42" s="66">
        <v>1</v>
      </c>
      <c r="JO42" s="66">
        <v>1</v>
      </c>
      <c r="JP42" s="66">
        <v>1</v>
      </c>
      <c r="JQ42" s="66">
        <v>1</v>
      </c>
      <c r="JR42" s="66">
        <v>1</v>
      </c>
      <c r="JS42" s="66"/>
      <c r="JT42" s="63">
        <v>270.36392543224167</v>
      </c>
      <c r="JU42" s="63">
        <v>500</v>
      </c>
      <c r="JV42" s="66">
        <v>0.9</v>
      </c>
      <c r="JW42" s="66">
        <v>0.8</v>
      </c>
      <c r="JX42" s="66">
        <v>0.8</v>
      </c>
      <c r="JY42" s="66">
        <v>1</v>
      </c>
      <c r="JZ42" s="66">
        <v>1</v>
      </c>
      <c r="KA42" s="66">
        <v>1</v>
      </c>
      <c r="KB42" s="66">
        <v>1</v>
      </c>
      <c r="KC42" s="66">
        <v>1</v>
      </c>
      <c r="KD42" s="66"/>
      <c r="KE42" s="66"/>
      <c r="KF42" s="66"/>
      <c r="KG42" s="66"/>
      <c r="KH42" s="66"/>
      <c r="KI42" s="66"/>
      <c r="KJ42" s="66"/>
      <c r="KK42" s="66"/>
      <c r="KL42" s="66"/>
      <c r="KM42" s="66"/>
      <c r="KN42" s="66"/>
      <c r="KO42" s="66"/>
      <c r="KP42" s="66"/>
      <c r="KQ42" s="66"/>
      <c r="KR42" s="66"/>
      <c r="KS42" s="66"/>
      <c r="KT42" s="66"/>
      <c r="KU42" s="66"/>
      <c r="KV42" s="66"/>
      <c r="KW42" s="66"/>
      <c r="KX42" s="66"/>
      <c r="KY42" s="66"/>
      <c r="KZ42" s="66"/>
      <c r="LA42" s="66"/>
      <c r="LB42" s="66"/>
      <c r="LC42" s="66"/>
      <c r="LD42" s="66"/>
      <c r="LE42" s="66"/>
      <c r="LF42" s="66"/>
      <c r="LG42" s="66"/>
      <c r="LH42" s="66"/>
      <c r="LI42" s="66"/>
      <c r="LJ42" s="66"/>
      <c r="LK42" s="63"/>
      <c r="LL42" s="63">
        <v>29</v>
      </c>
      <c r="LM42" s="66">
        <v>0.7</v>
      </c>
      <c r="LN42" s="66">
        <v>0.4</v>
      </c>
      <c r="LO42" s="66">
        <v>0.4</v>
      </c>
      <c r="LP42" s="66">
        <v>1</v>
      </c>
      <c r="LQ42" s="66">
        <v>1</v>
      </c>
      <c r="LR42" s="66">
        <v>1</v>
      </c>
      <c r="LS42" s="66">
        <v>1</v>
      </c>
      <c r="LT42" s="66">
        <v>1</v>
      </c>
      <c r="LU42" s="66"/>
      <c r="LV42" s="66"/>
      <c r="LW42" s="66"/>
      <c r="LX42" s="66"/>
      <c r="LY42" s="66"/>
      <c r="LZ42" s="66"/>
      <c r="MA42" s="66"/>
      <c r="MB42" s="66"/>
      <c r="MC42" s="66"/>
      <c r="MD42" s="66"/>
      <c r="ME42" s="66"/>
      <c r="MF42" s="66"/>
      <c r="MG42" s="66"/>
      <c r="MH42" s="66"/>
      <c r="MI42" s="66"/>
      <c r="MJ42" s="66"/>
      <c r="MK42" s="66"/>
      <c r="ML42" s="66"/>
      <c r="MM42" s="66"/>
      <c r="MN42" s="66"/>
      <c r="MO42" s="66"/>
      <c r="MP42" s="66"/>
      <c r="MQ42" s="66"/>
      <c r="MR42" s="66"/>
      <c r="MS42" s="66"/>
      <c r="MT42" s="66"/>
      <c r="MU42" s="66"/>
      <c r="MV42" s="66"/>
      <c r="MW42" s="123">
        <v>200</v>
      </c>
      <c r="MX42" s="123">
        <v>200</v>
      </c>
      <c r="MY42" s="123">
        <v>200</v>
      </c>
      <c r="MZ42" s="123">
        <v>200</v>
      </c>
      <c r="NA42" s="123">
        <v>200</v>
      </c>
      <c r="NB42" s="123">
        <v>200</v>
      </c>
      <c r="NC42" s="123">
        <v>200</v>
      </c>
      <c r="ND42" s="123">
        <v>200</v>
      </c>
      <c r="NE42" s="123">
        <v>200</v>
      </c>
      <c r="NF42" s="123">
        <v>200</v>
      </c>
      <c r="NG42" s="123">
        <v>200</v>
      </c>
      <c r="NH42" s="123">
        <v>200</v>
      </c>
      <c r="NI42" s="123">
        <v>200</v>
      </c>
      <c r="NJ42" s="123">
        <v>200</v>
      </c>
      <c r="NK42" s="123">
        <v>200</v>
      </c>
      <c r="NL42" s="123">
        <v>200</v>
      </c>
      <c r="NM42" s="123">
        <v>200</v>
      </c>
      <c r="NN42" s="123">
        <v>200</v>
      </c>
      <c r="NO42" s="123">
        <v>200</v>
      </c>
      <c r="NP42" s="123">
        <v>200</v>
      </c>
      <c r="NQ42" s="123">
        <v>200</v>
      </c>
      <c r="NR42" s="123">
        <v>200</v>
      </c>
      <c r="NS42" s="123">
        <v>200</v>
      </c>
      <c r="NT42" s="123">
        <v>200</v>
      </c>
      <c r="NU42" s="123">
        <v>200</v>
      </c>
      <c r="NV42" s="123">
        <v>200</v>
      </c>
      <c r="NW42" s="123">
        <v>200</v>
      </c>
      <c r="NX42" s="123">
        <v>200</v>
      </c>
      <c r="NY42" s="123">
        <v>200</v>
      </c>
      <c r="NZ42" s="123">
        <v>200</v>
      </c>
      <c r="OA42" s="123">
        <v>200</v>
      </c>
      <c r="OB42" s="123">
        <v>200</v>
      </c>
      <c r="OC42" s="123">
        <v>200</v>
      </c>
      <c r="OD42" s="123">
        <v>200</v>
      </c>
      <c r="OE42" s="123">
        <v>200</v>
      </c>
      <c r="OF42" s="123">
        <v>200</v>
      </c>
      <c r="OG42" s="123">
        <v>200</v>
      </c>
      <c r="OH42" s="123">
        <v>200</v>
      </c>
      <c r="OI42" s="123">
        <v>200</v>
      </c>
      <c r="OJ42" s="123">
        <v>200</v>
      </c>
      <c r="OK42" s="123">
        <v>200</v>
      </c>
      <c r="OL42" s="123">
        <v>200</v>
      </c>
      <c r="OM42" s="123">
        <v>200</v>
      </c>
      <c r="ON42" s="123">
        <v>200</v>
      </c>
      <c r="OO42" s="123">
        <v>200</v>
      </c>
      <c r="OP42" s="123">
        <v>200</v>
      </c>
      <c r="OQ42" s="123">
        <v>200</v>
      </c>
      <c r="OR42" s="123">
        <v>200</v>
      </c>
      <c r="OS42" s="123">
        <v>200</v>
      </c>
      <c r="OT42" s="123">
        <v>200</v>
      </c>
      <c r="OU42" s="123">
        <v>200</v>
      </c>
      <c r="OV42" s="123">
        <v>200</v>
      </c>
      <c r="OW42" s="123">
        <v>200</v>
      </c>
      <c r="OX42" s="123">
        <v>200</v>
      </c>
      <c r="OY42" s="123">
        <v>200</v>
      </c>
      <c r="OZ42" s="123">
        <v>200</v>
      </c>
      <c r="PA42" s="123">
        <v>200</v>
      </c>
      <c r="PB42" s="123">
        <v>200</v>
      </c>
      <c r="PC42" s="123">
        <v>200</v>
      </c>
      <c r="PD42" s="123">
        <v>200</v>
      </c>
      <c r="PE42" s="123">
        <v>200</v>
      </c>
      <c r="PF42" s="123">
        <v>200</v>
      </c>
      <c r="PG42" s="123">
        <v>200</v>
      </c>
      <c r="PH42" s="123">
        <v>200</v>
      </c>
      <c r="PI42" s="123">
        <v>200</v>
      </c>
      <c r="PJ42" s="123">
        <v>200</v>
      </c>
      <c r="PK42" s="123">
        <v>200</v>
      </c>
      <c r="PL42" s="123">
        <v>200</v>
      </c>
      <c r="PM42" s="123">
        <v>200</v>
      </c>
      <c r="PN42" s="123">
        <v>200</v>
      </c>
      <c r="PO42" s="123">
        <v>200</v>
      </c>
      <c r="PP42" s="123">
        <v>200</v>
      </c>
      <c r="PQ42" s="123">
        <v>200</v>
      </c>
      <c r="PR42" s="123">
        <v>200</v>
      </c>
      <c r="PS42" s="123">
        <v>200</v>
      </c>
      <c r="PT42" s="123">
        <v>200</v>
      </c>
      <c r="PU42" s="123">
        <v>200</v>
      </c>
      <c r="PV42" s="123">
        <v>200</v>
      </c>
      <c r="PW42" s="123">
        <v>200</v>
      </c>
      <c r="PX42" s="123">
        <v>200</v>
      </c>
      <c r="PY42" s="123">
        <v>200</v>
      </c>
      <c r="PZ42" s="123">
        <v>200</v>
      </c>
      <c r="QA42" s="123">
        <v>200</v>
      </c>
      <c r="QB42" s="123">
        <v>200</v>
      </c>
      <c r="QC42" s="123">
        <v>200</v>
      </c>
      <c r="QD42" s="123">
        <v>200</v>
      </c>
      <c r="QE42" s="123">
        <v>200</v>
      </c>
      <c r="QF42" s="123">
        <v>200</v>
      </c>
      <c r="QG42" s="123">
        <v>200</v>
      </c>
      <c r="QH42" s="123">
        <v>200</v>
      </c>
      <c r="QI42" s="123">
        <v>200</v>
      </c>
      <c r="QJ42" s="123">
        <v>200</v>
      </c>
      <c r="QK42" s="123">
        <v>200</v>
      </c>
      <c r="QL42" s="123">
        <v>200</v>
      </c>
      <c r="QM42" s="123">
        <v>200</v>
      </c>
      <c r="QN42" s="123">
        <v>200</v>
      </c>
      <c r="QO42" s="123">
        <v>200</v>
      </c>
      <c r="QP42" s="123">
        <v>200</v>
      </c>
      <c r="QQ42" s="123">
        <v>200</v>
      </c>
      <c r="QR42" s="123">
        <v>200</v>
      </c>
      <c r="QS42" s="123">
        <v>200</v>
      </c>
      <c r="QT42" s="123">
        <v>200</v>
      </c>
      <c r="QU42" s="123">
        <v>200</v>
      </c>
      <c r="QV42" s="123">
        <v>200</v>
      </c>
      <c r="QW42" s="123">
        <v>200</v>
      </c>
      <c r="QX42" s="123">
        <v>200</v>
      </c>
      <c r="QY42" s="123">
        <v>200</v>
      </c>
      <c r="QZ42" s="123">
        <v>200</v>
      </c>
      <c r="RA42" s="123">
        <v>200</v>
      </c>
      <c r="RB42" s="123">
        <v>200</v>
      </c>
      <c r="RC42" s="123">
        <v>200</v>
      </c>
      <c r="RD42" s="123">
        <v>200</v>
      </c>
      <c r="RE42" s="123">
        <v>200</v>
      </c>
      <c r="RF42" s="123">
        <v>200</v>
      </c>
      <c r="RG42" s="123">
        <v>200</v>
      </c>
      <c r="RH42" s="123">
        <v>200</v>
      </c>
      <c r="RI42" s="123">
        <v>200</v>
      </c>
      <c r="RJ42" s="123">
        <v>200</v>
      </c>
      <c r="RK42" s="123">
        <v>200</v>
      </c>
      <c r="RL42" s="123">
        <v>200</v>
      </c>
      <c r="RM42" s="123">
        <v>200</v>
      </c>
      <c r="RN42" s="123">
        <v>200</v>
      </c>
      <c r="RO42" s="123">
        <v>200</v>
      </c>
      <c r="RP42" s="123">
        <v>200</v>
      </c>
      <c r="RQ42" s="123">
        <v>200</v>
      </c>
      <c r="RR42" s="123">
        <v>200</v>
      </c>
      <c r="RS42" s="123">
        <v>200</v>
      </c>
      <c r="RT42" s="123">
        <v>200</v>
      </c>
      <c r="RU42" s="123">
        <v>200</v>
      </c>
      <c r="RV42" s="123">
        <v>200</v>
      </c>
      <c r="RW42" s="123">
        <v>200</v>
      </c>
      <c r="RX42" s="123">
        <v>200</v>
      </c>
      <c r="RY42" s="123">
        <v>200</v>
      </c>
      <c r="RZ42" s="123">
        <v>200</v>
      </c>
      <c r="SA42" s="123">
        <v>200</v>
      </c>
      <c r="SB42" s="123">
        <v>200</v>
      </c>
      <c r="SC42" s="123">
        <v>200</v>
      </c>
      <c r="SD42" s="123">
        <v>200</v>
      </c>
      <c r="SE42" s="123">
        <v>200</v>
      </c>
      <c r="SF42" s="123">
        <v>200</v>
      </c>
      <c r="SG42" s="123">
        <v>200</v>
      </c>
      <c r="SH42" s="123">
        <v>200</v>
      </c>
      <c r="SI42" s="123">
        <v>200</v>
      </c>
      <c r="SJ42" s="123">
        <v>200</v>
      </c>
      <c r="SK42" s="123">
        <v>200</v>
      </c>
      <c r="SL42" s="123">
        <v>200</v>
      </c>
      <c r="SM42" s="123">
        <v>200</v>
      </c>
      <c r="SN42" s="123">
        <v>200</v>
      </c>
      <c r="SO42" s="123">
        <v>200</v>
      </c>
      <c r="SP42" s="123">
        <v>200</v>
      </c>
      <c r="SQ42" s="123">
        <v>200</v>
      </c>
      <c r="SR42" s="123">
        <v>200</v>
      </c>
      <c r="SS42" s="123">
        <v>200</v>
      </c>
      <c r="ST42" s="123">
        <v>200</v>
      </c>
      <c r="SU42" s="123">
        <v>200</v>
      </c>
      <c r="SV42" s="123">
        <v>200</v>
      </c>
      <c r="SW42" s="123">
        <v>200</v>
      </c>
      <c r="SX42" s="123">
        <v>200</v>
      </c>
      <c r="SY42" s="123">
        <v>200</v>
      </c>
      <c r="SZ42" s="123">
        <v>200</v>
      </c>
      <c r="TA42" s="123">
        <v>200</v>
      </c>
      <c r="TB42" s="123">
        <v>200</v>
      </c>
      <c r="TC42" s="123">
        <v>200</v>
      </c>
      <c r="TD42" s="123">
        <v>200</v>
      </c>
      <c r="TE42" s="123">
        <v>200</v>
      </c>
      <c r="TF42" s="123">
        <v>200</v>
      </c>
      <c r="TG42" s="123">
        <v>200</v>
      </c>
      <c r="TH42" s="123">
        <v>200</v>
      </c>
      <c r="TI42" s="123">
        <v>200</v>
      </c>
      <c r="TJ42" s="123">
        <v>200</v>
      </c>
      <c r="TK42" s="123">
        <v>200</v>
      </c>
      <c r="TL42" s="123">
        <v>200</v>
      </c>
      <c r="TM42" s="123">
        <v>200</v>
      </c>
      <c r="TN42" s="123">
        <v>200</v>
      </c>
      <c r="TO42" s="123">
        <v>200</v>
      </c>
      <c r="TP42" s="123">
        <v>200</v>
      </c>
      <c r="TQ42" s="123">
        <v>200</v>
      </c>
      <c r="TR42" s="123">
        <v>200</v>
      </c>
      <c r="TS42" s="123">
        <v>200</v>
      </c>
      <c r="TT42" s="123">
        <v>200</v>
      </c>
      <c r="TU42" s="123">
        <v>200</v>
      </c>
      <c r="TV42" s="123">
        <v>200</v>
      </c>
      <c r="TW42" s="123">
        <v>200</v>
      </c>
      <c r="TX42" s="123">
        <v>200</v>
      </c>
      <c r="TY42" s="123">
        <v>200</v>
      </c>
      <c r="TZ42" s="123">
        <v>200</v>
      </c>
      <c r="UA42" s="123">
        <v>200</v>
      </c>
      <c r="UB42" s="123">
        <v>200</v>
      </c>
      <c r="UC42" s="123">
        <v>200</v>
      </c>
      <c r="UD42" s="123">
        <v>200</v>
      </c>
      <c r="UE42" s="123">
        <v>200</v>
      </c>
      <c r="UF42" s="123">
        <v>200</v>
      </c>
      <c r="UG42" s="123">
        <v>200</v>
      </c>
      <c r="UH42" s="123">
        <v>200</v>
      </c>
      <c r="UI42" s="123">
        <v>200</v>
      </c>
      <c r="UJ42" s="123">
        <v>200</v>
      </c>
      <c r="UK42" s="123">
        <v>200</v>
      </c>
      <c r="UL42" s="123">
        <v>200</v>
      </c>
      <c r="UM42" s="123">
        <v>200</v>
      </c>
      <c r="UN42" s="123">
        <v>200</v>
      </c>
      <c r="UO42" s="123">
        <v>200</v>
      </c>
      <c r="UP42" s="123">
        <v>200</v>
      </c>
      <c r="UQ42" s="123">
        <v>200</v>
      </c>
      <c r="UR42" s="123">
        <v>200</v>
      </c>
      <c r="US42" s="123">
        <v>200</v>
      </c>
      <c r="UT42" s="123">
        <v>200</v>
      </c>
      <c r="UU42" s="123">
        <v>200</v>
      </c>
      <c r="UV42" s="123">
        <v>200</v>
      </c>
      <c r="UW42" s="123">
        <v>200</v>
      </c>
      <c r="UX42" s="123">
        <v>200</v>
      </c>
      <c r="UY42" s="123">
        <v>200</v>
      </c>
      <c r="UZ42" s="123">
        <v>200</v>
      </c>
      <c r="VA42" s="123">
        <v>200</v>
      </c>
      <c r="VB42" s="123">
        <v>200</v>
      </c>
      <c r="VC42" s="123">
        <v>200</v>
      </c>
      <c r="VD42" s="123">
        <v>200</v>
      </c>
      <c r="VE42" s="123"/>
      <c r="VF42" s="123"/>
      <c r="VG42" s="123"/>
      <c r="VH42" s="123"/>
      <c r="VI42" s="123"/>
      <c r="VJ42" s="123"/>
      <c r="VK42" s="123"/>
      <c r="VL42" s="123"/>
      <c r="VM42" s="123"/>
      <c r="VN42" s="123"/>
      <c r="VO42" s="123"/>
      <c r="VP42" s="123"/>
      <c r="VQ42" s="123"/>
      <c r="VR42" s="123"/>
      <c r="VS42" s="123"/>
      <c r="VT42" s="123"/>
      <c r="VU42" s="123"/>
      <c r="VV42" s="123"/>
      <c r="VW42" s="123"/>
      <c r="VX42" s="123"/>
      <c r="VY42" s="123"/>
      <c r="VZ42" s="123"/>
      <c r="WA42" s="123"/>
      <c r="WB42" s="123"/>
      <c r="WC42" s="123"/>
      <c r="WD42" s="123"/>
      <c r="WE42" s="123"/>
      <c r="WF42" s="123"/>
      <c r="WG42" s="123"/>
      <c r="WH42" s="123"/>
      <c r="WI42" s="123"/>
      <c r="WJ42" s="123"/>
      <c r="WK42" s="123"/>
      <c r="WL42" s="123"/>
      <c r="WM42" s="123"/>
      <c r="WN42" s="123"/>
      <c r="WO42" s="123"/>
      <c r="WP42" s="123"/>
      <c r="WQ42" s="123"/>
      <c r="WR42" s="123"/>
      <c r="WS42" s="123"/>
      <c r="WT42" s="123"/>
      <c r="WU42" s="123"/>
      <c r="WV42" s="123"/>
      <c r="WW42" s="123"/>
      <c r="WX42" s="133"/>
      <c r="WY42" s="133"/>
      <c r="WZ42" s="133"/>
      <c r="XA42" s="133"/>
      <c r="XB42" s="133"/>
      <c r="XC42" s="133"/>
      <c r="XD42" s="133"/>
      <c r="XE42" s="133"/>
      <c r="XF42" s="133"/>
      <c r="XG42" s="133"/>
      <c r="XH42" s="133"/>
      <c r="XI42" s="133"/>
      <c r="XJ42" s="133"/>
      <c r="XK42" s="133"/>
      <c r="XL42" s="133"/>
      <c r="XM42" s="133"/>
      <c r="XN42" s="133"/>
      <c r="XO42" s="133"/>
      <c r="XP42" s="133"/>
      <c r="XQ42" s="133"/>
      <c r="XR42" s="133"/>
      <c r="XS42" s="133"/>
      <c r="XT42" s="133"/>
      <c r="XU42" s="133"/>
      <c r="XV42" s="133"/>
      <c r="XW42" s="133"/>
      <c r="XX42" s="133"/>
      <c r="XY42" s="133"/>
      <c r="XZ42" s="133"/>
      <c r="YA42" s="133"/>
      <c r="YB42" s="133"/>
      <c r="YC42" s="133"/>
      <c r="YD42" s="133"/>
      <c r="YE42" s="133"/>
      <c r="YF42" s="133"/>
      <c r="YG42" s="133"/>
      <c r="YH42" s="133"/>
      <c r="YI42" s="133"/>
      <c r="YJ42" s="133"/>
      <c r="YK42" s="133"/>
      <c r="YL42" s="133"/>
      <c r="YM42" s="133"/>
      <c r="YN42" s="133"/>
      <c r="YO42" s="133"/>
      <c r="YP42" s="133"/>
      <c r="YQ42" s="133"/>
      <c r="YR42" s="133"/>
      <c r="YS42" s="133"/>
      <c r="YT42" s="133"/>
      <c r="YU42" s="133"/>
      <c r="YV42" s="133"/>
      <c r="YW42" s="133"/>
      <c r="YX42" s="133"/>
      <c r="YY42" s="133"/>
      <c r="YZ42" s="133"/>
      <c r="ZA42" s="133"/>
      <c r="ZB42" s="133"/>
      <c r="ZC42" s="133"/>
      <c r="ZD42" s="133"/>
      <c r="ZE42" s="133"/>
      <c r="ZF42" s="133"/>
      <c r="ZG42" s="133"/>
      <c r="ZH42" s="133"/>
      <c r="ZI42" s="133"/>
      <c r="ZJ42" s="133"/>
      <c r="ZK42" s="133"/>
      <c r="ZL42" s="133"/>
      <c r="ZM42" s="133"/>
      <c r="ZN42" s="133"/>
      <c r="ZO42" s="133"/>
      <c r="ZP42" s="133"/>
      <c r="ZQ42" s="133"/>
      <c r="ZR42" s="133"/>
      <c r="ZS42" s="133"/>
      <c r="ZT42" s="133"/>
      <c r="ZU42" s="133"/>
      <c r="ZV42" s="133"/>
      <c r="ZW42" s="133"/>
      <c r="ZX42" s="133"/>
      <c r="ZY42" s="133"/>
      <c r="ZZ42" s="133"/>
      <c r="AAA42" s="133"/>
      <c r="AAB42" s="133"/>
      <c r="AAC42" s="133"/>
      <c r="AAD42" s="133"/>
      <c r="AAE42" s="133"/>
      <c r="AAF42" s="133"/>
      <c r="AAG42" s="133"/>
      <c r="AAH42" s="133"/>
      <c r="AAI42" s="133"/>
      <c r="AAJ42" s="133"/>
      <c r="AAK42" s="133"/>
      <c r="AAL42" s="133"/>
      <c r="AAM42" s="133"/>
      <c r="AAN42" s="133"/>
      <c r="AAO42" s="133"/>
      <c r="AAP42" s="133"/>
      <c r="AAQ42" s="133"/>
      <c r="AAR42" s="133"/>
      <c r="AAS42" s="133"/>
      <c r="AAT42" s="133"/>
      <c r="AAU42" s="133"/>
      <c r="AAV42" s="133"/>
      <c r="AAW42" s="133"/>
      <c r="AAX42" s="133"/>
      <c r="AAY42" s="133"/>
      <c r="AAZ42" s="133"/>
      <c r="ABA42" s="133"/>
      <c r="ABB42" s="133"/>
      <c r="ABC42" s="133"/>
      <c r="ABD42" s="133"/>
      <c r="ABE42" s="133"/>
      <c r="ABF42" s="133"/>
      <c r="ABG42" s="133"/>
      <c r="ABH42" s="133"/>
      <c r="ABI42" s="133"/>
      <c r="ABJ42" s="133"/>
      <c r="ABK42" s="133"/>
      <c r="ABL42" s="133"/>
      <c r="ABM42" s="133"/>
      <c r="ABN42" s="133"/>
      <c r="ABO42" s="133"/>
      <c r="ABP42" s="133"/>
      <c r="ABQ42" s="133"/>
      <c r="ABR42" s="133"/>
      <c r="ABS42" s="133"/>
      <c r="ABT42" s="133"/>
      <c r="ABU42" s="133"/>
      <c r="ABV42" s="133"/>
      <c r="ABW42" s="133"/>
      <c r="ABX42" s="133"/>
      <c r="ABY42" s="133"/>
      <c r="ABZ42" s="133"/>
      <c r="ACA42" s="133"/>
      <c r="ACB42" s="133"/>
      <c r="ACC42" s="133"/>
      <c r="ACD42" s="133"/>
      <c r="ACE42" s="133"/>
      <c r="ACF42" s="133"/>
      <c r="ACG42" s="133"/>
      <c r="ACH42" s="133"/>
      <c r="ACI42" s="133"/>
      <c r="ACJ42" s="133"/>
      <c r="ACK42" s="133"/>
      <c r="ACL42" s="133"/>
      <c r="ACM42" s="133"/>
      <c r="ACN42" s="133"/>
      <c r="ACO42" s="133"/>
      <c r="ACP42" s="133"/>
      <c r="ACQ42" s="133"/>
      <c r="ACR42" s="133"/>
      <c r="ACS42" s="133"/>
      <c r="ACT42" s="133"/>
      <c r="ACU42" s="133"/>
      <c r="ACV42" s="133"/>
      <c r="ACW42" s="133"/>
      <c r="ACX42" s="133"/>
      <c r="ACY42" s="133"/>
      <c r="ACZ42" s="133"/>
      <c r="ADA42" s="133"/>
      <c r="ADB42" s="133"/>
      <c r="ADC42" s="133"/>
      <c r="ADD42" s="133"/>
      <c r="ADE42" s="133"/>
      <c r="ADF42" s="133"/>
      <c r="ADG42" s="133"/>
      <c r="ADH42" s="133"/>
      <c r="ADI42" s="133"/>
      <c r="ADJ42" s="133"/>
      <c r="ADK42" s="133"/>
      <c r="ADL42" s="133"/>
      <c r="ADM42" s="133"/>
      <c r="ADN42" s="133"/>
      <c r="ADO42" s="133"/>
      <c r="ADP42" s="133"/>
      <c r="ADQ42" s="133"/>
      <c r="ADR42" s="133"/>
      <c r="ADS42" s="133"/>
      <c r="ADT42" s="133"/>
      <c r="ADU42" s="133"/>
      <c r="ADV42" s="133"/>
      <c r="ADW42" s="133"/>
      <c r="ADX42" s="133"/>
      <c r="ADY42" s="133"/>
      <c r="ADZ42" s="133"/>
      <c r="AEA42" s="133"/>
      <c r="AEB42" s="133"/>
      <c r="AEC42" s="133"/>
      <c r="AED42" s="133"/>
      <c r="AEE42" s="133"/>
      <c r="AEF42" s="133"/>
      <c r="AEG42" s="133"/>
      <c r="AEH42" s="133"/>
      <c r="AEI42" s="133"/>
      <c r="AEJ42" s="133"/>
      <c r="AEK42" s="133"/>
      <c r="AEL42" s="133"/>
      <c r="AEM42" s="133"/>
      <c r="AEN42" s="133"/>
      <c r="AEO42" s="133"/>
      <c r="AEP42" s="133"/>
      <c r="AEQ42" s="133"/>
      <c r="AER42" s="133"/>
      <c r="AES42" s="133"/>
      <c r="AET42" s="133"/>
      <c r="AEU42" s="133"/>
      <c r="AEV42" s="133"/>
      <c r="AEW42" s="133"/>
      <c r="AEX42" s="133"/>
      <c r="AEY42" s="133"/>
      <c r="AEZ42" s="133"/>
      <c r="AFA42" s="133"/>
      <c r="AFB42" s="133"/>
      <c r="AFC42" s="133"/>
      <c r="AFD42" s="133"/>
      <c r="AFE42" s="133"/>
      <c r="AFF42" s="133"/>
      <c r="AFG42" s="133"/>
      <c r="AFH42" s="133"/>
      <c r="AFI42" s="133"/>
      <c r="AFJ42" s="133"/>
      <c r="AFK42" s="133"/>
      <c r="AFL42" s="133"/>
      <c r="AFM42" s="133"/>
      <c r="AFN42" s="133"/>
      <c r="AFO42" s="133"/>
      <c r="AFP42" s="133"/>
      <c r="AFQ42" s="133"/>
      <c r="AFR42" s="133"/>
      <c r="AFS42" s="133"/>
      <c r="AFT42" s="133"/>
      <c r="AFU42" s="133"/>
      <c r="AFV42" s="133"/>
      <c r="AFW42" s="133"/>
      <c r="AFX42" s="133"/>
      <c r="AFY42" s="133"/>
      <c r="AFZ42" s="133"/>
      <c r="AGA42" s="133"/>
      <c r="AGB42" s="133"/>
      <c r="AGC42" s="133"/>
      <c r="AGD42" s="133"/>
      <c r="AGE42" s="133"/>
      <c r="AGF42" s="133"/>
      <c r="AGG42" s="133"/>
      <c r="AGH42" s="133"/>
      <c r="AGI42" s="133"/>
      <c r="AGJ42" s="133"/>
      <c r="AGK42" s="133"/>
      <c r="AGL42" s="133"/>
      <c r="AGM42" s="133"/>
      <c r="AGN42" s="133"/>
      <c r="AGO42" s="133"/>
      <c r="AGP42" s="133"/>
      <c r="AGQ42" s="133"/>
      <c r="AGR42" s="133"/>
      <c r="AGS42" s="133"/>
      <c r="AGT42" s="133"/>
      <c r="AGU42" s="133"/>
      <c r="AGV42" s="133"/>
      <c r="AGW42" s="133"/>
      <c r="AGX42" s="133"/>
      <c r="AGY42" s="133"/>
      <c r="AGZ42" s="133"/>
      <c r="AHA42" s="133"/>
      <c r="AHB42" s="133"/>
      <c r="AHC42" s="133"/>
      <c r="AHD42" s="133"/>
      <c r="AHE42" s="133"/>
      <c r="AHF42" s="133"/>
      <c r="AHG42" s="133"/>
      <c r="AHH42" s="133"/>
      <c r="AHI42" s="133"/>
      <c r="AHJ42" s="133"/>
      <c r="AHK42" s="133"/>
      <c r="AHL42" s="133"/>
      <c r="AHM42" s="133"/>
      <c r="AHN42" s="133"/>
      <c r="AHO42" s="133"/>
      <c r="AHP42" s="133"/>
      <c r="AHQ42" s="133"/>
      <c r="AHR42" s="133"/>
      <c r="AHS42" s="133"/>
      <c r="AHT42" s="133"/>
      <c r="AHU42" s="133"/>
      <c r="AHV42" s="133"/>
      <c r="AHW42" s="133"/>
      <c r="AHX42" s="133"/>
      <c r="AHY42" s="133"/>
      <c r="AHZ42" s="133"/>
      <c r="AIA42" s="133"/>
      <c r="AIB42" s="133"/>
      <c r="AIC42" s="133"/>
      <c r="AID42" s="133"/>
      <c r="AIE42" s="133"/>
      <c r="AIF42" s="133"/>
      <c r="AIG42" s="133"/>
      <c r="AIH42" s="133"/>
      <c r="AII42" s="133"/>
      <c r="AIJ42" s="133"/>
      <c r="AIK42" s="133"/>
      <c r="AIL42" s="133"/>
      <c r="AIM42" s="133"/>
      <c r="AIN42" s="133"/>
      <c r="AIO42" s="133"/>
      <c r="AIP42" s="133"/>
      <c r="AIQ42" s="133"/>
      <c r="AIR42" s="133"/>
      <c r="AIS42" s="133"/>
      <c r="AIT42" s="133"/>
      <c r="AIU42" s="133"/>
      <c r="AIV42" s="133"/>
      <c r="AIW42" s="133"/>
      <c r="AIX42" s="133"/>
      <c r="AIY42" s="133"/>
      <c r="AIZ42" s="133"/>
      <c r="AJA42" s="133"/>
      <c r="AJB42" s="133"/>
      <c r="AJC42" s="133"/>
      <c r="AJD42" s="133"/>
    </row>
    <row r="43" spans="1:940" ht="18" customHeight="1">
      <c r="A43" s="666" t="s">
        <v>246</v>
      </c>
      <c r="B43" s="672">
        <v>0.5</v>
      </c>
      <c r="C43" s="62">
        <v>0.19999999999999998</v>
      </c>
      <c r="D43" s="62">
        <v>0.19999999999999998</v>
      </c>
      <c r="E43" s="63">
        <v>100.05590062111801</v>
      </c>
      <c r="F43" s="64">
        <v>-1</v>
      </c>
      <c r="G43" s="64">
        <v>-5.5</v>
      </c>
      <c r="H43" s="64">
        <v>-5.5</v>
      </c>
      <c r="I43" s="64"/>
      <c r="J43" s="64"/>
      <c r="K43" s="64"/>
      <c r="L43" s="64"/>
      <c r="M43" s="63">
        <v>1458.7130772690623</v>
      </c>
      <c r="N43" s="65">
        <v>12</v>
      </c>
      <c r="O43" s="66">
        <v>0.26999999999999996</v>
      </c>
      <c r="P43" s="66">
        <v>0.29999999999999993</v>
      </c>
      <c r="Q43" s="66">
        <v>0.29999999999999993</v>
      </c>
      <c r="R43" s="64">
        <v>0.2</v>
      </c>
      <c r="S43" s="64">
        <v>0</v>
      </c>
      <c r="T43" s="64">
        <v>99.3</v>
      </c>
      <c r="U43" s="64">
        <v>0.5</v>
      </c>
      <c r="V43" s="69">
        <v>0</v>
      </c>
      <c r="W43" s="69">
        <v>1</v>
      </c>
      <c r="X43" s="69">
        <v>1</v>
      </c>
      <c r="Y43" s="69">
        <v>1</v>
      </c>
      <c r="Z43" s="69">
        <v>1</v>
      </c>
      <c r="AA43" s="69">
        <v>1</v>
      </c>
      <c r="AB43" s="69"/>
      <c r="AC43" s="69"/>
      <c r="AD43" s="69"/>
      <c r="AE43" s="69"/>
      <c r="AF43" s="69"/>
      <c r="AG43" s="69"/>
      <c r="AH43" s="69"/>
      <c r="AI43" s="69"/>
      <c r="AJ43" s="69"/>
      <c r="AK43" s="69"/>
      <c r="AL43" s="69"/>
      <c r="AM43" s="69"/>
      <c r="AN43" s="69"/>
      <c r="AO43" s="69"/>
      <c r="AP43" s="69"/>
      <c r="AQ43" s="69"/>
      <c r="AR43" s="69"/>
      <c r="AS43" s="69"/>
      <c r="AT43" s="69"/>
      <c r="AU43" s="69"/>
      <c r="AV43" s="69"/>
      <c r="AW43" s="69"/>
      <c r="AX43" s="63"/>
      <c r="AY43" s="67"/>
      <c r="AZ43" s="66"/>
      <c r="BA43" s="66"/>
      <c r="BB43" s="66"/>
      <c r="BC43" s="70"/>
      <c r="BD43" s="70"/>
      <c r="BE43" s="68"/>
      <c r="BF43" s="68"/>
      <c r="BG43" s="68"/>
      <c r="BH43" s="68"/>
      <c r="BI43" s="68"/>
      <c r="BJ43" s="68"/>
      <c r="BK43" s="68"/>
      <c r="BL43" s="68"/>
      <c r="BM43" s="68"/>
      <c r="BN43" s="68"/>
      <c r="BO43" s="68"/>
      <c r="BP43" s="68"/>
      <c r="BQ43" s="68"/>
      <c r="BR43" s="68"/>
      <c r="BS43" s="68"/>
      <c r="BT43" s="68"/>
      <c r="BU43" s="68"/>
      <c r="BV43" s="68"/>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6">
        <v>1</v>
      </c>
      <c r="CY43" s="66">
        <v>1</v>
      </c>
      <c r="CZ43" s="66">
        <v>1</v>
      </c>
      <c r="DA43" s="66">
        <v>1</v>
      </c>
      <c r="DB43" s="66">
        <v>1</v>
      </c>
      <c r="DC43" s="66"/>
      <c r="DD43" s="66"/>
      <c r="DE43" s="66"/>
      <c r="DF43" s="66"/>
      <c r="DG43" s="66"/>
      <c r="DH43" s="65"/>
      <c r="DI43" s="63"/>
      <c r="DJ43" s="63"/>
      <c r="DK43" s="66"/>
      <c r="DL43" s="66"/>
      <c r="DM43" s="66"/>
      <c r="DN43" s="66"/>
      <c r="DO43" s="66"/>
      <c r="DP43" s="66"/>
      <c r="DQ43" s="66"/>
      <c r="DR43" s="66"/>
      <c r="DS43" s="66"/>
      <c r="DT43" s="66"/>
      <c r="DU43" s="66"/>
      <c r="DV43" s="66"/>
      <c r="DW43" s="66"/>
      <c r="DX43" s="66"/>
      <c r="DY43" s="66"/>
      <c r="DZ43" s="66"/>
      <c r="EA43" s="66"/>
      <c r="EB43" s="65"/>
      <c r="EC43" s="65"/>
      <c r="ED43" s="63"/>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3"/>
      <c r="IU43" s="65"/>
      <c r="IV43" s="65"/>
      <c r="IW43" s="65"/>
      <c r="IX43" s="65"/>
      <c r="IY43" s="66"/>
      <c r="IZ43" s="66"/>
      <c r="JA43" s="66"/>
      <c r="JB43" s="66">
        <v>1</v>
      </c>
      <c r="JC43" s="66">
        <v>1</v>
      </c>
      <c r="JD43" s="66">
        <v>1</v>
      </c>
      <c r="JE43" s="66">
        <v>1</v>
      </c>
      <c r="JF43" s="66">
        <v>1</v>
      </c>
      <c r="JG43" s="63"/>
      <c r="JH43" s="63"/>
      <c r="JI43" s="63"/>
      <c r="JJ43" s="63"/>
      <c r="JK43" s="66"/>
      <c r="JL43" s="66"/>
      <c r="JM43" s="66"/>
      <c r="JN43" s="66">
        <v>1</v>
      </c>
      <c r="JO43" s="66">
        <v>1</v>
      </c>
      <c r="JP43" s="66">
        <v>1</v>
      </c>
      <c r="JQ43" s="66">
        <v>1</v>
      </c>
      <c r="JR43" s="66">
        <v>1</v>
      </c>
      <c r="JS43" s="66"/>
      <c r="JT43" s="63"/>
      <c r="JU43" s="63"/>
      <c r="JV43" s="66"/>
      <c r="JW43" s="66"/>
      <c r="JX43" s="66"/>
      <c r="JY43" s="66">
        <v>1</v>
      </c>
      <c r="JZ43" s="66">
        <v>1</v>
      </c>
      <c r="KA43" s="66">
        <v>1</v>
      </c>
      <c r="KB43" s="66">
        <v>1</v>
      </c>
      <c r="KC43" s="66">
        <v>1</v>
      </c>
      <c r="KD43" s="66"/>
      <c r="KE43" s="66"/>
      <c r="KF43" s="66"/>
      <c r="KG43" s="66"/>
      <c r="KH43" s="66"/>
      <c r="KI43" s="66"/>
      <c r="KJ43" s="66"/>
      <c r="KK43" s="66"/>
      <c r="KL43" s="66"/>
      <c r="KM43" s="66"/>
      <c r="KN43" s="66"/>
      <c r="KO43" s="66"/>
      <c r="KP43" s="66"/>
      <c r="KQ43" s="66"/>
      <c r="KR43" s="66"/>
      <c r="KS43" s="66"/>
      <c r="KT43" s="66"/>
      <c r="KU43" s="66"/>
      <c r="KV43" s="66"/>
      <c r="KW43" s="66"/>
      <c r="KX43" s="66"/>
      <c r="KY43" s="66"/>
      <c r="KZ43" s="66"/>
      <c r="LA43" s="66"/>
      <c r="LB43" s="66"/>
      <c r="LC43" s="66"/>
      <c r="LD43" s="66"/>
      <c r="LE43" s="66"/>
      <c r="LF43" s="66"/>
      <c r="LG43" s="66"/>
      <c r="LH43" s="66"/>
      <c r="LI43" s="66"/>
      <c r="LJ43" s="66"/>
      <c r="LK43" s="63"/>
      <c r="LL43" s="63"/>
      <c r="LM43" s="66"/>
      <c r="LN43" s="66"/>
      <c r="LO43" s="66"/>
      <c r="LP43" s="66">
        <v>1</v>
      </c>
      <c r="LQ43" s="66">
        <v>1</v>
      </c>
      <c r="LR43" s="66">
        <v>1</v>
      </c>
      <c r="LS43" s="66">
        <v>1</v>
      </c>
      <c r="LT43" s="66">
        <v>1</v>
      </c>
      <c r="LU43" s="66"/>
      <c r="LV43" s="66"/>
      <c r="LW43" s="66"/>
      <c r="LX43" s="66"/>
      <c r="LY43" s="66">
        <v>-548379.96591493534</v>
      </c>
      <c r="LZ43" s="66">
        <v>-5.6057976196632886E-2</v>
      </c>
      <c r="MA43" s="66">
        <v>2.3169596365813168</v>
      </c>
      <c r="MB43" s="66">
        <v>2.3169596365813168</v>
      </c>
      <c r="MC43" s="66">
        <v>163008.86814203212</v>
      </c>
      <c r="MD43" s="66">
        <v>1.1935164277488752</v>
      </c>
      <c r="ME43" s="66">
        <v>0.16969509809525718</v>
      </c>
      <c r="MF43" s="66">
        <v>0.16969509809525718</v>
      </c>
      <c r="MG43" s="66">
        <v>16971.749140328644</v>
      </c>
      <c r="MH43" s="66">
        <v>-0.49105974754584114</v>
      </c>
      <c r="MI43" s="66">
        <v>4.5777144812553239E-2</v>
      </c>
      <c r="MJ43" s="66">
        <v>4.5777144812553239E-2</v>
      </c>
      <c r="MK43" s="66">
        <v>24937.229909639544</v>
      </c>
      <c r="ML43" s="66">
        <v>-0.5728508462310099</v>
      </c>
      <c r="MM43" s="66">
        <v>-0.31928389463363738</v>
      </c>
      <c r="MN43" s="66">
        <v>-0.31928389463363738</v>
      </c>
      <c r="MO43" s="66">
        <v>46903.788460051932</v>
      </c>
      <c r="MP43" s="66">
        <v>-0.10286391912811554</v>
      </c>
      <c r="MQ43" s="66">
        <v>-1.2470099209330618</v>
      </c>
      <c r="MR43" s="66">
        <v>-1.2470099209330618</v>
      </c>
      <c r="MS43" s="66">
        <v>-111907.03951127999</v>
      </c>
      <c r="MT43" s="66">
        <v>-1.0698418934196872</v>
      </c>
      <c r="MU43" s="66">
        <v>-1.6571095904057032</v>
      </c>
      <c r="MV43" s="66">
        <v>-1.6571095904057032</v>
      </c>
      <c r="MW43" s="123">
        <v>0</v>
      </c>
      <c r="MX43" s="123">
        <v>0</v>
      </c>
      <c r="MY43" s="123">
        <v>0</v>
      </c>
      <c r="MZ43" s="123">
        <v>0</v>
      </c>
      <c r="NA43" s="123">
        <v>0</v>
      </c>
      <c r="NB43" s="123">
        <v>0</v>
      </c>
      <c r="NC43" s="123">
        <v>2.3331596698950001</v>
      </c>
      <c r="ND43" s="123">
        <v>0</v>
      </c>
      <c r="NE43" s="123">
        <v>0</v>
      </c>
      <c r="NF43" s="123">
        <v>0.98609088910742004</v>
      </c>
      <c r="NG43" s="123">
        <v>9.6999770847580005E-2</v>
      </c>
      <c r="NH43" s="123">
        <v>-0.74905005460903995</v>
      </c>
      <c r="NI43" s="123">
        <v>2.3331596698949899</v>
      </c>
      <c r="NJ43" s="123">
        <v>0</v>
      </c>
      <c r="NK43" s="123">
        <v>0</v>
      </c>
      <c r="NL43" s="123">
        <v>0.98609088910742004</v>
      </c>
      <c r="NM43" s="123">
        <v>0</v>
      </c>
      <c r="NN43" s="123">
        <v>-0.74905005460903995</v>
      </c>
      <c r="NO43" s="123">
        <v>0</v>
      </c>
      <c r="NP43" s="123">
        <v>0</v>
      </c>
      <c r="NQ43" s="123">
        <v>0</v>
      </c>
      <c r="NR43" s="123">
        <v>0</v>
      </c>
      <c r="NS43" s="123">
        <v>0</v>
      </c>
      <c r="NT43" s="123">
        <v>0</v>
      </c>
      <c r="NU43" s="123">
        <v>0</v>
      </c>
      <c r="NV43" s="123">
        <v>0</v>
      </c>
      <c r="NW43" s="123">
        <v>0</v>
      </c>
      <c r="NX43" s="123">
        <v>0</v>
      </c>
      <c r="NY43" s="123">
        <v>0</v>
      </c>
      <c r="NZ43" s="123">
        <v>0</v>
      </c>
      <c r="OA43" s="123">
        <v>0</v>
      </c>
      <c r="OB43" s="123">
        <v>0</v>
      </c>
      <c r="OC43" s="123">
        <v>0</v>
      </c>
      <c r="OD43" s="123">
        <v>0</v>
      </c>
      <c r="OE43" s="123">
        <v>0</v>
      </c>
      <c r="OF43" s="123">
        <v>0</v>
      </c>
      <c r="OG43" s="123">
        <v>0</v>
      </c>
      <c r="OH43" s="123">
        <v>0</v>
      </c>
      <c r="OI43" s="123">
        <v>0</v>
      </c>
      <c r="OJ43" s="123">
        <v>0</v>
      </c>
      <c r="OK43" s="123">
        <v>0</v>
      </c>
      <c r="OL43" s="123">
        <v>0</v>
      </c>
      <c r="OM43" s="123">
        <v>0</v>
      </c>
      <c r="ON43" s="123">
        <v>0</v>
      </c>
      <c r="OO43" s="123">
        <v>0</v>
      </c>
      <c r="OP43" s="123">
        <v>0</v>
      </c>
      <c r="OQ43" s="123">
        <v>0</v>
      </c>
      <c r="OR43" s="123">
        <v>0</v>
      </c>
      <c r="OS43" s="123">
        <v>0</v>
      </c>
      <c r="OT43" s="123">
        <v>0</v>
      </c>
      <c r="OU43" s="123">
        <v>0</v>
      </c>
      <c r="OV43" s="123">
        <v>0</v>
      </c>
      <c r="OW43" s="123">
        <v>0</v>
      </c>
      <c r="OX43" s="123">
        <v>0</v>
      </c>
      <c r="OY43" s="123">
        <v>0</v>
      </c>
      <c r="OZ43" s="123">
        <v>0</v>
      </c>
      <c r="PA43" s="123">
        <v>0</v>
      </c>
      <c r="PB43" s="123">
        <v>0</v>
      </c>
      <c r="PC43" s="123">
        <v>0</v>
      </c>
      <c r="PD43" s="123">
        <v>0</v>
      </c>
      <c r="PE43" s="123">
        <v>-55.82</v>
      </c>
      <c r="PF43" s="123">
        <v>-11.99</v>
      </c>
      <c r="PG43" s="123">
        <v>-19.61</v>
      </c>
      <c r="PH43" s="123">
        <v>-12.92</v>
      </c>
      <c r="PI43" s="123">
        <v>4.6060068064949999E-2</v>
      </c>
      <c r="PJ43" s="123">
        <v>-3.91</v>
      </c>
      <c r="PK43" s="123">
        <v>0</v>
      </c>
      <c r="PL43" s="123">
        <v>0</v>
      </c>
      <c r="PM43" s="123">
        <v>0</v>
      </c>
      <c r="PN43" s="123">
        <v>0</v>
      </c>
      <c r="PO43" s="123">
        <v>0</v>
      </c>
      <c r="PP43" s="123">
        <v>0</v>
      </c>
      <c r="PQ43" s="123">
        <v>0</v>
      </c>
      <c r="PR43" s="123">
        <v>0</v>
      </c>
      <c r="PS43" s="123">
        <v>0</v>
      </c>
      <c r="PT43" s="123">
        <v>0</v>
      </c>
      <c r="PU43" s="123">
        <v>0</v>
      </c>
      <c r="PV43" s="123">
        <v>0</v>
      </c>
      <c r="PW43" s="123">
        <v>0</v>
      </c>
      <c r="PX43" s="123">
        <v>0</v>
      </c>
      <c r="PY43" s="123">
        <v>0</v>
      </c>
      <c r="PZ43" s="123">
        <v>0</v>
      </c>
      <c r="QA43" s="123">
        <v>0</v>
      </c>
      <c r="QB43" s="123">
        <v>0</v>
      </c>
      <c r="QC43" s="123">
        <v>0</v>
      </c>
      <c r="QD43" s="123">
        <v>0</v>
      </c>
      <c r="QE43" s="123">
        <v>0</v>
      </c>
      <c r="QF43" s="123">
        <v>0</v>
      </c>
      <c r="QG43" s="123">
        <v>0</v>
      </c>
      <c r="QH43" s="123">
        <v>0</v>
      </c>
      <c r="QI43" s="123">
        <v>-0.6</v>
      </c>
      <c r="QJ43" s="123">
        <v>0</v>
      </c>
      <c r="QK43" s="123">
        <v>0</v>
      </c>
      <c r="QL43" s="123">
        <v>0</v>
      </c>
      <c r="QM43" s="123">
        <v>0</v>
      </c>
      <c r="QN43" s="123">
        <v>-3.1108822695035498</v>
      </c>
      <c r="QO43" s="123">
        <v>0.1</v>
      </c>
      <c r="QP43" s="123">
        <v>0</v>
      </c>
      <c r="QQ43" s="123">
        <v>0</v>
      </c>
      <c r="QR43" s="123">
        <v>0</v>
      </c>
      <c r="QS43" s="123">
        <v>0</v>
      </c>
      <c r="QT43" s="123">
        <v>0.23</v>
      </c>
      <c r="QU43" s="123">
        <v>-9.0767508396599993E-3</v>
      </c>
      <c r="QV43" s="123">
        <v>0</v>
      </c>
      <c r="QW43" s="123">
        <v>0</v>
      </c>
      <c r="QX43" s="123">
        <v>-2.3954794799700002E-3</v>
      </c>
      <c r="QY43" s="123">
        <v>0</v>
      </c>
      <c r="QZ43" s="123">
        <v>-0.47</v>
      </c>
      <c r="RA43" s="123">
        <v>0</v>
      </c>
      <c r="RB43" s="123">
        <v>0</v>
      </c>
      <c r="RC43" s="123">
        <v>0</v>
      </c>
      <c r="RD43" s="123">
        <v>0</v>
      </c>
      <c r="RE43" s="123">
        <v>0</v>
      </c>
      <c r="RF43" s="123">
        <v>0</v>
      </c>
      <c r="RG43" s="123">
        <v>0</v>
      </c>
      <c r="RH43" s="123">
        <v>0</v>
      </c>
      <c r="RI43" s="123">
        <v>0</v>
      </c>
      <c r="RJ43" s="123">
        <v>0</v>
      </c>
      <c r="RK43" s="123">
        <v>0</v>
      </c>
      <c r="RL43" s="123">
        <v>0</v>
      </c>
      <c r="RM43" s="123">
        <v>-55.82</v>
      </c>
      <c r="RN43" s="123">
        <v>-11.99</v>
      </c>
      <c r="RO43" s="123">
        <v>-19.61</v>
      </c>
      <c r="RP43" s="123">
        <v>-12.92</v>
      </c>
      <c r="RQ43" s="123">
        <v>-1.07225369578546</v>
      </c>
      <c r="RR43" s="123">
        <v>-0.59</v>
      </c>
      <c r="RS43" s="123">
        <v>-0.12913436945737</v>
      </c>
      <c r="RT43" s="123">
        <v>0</v>
      </c>
      <c r="RU43" s="123">
        <v>0</v>
      </c>
      <c r="RV43" s="123">
        <v>0</v>
      </c>
      <c r="RW43" s="123">
        <v>-0.75737307686747002</v>
      </c>
      <c r="RX43" s="123">
        <v>0</v>
      </c>
      <c r="RY43" s="123">
        <v>-0.15496124334884001</v>
      </c>
      <c r="RZ43" s="123">
        <v>0</v>
      </c>
      <c r="SA43" s="123">
        <v>0</v>
      </c>
      <c r="SB43" s="123">
        <v>0</v>
      </c>
      <c r="SC43" s="123">
        <v>-1.39367584496439</v>
      </c>
      <c r="SD43" s="123">
        <v>0</v>
      </c>
      <c r="SE43" s="123">
        <v>0</v>
      </c>
      <c r="SF43" s="123">
        <v>0</v>
      </c>
      <c r="SG43" s="123">
        <v>0</v>
      </c>
      <c r="SH43" s="123">
        <v>0</v>
      </c>
      <c r="SI43" s="123">
        <v>0</v>
      </c>
      <c r="SJ43" s="123">
        <v>0</v>
      </c>
      <c r="SK43" s="123">
        <v>-0.15496124334885</v>
      </c>
      <c r="SL43" s="123">
        <v>0</v>
      </c>
      <c r="SM43" s="123">
        <v>0</v>
      </c>
      <c r="SN43" s="123">
        <v>0</v>
      </c>
      <c r="SO43" s="123">
        <v>-1.3435541332540599</v>
      </c>
      <c r="SP43" s="123">
        <v>0</v>
      </c>
      <c r="SQ43" s="123">
        <v>-55.82</v>
      </c>
      <c r="SR43" s="123">
        <v>-11.99</v>
      </c>
      <c r="SS43" s="123">
        <v>-19.61</v>
      </c>
      <c r="ST43" s="123">
        <v>-12.92</v>
      </c>
      <c r="SU43" s="123">
        <v>-0.84497718120804999</v>
      </c>
      <c r="SV43" s="123">
        <v>-0.9</v>
      </c>
      <c r="SW43" s="123">
        <v>0</v>
      </c>
      <c r="SX43" s="123">
        <v>0</v>
      </c>
      <c r="SY43" s="123">
        <v>0</v>
      </c>
      <c r="SZ43" s="123">
        <v>0</v>
      </c>
      <c r="TA43" s="123">
        <v>0</v>
      </c>
      <c r="TB43" s="123">
        <v>0</v>
      </c>
      <c r="TC43" s="123">
        <v>0</v>
      </c>
      <c r="TD43" s="123">
        <v>0</v>
      </c>
      <c r="TE43" s="123">
        <v>0</v>
      </c>
      <c r="TF43" s="123">
        <v>0</v>
      </c>
      <c r="TG43" s="123">
        <v>0</v>
      </c>
      <c r="TH43" s="123">
        <v>0</v>
      </c>
      <c r="TI43" s="123">
        <v>0</v>
      </c>
      <c r="TJ43" s="123">
        <v>0</v>
      </c>
      <c r="TK43" s="123">
        <v>0</v>
      </c>
      <c r="TL43" s="123">
        <v>0</v>
      </c>
      <c r="TM43" s="123">
        <v>0</v>
      </c>
      <c r="TN43" s="123">
        <v>0</v>
      </c>
      <c r="TO43" s="123">
        <v>0</v>
      </c>
      <c r="TP43" s="123">
        <v>0</v>
      </c>
      <c r="TQ43" s="123">
        <v>0</v>
      </c>
      <c r="TR43" s="123">
        <v>0</v>
      </c>
      <c r="TS43" s="123">
        <v>0</v>
      </c>
      <c r="TT43" s="123">
        <v>0</v>
      </c>
      <c r="TU43" s="123">
        <v>1.0046888903139199</v>
      </c>
      <c r="TV43" s="123">
        <v>0.16710577309979999</v>
      </c>
      <c r="TW43" s="123">
        <v>-0.20275762945598999</v>
      </c>
      <c r="TX43" s="123">
        <v>1.2390474038300001E-2</v>
      </c>
      <c r="TY43" s="123">
        <v>-5.5329298001249999E-2</v>
      </c>
      <c r="TZ43" s="123">
        <v>-0.44750344212965998</v>
      </c>
      <c r="UA43" s="123">
        <v>-2.6800558377699998E-3</v>
      </c>
      <c r="UB43" s="123">
        <v>0</v>
      </c>
      <c r="UC43" s="123">
        <v>0</v>
      </c>
      <c r="UD43" s="123">
        <v>0</v>
      </c>
      <c r="UE43" s="123">
        <v>4.3345790606010001E-2</v>
      </c>
      <c r="UF43" s="123">
        <v>0</v>
      </c>
      <c r="UG43" s="123">
        <v>0</v>
      </c>
      <c r="UH43" s="123">
        <v>0</v>
      </c>
      <c r="UI43" s="123">
        <v>0</v>
      </c>
      <c r="UJ43" s="123">
        <v>0</v>
      </c>
      <c r="UK43" s="123">
        <v>0.14138326334163001</v>
      </c>
      <c r="UL43" s="123">
        <v>-6.76163329988798</v>
      </c>
      <c r="UM43" s="123">
        <v>0.12020443037641</v>
      </c>
      <c r="UN43" s="123">
        <v>0</v>
      </c>
      <c r="UO43" s="123">
        <v>0</v>
      </c>
      <c r="UP43" s="123">
        <v>0</v>
      </c>
      <c r="UQ43" s="123">
        <v>0</v>
      </c>
      <c r="UR43" s="123">
        <v>-3.11</v>
      </c>
      <c r="US43" s="123">
        <v>6.8506595710599999E-3</v>
      </c>
      <c r="UT43" s="123">
        <v>0</v>
      </c>
      <c r="UU43" s="123">
        <v>0</v>
      </c>
      <c r="UV43" s="123">
        <v>0</v>
      </c>
      <c r="UW43" s="123">
        <v>0</v>
      </c>
      <c r="UX43" s="123">
        <v>-0.43889541996992998</v>
      </c>
      <c r="UY43" s="123">
        <v>0</v>
      </c>
      <c r="UZ43" s="123">
        <v>0</v>
      </c>
      <c r="VA43" s="123">
        <v>0</v>
      </c>
      <c r="VB43" s="123">
        <v>0</v>
      </c>
      <c r="VC43" s="123">
        <v>0</v>
      </c>
      <c r="VD43" s="123">
        <v>0</v>
      </c>
      <c r="VE43" s="4"/>
      <c r="VF43" s="4"/>
      <c r="VG43" s="4"/>
      <c r="VH43" s="4"/>
      <c r="VI43" s="4"/>
      <c r="VJ43" s="4"/>
      <c r="VK43" s="4"/>
      <c r="VL43" s="4"/>
      <c r="VM43" s="4"/>
      <c r="VN43" s="4"/>
      <c r="VO43" s="4"/>
      <c r="VP43" s="4"/>
      <c r="VQ43" s="4"/>
      <c r="VR43" s="4"/>
      <c r="VS43" s="4"/>
      <c r="VT43" s="4"/>
      <c r="VU43" s="4"/>
      <c r="VV43" s="4"/>
      <c r="VW43" s="4"/>
      <c r="VX43" s="4"/>
      <c r="VY43" s="4"/>
      <c r="VZ43" s="4"/>
      <c r="WA43" s="4"/>
      <c r="WB43" s="4"/>
      <c r="WC43" s="4"/>
      <c r="WD43" s="4"/>
      <c r="WE43" s="4"/>
      <c r="WF43" s="4"/>
      <c r="WG43" s="4"/>
      <c r="WH43" s="4"/>
      <c r="WI43" s="4"/>
      <c r="WJ43" s="4"/>
      <c r="WK43" s="4"/>
      <c r="WL43" s="4"/>
      <c r="WM43" s="4"/>
      <c r="WN43" s="4"/>
      <c r="WO43" s="4"/>
      <c r="WP43" s="4"/>
      <c r="WQ43" s="4"/>
      <c r="WR43" s="4"/>
      <c r="WS43" s="4"/>
      <c r="WT43" s="4"/>
      <c r="WU43" s="4"/>
      <c r="WV43" s="4"/>
      <c r="WW43" s="4"/>
      <c r="WX43" s="134"/>
      <c r="WY43" s="134"/>
      <c r="WZ43" s="134"/>
      <c r="XA43" s="134"/>
      <c r="XB43" s="134"/>
      <c r="XC43" s="134"/>
      <c r="XD43" s="134"/>
      <c r="XE43" s="134"/>
      <c r="XF43" s="134"/>
      <c r="XG43" s="134"/>
      <c r="XH43" s="134"/>
      <c r="XI43" s="134"/>
      <c r="XJ43" s="134"/>
      <c r="XK43" s="134"/>
      <c r="XL43" s="134"/>
      <c r="XM43" s="134"/>
      <c r="XN43" s="134"/>
      <c r="XO43" s="134"/>
      <c r="XP43" s="134"/>
      <c r="XQ43" s="134"/>
      <c r="XR43" s="134"/>
      <c r="XS43" s="134"/>
      <c r="XT43" s="134"/>
      <c r="XU43" s="134"/>
      <c r="XV43" s="134"/>
      <c r="XW43" s="134"/>
      <c r="XX43" s="134"/>
      <c r="XY43" s="134"/>
      <c r="XZ43" s="134"/>
      <c r="YA43" s="134"/>
      <c r="YB43" s="134"/>
      <c r="YC43" s="134"/>
      <c r="YD43" s="134"/>
      <c r="YE43" s="134"/>
      <c r="YF43" s="134"/>
      <c r="YG43" s="134"/>
      <c r="YH43" s="134"/>
      <c r="YI43" s="134"/>
      <c r="YJ43" s="134"/>
      <c r="YK43" s="134"/>
      <c r="YL43" s="134"/>
      <c r="YM43" s="134"/>
      <c r="YN43" s="134"/>
      <c r="YO43" s="134"/>
      <c r="YP43" s="134"/>
      <c r="YQ43" s="134"/>
      <c r="YR43" s="134"/>
      <c r="YS43" s="134"/>
      <c r="YT43" s="134"/>
      <c r="YU43" s="134"/>
      <c r="YV43" s="134"/>
      <c r="YW43" s="134"/>
      <c r="YX43" s="134"/>
      <c r="YY43" s="134"/>
      <c r="YZ43" s="134"/>
      <c r="ZA43" s="134"/>
      <c r="ZB43" s="134"/>
      <c r="ZC43" s="134"/>
      <c r="ZD43" s="134"/>
      <c r="ZE43" s="134"/>
      <c r="ZF43" s="134"/>
      <c r="ZG43" s="134"/>
      <c r="ZH43" s="134"/>
      <c r="ZI43" s="134"/>
      <c r="ZJ43" s="134"/>
      <c r="ZK43" s="134"/>
      <c r="ZL43" s="134"/>
      <c r="ZM43" s="134"/>
      <c r="ZN43" s="134"/>
      <c r="ZO43" s="134"/>
      <c r="ZP43" s="134"/>
      <c r="ZQ43" s="134"/>
      <c r="ZR43" s="134"/>
      <c r="ZS43" s="134"/>
      <c r="ZT43" s="134"/>
      <c r="ZU43" s="134"/>
      <c r="ZV43" s="134"/>
      <c r="ZW43" s="134"/>
      <c r="ZX43" s="134"/>
      <c r="ZY43" s="134"/>
      <c r="ZZ43" s="134"/>
      <c r="AAA43" s="134"/>
      <c r="AAB43" s="134"/>
      <c r="AAC43" s="134"/>
      <c r="AAD43" s="134"/>
      <c r="AAE43" s="134"/>
      <c r="AAF43" s="134"/>
      <c r="AAG43" s="134"/>
      <c r="AAH43" s="134"/>
      <c r="AAI43" s="134"/>
      <c r="AAJ43" s="134"/>
      <c r="AAK43" s="134"/>
      <c r="AAL43" s="134"/>
      <c r="AAM43" s="134"/>
      <c r="AAN43" s="134"/>
      <c r="AAO43" s="134"/>
      <c r="AAP43" s="134"/>
      <c r="AAQ43" s="134"/>
      <c r="AAR43" s="134"/>
      <c r="AAS43" s="134"/>
      <c r="AAT43" s="134"/>
      <c r="AAU43" s="134"/>
      <c r="AAV43" s="134"/>
      <c r="AAW43" s="134"/>
      <c r="AAX43" s="134"/>
      <c r="AAY43" s="134"/>
      <c r="AAZ43" s="134"/>
      <c r="ABA43" s="134"/>
      <c r="ABB43" s="134"/>
      <c r="ABC43" s="134"/>
      <c r="ABD43" s="134"/>
      <c r="ABE43" s="134"/>
      <c r="ABF43" s="134"/>
      <c r="ABG43" s="134"/>
      <c r="ABH43" s="134"/>
      <c r="ABI43" s="134"/>
      <c r="ABJ43" s="134"/>
      <c r="ABK43" s="134"/>
      <c r="ABL43" s="134"/>
      <c r="ABM43" s="134"/>
      <c r="ABN43" s="134"/>
      <c r="ABO43" s="134"/>
      <c r="ABP43" s="134"/>
      <c r="ABQ43" s="134"/>
      <c r="ABR43" s="134"/>
      <c r="ABS43" s="134"/>
      <c r="ABT43" s="134"/>
      <c r="ABU43" s="134"/>
      <c r="ABV43" s="134"/>
      <c r="ABW43" s="134"/>
      <c r="ABX43" s="134"/>
      <c r="ABY43" s="134"/>
      <c r="ABZ43" s="134"/>
      <c r="ACA43" s="134"/>
      <c r="ACB43" s="134"/>
      <c r="ACC43" s="134"/>
      <c r="ACD43" s="134"/>
      <c r="ACE43" s="134"/>
      <c r="ACF43" s="134"/>
      <c r="ACG43" s="134"/>
      <c r="ACH43" s="134"/>
      <c r="ACI43" s="134"/>
      <c r="ACJ43" s="134"/>
      <c r="ACK43" s="134"/>
      <c r="ACL43" s="134"/>
      <c r="ACM43" s="134"/>
      <c r="ACN43" s="134"/>
      <c r="ACO43" s="134"/>
      <c r="ACP43" s="134"/>
      <c r="ACQ43" s="134"/>
      <c r="ACR43" s="134"/>
      <c r="ACS43" s="134"/>
      <c r="ACT43" s="134"/>
      <c r="ACU43" s="134"/>
      <c r="ACV43" s="134"/>
      <c r="ACW43" s="134"/>
      <c r="ACX43" s="134"/>
      <c r="ACY43" s="134"/>
      <c r="ACZ43" s="134"/>
      <c r="ADA43" s="134"/>
      <c r="ADB43" s="134"/>
      <c r="ADC43" s="134"/>
      <c r="ADD43" s="134"/>
      <c r="ADE43" s="134"/>
      <c r="ADF43" s="134"/>
      <c r="ADG43" s="134"/>
      <c r="ADH43" s="134"/>
      <c r="ADI43" s="134"/>
      <c r="ADJ43" s="134"/>
      <c r="ADK43" s="134"/>
      <c r="ADL43" s="134"/>
      <c r="ADM43" s="134"/>
      <c r="ADN43" s="134"/>
      <c r="ADO43" s="134"/>
      <c r="ADP43" s="134"/>
      <c r="ADQ43" s="134"/>
      <c r="ADR43" s="134"/>
      <c r="ADS43" s="134"/>
      <c r="ADT43" s="134"/>
      <c r="ADU43" s="134"/>
      <c r="ADV43" s="134"/>
      <c r="ADW43" s="134"/>
      <c r="ADX43" s="134"/>
      <c r="ADY43" s="134"/>
      <c r="ADZ43" s="134"/>
      <c r="AEA43" s="134"/>
      <c r="AEB43" s="134"/>
      <c r="AEC43" s="134"/>
      <c r="AED43" s="134"/>
      <c r="AEE43" s="134"/>
      <c r="AEF43" s="134"/>
      <c r="AEG43" s="134"/>
      <c r="AEH43" s="134"/>
      <c r="AEI43" s="134"/>
      <c r="AEJ43" s="134"/>
      <c r="AEK43" s="134"/>
      <c r="AEL43" s="134"/>
      <c r="AEM43" s="134"/>
      <c r="AEN43" s="134"/>
      <c r="AEO43" s="134"/>
      <c r="AEP43" s="134"/>
      <c r="AEQ43" s="134"/>
      <c r="AER43" s="134"/>
      <c r="AES43" s="134"/>
      <c r="AET43" s="134"/>
      <c r="AEU43" s="134"/>
      <c r="AEV43" s="134"/>
      <c r="AEW43" s="134"/>
      <c r="AEX43" s="134"/>
      <c r="AEY43" s="134"/>
      <c r="AEZ43" s="134"/>
      <c r="AFA43" s="134"/>
      <c r="AFB43" s="134"/>
      <c r="AFC43" s="134"/>
      <c r="AFD43" s="134"/>
      <c r="AFE43" s="134"/>
      <c r="AFF43" s="134"/>
      <c r="AFG43" s="134"/>
      <c r="AFH43" s="134"/>
      <c r="AFI43" s="134"/>
      <c r="AFJ43" s="134"/>
      <c r="AFK43" s="134"/>
      <c r="AFL43" s="134"/>
      <c r="AFM43" s="134"/>
      <c r="AFN43" s="134"/>
      <c r="AFO43" s="134"/>
      <c r="AFP43" s="134"/>
      <c r="AFQ43" s="134"/>
      <c r="AFR43" s="134"/>
      <c r="AFS43" s="134"/>
      <c r="AFT43" s="134"/>
      <c r="AFU43" s="134"/>
      <c r="AFV43" s="134"/>
      <c r="AFW43" s="134"/>
      <c r="AFX43" s="134"/>
      <c r="AFY43" s="134"/>
      <c r="AFZ43" s="134"/>
      <c r="AGA43" s="134"/>
      <c r="AGB43" s="134"/>
      <c r="AGC43" s="134"/>
      <c r="AGD43" s="134"/>
      <c r="AGE43" s="134"/>
      <c r="AGF43" s="134"/>
      <c r="AGG43" s="134"/>
      <c r="AGH43" s="134"/>
      <c r="AGI43" s="134"/>
      <c r="AGJ43" s="134"/>
      <c r="AGK43" s="134"/>
      <c r="AGL43" s="134"/>
      <c r="AGM43" s="134"/>
      <c r="AGN43" s="134"/>
      <c r="AGO43" s="134"/>
      <c r="AGP43" s="134"/>
      <c r="AGQ43" s="134"/>
      <c r="AGR43" s="134"/>
      <c r="AGS43" s="134"/>
      <c r="AGT43" s="134"/>
      <c r="AGU43" s="134"/>
      <c r="AGV43" s="134"/>
      <c r="AGW43" s="134"/>
      <c r="AGX43" s="134"/>
      <c r="AGY43" s="134"/>
      <c r="AGZ43" s="134"/>
      <c r="AHA43" s="134"/>
      <c r="AHB43" s="134"/>
      <c r="AHC43" s="134"/>
      <c r="AHD43" s="134"/>
      <c r="AHE43" s="134"/>
      <c r="AHF43" s="134"/>
      <c r="AHG43" s="134"/>
      <c r="AHH43" s="134"/>
      <c r="AHI43" s="134"/>
      <c r="AHJ43" s="134"/>
      <c r="AHK43" s="134"/>
      <c r="AHL43" s="134"/>
      <c r="AHM43" s="134"/>
      <c r="AHN43" s="134"/>
      <c r="AHO43" s="134"/>
      <c r="AHP43" s="134"/>
      <c r="AHQ43" s="134"/>
      <c r="AHR43" s="134"/>
      <c r="AHS43" s="134"/>
      <c r="AHT43" s="134"/>
      <c r="AHU43" s="134"/>
      <c r="AHV43" s="134"/>
      <c r="AHW43" s="134"/>
      <c r="AHX43" s="134"/>
      <c r="AHY43" s="134"/>
      <c r="AHZ43" s="134"/>
      <c r="AIA43" s="134"/>
      <c r="AIB43" s="134"/>
      <c r="AIC43" s="134"/>
      <c r="AID43" s="134"/>
      <c r="AIE43" s="134"/>
      <c r="AIF43" s="134"/>
      <c r="AIG43" s="134"/>
      <c r="AIH43" s="134"/>
      <c r="AII43" s="134"/>
      <c r="AIJ43" s="134"/>
      <c r="AIK43" s="134"/>
      <c r="AIL43" s="134"/>
      <c r="AIM43" s="134"/>
      <c r="AIN43" s="134"/>
      <c r="AIO43" s="134"/>
      <c r="AIP43" s="134"/>
      <c r="AIQ43" s="134"/>
      <c r="AIR43" s="134"/>
      <c r="AIS43" s="134"/>
      <c r="AIT43" s="134"/>
      <c r="AIU43" s="134"/>
      <c r="AIV43" s="134"/>
      <c r="AIW43" s="134"/>
      <c r="AIX43" s="134"/>
      <c r="AIY43" s="134"/>
      <c r="AIZ43" s="134"/>
      <c r="AJA43" s="134"/>
      <c r="AJB43" s="134"/>
      <c r="AJC43" s="134"/>
      <c r="AJD43" s="134"/>
    </row>
    <row r="44" spans="1:940" ht="18" customHeight="1">
      <c r="A44" s="666" t="s">
        <v>244</v>
      </c>
      <c r="B44" s="668">
        <v>0.5</v>
      </c>
      <c r="C44" s="124">
        <v>0.5</v>
      </c>
      <c r="D44" s="124">
        <v>0.5</v>
      </c>
      <c r="E44" s="63">
        <v>259.61373390557941</v>
      </c>
      <c r="F44" s="125">
        <v>-5.8</v>
      </c>
      <c r="G44" s="125">
        <v>-1.5</v>
      </c>
      <c r="H44" s="125">
        <v>-1.5</v>
      </c>
      <c r="I44" s="125"/>
      <c r="J44" s="125"/>
      <c r="K44" s="125"/>
      <c r="L44" s="125"/>
      <c r="M44" s="63">
        <v>541.70374958491891</v>
      </c>
      <c r="N44" s="65">
        <v>12</v>
      </c>
      <c r="O44" s="126">
        <v>0.3</v>
      </c>
      <c r="P44" s="126">
        <v>0.1</v>
      </c>
      <c r="Q44" s="126">
        <v>0.1</v>
      </c>
      <c r="R44" s="125">
        <v>2.5</v>
      </c>
      <c r="S44" s="125">
        <v>0</v>
      </c>
      <c r="T44" s="125">
        <v>97.5</v>
      </c>
      <c r="U44" s="125">
        <v>0</v>
      </c>
      <c r="V44" s="127">
        <v>0</v>
      </c>
      <c r="W44" s="69">
        <v>1</v>
      </c>
      <c r="X44" s="69">
        <v>1</v>
      </c>
      <c r="Y44" s="69">
        <v>1</v>
      </c>
      <c r="Z44" s="69">
        <v>1</v>
      </c>
      <c r="AA44" s="69">
        <v>1</v>
      </c>
      <c r="AB44" s="69"/>
      <c r="AC44" s="69"/>
      <c r="AD44" s="69"/>
      <c r="AE44" s="69"/>
      <c r="AF44" s="69"/>
      <c r="AG44" s="69"/>
      <c r="AH44" s="69"/>
      <c r="AI44" s="69"/>
      <c r="AJ44" s="69"/>
      <c r="AK44" s="69"/>
      <c r="AL44" s="69"/>
      <c r="AM44" s="69"/>
      <c r="AN44" s="69"/>
      <c r="AO44" s="69"/>
      <c r="AP44" s="69"/>
      <c r="AQ44" s="69"/>
      <c r="AR44" s="69"/>
      <c r="AS44" s="69"/>
      <c r="AT44" s="69"/>
      <c r="AU44" s="69"/>
      <c r="AV44" s="69"/>
      <c r="AW44" s="69"/>
      <c r="AX44" s="63">
        <v>10062.301353275248</v>
      </c>
      <c r="AY44" s="128">
        <v>1.56</v>
      </c>
      <c r="AZ44" s="126">
        <v>0.8</v>
      </c>
      <c r="BA44" s="126">
        <v>0.6</v>
      </c>
      <c r="BB44" s="126">
        <v>0.6</v>
      </c>
      <c r="BC44" s="70">
        <v>0.18084</v>
      </c>
      <c r="BD44" s="70">
        <v>0.17335999999999999</v>
      </c>
      <c r="BE44" s="68"/>
      <c r="BF44" s="68">
        <v>1.202485753233595E-3</v>
      </c>
      <c r="BG44" s="68">
        <v>0.26457534563712537</v>
      </c>
      <c r="BH44" s="68">
        <v>58.54078480422551</v>
      </c>
      <c r="BI44" s="68">
        <v>1.2708723837944664</v>
      </c>
      <c r="BJ44" s="68">
        <v>0.39067812791701684</v>
      </c>
      <c r="BK44" s="68">
        <v>39.231528062568245</v>
      </c>
      <c r="BL44" s="68">
        <v>3.1881694641653864E-2</v>
      </c>
      <c r="BM44" s="68">
        <v>5.1042355788573383E-3</v>
      </c>
      <c r="BN44" s="68">
        <v>3.2910136404287863E-4</v>
      </c>
      <c r="BO44" s="68"/>
      <c r="BP44" s="68"/>
      <c r="BQ44" s="68">
        <v>8.6854280181585475E-2</v>
      </c>
      <c r="BR44" s="68">
        <v>1.0854016141029555E-3</v>
      </c>
      <c r="BS44" s="68">
        <v>0.17510407672416045</v>
      </c>
      <c r="BT44" s="68"/>
      <c r="BU44" s="68"/>
      <c r="BV44" s="68"/>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6">
        <v>1</v>
      </c>
      <c r="CY44" s="66">
        <v>1</v>
      </c>
      <c r="CZ44" s="66">
        <v>1</v>
      </c>
      <c r="DA44" s="66">
        <v>1</v>
      </c>
      <c r="DB44" s="66">
        <v>1</v>
      </c>
      <c r="DC44" s="66"/>
      <c r="DD44" s="66"/>
      <c r="DE44" s="66"/>
      <c r="DF44" s="66"/>
      <c r="DG44" s="66"/>
      <c r="DH44" s="65">
        <v>1.0682498070272575</v>
      </c>
      <c r="DI44" s="65">
        <v>18</v>
      </c>
      <c r="DJ44" s="63">
        <f t="shared" ref="DJ44:DJ46" si="931">DH44*DI44</f>
        <v>19.228496526490634</v>
      </c>
      <c r="DK44" s="126">
        <v>1.1000000000000001</v>
      </c>
      <c r="DL44" s="126">
        <v>0.6</v>
      </c>
      <c r="DM44" s="126">
        <v>0.6</v>
      </c>
      <c r="DN44" s="126"/>
      <c r="DO44" s="126"/>
      <c r="DP44" s="126"/>
      <c r="DQ44" s="126"/>
      <c r="DR44" s="126"/>
      <c r="DS44" s="126"/>
      <c r="DT44" s="126"/>
      <c r="DU44" s="126"/>
      <c r="DV44" s="126"/>
      <c r="DW44" s="126"/>
      <c r="DX44" s="126"/>
      <c r="DY44" s="126"/>
      <c r="DZ44" s="126"/>
      <c r="EA44" s="126"/>
      <c r="EB44" s="65">
        <v>0.47705402341217251</v>
      </c>
      <c r="EC44" s="65">
        <v>18</v>
      </c>
      <c r="ED44" s="63">
        <v>8110.3330472103007</v>
      </c>
      <c r="EE44" s="126">
        <v>1.1000000000000001</v>
      </c>
      <c r="EF44" s="126">
        <v>0.6</v>
      </c>
      <c r="EG44" s="126">
        <v>0.6</v>
      </c>
      <c r="EH44" s="126"/>
      <c r="EI44" s="126"/>
      <c r="EJ44" s="126"/>
      <c r="EK44" s="126"/>
      <c r="EL44" s="126"/>
      <c r="EM44" s="126"/>
      <c r="EN44" s="126"/>
      <c r="EO44" s="126"/>
      <c r="EP44" s="126"/>
      <c r="EQ44" s="126"/>
      <c r="ER44" s="126"/>
      <c r="ES44" s="126"/>
      <c r="ET44" s="126"/>
      <c r="EU44" s="126"/>
      <c r="EV44" s="126"/>
      <c r="EW44" s="126"/>
      <c r="EX44" s="126"/>
      <c r="EY44" s="126"/>
      <c r="EZ44" s="126"/>
      <c r="FA44" s="126"/>
      <c r="FB44" s="126"/>
      <c r="FC44" s="126"/>
      <c r="FD44" s="126"/>
      <c r="FE44" s="126"/>
      <c r="FF44" s="126"/>
      <c r="FG44" s="126"/>
      <c r="FH44" s="126"/>
      <c r="FI44" s="126"/>
      <c r="FJ44" s="126"/>
      <c r="FK44" s="126"/>
      <c r="FL44" s="126"/>
      <c r="FM44" s="126"/>
      <c r="FN44" s="126"/>
      <c r="FO44" s="126"/>
      <c r="FP44" s="126"/>
      <c r="FQ44" s="126"/>
      <c r="FR44" s="126"/>
      <c r="FS44" s="126"/>
      <c r="FT44" s="126"/>
      <c r="FU44" s="126"/>
      <c r="FV44" s="126"/>
      <c r="FW44" s="126"/>
      <c r="FX44" s="126"/>
      <c r="FY44" s="126"/>
      <c r="FZ44" s="126"/>
      <c r="GA44" s="126"/>
      <c r="GB44" s="126"/>
      <c r="GC44" s="126"/>
      <c r="GD44" s="126"/>
      <c r="GE44" s="126"/>
      <c r="GF44" s="126"/>
      <c r="GG44" s="126"/>
      <c r="GH44" s="126"/>
      <c r="GI44" s="126"/>
      <c r="GJ44" s="126"/>
      <c r="GK44" s="126"/>
      <c r="GL44" s="126"/>
      <c r="GM44" s="126"/>
      <c r="GN44" s="126"/>
      <c r="GO44" s="126"/>
      <c r="GP44" s="126"/>
      <c r="GQ44" s="126"/>
      <c r="GR44" s="126"/>
      <c r="GS44" s="126"/>
      <c r="GT44" s="126"/>
      <c r="GU44" s="126"/>
      <c r="GV44" s="126"/>
      <c r="GW44" s="126"/>
      <c r="GX44" s="126"/>
      <c r="GY44" s="126"/>
      <c r="GZ44" s="126"/>
      <c r="HA44" s="126"/>
      <c r="HB44" s="126"/>
      <c r="HC44" s="126"/>
      <c r="HD44" s="126"/>
      <c r="HE44" s="126"/>
      <c r="HF44" s="126"/>
      <c r="HG44" s="126"/>
      <c r="HH44" s="126"/>
      <c r="HI44" s="126"/>
      <c r="HJ44" s="126"/>
      <c r="HK44" s="126"/>
      <c r="HL44" s="126"/>
      <c r="HM44" s="126"/>
      <c r="HN44" s="126"/>
      <c r="HO44" s="126"/>
      <c r="HP44" s="126"/>
      <c r="HQ44" s="126"/>
      <c r="HR44" s="126"/>
      <c r="HS44" s="126"/>
      <c r="HT44" s="126"/>
      <c r="HU44" s="126"/>
      <c r="HV44" s="126"/>
      <c r="HW44" s="126"/>
      <c r="HX44" s="126"/>
      <c r="HY44" s="126"/>
      <c r="HZ44" s="126"/>
      <c r="IA44" s="126"/>
      <c r="IB44" s="126"/>
      <c r="IC44" s="126"/>
      <c r="ID44" s="126"/>
      <c r="IE44" s="126"/>
      <c r="IF44" s="126"/>
      <c r="IG44" s="126"/>
      <c r="IH44" s="126"/>
      <c r="II44" s="126"/>
      <c r="IJ44" s="126"/>
      <c r="IK44" s="126"/>
      <c r="IL44" s="126"/>
      <c r="IM44" s="126"/>
      <c r="IN44" s="126"/>
      <c r="IO44" s="126"/>
      <c r="IP44" s="126"/>
      <c r="IQ44" s="126"/>
      <c r="IR44" s="126"/>
      <c r="IS44" s="126"/>
      <c r="IT44" s="63">
        <v>1020.0468636800275</v>
      </c>
      <c r="IU44" s="65">
        <v>179.9</v>
      </c>
      <c r="IV44" s="65">
        <v>2964.2987982832719</v>
      </c>
      <c r="IW44" s="65"/>
      <c r="IX44" s="65"/>
      <c r="IY44" s="126">
        <v>1.1000000000000001</v>
      </c>
      <c r="IZ44" s="126">
        <v>0.6</v>
      </c>
      <c r="JA44" s="126">
        <v>0.6</v>
      </c>
      <c r="JB44" s="66">
        <v>1</v>
      </c>
      <c r="JC44" s="66">
        <v>1</v>
      </c>
      <c r="JD44" s="66">
        <v>1</v>
      </c>
      <c r="JE44" s="66">
        <v>1</v>
      </c>
      <c r="JF44" s="66">
        <v>1</v>
      </c>
      <c r="JG44" s="63">
        <v>27.2564358745006</v>
      </c>
      <c r="JH44" s="63"/>
      <c r="JI44" s="63"/>
      <c r="JJ44" s="63">
        <v>7042.8182918455341</v>
      </c>
      <c r="JK44" s="126">
        <v>1.1000000000000001</v>
      </c>
      <c r="JL44" s="126">
        <v>0.7</v>
      </c>
      <c r="JM44" s="126">
        <v>0.7</v>
      </c>
      <c r="JN44" s="66">
        <v>1</v>
      </c>
      <c r="JO44" s="66">
        <v>1</v>
      </c>
      <c r="JP44" s="66">
        <v>1</v>
      </c>
      <c r="JQ44" s="66">
        <v>1</v>
      </c>
      <c r="JR44" s="66">
        <v>1</v>
      </c>
      <c r="JS44" s="66"/>
      <c r="JT44" s="63">
        <v>270.36392543224167</v>
      </c>
      <c r="JU44" s="63">
        <v>500</v>
      </c>
      <c r="JV44" s="66">
        <v>0.9</v>
      </c>
      <c r="JW44" s="66">
        <v>0.8</v>
      </c>
      <c r="JX44" s="66">
        <v>0.8</v>
      </c>
      <c r="JY44" s="66">
        <v>1</v>
      </c>
      <c r="JZ44" s="66">
        <v>1</v>
      </c>
      <c r="KA44" s="66">
        <v>1</v>
      </c>
      <c r="KB44" s="66">
        <v>1</v>
      </c>
      <c r="KC44" s="66">
        <v>1</v>
      </c>
      <c r="KD44" s="66"/>
      <c r="KE44" s="66"/>
      <c r="KF44" s="66"/>
      <c r="KG44" s="66"/>
      <c r="KH44" s="66"/>
      <c r="KI44" s="66"/>
      <c r="KJ44" s="66"/>
      <c r="KK44" s="66"/>
      <c r="KL44" s="66"/>
      <c r="KM44" s="66"/>
      <c r="KN44" s="66"/>
      <c r="KO44" s="66"/>
      <c r="KP44" s="66"/>
      <c r="KQ44" s="66"/>
      <c r="KR44" s="66"/>
      <c r="KS44" s="66"/>
      <c r="KT44" s="66"/>
      <c r="KU44" s="66"/>
      <c r="KV44" s="66"/>
      <c r="KW44" s="66"/>
      <c r="KX44" s="66"/>
      <c r="KY44" s="66"/>
      <c r="KZ44" s="66"/>
      <c r="LA44" s="66"/>
      <c r="LB44" s="66"/>
      <c r="LC44" s="66"/>
      <c r="LD44" s="66"/>
      <c r="LE44" s="66"/>
      <c r="LF44" s="66"/>
      <c r="LG44" s="66"/>
      <c r="LH44" s="66"/>
      <c r="LI44" s="66"/>
      <c r="LJ44" s="66"/>
      <c r="LK44" s="63"/>
      <c r="LL44" s="123">
        <v>29</v>
      </c>
      <c r="LM44" s="126">
        <v>0.7</v>
      </c>
      <c r="LN44" s="126">
        <v>0.4</v>
      </c>
      <c r="LO44" s="126">
        <v>0.4</v>
      </c>
      <c r="LP44" s="66">
        <v>1</v>
      </c>
      <c r="LQ44" s="66">
        <v>1</v>
      </c>
      <c r="LR44" s="66">
        <v>1</v>
      </c>
      <c r="LS44" s="66">
        <v>1</v>
      </c>
      <c r="LT44" s="66">
        <v>1</v>
      </c>
      <c r="LU44" s="66"/>
      <c r="LV44" s="66"/>
      <c r="LW44" s="66"/>
      <c r="LX44" s="66"/>
      <c r="LY44" s="66"/>
      <c r="LZ44" s="66"/>
      <c r="MA44" s="66"/>
      <c r="MB44" s="66"/>
      <c r="MC44" s="66"/>
      <c r="MD44" s="66"/>
      <c r="ME44" s="66"/>
      <c r="MF44" s="66"/>
      <c r="MG44" s="66"/>
      <c r="MH44" s="66"/>
      <c r="MI44" s="66"/>
      <c r="MJ44" s="66"/>
      <c r="MK44" s="66"/>
      <c r="ML44" s="66"/>
      <c r="MM44" s="66"/>
      <c r="MN44" s="66"/>
      <c r="MO44" s="66"/>
      <c r="MP44" s="66"/>
      <c r="MQ44" s="66"/>
      <c r="MR44" s="66"/>
      <c r="MS44" s="66"/>
      <c r="MT44" s="66"/>
      <c r="MU44" s="66"/>
      <c r="MV44" s="66"/>
      <c r="MW44" s="123">
        <v>200</v>
      </c>
      <c r="MX44" s="123">
        <v>200</v>
      </c>
      <c r="MY44" s="123">
        <v>200</v>
      </c>
      <c r="MZ44" s="123">
        <v>200</v>
      </c>
      <c r="NA44" s="123">
        <v>200</v>
      </c>
      <c r="NB44" s="123">
        <v>200</v>
      </c>
      <c r="NC44" s="123">
        <v>200</v>
      </c>
      <c r="ND44" s="123">
        <v>200</v>
      </c>
      <c r="NE44" s="123">
        <v>200</v>
      </c>
      <c r="NF44" s="123">
        <v>200</v>
      </c>
      <c r="NG44" s="123">
        <v>200</v>
      </c>
      <c r="NH44" s="123">
        <v>200</v>
      </c>
      <c r="NI44" s="123">
        <v>200</v>
      </c>
      <c r="NJ44" s="123">
        <v>200</v>
      </c>
      <c r="NK44" s="123">
        <v>200</v>
      </c>
      <c r="NL44" s="123">
        <v>200</v>
      </c>
      <c r="NM44" s="123">
        <v>200</v>
      </c>
      <c r="NN44" s="123">
        <v>200</v>
      </c>
      <c r="NO44" s="123">
        <v>200</v>
      </c>
      <c r="NP44" s="123">
        <v>200</v>
      </c>
      <c r="NQ44" s="123">
        <v>200</v>
      </c>
      <c r="NR44" s="123">
        <v>200</v>
      </c>
      <c r="NS44" s="123">
        <v>200</v>
      </c>
      <c r="NT44" s="123">
        <v>200</v>
      </c>
      <c r="NU44" s="123">
        <v>200</v>
      </c>
      <c r="NV44" s="123">
        <v>200</v>
      </c>
      <c r="NW44" s="123">
        <v>200</v>
      </c>
      <c r="NX44" s="123">
        <v>200</v>
      </c>
      <c r="NY44" s="123">
        <v>200</v>
      </c>
      <c r="NZ44" s="123">
        <v>200</v>
      </c>
      <c r="OA44" s="123">
        <v>200</v>
      </c>
      <c r="OB44" s="123">
        <v>200</v>
      </c>
      <c r="OC44" s="123">
        <v>200</v>
      </c>
      <c r="OD44" s="123">
        <v>200</v>
      </c>
      <c r="OE44" s="123">
        <v>200</v>
      </c>
      <c r="OF44" s="123">
        <v>200</v>
      </c>
      <c r="OG44" s="123">
        <v>200</v>
      </c>
      <c r="OH44" s="123">
        <v>200</v>
      </c>
      <c r="OI44" s="123">
        <v>200</v>
      </c>
      <c r="OJ44" s="123">
        <v>200</v>
      </c>
      <c r="OK44" s="123">
        <v>200</v>
      </c>
      <c r="OL44" s="123">
        <v>200</v>
      </c>
      <c r="OM44" s="123">
        <v>200</v>
      </c>
      <c r="ON44" s="123">
        <v>200</v>
      </c>
      <c r="OO44" s="123">
        <v>200</v>
      </c>
      <c r="OP44" s="123">
        <v>200</v>
      </c>
      <c r="OQ44" s="123">
        <v>200</v>
      </c>
      <c r="OR44" s="123">
        <v>200</v>
      </c>
      <c r="OS44" s="123">
        <v>200</v>
      </c>
      <c r="OT44" s="123">
        <v>200</v>
      </c>
      <c r="OU44" s="123">
        <v>200</v>
      </c>
      <c r="OV44" s="123">
        <v>200</v>
      </c>
      <c r="OW44" s="123">
        <v>200</v>
      </c>
      <c r="OX44" s="123">
        <v>200</v>
      </c>
      <c r="OY44" s="123">
        <v>200</v>
      </c>
      <c r="OZ44" s="123">
        <v>200</v>
      </c>
      <c r="PA44" s="123">
        <v>200</v>
      </c>
      <c r="PB44" s="123">
        <v>200</v>
      </c>
      <c r="PC44" s="123">
        <v>200</v>
      </c>
      <c r="PD44" s="123">
        <v>200</v>
      </c>
      <c r="PE44" s="123">
        <v>200</v>
      </c>
      <c r="PF44" s="123">
        <v>200</v>
      </c>
      <c r="PG44" s="123">
        <v>200</v>
      </c>
      <c r="PH44" s="123">
        <v>200</v>
      </c>
      <c r="PI44" s="123">
        <v>200</v>
      </c>
      <c r="PJ44" s="123">
        <v>200</v>
      </c>
      <c r="PK44" s="123">
        <v>200</v>
      </c>
      <c r="PL44" s="123">
        <v>200</v>
      </c>
      <c r="PM44" s="123">
        <v>200</v>
      </c>
      <c r="PN44" s="123">
        <v>200</v>
      </c>
      <c r="PO44" s="123">
        <v>200</v>
      </c>
      <c r="PP44" s="123">
        <v>200</v>
      </c>
      <c r="PQ44" s="123">
        <v>200</v>
      </c>
      <c r="PR44" s="123">
        <v>200</v>
      </c>
      <c r="PS44" s="123">
        <v>200</v>
      </c>
      <c r="PT44" s="123">
        <v>200</v>
      </c>
      <c r="PU44" s="123">
        <v>200</v>
      </c>
      <c r="PV44" s="123">
        <v>200</v>
      </c>
      <c r="PW44" s="123">
        <v>200</v>
      </c>
      <c r="PX44" s="123">
        <v>200</v>
      </c>
      <c r="PY44" s="123">
        <v>200</v>
      </c>
      <c r="PZ44" s="123">
        <v>200</v>
      </c>
      <c r="QA44" s="123">
        <v>200</v>
      </c>
      <c r="QB44" s="123">
        <v>200</v>
      </c>
      <c r="QC44" s="123">
        <v>200</v>
      </c>
      <c r="QD44" s="123">
        <v>200</v>
      </c>
      <c r="QE44" s="123">
        <v>200</v>
      </c>
      <c r="QF44" s="123">
        <v>200</v>
      </c>
      <c r="QG44" s="123">
        <v>200</v>
      </c>
      <c r="QH44" s="123">
        <v>200</v>
      </c>
      <c r="QI44" s="123">
        <v>200</v>
      </c>
      <c r="QJ44" s="123">
        <v>200</v>
      </c>
      <c r="QK44" s="123">
        <v>200</v>
      </c>
      <c r="QL44" s="123">
        <v>200</v>
      </c>
      <c r="QM44" s="123">
        <v>200</v>
      </c>
      <c r="QN44" s="123">
        <v>200</v>
      </c>
      <c r="QO44" s="123">
        <v>200</v>
      </c>
      <c r="QP44" s="123">
        <v>200</v>
      </c>
      <c r="QQ44" s="123">
        <v>200</v>
      </c>
      <c r="QR44" s="123">
        <v>200</v>
      </c>
      <c r="QS44" s="123">
        <v>200</v>
      </c>
      <c r="QT44" s="123">
        <v>200</v>
      </c>
      <c r="QU44" s="123">
        <v>200</v>
      </c>
      <c r="QV44" s="123">
        <v>200</v>
      </c>
      <c r="QW44" s="123">
        <v>200</v>
      </c>
      <c r="QX44" s="123">
        <v>200</v>
      </c>
      <c r="QY44" s="123">
        <v>200</v>
      </c>
      <c r="QZ44" s="123">
        <v>200</v>
      </c>
      <c r="RA44" s="123">
        <v>200</v>
      </c>
      <c r="RB44" s="123">
        <v>200</v>
      </c>
      <c r="RC44" s="123">
        <v>200</v>
      </c>
      <c r="RD44" s="123">
        <v>200</v>
      </c>
      <c r="RE44" s="123">
        <v>200</v>
      </c>
      <c r="RF44" s="123">
        <v>200</v>
      </c>
      <c r="RG44" s="123">
        <v>200</v>
      </c>
      <c r="RH44" s="123">
        <v>200</v>
      </c>
      <c r="RI44" s="123">
        <v>200</v>
      </c>
      <c r="RJ44" s="123">
        <v>200</v>
      </c>
      <c r="RK44" s="123">
        <v>200</v>
      </c>
      <c r="RL44" s="123">
        <v>200</v>
      </c>
      <c r="RM44" s="123">
        <v>200</v>
      </c>
      <c r="RN44" s="123">
        <v>200</v>
      </c>
      <c r="RO44" s="123">
        <v>200</v>
      </c>
      <c r="RP44" s="123">
        <v>200</v>
      </c>
      <c r="RQ44" s="123">
        <v>200</v>
      </c>
      <c r="RR44" s="123">
        <v>200</v>
      </c>
      <c r="RS44" s="123">
        <v>200</v>
      </c>
      <c r="RT44" s="123">
        <v>200</v>
      </c>
      <c r="RU44" s="123">
        <v>200</v>
      </c>
      <c r="RV44" s="123">
        <v>200</v>
      </c>
      <c r="RW44" s="123">
        <v>200</v>
      </c>
      <c r="RX44" s="123">
        <v>200</v>
      </c>
      <c r="RY44" s="123">
        <v>200</v>
      </c>
      <c r="RZ44" s="123">
        <v>200</v>
      </c>
      <c r="SA44" s="123">
        <v>200</v>
      </c>
      <c r="SB44" s="123">
        <v>200</v>
      </c>
      <c r="SC44" s="123">
        <v>200</v>
      </c>
      <c r="SD44" s="123">
        <v>200</v>
      </c>
      <c r="SE44" s="123">
        <v>200</v>
      </c>
      <c r="SF44" s="123">
        <v>200</v>
      </c>
      <c r="SG44" s="123">
        <v>200</v>
      </c>
      <c r="SH44" s="123">
        <v>200</v>
      </c>
      <c r="SI44" s="123">
        <v>200</v>
      </c>
      <c r="SJ44" s="123">
        <v>200</v>
      </c>
      <c r="SK44" s="123">
        <v>200</v>
      </c>
      <c r="SL44" s="123">
        <v>200</v>
      </c>
      <c r="SM44" s="123">
        <v>200</v>
      </c>
      <c r="SN44" s="123">
        <v>200</v>
      </c>
      <c r="SO44" s="123">
        <v>200</v>
      </c>
      <c r="SP44" s="123">
        <v>200</v>
      </c>
      <c r="SQ44" s="123">
        <v>200</v>
      </c>
      <c r="SR44" s="123">
        <v>200</v>
      </c>
      <c r="SS44" s="123">
        <v>200</v>
      </c>
      <c r="ST44" s="123">
        <v>200</v>
      </c>
      <c r="SU44" s="123">
        <v>200</v>
      </c>
      <c r="SV44" s="123">
        <v>200</v>
      </c>
      <c r="SW44" s="123">
        <v>200</v>
      </c>
      <c r="SX44" s="123">
        <v>200</v>
      </c>
      <c r="SY44" s="123">
        <v>200</v>
      </c>
      <c r="SZ44" s="123">
        <v>200</v>
      </c>
      <c r="TA44" s="123">
        <v>200</v>
      </c>
      <c r="TB44" s="123">
        <v>200</v>
      </c>
      <c r="TC44" s="123">
        <v>200</v>
      </c>
      <c r="TD44" s="123">
        <v>200</v>
      </c>
      <c r="TE44" s="123">
        <v>200</v>
      </c>
      <c r="TF44" s="123">
        <v>200</v>
      </c>
      <c r="TG44" s="123">
        <v>200</v>
      </c>
      <c r="TH44" s="123">
        <v>200</v>
      </c>
      <c r="TI44" s="123">
        <v>200</v>
      </c>
      <c r="TJ44" s="123">
        <v>200</v>
      </c>
      <c r="TK44" s="123">
        <v>200</v>
      </c>
      <c r="TL44" s="123">
        <v>200</v>
      </c>
      <c r="TM44" s="123">
        <v>200</v>
      </c>
      <c r="TN44" s="123">
        <v>200</v>
      </c>
      <c r="TO44" s="123">
        <v>200</v>
      </c>
      <c r="TP44" s="123">
        <v>200</v>
      </c>
      <c r="TQ44" s="123">
        <v>200</v>
      </c>
      <c r="TR44" s="123">
        <v>200</v>
      </c>
      <c r="TS44" s="123">
        <v>200</v>
      </c>
      <c r="TT44" s="123">
        <v>200</v>
      </c>
      <c r="TU44" s="123">
        <v>200</v>
      </c>
      <c r="TV44" s="123">
        <v>200</v>
      </c>
      <c r="TW44" s="123">
        <v>200</v>
      </c>
      <c r="TX44" s="123">
        <v>200</v>
      </c>
      <c r="TY44" s="123">
        <v>200</v>
      </c>
      <c r="TZ44" s="123">
        <v>200</v>
      </c>
      <c r="UA44" s="123">
        <v>200</v>
      </c>
      <c r="UB44" s="123">
        <v>200</v>
      </c>
      <c r="UC44" s="123">
        <v>200</v>
      </c>
      <c r="UD44" s="123">
        <v>200</v>
      </c>
      <c r="UE44" s="123">
        <v>200</v>
      </c>
      <c r="UF44" s="123">
        <v>200</v>
      </c>
      <c r="UG44" s="123">
        <v>200</v>
      </c>
      <c r="UH44" s="123">
        <v>200</v>
      </c>
      <c r="UI44" s="123">
        <v>200</v>
      </c>
      <c r="UJ44" s="123">
        <v>200</v>
      </c>
      <c r="UK44" s="123">
        <v>200</v>
      </c>
      <c r="UL44" s="123">
        <v>200</v>
      </c>
      <c r="UM44" s="123">
        <v>200</v>
      </c>
      <c r="UN44" s="123">
        <v>200</v>
      </c>
      <c r="UO44" s="123">
        <v>200</v>
      </c>
      <c r="UP44" s="123">
        <v>200</v>
      </c>
      <c r="UQ44" s="123">
        <v>200</v>
      </c>
      <c r="UR44" s="123">
        <v>200</v>
      </c>
      <c r="US44" s="123">
        <v>200</v>
      </c>
      <c r="UT44" s="123">
        <v>200</v>
      </c>
      <c r="UU44" s="123">
        <v>200</v>
      </c>
      <c r="UV44" s="123">
        <v>200</v>
      </c>
      <c r="UW44" s="123">
        <v>200</v>
      </c>
      <c r="UX44" s="123">
        <v>200</v>
      </c>
      <c r="UY44" s="123">
        <v>200</v>
      </c>
      <c r="UZ44" s="123">
        <v>200</v>
      </c>
      <c r="VA44" s="123">
        <v>200</v>
      </c>
      <c r="VB44" s="123">
        <v>200</v>
      </c>
      <c r="VC44" s="123">
        <v>200</v>
      </c>
      <c r="VD44" s="123">
        <v>200</v>
      </c>
      <c r="VE44" s="4"/>
      <c r="VF44" s="4"/>
      <c r="VG44" s="4"/>
      <c r="VH44" s="4"/>
      <c r="VI44" s="4"/>
      <c r="VJ44" s="4"/>
      <c r="VK44" s="4"/>
      <c r="VL44" s="4"/>
      <c r="VM44" s="4"/>
      <c r="VN44" s="4"/>
      <c r="VO44" s="4"/>
      <c r="VP44" s="4"/>
      <c r="VQ44" s="4"/>
      <c r="VR44" s="4"/>
      <c r="VS44" s="4"/>
      <c r="VT44" s="4"/>
      <c r="VU44" s="4"/>
      <c r="VV44" s="4"/>
      <c r="VW44" s="4"/>
      <c r="VX44" s="4"/>
      <c r="VY44" s="4"/>
      <c r="VZ44" s="4"/>
      <c r="WA44" s="4"/>
      <c r="WB44" s="4"/>
      <c r="WC44" s="4"/>
      <c r="WD44" s="4"/>
      <c r="WE44" s="4"/>
      <c r="WF44" s="4"/>
      <c r="WG44" s="4"/>
      <c r="WH44" s="4"/>
      <c r="WI44" s="4"/>
      <c r="WJ44" s="4"/>
      <c r="WK44" s="4"/>
      <c r="WL44" s="4"/>
      <c r="WM44" s="4"/>
      <c r="WN44" s="4"/>
      <c r="WO44" s="4"/>
      <c r="WP44" s="4"/>
      <c r="WQ44" s="4"/>
      <c r="WR44" s="4"/>
      <c r="WS44" s="4"/>
      <c r="WT44" s="4"/>
      <c r="WU44" s="4"/>
      <c r="WV44" s="4"/>
      <c r="WW44" s="4"/>
      <c r="WX44" s="134"/>
      <c r="WY44" s="134"/>
      <c r="WZ44" s="134"/>
      <c r="XA44" s="134"/>
      <c r="XB44" s="134"/>
      <c r="XC44" s="134"/>
      <c r="XD44" s="134"/>
      <c r="XE44" s="134"/>
      <c r="XF44" s="134"/>
      <c r="XG44" s="134"/>
      <c r="XH44" s="134"/>
      <c r="XI44" s="134"/>
      <c r="XJ44" s="134"/>
      <c r="XK44" s="134"/>
      <c r="XL44" s="134"/>
      <c r="XM44" s="134"/>
      <c r="XN44" s="134"/>
      <c r="XO44" s="134"/>
      <c r="XP44" s="134"/>
      <c r="XQ44" s="134"/>
      <c r="XR44" s="134"/>
      <c r="XS44" s="134"/>
      <c r="XT44" s="134"/>
      <c r="XU44" s="134"/>
      <c r="XV44" s="134"/>
      <c r="XW44" s="134"/>
      <c r="XX44" s="134"/>
      <c r="XY44" s="134"/>
      <c r="XZ44" s="134"/>
      <c r="YA44" s="134"/>
      <c r="YB44" s="134"/>
      <c r="YC44" s="134"/>
      <c r="YD44" s="134"/>
      <c r="YE44" s="134"/>
      <c r="YF44" s="134"/>
      <c r="YG44" s="134"/>
      <c r="YH44" s="134"/>
      <c r="YI44" s="134"/>
      <c r="YJ44" s="134"/>
      <c r="YK44" s="134"/>
      <c r="YL44" s="134"/>
      <c r="YM44" s="134"/>
      <c r="YN44" s="134"/>
      <c r="YO44" s="134"/>
      <c r="YP44" s="134"/>
      <c r="YQ44" s="134"/>
      <c r="YR44" s="134"/>
      <c r="YS44" s="134"/>
      <c r="YT44" s="134"/>
      <c r="YU44" s="134"/>
      <c r="YV44" s="134"/>
      <c r="YW44" s="134"/>
      <c r="YX44" s="134"/>
      <c r="YY44" s="134"/>
      <c r="YZ44" s="134"/>
      <c r="ZA44" s="134"/>
      <c r="ZB44" s="134"/>
      <c r="ZC44" s="134"/>
      <c r="ZD44" s="134"/>
      <c r="ZE44" s="134"/>
      <c r="ZF44" s="134"/>
      <c r="ZG44" s="134"/>
      <c r="ZH44" s="134"/>
      <c r="ZI44" s="134"/>
      <c r="ZJ44" s="134"/>
      <c r="ZK44" s="134"/>
      <c r="ZL44" s="134"/>
      <c r="ZM44" s="134"/>
      <c r="ZN44" s="134"/>
      <c r="ZO44" s="134"/>
      <c r="ZP44" s="134"/>
      <c r="ZQ44" s="134"/>
      <c r="ZR44" s="134"/>
      <c r="ZS44" s="134"/>
      <c r="ZT44" s="134"/>
      <c r="ZU44" s="134"/>
      <c r="ZV44" s="134"/>
      <c r="ZW44" s="134"/>
      <c r="ZX44" s="134"/>
      <c r="ZY44" s="134"/>
      <c r="ZZ44" s="134"/>
      <c r="AAA44" s="134"/>
      <c r="AAB44" s="134"/>
      <c r="AAC44" s="134"/>
      <c r="AAD44" s="134"/>
      <c r="AAE44" s="134"/>
      <c r="AAF44" s="134"/>
      <c r="AAG44" s="134"/>
      <c r="AAH44" s="134"/>
      <c r="AAI44" s="134"/>
      <c r="AAJ44" s="134"/>
      <c r="AAK44" s="134"/>
      <c r="AAL44" s="134"/>
      <c r="AAM44" s="134"/>
      <c r="AAN44" s="134"/>
      <c r="AAO44" s="134"/>
      <c r="AAP44" s="134"/>
      <c r="AAQ44" s="134"/>
      <c r="AAR44" s="134"/>
      <c r="AAS44" s="134"/>
      <c r="AAT44" s="134"/>
      <c r="AAU44" s="134"/>
      <c r="AAV44" s="134"/>
      <c r="AAW44" s="134"/>
      <c r="AAX44" s="134"/>
      <c r="AAY44" s="134"/>
      <c r="AAZ44" s="134"/>
      <c r="ABA44" s="134"/>
      <c r="ABB44" s="134"/>
      <c r="ABC44" s="134"/>
      <c r="ABD44" s="134"/>
      <c r="ABE44" s="134"/>
      <c r="ABF44" s="134"/>
      <c r="ABG44" s="134"/>
      <c r="ABH44" s="134"/>
      <c r="ABI44" s="134"/>
      <c r="ABJ44" s="134"/>
      <c r="ABK44" s="134"/>
      <c r="ABL44" s="134"/>
      <c r="ABM44" s="134"/>
      <c r="ABN44" s="134"/>
      <c r="ABO44" s="134"/>
      <c r="ABP44" s="134"/>
      <c r="ABQ44" s="134"/>
      <c r="ABR44" s="134"/>
      <c r="ABS44" s="134"/>
      <c r="ABT44" s="134"/>
      <c r="ABU44" s="134"/>
      <c r="ABV44" s="134"/>
      <c r="ABW44" s="134"/>
      <c r="ABX44" s="134"/>
      <c r="ABY44" s="134"/>
      <c r="ABZ44" s="134"/>
      <c r="ACA44" s="134"/>
      <c r="ACB44" s="134"/>
      <c r="ACC44" s="134"/>
      <c r="ACD44" s="134"/>
      <c r="ACE44" s="134"/>
      <c r="ACF44" s="134"/>
      <c r="ACG44" s="134"/>
      <c r="ACH44" s="134"/>
      <c r="ACI44" s="134"/>
      <c r="ACJ44" s="134"/>
      <c r="ACK44" s="134"/>
      <c r="ACL44" s="134"/>
      <c r="ACM44" s="134"/>
      <c r="ACN44" s="134"/>
      <c r="ACO44" s="134"/>
      <c r="ACP44" s="134"/>
      <c r="ACQ44" s="134"/>
      <c r="ACR44" s="134"/>
      <c r="ACS44" s="134"/>
      <c r="ACT44" s="134"/>
      <c r="ACU44" s="134"/>
      <c r="ACV44" s="134"/>
      <c r="ACW44" s="134"/>
      <c r="ACX44" s="134"/>
      <c r="ACY44" s="134"/>
      <c r="ACZ44" s="134"/>
      <c r="ADA44" s="134"/>
      <c r="ADB44" s="134"/>
      <c r="ADC44" s="134"/>
      <c r="ADD44" s="134"/>
      <c r="ADE44" s="134"/>
      <c r="ADF44" s="134"/>
      <c r="ADG44" s="134"/>
      <c r="ADH44" s="134"/>
      <c r="ADI44" s="134"/>
      <c r="ADJ44" s="134"/>
      <c r="ADK44" s="134"/>
      <c r="ADL44" s="134"/>
      <c r="ADM44" s="134"/>
      <c r="ADN44" s="134"/>
      <c r="ADO44" s="134"/>
      <c r="ADP44" s="134"/>
      <c r="ADQ44" s="134"/>
      <c r="ADR44" s="134"/>
      <c r="ADS44" s="134"/>
      <c r="ADT44" s="134"/>
      <c r="ADU44" s="134"/>
      <c r="ADV44" s="134"/>
      <c r="ADW44" s="134"/>
      <c r="ADX44" s="134"/>
      <c r="ADY44" s="134"/>
      <c r="ADZ44" s="134"/>
      <c r="AEA44" s="134"/>
      <c r="AEB44" s="134"/>
      <c r="AEC44" s="134"/>
      <c r="AED44" s="134"/>
      <c r="AEE44" s="134"/>
      <c r="AEF44" s="134"/>
      <c r="AEG44" s="134"/>
      <c r="AEH44" s="134"/>
      <c r="AEI44" s="134"/>
      <c r="AEJ44" s="134"/>
      <c r="AEK44" s="134"/>
      <c r="AEL44" s="134"/>
      <c r="AEM44" s="134"/>
      <c r="AEN44" s="134"/>
      <c r="AEO44" s="134"/>
      <c r="AEP44" s="134"/>
      <c r="AEQ44" s="134"/>
      <c r="AER44" s="134"/>
      <c r="AES44" s="134"/>
      <c r="AET44" s="134"/>
      <c r="AEU44" s="134"/>
      <c r="AEV44" s="134"/>
      <c r="AEW44" s="134"/>
      <c r="AEX44" s="134"/>
      <c r="AEY44" s="134"/>
      <c r="AEZ44" s="134"/>
      <c r="AFA44" s="134"/>
      <c r="AFB44" s="134"/>
      <c r="AFC44" s="134"/>
      <c r="AFD44" s="134"/>
      <c r="AFE44" s="134"/>
      <c r="AFF44" s="134"/>
      <c r="AFG44" s="134"/>
      <c r="AFH44" s="134"/>
      <c r="AFI44" s="134"/>
      <c r="AFJ44" s="134"/>
      <c r="AFK44" s="134"/>
      <c r="AFL44" s="134"/>
      <c r="AFM44" s="134"/>
      <c r="AFN44" s="134"/>
      <c r="AFO44" s="134"/>
      <c r="AFP44" s="134"/>
      <c r="AFQ44" s="134"/>
      <c r="AFR44" s="134"/>
      <c r="AFS44" s="134"/>
      <c r="AFT44" s="134"/>
      <c r="AFU44" s="134"/>
      <c r="AFV44" s="134"/>
      <c r="AFW44" s="134"/>
      <c r="AFX44" s="134"/>
      <c r="AFY44" s="134"/>
      <c r="AFZ44" s="134"/>
      <c r="AGA44" s="134"/>
      <c r="AGB44" s="134"/>
      <c r="AGC44" s="134"/>
      <c r="AGD44" s="134"/>
      <c r="AGE44" s="134"/>
      <c r="AGF44" s="134"/>
      <c r="AGG44" s="134"/>
      <c r="AGH44" s="134"/>
      <c r="AGI44" s="134"/>
      <c r="AGJ44" s="134"/>
      <c r="AGK44" s="134"/>
      <c r="AGL44" s="134"/>
      <c r="AGM44" s="134"/>
      <c r="AGN44" s="134"/>
      <c r="AGO44" s="134"/>
      <c r="AGP44" s="134"/>
      <c r="AGQ44" s="134"/>
      <c r="AGR44" s="134"/>
      <c r="AGS44" s="134"/>
      <c r="AGT44" s="134"/>
      <c r="AGU44" s="134"/>
      <c r="AGV44" s="134"/>
      <c r="AGW44" s="134"/>
      <c r="AGX44" s="134"/>
      <c r="AGY44" s="134"/>
      <c r="AGZ44" s="134"/>
      <c r="AHA44" s="134"/>
      <c r="AHB44" s="134"/>
      <c r="AHC44" s="134"/>
      <c r="AHD44" s="134"/>
      <c r="AHE44" s="134"/>
      <c r="AHF44" s="134"/>
      <c r="AHG44" s="134"/>
      <c r="AHH44" s="134"/>
      <c r="AHI44" s="134"/>
      <c r="AHJ44" s="134"/>
      <c r="AHK44" s="134"/>
      <c r="AHL44" s="134"/>
      <c r="AHM44" s="134"/>
      <c r="AHN44" s="134"/>
      <c r="AHO44" s="134"/>
      <c r="AHP44" s="134"/>
      <c r="AHQ44" s="134"/>
      <c r="AHR44" s="134"/>
      <c r="AHS44" s="134"/>
      <c r="AHT44" s="134"/>
      <c r="AHU44" s="134"/>
      <c r="AHV44" s="134"/>
      <c r="AHW44" s="134"/>
      <c r="AHX44" s="134"/>
      <c r="AHY44" s="134"/>
      <c r="AHZ44" s="134"/>
      <c r="AIA44" s="134"/>
      <c r="AIB44" s="134"/>
      <c r="AIC44" s="134"/>
      <c r="AID44" s="134"/>
      <c r="AIE44" s="134"/>
      <c r="AIF44" s="134"/>
      <c r="AIG44" s="134"/>
      <c r="AIH44" s="134"/>
      <c r="AII44" s="134"/>
      <c r="AIJ44" s="134"/>
      <c r="AIK44" s="134"/>
      <c r="AIL44" s="134"/>
      <c r="AIM44" s="134"/>
      <c r="AIN44" s="134"/>
      <c r="AIO44" s="134"/>
      <c r="AIP44" s="134"/>
      <c r="AIQ44" s="134"/>
      <c r="AIR44" s="134"/>
      <c r="AIS44" s="134"/>
      <c r="AIT44" s="134"/>
      <c r="AIU44" s="134"/>
      <c r="AIV44" s="134"/>
      <c r="AIW44" s="134"/>
      <c r="AIX44" s="134"/>
      <c r="AIY44" s="134"/>
      <c r="AIZ44" s="134"/>
      <c r="AJA44" s="134"/>
      <c r="AJB44" s="134"/>
      <c r="AJC44" s="134"/>
      <c r="AJD44" s="134"/>
    </row>
    <row r="45" spans="1:940" ht="18" customHeight="1">
      <c r="A45" s="667" t="s">
        <v>245</v>
      </c>
      <c r="B45" s="669">
        <v>0</v>
      </c>
      <c r="C45" s="6">
        <v>0.4</v>
      </c>
      <c r="D45" s="6">
        <v>0.4</v>
      </c>
      <c r="E45" s="74">
        <v>364.08695652173913</v>
      </c>
      <c r="F45" s="75">
        <v>-1.5</v>
      </c>
      <c r="G45" s="7">
        <v>-3.8</v>
      </c>
      <c r="H45" s="7">
        <v>-3.8</v>
      </c>
      <c r="I45" s="7"/>
      <c r="J45" s="7"/>
      <c r="K45" s="7"/>
      <c r="L45" s="7"/>
      <c r="M45" s="1">
        <v>2124.3106214374661</v>
      </c>
      <c r="N45" s="2">
        <v>12</v>
      </c>
      <c r="O45" s="8">
        <v>0.7</v>
      </c>
      <c r="P45" s="8">
        <v>0.7</v>
      </c>
      <c r="Q45" s="8">
        <v>0.7</v>
      </c>
      <c r="R45" s="7">
        <v>0.1</v>
      </c>
      <c r="S45" s="7">
        <v>0</v>
      </c>
      <c r="T45" s="7">
        <v>99.9</v>
      </c>
      <c r="U45" s="7">
        <v>0</v>
      </c>
      <c r="V45" s="71">
        <v>0</v>
      </c>
      <c r="W45" s="72">
        <v>1</v>
      </c>
      <c r="X45" s="72">
        <v>1</v>
      </c>
      <c r="Y45" s="72">
        <v>1</v>
      </c>
      <c r="Z45" s="72">
        <v>1</v>
      </c>
      <c r="AA45" s="72">
        <v>1</v>
      </c>
      <c r="AB45" s="72"/>
      <c r="AC45" s="72"/>
      <c r="AD45" s="72"/>
      <c r="AE45" s="72"/>
      <c r="AF45" s="72"/>
      <c r="AG45" s="72"/>
      <c r="AH45" s="72"/>
      <c r="AI45" s="72"/>
      <c r="AJ45" s="72"/>
      <c r="AK45" s="72"/>
      <c r="AL45" s="72"/>
      <c r="AM45" s="72"/>
      <c r="AN45" s="72"/>
      <c r="AO45" s="72"/>
      <c r="AP45" s="72"/>
      <c r="AQ45" s="72"/>
      <c r="AR45" s="72"/>
      <c r="AS45" s="72"/>
      <c r="AT45" s="72"/>
      <c r="AU45" s="72"/>
      <c r="AV45" s="72"/>
      <c r="AW45" s="72"/>
      <c r="AX45" s="1">
        <v>11785.626724936825</v>
      </c>
      <c r="AY45" s="5">
        <v>1.5</v>
      </c>
      <c r="AZ45" s="8">
        <v>1.8</v>
      </c>
      <c r="BA45" s="8">
        <v>0.8</v>
      </c>
      <c r="BB45" s="8">
        <v>0.8</v>
      </c>
      <c r="BC45" s="73">
        <v>0.16458882635095481</v>
      </c>
      <c r="BD45" s="73">
        <v>0.17241435895653787</v>
      </c>
      <c r="BE45" s="9"/>
      <c r="BF45" s="9"/>
      <c r="BG45" s="9">
        <v>3.1069255412930827</v>
      </c>
      <c r="BH45" s="9">
        <v>38.101872755810703</v>
      </c>
      <c r="BI45" s="9"/>
      <c r="BJ45" s="9"/>
      <c r="BK45" s="9">
        <v>55.68427616160313</v>
      </c>
      <c r="BL45" s="9"/>
      <c r="BM45" s="9"/>
      <c r="BN45" s="9"/>
      <c r="BO45" s="9"/>
      <c r="BP45" s="9"/>
      <c r="BQ45" s="9"/>
      <c r="BR45" s="9">
        <v>2.7375346707088952</v>
      </c>
      <c r="BS45" s="9">
        <v>0.36939087058418801</v>
      </c>
      <c r="BT45" s="68"/>
      <c r="BU45" s="68"/>
      <c r="BV45" s="68"/>
      <c r="BW45" s="68"/>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6">
        <v>1</v>
      </c>
      <c r="CY45" s="66">
        <v>1</v>
      </c>
      <c r="CZ45" s="66">
        <v>1</v>
      </c>
      <c r="DA45" s="66">
        <v>1</v>
      </c>
      <c r="DB45" s="66">
        <v>1</v>
      </c>
      <c r="DC45" s="66"/>
      <c r="DD45" s="66"/>
      <c r="DE45" s="66"/>
      <c r="DF45" s="66"/>
      <c r="DG45" s="66"/>
      <c r="DH45" s="2">
        <v>0</v>
      </c>
      <c r="DI45" s="2">
        <v>18</v>
      </c>
      <c r="DJ45" s="1">
        <f t="shared" si="931"/>
        <v>0</v>
      </c>
      <c r="DK45" s="8">
        <v>0.8</v>
      </c>
      <c r="DL45" s="8">
        <v>0.6</v>
      </c>
      <c r="DM45" s="8">
        <v>0.6</v>
      </c>
      <c r="DN45" s="8"/>
      <c r="DO45" s="8"/>
      <c r="DP45" s="8"/>
      <c r="DQ45" s="8"/>
      <c r="DR45" s="8"/>
      <c r="DS45" s="8"/>
      <c r="DT45" s="8"/>
      <c r="DU45" s="8"/>
      <c r="DV45" s="8"/>
      <c r="DW45" s="8"/>
      <c r="DX45" s="8"/>
      <c r="DY45" s="8"/>
      <c r="DZ45" s="8"/>
      <c r="EA45" s="8"/>
      <c r="EB45" s="2">
        <v>0.86295970746011463</v>
      </c>
      <c r="EC45" s="2">
        <v>18</v>
      </c>
      <c r="ED45" s="1">
        <v>5184.5982608695649</v>
      </c>
      <c r="EE45" s="8">
        <v>0.8</v>
      </c>
      <c r="EF45" s="8">
        <v>0.6</v>
      </c>
      <c r="EG45" s="8">
        <v>0.6</v>
      </c>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1">
        <v>455.57067467001087</v>
      </c>
      <c r="IU45" s="2">
        <v>179.9</v>
      </c>
      <c r="IV45" s="2">
        <v>3624.5695652174013</v>
      </c>
      <c r="IW45" s="2"/>
      <c r="IX45" s="2"/>
      <c r="IY45" s="8">
        <v>0.8</v>
      </c>
      <c r="IZ45" s="8">
        <v>0.6</v>
      </c>
      <c r="JA45" s="8">
        <v>0.6</v>
      </c>
      <c r="JB45" s="66">
        <v>1</v>
      </c>
      <c r="JC45" s="66">
        <v>1</v>
      </c>
      <c r="JD45" s="66">
        <v>1</v>
      </c>
      <c r="JE45" s="66">
        <v>1</v>
      </c>
      <c r="JF45" s="66">
        <v>1</v>
      </c>
      <c r="JG45" s="1">
        <v>2.4643245884135658</v>
      </c>
      <c r="JH45" s="1"/>
      <c r="JI45" s="1"/>
      <c r="JJ45" s="1">
        <v>7623.1670434783009</v>
      </c>
      <c r="JK45" s="8">
        <v>1.4</v>
      </c>
      <c r="JL45" s="8">
        <v>1.1000000000000001</v>
      </c>
      <c r="JM45" s="8">
        <v>1.1000000000000001</v>
      </c>
      <c r="JN45" s="66">
        <v>1</v>
      </c>
      <c r="JO45" s="66">
        <v>1</v>
      </c>
      <c r="JP45" s="66">
        <v>1</v>
      </c>
      <c r="JQ45" s="66">
        <v>1</v>
      </c>
      <c r="JR45" s="66">
        <v>1</v>
      </c>
      <c r="JS45" s="66"/>
      <c r="JT45" s="1">
        <v>417.57875862283845</v>
      </c>
      <c r="JU45" s="1">
        <v>500</v>
      </c>
      <c r="JV45" s="10">
        <v>2.5</v>
      </c>
      <c r="JW45" s="10">
        <v>1.3</v>
      </c>
      <c r="JX45" s="10">
        <v>1.3</v>
      </c>
      <c r="JY45" s="66">
        <v>1</v>
      </c>
      <c r="JZ45" s="66">
        <v>1</v>
      </c>
      <c r="KA45" s="66">
        <v>1</v>
      </c>
      <c r="KB45" s="66">
        <v>1</v>
      </c>
      <c r="KC45" s="66">
        <v>1</v>
      </c>
      <c r="KD45" s="66"/>
      <c r="KE45" s="66"/>
      <c r="KF45" s="66"/>
      <c r="KG45" s="66"/>
      <c r="KH45" s="66"/>
      <c r="KI45" s="66"/>
      <c r="KJ45" s="66"/>
      <c r="KK45" s="66"/>
      <c r="KL45" s="66"/>
      <c r="KM45" s="66"/>
      <c r="KN45" s="66"/>
      <c r="KO45" s="66"/>
      <c r="KP45" s="66"/>
      <c r="KQ45" s="66"/>
      <c r="KR45" s="66"/>
      <c r="KS45" s="66"/>
      <c r="KT45" s="66"/>
      <c r="KU45" s="66"/>
      <c r="KV45" s="66"/>
      <c r="KW45" s="66"/>
      <c r="KX45" s="66"/>
      <c r="KY45" s="66"/>
      <c r="KZ45" s="66"/>
      <c r="LA45" s="66"/>
      <c r="LB45" s="66"/>
      <c r="LC45" s="66"/>
      <c r="LD45" s="66"/>
      <c r="LE45" s="66"/>
      <c r="LF45" s="66"/>
      <c r="LG45" s="66"/>
      <c r="LH45" s="66"/>
      <c r="LI45" s="66"/>
      <c r="LJ45" s="66"/>
      <c r="LK45" s="1"/>
      <c r="LL45" s="4">
        <v>29</v>
      </c>
      <c r="LM45" s="8">
        <v>1.6</v>
      </c>
      <c r="LN45" s="8">
        <v>1.2</v>
      </c>
      <c r="LO45" s="8">
        <v>1.2</v>
      </c>
      <c r="LP45" s="66">
        <v>1</v>
      </c>
      <c r="LQ45" s="66">
        <v>1</v>
      </c>
      <c r="LR45" s="66">
        <v>1</v>
      </c>
      <c r="LS45" s="66">
        <v>1</v>
      </c>
      <c r="LT45" s="66">
        <v>1</v>
      </c>
      <c r="LU45" s="66"/>
      <c r="LV45" s="66"/>
      <c r="LW45" s="66"/>
      <c r="LX45" s="66"/>
      <c r="LY45" s="66"/>
      <c r="LZ45" s="66"/>
      <c r="MA45" s="66"/>
      <c r="MB45" s="66"/>
      <c r="MC45" s="66"/>
      <c r="MD45" s="66"/>
      <c r="ME45" s="66"/>
      <c r="MF45" s="66"/>
      <c r="MG45" s="66"/>
      <c r="MH45" s="66"/>
      <c r="MI45" s="66"/>
      <c r="MJ45" s="66"/>
      <c r="MK45" s="66"/>
      <c r="ML45" s="66"/>
      <c r="MM45" s="66"/>
      <c r="MN45" s="66"/>
      <c r="MO45" s="66"/>
      <c r="MP45" s="66"/>
      <c r="MQ45" s="66"/>
      <c r="MR45" s="66"/>
      <c r="MS45" s="66"/>
      <c r="MT45" s="66"/>
      <c r="MU45" s="66"/>
      <c r="MV45" s="66"/>
      <c r="MW45" s="123">
        <v>200</v>
      </c>
      <c r="MX45" s="123">
        <v>200</v>
      </c>
      <c r="MY45" s="123">
        <v>200</v>
      </c>
      <c r="MZ45" s="123">
        <v>200</v>
      </c>
      <c r="NA45" s="123">
        <v>200</v>
      </c>
      <c r="NB45" s="123">
        <v>200</v>
      </c>
      <c r="NC45" s="123">
        <v>200</v>
      </c>
      <c r="ND45" s="123">
        <v>200</v>
      </c>
      <c r="NE45" s="123">
        <v>200</v>
      </c>
      <c r="NF45" s="123">
        <v>200</v>
      </c>
      <c r="NG45" s="123">
        <v>200</v>
      </c>
      <c r="NH45" s="123">
        <v>200</v>
      </c>
      <c r="NI45" s="123">
        <v>200</v>
      </c>
      <c r="NJ45" s="123">
        <v>200</v>
      </c>
      <c r="NK45" s="123">
        <v>200</v>
      </c>
      <c r="NL45" s="123">
        <v>200</v>
      </c>
      <c r="NM45" s="123">
        <v>200</v>
      </c>
      <c r="NN45" s="123">
        <v>200</v>
      </c>
      <c r="NO45" s="123">
        <v>200</v>
      </c>
      <c r="NP45" s="123">
        <v>200</v>
      </c>
      <c r="NQ45" s="123">
        <v>200</v>
      </c>
      <c r="NR45" s="123">
        <v>200</v>
      </c>
      <c r="NS45" s="123">
        <v>200</v>
      </c>
      <c r="NT45" s="123">
        <v>200</v>
      </c>
      <c r="NU45" s="123">
        <v>200</v>
      </c>
      <c r="NV45" s="123">
        <v>200</v>
      </c>
      <c r="NW45" s="123">
        <v>200</v>
      </c>
      <c r="NX45" s="123">
        <v>200</v>
      </c>
      <c r="NY45" s="123">
        <v>200</v>
      </c>
      <c r="NZ45" s="123">
        <v>200</v>
      </c>
      <c r="OA45" s="123">
        <v>200</v>
      </c>
      <c r="OB45" s="123">
        <v>200</v>
      </c>
      <c r="OC45" s="123">
        <v>200</v>
      </c>
      <c r="OD45" s="123">
        <v>200</v>
      </c>
      <c r="OE45" s="123">
        <v>200</v>
      </c>
      <c r="OF45" s="123">
        <v>200</v>
      </c>
      <c r="OG45" s="123">
        <v>200</v>
      </c>
      <c r="OH45" s="123">
        <v>200</v>
      </c>
      <c r="OI45" s="123">
        <v>200</v>
      </c>
      <c r="OJ45" s="123">
        <v>200</v>
      </c>
      <c r="OK45" s="123">
        <v>200</v>
      </c>
      <c r="OL45" s="123">
        <v>200</v>
      </c>
      <c r="OM45" s="123">
        <v>200</v>
      </c>
      <c r="ON45" s="123">
        <v>200</v>
      </c>
      <c r="OO45" s="123">
        <v>200</v>
      </c>
      <c r="OP45" s="123">
        <v>200</v>
      </c>
      <c r="OQ45" s="123">
        <v>200</v>
      </c>
      <c r="OR45" s="123">
        <v>200</v>
      </c>
      <c r="OS45" s="123">
        <v>200</v>
      </c>
      <c r="OT45" s="123">
        <v>200</v>
      </c>
      <c r="OU45" s="123">
        <v>200</v>
      </c>
      <c r="OV45" s="123">
        <v>200</v>
      </c>
      <c r="OW45" s="123">
        <v>200</v>
      </c>
      <c r="OX45" s="123">
        <v>200</v>
      </c>
      <c r="OY45" s="123">
        <v>200</v>
      </c>
      <c r="OZ45" s="123">
        <v>200</v>
      </c>
      <c r="PA45" s="123">
        <v>200</v>
      </c>
      <c r="PB45" s="123">
        <v>200</v>
      </c>
      <c r="PC45" s="123">
        <v>200</v>
      </c>
      <c r="PD45" s="123">
        <v>200</v>
      </c>
      <c r="PE45" s="123">
        <v>200</v>
      </c>
      <c r="PF45" s="123">
        <v>200</v>
      </c>
      <c r="PG45" s="123">
        <v>200</v>
      </c>
      <c r="PH45" s="123">
        <v>200</v>
      </c>
      <c r="PI45" s="123">
        <v>200</v>
      </c>
      <c r="PJ45" s="123">
        <v>200</v>
      </c>
      <c r="PK45" s="123">
        <v>200</v>
      </c>
      <c r="PL45" s="123">
        <v>200</v>
      </c>
      <c r="PM45" s="123">
        <v>200</v>
      </c>
      <c r="PN45" s="123">
        <v>200</v>
      </c>
      <c r="PO45" s="123">
        <v>200</v>
      </c>
      <c r="PP45" s="123">
        <v>200</v>
      </c>
      <c r="PQ45" s="123">
        <v>200</v>
      </c>
      <c r="PR45" s="123">
        <v>200</v>
      </c>
      <c r="PS45" s="123">
        <v>200</v>
      </c>
      <c r="PT45" s="123">
        <v>200</v>
      </c>
      <c r="PU45" s="123">
        <v>200</v>
      </c>
      <c r="PV45" s="123">
        <v>200</v>
      </c>
      <c r="PW45" s="123">
        <v>200</v>
      </c>
      <c r="PX45" s="123">
        <v>200</v>
      </c>
      <c r="PY45" s="123">
        <v>200</v>
      </c>
      <c r="PZ45" s="123">
        <v>200</v>
      </c>
      <c r="QA45" s="123">
        <v>200</v>
      </c>
      <c r="QB45" s="123">
        <v>200</v>
      </c>
      <c r="QC45" s="123">
        <v>200</v>
      </c>
      <c r="QD45" s="123">
        <v>200</v>
      </c>
      <c r="QE45" s="123">
        <v>200</v>
      </c>
      <c r="QF45" s="123">
        <v>200</v>
      </c>
      <c r="QG45" s="123">
        <v>200</v>
      </c>
      <c r="QH45" s="123">
        <v>200</v>
      </c>
      <c r="QI45" s="123">
        <v>200</v>
      </c>
      <c r="QJ45" s="123">
        <v>200</v>
      </c>
      <c r="QK45" s="123">
        <v>200</v>
      </c>
      <c r="QL45" s="123">
        <v>200</v>
      </c>
      <c r="QM45" s="123">
        <v>200</v>
      </c>
      <c r="QN45" s="123">
        <v>200</v>
      </c>
      <c r="QO45" s="123">
        <v>200</v>
      </c>
      <c r="QP45" s="123">
        <v>200</v>
      </c>
      <c r="QQ45" s="123">
        <v>200</v>
      </c>
      <c r="QR45" s="123">
        <v>200</v>
      </c>
      <c r="QS45" s="123">
        <v>200</v>
      </c>
      <c r="QT45" s="123">
        <v>200</v>
      </c>
      <c r="QU45" s="123">
        <v>200</v>
      </c>
      <c r="QV45" s="123">
        <v>200</v>
      </c>
      <c r="QW45" s="123">
        <v>200</v>
      </c>
      <c r="QX45" s="123">
        <v>200</v>
      </c>
      <c r="QY45" s="123">
        <v>200</v>
      </c>
      <c r="QZ45" s="123">
        <v>200</v>
      </c>
      <c r="RA45" s="123">
        <v>200</v>
      </c>
      <c r="RB45" s="123">
        <v>200</v>
      </c>
      <c r="RC45" s="123">
        <v>200</v>
      </c>
      <c r="RD45" s="123">
        <v>200</v>
      </c>
      <c r="RE45" s="123">
        <v>200</v>
      </c>
      <c r="RF45" s="123">
        <v>200</v>
      </c>
      <c r="RG45" s="123">
        <v>200</v>
      </c>
      <c r="RH45" s="123">
        <v>200</v>
      </c>
      <c r="RI45" s="123">
        <v>200</v>
      </c>
      <c r="RJ45" s="123">
        <v>200</v>
      </c>
      <c r="RK45" s="123">
        <v>200</v>
      </c>
      <c r="RL45" s="123">
        <v>200</v>
      </c>
      <c r="RM45" s="123">
        <v>200</v>
      </c>
      <c r="RN45" s="123">
        <v>200</v>
      </c>
      <c r="RO45" s="123">
        <v>200</v>
      </c>
      <c r="RP45" s="123">
        <v>200</v>
      </c>
      <c r="RQ45" s="123">
        <v>200</v>
      </c>
      <c r="RR45" s="123">
        <v>200</v>
      </c>
      <c r="RS45" s="123">
        <v>200</v>
      </c>
      <c r="RT45" s="123">
        <v>200</v>
      </c>
      <c r="RU45" s="123">
        <v>200</v>
      </c>
      <c r="RV45" s="123">
        <v>200</v>
      </c>
      <c r="RW45" s="123">
        <v>200</v>
      </c>
      <c r="RX45" s="123">
        <v>200</v>
      </c>
      <c r="RY45" s="123">
        <v>200</v>
      </c>
      <c r="RZ45" s="123">
        <v>200</v>
      </c>
      <c r="SA45" s="123">
        <v>200</v>
      </c>
      <c r="SB45" s="123">
        <v>200</v>
      </c>
      <c r="SC45" s="123">
        <v>200</v>
      </c>
      <c r="SD45" s="123">
        <v>200</v>
      </c>
      <c r="SE45" s="123">
        <v>200</v>
      </c>
      <c r="SF45" s="123">
        <v>200</v>
      </c>
      <c r="SG45" s="123">
        <v>200</v>
      </c>
      <c r="SH45" s="123">
        <v>200</v>
      </c>
      <c r="SI45" s="123">
        <v>200</v>
      </c>
      <c r="SJ45" s="123">
        <v>200</v>
      </c>
      <c r="SK45" s="123">
        <v>200</v>
      </c>
      <c r="SL45" s="123">
        <v>200</v>
      </c>
      <c r="SM45" s="123">
        <v>200</v>
      </c>
      <c r="SN45" s="123">
        <v>200</v>
      </c>
      <c r="SO45" s="123">
        <v>200</v>
      </c>
      <c r="SP45" s="123">
        <v>200</v>
      </c>
      <c r="SQ45" s="123">
        <v>200</v>
      </c>
      <c r="SR45" s="123">
        <v>200</v>
      </c>
      <c r="SS45" s="123">
        <v>200</v>
      </c>
      <c r="ST45" s="123">
        <v>200</v>
      </c>
      <c r="SU45" s="123">
        <v>200</v>
      </c>
      <c r="SV45" s="123">
        <v>200</v>
      </c>
      <c r="SW45" s="123">
        <v>200</v>
      </c>
      <c r="SX45" s="123">
        <v>200</v>
      </c>
      <c r="SY45" s="123">
        <v>200</v>
      </c>
      <c r="SZ45" s="123">
        <v>200</v>
      </c>
      <c r="TA45" s="123">
        <v>200</v>
      </c>
      <c r="TB45" s="123">
        <v>200</v>
      </c>
      <c r="TC45" s="123">
        <v>200</v>
      </c>
      <c r="TD45" s="123">
        <v>200</v>
      </c>
      <c r="TE45" s="123">
        <v>200</v>
      </c>
      <c r="TF45" s="123">
        <v>200</v>
      </c>
      <c r="TG45" s="123">
        <v>200</v>
      </c>
      <c r="TH45" s="123">
        <v>200</v>
      </c>
      <c r="TI45" s="123">
        <v>200</v>
      </c>
      <c r="TJ45" s="123">
        <v>200</v>
      </c>
      <c r="TK45" s="123">
        <v>200</v>
      </c>
      <c r="TL45" s="123">
        <v>200</v>
      </c>
      <c r="TM45" s="123">
        <v>200</v>
      </c>
      <c r="TN45" s="123">
        <v>200</v>
      </c>
      <c r="TO45" s="123">
        <v>200</v>
      </c>
      <c r="TP45" s="123">
        <v>200</v>
      </c>
      <c r="TQ45" s="123">
        <v>200</v>
      </c>
      <c r="TR45" s="123">
        <v>200</v>
      </c>
      <c r="TS45" s="123">
        <v>200</v>
      </c>
      <c r="TT45" s="123">
        <v>200</v>
      </c>
      <c r="TU45" s="123">
        <v>200</v>
      </c>
      <c r="TV45" s="123">
        <v>200</v>
      </c>
      <c r="TW45" s="123">
        <v>200</v>
      </c>
      <c r="TX45" s="123">
        <v>200</v>
      </c>
      <c r="TY45" s="123">
        <v>200</v>
      </c>
      <c r="TZ45" s="123">
        <v>200</v>
      </c>
      <c r="UA45" s="123">
        <v>200</v>
      </c>
      <c r="UB45" s="123">
        <v>200</v>
      </c>
      <c r="UC45" s="123">
        <v>200</v>
      </c>
      <c r="UD45" s="123">
        <v>200</v>
      </c>
      <c r="UE45" s="123">
        <v>200</v>
      </c>
      <c r="UF45" s="123">
        <v>200</v>
      </c>
      <c r="UG45" s="123">
        <v>200</v>
      </c>
      <c r="UH45" s="123">
        <v>200</v>
      </c>
      <c r="UI45" s="123">
        <v>200</v>
      </c>
      <c r="UJ45" s="123">
        <v>200</v>
      </c>
      <c r="UK45" s="123">
        <v>200</v>
      </c>
      <c r="UL45" s="123">
        <v>200</v>
      </c>
      <c r="UM45" s="123">
        <v>200</v>
      </c>
      <c r="UN45" s="123">
        <v>200</v>
      </c>
      <c r="UO45" s="123">
        <v>200</v>
      </c>
      <c r="UP45" s="123">
        <v>200</v>
      </c>
      <c r="UQ45" s="123">
        <v>200</v>
      </c>
      <c r="UR45" s="123">
        <v>200</v>
      </c>
      <c r="US45" s="123">
        <v>200</v>
      </c>
      <c r="UT45" s="123">
        <v>200</v>
      </c>
      <c r="UU45" s="123">
        <v>200</v>
      </c>
      <c r="UV45" s="123">
        <v>200</v>
      </c>
      <c r="UW45" s="123">
        <v>200</v>
      </c>
      <c r="UX45" s="123">
        <v>200</v>
      </c>
      <c r="UY45" s="123">
        <v>200</v>
      </c>
      <c r="UZ45" s="123">
        <v>200</v>
      </c>
      <c r="VA45" s="123">
        <v>200</v>
      </c>
      <c r="VB45" s="123">
        <v>200</v>
      </c>
      <c r="VC45" s="123">
        <v>200</v>
      </c>
      <c r="VD45" s="123">
        <v>200</v>
      </c>
      <c r="VE45" s="4"/>
      <c r="VF45" s="4"/>
      <c r="VG45" s="4"/>
      <c r="VH45" s="4"/>
      <c r="VI45" s="4"/>
      <c r="VJ45" s="4"/>
      <c r="VK45" s="4"/>
      <c r="VL45" s="4"/>
      <c r="VM45" s="4"/>
      <c r="VN45" s="4"/>
      <c r="VO45" s="4"/>
      <c r="VP45" s="4"/>
      <c r="VQ45" s="4"/>
      <c r="VR45" s="4"/>
      <c r="VS45" s="4"/>
      <c r="VT45" s="4"/>
      <c r="VU45" s="4"/>
      <c r="VV45" s="4"/>
      <c r="VW45" s="4"/>
      <c r="VX45" s="4"/>
      <c r="VY45" s="4"/>
      <c r="VZ45" s="4"/>
      <c r="WA45" s="4"/>
      <c r="WB45" s="4"/>
      <c r="WC45" s="4"/>
      <c r="WD45" s="4"/>
      <c r="WE45" s="4"/>
      <c r="WF45" s="4"/>
      <c r="WG45" s="4"/>
      <c r="WH45" s="4"/>
      <c r="WI45" s="4"/>
      <c r="WJ45" s="4"/>
      <c r="WK45" s="4"/>
      <c r="WL45" s="4"/>
      <c r="WM45" s="4"/>
      <c r="WN45" s="4"/>
      <c r="WO45" s="4"/>
      <c r="WP45" s="4"/>
      <c r="WQ45" s="4"/>
      <c r="WR45" s="4"/>
      <c r="WS45" s="4"/>
      <c r="WT45" s="4"/>
      <c r="WU45" s="4"/>
      <c r="WV45" s="4"/>
      <c r="WW45" s="4"/>
      <c r="WX45" s="134"/>
      <c r="WY45" s="134"/>
      <c r="WZ45" s="134"/>
      <c r="XA45" s="134"/>
      <c r="XB45" s="134"/>
      <c r="XC45" s="134"/>
      <c r="XD45" s="134"/>
      <c r="XE45" s="134"/>
      <c r="XF45" s="134"/>
      <c r="XG45" s="134"/>
      <c r="XH45" s="134"/>
      <c r="XI45" s="134"/>
      <c r="XJ45" s="134"/>
      <c r="XK45" s="134"/>
      <c r="XL45" s="134"/>
      <c r="XM45" s="134"/>
      <c r="XN45" s="134"/>
      <c r="XO45" s="134"/>
      <c r="XP45" s="134"/>
      <c r="XQ45" s="134"/>
      <c r="XR45" s="134"/>
      <c r="XS45" s="134"/>
      <c r="XT45" s="134"/>
      <c r="XU45" s="134"/>
      <c r="XV45" s="134"/>
      <c r="XW45" s="134"/>
      <c r="XX45" s="134"/>
      <c r="XY45" s="134"/>
      <c r="XZ45" s="134"/>
      <c r="YA45" s="134"/>
      <c r="YB45" s="134"/>
      <c r="YC45" s="134"/>
      <c r="YD45" s="134"/>
      <c r="YE45" s="134"/>
      <c r="YF45" s="134"/>
      <c r="YG45" s="134"/>
      <c r="YH45" s="134"/>
      <c r="YI45" s="134"/>
      <c r="YJ45" s="134"/>
      <c r="YK45" s="134"/>
      <c r="YL45" s="134"/>
      <c r="YM45" s="134"/>
      <c r="YN45" s="134"/>
      <c r="YO45" s="134"/>
      <c r="YP45" s="134"/>
      <c r="YQ45" s="134"/>
      <c r="YR45" s="134"/>
      <c r="YS45" s="134"/>
      <c r="YT45" s="134"/>
      <c r="YU45" s="134"/>
      <c r="YV45" s="134"/>
      <c r="YW45" s="134"/>
      <c r="YX45" s="134"/>
      <c r="YY45" s="134"/>
      <c r="YZ45" s="134"/>
      <c r="ZA45" s="134"/>
      <c r="ZB45" s="134"/>
      <c r="ZC45" s="134"/>
      <c r="ZD45" s="134"/>
      <c r="ZE45" s="134"/>
      <c r="ZF45" s="134"/>
      <c r="ZG45" s="134"/>
      <c r="ZH45" s="134"/>
      <c r="ZI45" s="134"/>
      <c r="ZJ45" s="134"/>
      <c r="ZK45" s="134"/>
      <c r="ZL45" s="134"/>
      <c r="ZM45" s="134"/>
      <c r="ZN45" s="134"/>
      <c r="ZO45" s="134"/>
      <c r="ZP45" s="134"/>
      <c r="ZQ45" s="134"/>
      <c r="ZR45" s="134"/>
      <c r="ZS45" s="134"/>
      <c r="ZT45" s="134"/>
      <c r="ZU45" s="134"/>
      <c r="ZV45" s="134"/>
      <c r="ZW45" s="134"/>
      <c r="ZX45" s="134"/>
      <c r="ZY45" s="134"/>
      <c r="ZZ45" s="134"/>
      <c r="AAA45" s="134"/>
      <c r="AAB45" s="134"/>
      <c r="AAC45" s="134"/>
      <c r="AAD45" s="134"/>
      <c r="AAE45" s="134"/>
      <c r="AAF45" s="134"/>
      <c r="AAG45" s="134"/>
      <c r="AAH45" s="134"/>
      <c r="AAI45" s="134"/>
      <c r="AAJ45" s="134"/>
      <c r="AAK45" s="134"/>
      <c r="AAL45" s="134"/>
      <c r="AAM45" s="134"/>
      <c r="AAN45" s="134"/>
      <c r="AAO45" s="134"/>
      <c r="AAP45" s="134"/>
      <c r="AAQ45" s="134"/>
      <c r="AAR45" s="134"/>
      <c r="AAS45" s="134"/>
      <c r="AAT45" s="134"/>
      <c r="AAU45" s="134"/>
      <c r="AAV45" s="134"/>
      <c r="AAW45" s="134"/>
      <c r="AAX45" s="134"/>
      <c r="AAY45" s="134"/>
      <c r="AAZ45" s="134"/>
      <c r="ABA45" s="134"/>
      <c r="ABB45" s="134"/>
      <c r="ABC45" s="134"/>
      <c r="ABD45" s="134"/>
      <c r="ABE45" s="134"/>
      <c r="ABF45" s="134"/>
      <c r="ABG45" s="134"/>
      <c r="ABH45" s="134"/>
      <c r="ABI45" s="134"/>
      <c r="ABJ45" s="134"/>
      <c r="ABK45" s="134"/>
      <c r="ABL45" s="134"/>
      <c r="ABM45" s="134"/>
      <c r="ABN45" s="134"/>
      <c r="ABO45" s="134"/>
      <c r="ABP45" s="134"/>
      <c r="ABQ45" s="134"/>
      <c r="ABR45" s="134"/>
      <c r="ABS45" s="134"/>
      <c r="ABT45" s="134"/>
      <c r="ABU45" s="134"/>
      <c r="ABV45" s="134"/>
      <c r="ABW45" s="134"/>
      <c r="ABX45" s="134"/>
      <c r="ABY45" s="134"/>
      <c r="ABZ45" s="134"/>
      <c r="ACA45" s="134"/>
      <c r="ACB45" s="134"/>
      <c r="ACC45" s="134"/>
      <c r="ACD45" s="134"/>
      <c r="ACE45" s="134"/>
      <c r="ACF45" s="134"/>
      <c r="ACG45" s="134"/>
      <c r="ACH45" s="134"/>
      <c r="ACI45" s="134"/>
      <c r="ACJ45" s="134"/>
      <c r="ACK45" s="134"/>
      <c r="ACL45" s="134"/>
      <c r="ACM45" s="134"/>
      <c r="ACN45" s="134"/>
      <c r="ACO45" s="134"/>
      <c r="ACP45" s="134"/>
      <c r="ACQ45" s="134"/>
      <c r="ACR45" s="134"/>
      <c r="ACS45" s="134"/>
      <c r="ACT45" s="134"/>
      <c r="ACU45" s="134"/>
      <c r="ACV45" s="134"/>
      <c r="ACW45" s="134"/>
      <c r="ACX45" s="134"/>
      <c r="ACY45" s="134"/>
      <c r="ACZ45" s="134"/>
      <c r="ADA45" s="134"/>
      <c r="ADB45" s="134"/>
      <c r="ADC45" s="134"/>
      <c r="ADD45" s="134"/>
      <c r="ADE45" s="134"/>
      <c r="ADF45" s="134"/>
      <c r="ADG45" s="134"/>
      <c r="ADH45" s="134"/>
      <c r="ADI45" s="134"/>
      <c r="ADJ45" s="134"/>
      <c r="ADK45" s="134"/>
      <c r="ADL45" s="134"/>
      <c r="ADM45" s="134"/>
      <c r="ADN45" s="134"/>
      <c r="ADO45" s="134"/>
      <c r="ADP45" s="134"/>
      <c r="ADQ45" s="134"/>
      <c r="ADR45" s="134"/>
      <c r="ADS45" s="134"/>
      <c r="ADT45" s="134"/>
      <c r="ADU45" s="134"/>
      <c r="ADV45" s="134"/>
      <c r="ADW45" s="134"/>
      <c r="ADX45" s="134"/>
      <c r="ADY45" s="134"/>
      <c r="ADZ45" s="134"/>
      <c r="AEA45" s="134"/>
      <c r="AEB45" s="134"/>
      <c r="AEC45" s="134"/>
      <c r="AED45" s="134"/>
      <c r="AEE45" s="134"/>
      <c r="AEF45" s="134"/>
      <c r="AEG45" s="134"/>
      <c r="AEH45" s="134"/>
      <c r="AEI45" s="134"/>
      <c r="AEJ45" s="134"/>
      <c r="AEK45" s="134"/>
      <c r="AEL45" s="134"/>
      <c r="AEM45" s="134"/>
      <c r="AEN45" s="134"/>
      <c r="AEO45" s="134"/>
      <c r="AEP45" s="134"/>
      <c r="AEQ45" s="134"/>
      <c r="AER45" s="134"/>
      <c r="AES45" s="134"/>
      <c r="AET45" s="134"/>
      <c r="AEU45" s="134"/>
      <c r="AEV45" s="134"/>
      <c r="AEW45" s="134"/>
      <c r="AEX45" s="134"/>
      <c r="AEY45" s="134"/>
      <c r="AEZ45" s="134"/>
      <c r="AFA45" s="134"/>
      <c r="AFB45" s="134"/>
      <c r="AFC45" s="134"/>
      <c r="AFD45" s="134"/>
      <c r="AFE45" s="134"/>
      <c r="AFF45" s="134"/>
      <c r="AFG45" s="134"/>
      <c r="AFH45" s="134"/>
      <c r="AFI45" s="134"/>
      <c r="AFJ45" s="134"/>
      <c r="AFK45" s="134"/>
      <c r="AFL45" s="134"/>
      <c r="AFM45" s="134"/>
      <c r="AFN45" s="134"/>
      <c r="AFO45" s="134"/>
      <c r="AFP45" s="134"/>
      <c r="AFQ45" s="134"/>
      <c r="AFR45" s="134"/>
      <c r="AFS45" s="134"/>
      <c r="AFT45" s="134"/>
      <c r="AFU45" s="134"/>
      <c r="AFV45" s="134"/>
      <c r="AFW45" s="134"/>
      <c r="AFX45" s="134"/>
      <c r="AFY45" s="134"/>
      <c r="AFZ45" s="134"/>
      <c r="AGA45" s="134"/>
      <c r="AGB45" s="134"/>
      <c r="AGC45" s="134"/>
      <c r="AGD45" s="134"/>
      <c r="AGE45" s="134"/>
      <c r="AGF45" s="134"/>
      <c r="AGG45" s="134"/>
      <c r="AGH45" s="134"/>
      <c r="AGI45" s="134"/>
      <c r="AGJ45" s="134"/>
      <c r="AGK45" s="134"/>
      <c r="AGL45" s="134"/>
      <c r="AGM45" s="134"/>
      <c r="AGN45" s="134"/>
      <c r="AGO45" s="134"/>
      <c r="AGP45" s="134"/>
      <c r="AGQ45" s="134"/>
      <c r="AGR45" s="134"/>
      <c r="AGS45" s="134"/>
      <c r="AGT45" s="134"/>
      <c r="AGU45" s="134"/>
      <c r="AGV45" s="134"/>
      <c r="AGW45" s="134"/>
      <c r="AGX45" s="134"/>
      <c r="AGY45" s="134"/>
      <c r="AGZ45" s="134"/>
      <c r="AHA45" s="134"/>
      <c r="AHB45" s="134"/>
      <c r="AHC45" s="134"/>
      <c r="AHD45" s="134"/>
      <c r="AHE45" s="134"/>
      <c r="AHF45" s="134"/>
      <c r="AHG45" s="134"/>
      <c r="AHH45" s="134"/>
      <c r="AHI45" s="134"/>
      <c r="AHJ45" s="134"/>
      <c r="AHK45" s="134"/>
      <c r="AHL45" s="134"/>
      <c r="AHM45" s="134"/>
      <c r="AHN45" s="134"/>
      <c r="AHO45" s="134"/>
      <c r="AHP45" s="134"/>
      <c r="AHQ45" s="134"/>
      <c r="AHR45" s="134"/>
      <c r="AHS45" s="134"/>
      <c r="AHT45" s="134"/>
      <c r="AHU45" s="134"/>
      <c r="AHV45" s="134"/>
      <c r="AHW45" s="134"/>
      <c r="AHX45" s="134"/>
      <c r="AHY45" s="134"/>
      <c r="AHZ45" s="134"/>
      <c r="AIA45" s="134"/>
      <c r="AIB45" s="134"/>
      <c r="AIC45" s="134"/>
      <c r="AID45" s="134"/>
      <c r="AIE45" s="134"/>
      <c r="AIF45" s="134"/>
      <c r="AIG45" s="134"/>
      <c r="AIH45" s="134"/>
      <c r="AII45" s="134"/>
      <c r="AIJ45" s="134"/>
      <c r="AIK45" s="134"/>
      <c r="AIL45" s="134"/>
      <c r="AIM45" s="134"/>
      <c r="AIN45" s="134"/>
      <c r="AIO45" s="134"/>
      <c r="AIP45" s="134"/>
      <c r="AIQ45" s="134"/>
      <c r="AIR45" s="134"/>
      <c r="AIS45" s="134"/>
      <c r="AIT45" s="134"/>
      <c r="AIU45" s="134"/>
      <c r="AIV45" s="134"/>
      <c r="AIW45" s="134"/>
      <c r="AIX45" s="134"/>
      <c r="AIY45" s="134"/>
      <c r="AIZ45" s="134"/>
      <c r="AJA45" s="134"/>
      <c r="AJB45" s="134"/>
      <c r="AJC45" s="134"/>
      <c r="AJD45" s="134"/>
    </row>
    <row r="46" spans="1:940" ht="18" customHeight="1">
      <c r="A46" s="667" t="s">
        <v>247</v>
      </c>
      <c r="B46" s="669">
        <v>-0.6</v>
      </c>
      <c r="C46" s="6">
        <v>-0.3</v>
      </c>
      <c r="D46" s="6">
        <v>-0.3</v>
      </c>
      <c r="E46" s="74">
        <v>710.87615148413511</v>
      </c>
      <c r="F46" s="75">
        <v>-1.3</v>
      </c>
      <c r="G46" s="7">
        <v>-6.1</v>
      </c>
      <c r="H46" s="7">
        <v>-6.1</v>
      </c>
      <c r="I46" s="7"/>
      <c r="J46" s="7"/>
      <c r="K46" s="7"/>
      <c r="L46" s="7"/>
      <c r="M46" s="1">
        <v>2171.6667850440722</v>
      </c>
      <c r="N46" s="2">
        <v>12</v>
      </c>
      <c r="O46" s="8">
        <v>0.6</v>
      </c>
      <c r="P46" s="8">
        <v>0.3</v>
      </c>
      <c r="Q46" s="8">
        <v>0.3</v>
      </c>
      <c r="R46" s="7">
        <v>4.2</v>
      </c>
      <c r="S46" s="7">
        <v>0</v>
      </c>
      <c r="T46" s="7">
        <v>92.4</v>
      </c>
      <c r="U46" s="7">
        <v>3.4</v>
      </c>
      <c r="V46" s="71">
        <v>0</v>
      </c>
      <c r="W46" s="72">
        <v>1</v>
      </c>
      <c r="X46" s="72">
        <v>1</v>
      </c>
      <c r="Y46" s="72">
        <v>1</v>
      </c>
      <c r="Z46" s="72">
        <v>1</v>
      </c>
      <c r="AA46" s="72">
        <v>1</v>
      </c>
      <c r="AB46" s="72"/>
      <c r="AC46" s="72"/>
      <c r="AD46" s="72"/>
      <c r="AE46" s="72"/>
      <c r="AF46" s="72"/>
      <c r="AG46" s="72"/>
      <c r="AH46" s="72"/>
      <c r="AI46" s="72"/>
      <c r="AJ46" s="72"/>
      <c r="AK46" s="72"/>
      <c r="AL46" s="72"/>
      <c r="AM46" s="72"/>
      <c r="AN46" s="72"/>
      <c r="AO46" s="72"/>
      <c r="AP46" s="72"/>
      <c r="AQ46" s="72"/>
      <c r="AR46" s="72"/>
      <c r="AS46" s="72"/>
      <c r="AT46" s="72"/>
      <c r="AU46" s="72"/>
      <c r="AV46" s="72"/>
      <c r="AW46" s="72"/>
      <c r="AX46" s="1">
        <v>10221.459910814488</v>
      </c>
      <c r="AY46" s="5">
        <v>1.45</v>
      </c>
      <c r="AZ46" s="8">
        <v>0.5</v>
      </c>
      <c r="BA46" s="8">
        <v>0.5</v>
      </c>
      <c r="BB46" s="8">
        <v>0.5</v>
      </c>
      <c r="BC46" s="73">
        <v>0.19961001253043553</v>
      </c>
      <c r="BD46" s="73">
        <v>0.18771489791382917</v>
      </c>
      <c r="BE46" s="9">
        <v>3.7611188074745966E-4</v>
      </c>
      <c r="BF46" s="9">
        <v>0.16599071003654553</v>
      </c>
      <c r="BG46" s="9">
        <v>0.33962902831495606</v>
      </c>
      <c r="BH46" s="9">
        <v>58.709309395901634</v>
      </c>
      <c r="BI46" s="9">
        <v>1.1223178521504196</v>
      </c>
      <c r="BJ46" s="9"/>
      <c r="BK46" s="9">
        <v>39.43332476634049</v>
      </c>
      <c r="BL46" s="9">
        <v>5.578992897753985E-2</v>
      </c>
      <c r="BM46" s="9"/>
      <c r="BN46" s="9"/>
      <c r="BO46" s="9"/>
      <c r="BP46" s="9"/>
      <c r="BQ46" s="9"/>
      <c r="BR46" s="9"/>
      <c r="BS46" s="9">
        <v>0.1732622063976631</v>
      </c>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6">
        <v>1</v>
      </c>
      <c r="CY46" s="66">
        <v>1</v>
      </c>
      <c r="CZ46" s="66">
        <v>1</v>
      </c>
      <c r="DA46" s="66">
        <v>1</v>
      </c>
      <c r="DB46" s="66">
        <v>1</v>
      </c>
      <c r="DC46" s="66"/>
      <c r="DD46" s="66"/>
      <c r="DE46" s="66"/>
      <c r="DF46" s="66"/>
      <c r="DG46" s="66"/>
      <c r="DH46" s="2">
        <v>0</v>
      </c>
      <c r="DI46" s="2">
        <v>18</v>
      </c>
      <c r="DJ46" s="1">
        <f t="shared" si="931"/>
        <v>0</v>
      </c>
      <c r="DK46" s="8">
        <v>2.4</v>
      </c>
      <c r="DL46" s="8">
        <v>1.2</v>
      </c>
      <c r="DM46" s="8">
        <v>1.2</v>
      </c>
      <c r="DN46" s="8"/>
      <c r="DO46" s="8"/>
      <c r="DP46" s="8"/>
      <c r="DQ46" s="8"/>
      <c r="DR46" s="8"/>
      <c r="DS46" s="8"/>
      <c r="DT46" s="8"/>
      <c r="DU46" s="8"/>
      <c r="DV46" s="8"/>
      <c r="DW46" s="8"/>
      <c r="DX46" s="8"/>
      <c r="DY46" s="8"/>
      <c r="DZ46" s="8"/>
      <c r="EA46" s="8"/>
      <c r="EB46" s="2">
        <v>5.7196825024484994</v>
      </c>
      <c r="EC46" s="2">
        <v>18</v>
      </c>
      <c r="ED46" s="1">
        <v>5146.7433367451385</v>
      </c>
      <c r="EE46" s="8">
        <v>2.4</v>
      </c>
      <c r="EF46" s="8">
        <v>1.2</v>
      </c>
      <c r="EG46" s="8">
        <v>1.2</v>
      </c>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1">
        <v>313.51780510470144</v>
      </c>
      <c r="IU46" s="2">
        <v>179.9</v>
      </c>
      <c r="IV46" s="2">
        <v>5816.2772773797442</v>
      </c>
      <c r="IW46" s="2"/>
      <c r="IX46" s="2"/>
      <c r="IY46" s="8">
        <v>2.4</v>
      </c>
      <c r="IZ46" s="8">
        <v>1.2</v>
      </c>
      <c r="JA46" s="8">
        <v>1.2</v>
      </c>
      <c r="JB46" s="66">
        <v>1</v>
      </c>
      <c r="JC46" s="66">
        <v>1</v>
      </c>
      <c r="JD46" s="66">
        <v>1</v>
      </c>
      <c r="JE46" s="66">
        <v>1</v>
      </c>
      <c r="JF46" s="66">
        <v>1</v>
      </c>
      <c r="JG46" s="1">
        <v>117.28496305452052</v>
      </c>
      <c r="JH46" s="1"/>
      <c r="JI46" s="1"/>
      <c r="JJ46" s="1">
        <v>9549.5810214944104</v>
      </c>
      <c r="JK46" s="8">
        <v>2.2000000000000002</v>
      </c>
      <c r="JL46" s="8">
        <v>1.3</v>
      </c>
      <c r="JM46" s="8">
        <v>1.3</v>
      </c>
      <c r="JN46" s="66">
        <v>1</v>
      </c>
      <c r="JO46" s="66">
        <v>1</v>
      </c>
      <c r="JP46" s="66">
        <v>1</v>
      </c>
      <c r="JQ46" s="66">
        <v>1</v>
      </c>
      <c r="JR46" s="66">
        <v>1</v>
      </c>
      <c r="JS46" s="66"/>
      <c r="JT46" s="1">
        <v>162.58874371836629</v>
      </c>
      <c r="JU46" s="1">
        <v>500</v>
      </c>
      <c r="JV46" s="10">
        <v>1.3</v>
      </c>
      <c r="JW46" s="10">
        <v>0.9</v>
      </c>
      <c r="JX46" s="10">
        <v>0.9</v>
      </c>
      <c r="JY46" s="66">
        <v>1</v>
      </c>
      <c r="JZ46" s="66">
        <v>1</v>
      </c>
      <c r="KA46" s="66">
        <v>1</v>
      </c>
      <c r="KB46" s="66">
        <v>1</v>
      </c>
      <c r="KC46" s="66">
        <v>1</v>
      </c>
      <c r="KD46" s="66"/>
      <c r="KE46" s="66"/>
      <c r="KF46" s="66"/>
      <c r="KG46" s="66"/>
      <c r="KH46" s="66"/>
      <c r="KI46" s="66"/>
      <c r="KJ46" s="66"/>
      <c r="KK46" s="66"/>
      <c r="KL46" s="66"/>
      <c r="KM46" s="66"/>
      <c r="KN46" s="66"/>
      <c r="KO46" s="66"/>
      <c r="KP46" s="66"/>
      <c r="KQ46" s="66"/>
      <c r="KR46" s="66"/>
      <c r="KS46" s="66"/>
      <c r="KT46" s="66"/>
      <c r="KU46" s="66"/>
      <c r="KV46" s="66"/>
      <c r="KW46" s="66"/>
      <c r="KX46" s="66"/>
      <c r="KY46" s="66"/>
      <c r="KZ46" s="66"/>
      <c r="LA46" s="66"/>
      <c r="LB46" s="66"/>
      <c r="LC46" s="66"/>
      <c r="LD46" s="66"/>
      <c r="LE46" s="66"/>
      <c r="LF46" s="66"/>
      <c r="LG46" s="66"/>
      <c r="LH46" s="66"/>
      <c r="LI46" s="66"/>
      <c r="LJ46" s="66"/>
      <c r="LK46" s="1"/>
      <c r="LL46" s="4">
        <v>29</v>
      </c>
      <c r="LM46" s="8">
        <v>1.2</v>
      </c>
      <c r="LN46" s="8">
        <v>0.9</v>
      </c>
      <c r="LO46" s="8">
        <v>0.9</v>
      </c>
      <c r="LP46" s="66">
        <v>1</v>
      </c>
      <c r="LQ46" s="66">
        <v>1</v>
      </c>
      <c r="LR46" s="66">
        <v>1</v>
      </c>
      <c r="LS46" s="66">
        <v>1</v>
      </c>
      <c r="LT46" s="66">
        <v>1</v>
      </c>
      <c r="LU46" s="66"/>
      <c r="LV46" s="66"/>
      <c r="LW46" s="66"/>
      <c r="LX46" s="66"/>
      <c r="LY46" s="66"/>
      <c r="LZ46" s="66"/>
      <c r="MA46" s="66"/>
      <c r="MB46" s="66"/>
      <c r="MC46" s="66"/>
      <c r="MD46" s="66"/>
      <c r="ME46" s="66"/>
      <c r="MF46" s="66"/>
      <c r="MG46" s="66"/>
      <c r="MH46" s="66"/>
      <c r="MI46" s="66"/>
      <c r="MJ46" s="66"/>
      <c r="MK46" s="66"/>
      <c r="ML46" s="66"/>
      <c r="MM46" s="66"/>
      <c r="MN46" s="66"/>
      <c r="MO46" s="66"/>
      <c r="MP46" s="66"/>
      <c r="MQ46" s="66"/>
      <c r="MR46" s="66"/>
      <c r="MS46" s="66"/>
      <c r="MT46" s="66"/>
      <c r="MU46" s="66"/>
      <c r="MV46" s="66"/>
      <c r="MW46" s="123">
        <v>200</v>
      </c>
      <c r="MX46" s="123">
        <v>200</v>
      </c>
      <c r="MY46" s="123">
        <v>200</v>
      </c>
      <c r="MZ46" s="123">
        <v>200</v>
      </c>
      <c r="NA46" s="123">
        <v>200</v>
      </c>
      <c r="NB46" s="123">
        <v>200</v>
      </c>
      <c r="NC46" s="123">
        <v>200</v>
      </c>
      <c r="ND46" s="123">
        <v>200</v>
      </c>
      <c r="NE46" s="123">
        <v>200</v>
      </c>
      <c r="NF46" s="123">
        <v>200</v>
      </c>
      <c r="NG46" s="123">
        <v>200</v>
      </c>
      <c r="NH46" s="123">
        <v>200</v>
      </c>
      <c r="NI46" s="123">
        <v>200</v>
      </c>
      <c r="NJ46" s="123">
        <v>200</v>
      </c>
      <c r="NK46" s="123">
        <v>200</v>
      </c>
      <c r="NL46" s="123">
        <v>200</v>
      </c>
      <c r="NM46" s="123">
        <v>200</v>
      </c>
      <c r="NN46" s="123">
        <v>200</v>
      </c>
      <c r="NO46" s="123">
        <v>200</v>
      </c>
      <c r="NP46" s="123">
        <v>200</v>
      </c>
      <c r="NQ46" s="123">
        <v>200</v>
      </c>
      <c r="NR46" s="123">
        <v>200</v>
      </c>
      <c r="NS46" s="123">
        <v>200</v>
      </c>
      <c r="NT46" s="123">
        <v>200</v>
      </c>
      <c r="NU46" s="123">
        <v>200</v>
      </c>
      <c r="NV46" s="123">
        <v>200</v>
      </c>
      <c r="NW46" s="123">
        <v>200</v>
      </c>
      <c r="NX46" s="123">
        <v>200</v>
      </c>
      <c r="NY46" s="123">
        <v>200</v>
      </c>
      <c r="NZ46" s="123">
        <v>200</v>
      </c>
      <c r="OA46" s="123">
        <v>200</v>
      </c>
      <c r="OB46" s="123">
        <v>200</v>
      </c>
      <c r="OC46" s="123">
        <v>200</v>
      </c>
      <c r="OD46" s="123">
        <v>200</v>
      </c>
      <c r="OE46" s="123">
        <v>200</v>
      </c>
      <c r="OF46" s="123">
        <v>200</v>
      </c>
      <c r="OG46" s="123">
        <v>200</v>
      </c>
      <c r="OH46" s="123">
        <v>200</v>
      </c>
      <c r="OI46" s="123">
        <v>200</v>
      </c>
      <c r="OJ46" s="123">
        <v>200</v>
      </c>
      <c r="OK46" s="123">
        <v>200</v>
      </c>
      <c r="OL46" s="123">
        <v>200</v>
      </c>
      <c r="OM46" s="123">
        <v>200</v>
      </c>
      <c r="ON46" s="123">
        <v>200</v>
      </c>
      <c r="OO46" s="123">
        <v>200</v>
      </c>
      <c r="OP46" s="123">
        <v>200</v>
      </c>
      <c r="OQ46" s="123">
        <v>200</v>
      </c>
      <c r="OR46" s="123">
        <v>200</v>
      </c>
      <c r="OS46" s="123">
        <v>200</v>
      </c>
      <c r="OT46" s="123">
        <v>200</v>
      </c>
      <c r="OU46" s="123">
        <v>200</v>
      </c>
      <c r="OV46" s="123">
        <v>200</v>
      </c>
      <c r="OW46" s="123">
        <v>200</v>
      </c>
      <c r="OX46" s="123">
        <v>200</v>
      </c>
      <c r="OY46" s="123">
        <v>200</v>
      </c>
      <c r="OZ46" s="123">
        <v>200</v>
      </c>
      <c r="PA46" s="123">
        <v>200</v>
      </c>
      <c r="PB46" s="123">
        <v>200</v>
      </c>
      <c r="PC46" s="123">
        <v>200</v>
      </c>
      <c r="PD46" s="123">
        <v>200</v>
      </c>
      <c r="PE46" s="123">
        <v>200</v>
      </c>
      <c r="PF46" s="123">
        <v>200</v>
      </c>
      <c r="PG46" s="123">
        <v>200</v>
      </c>
      <c r="PH46" s="123">
        <v>200</v>
      </c>
      <c r="PI46" s="123">
        <v>200</v>
      </c>
      <c r="PJ46" s="123">
        <v>200</v>
      </c>
      <c r="PK46" s="123">
        <v>200</v>
      </c>
      <c r="PL46" s="123">
        <v>200</v>
      </c>
      <c r="PM46" s="123">
        <v>200</v>
      </c>
      <c r="PN46" s="123">
        <v>200</v>
      </c>
      <c r="PO46" s="123">
        <v>200</v>
      </c>
      <c r="PP46" s="123">
        <v>200</v>
      </c>
      <c r="PQ46" s="123">
        <v>200</v>
      </c>
      <c r="PR46" s="123">
        <v>200</v>
      </c>
      <c r="PS46" s="123">
        <v>200</v>
      </c>
      <c r="PT46" s="123">
        <v>200</v>
      </c>
      <c r="PU46" s="123">
        <v>200</v>
      </c>
      <c r="PV46" s="123">
        <v>200</v>
      </c>
      <c r="PW46" s="123">
        <v>200</v>
      </c>
      <c r="PX46" s="123">
        <v>200</v>
      </c>
      <c r="PY46" s="123">
        <v>200</v>
      </c>
      <c r="PZ46" s="123">
        <v>200</v>
      </c>
      <c r="QA46" s="123">
        <v>200</v>
      </c>
      <c r="QB46" s="123">
        <v>200</v>
      </c>
      <c r="QC46" s="123">
        <v>200</v>
      </c>
      <c r="QD46" s="123">
        <v>200</v>
      </c>
      <c r="QE46" s="123">
        <v>200</v>
      </c>
      <c r="QF46" s="123">
        <v>200</v>
      </c>
      <c r="QG46" s="123">
        <v>200</v>
      </c>
      <c r="QH46" s="123">
        <v>200</v>
      </c>
      <c r="QI46" s="123">
        <v>200</v>
      </c>
      <c r="QJ46" s="123">
        <v>200</v>
      </c>
      <c r="QK46" s="123">
        <v>200</v>
      </c>
      <c r="QL46" s="123">
        <v>200</v>
      </c>
      <c r="QM46" s="123">
        <v>200</v>
      </c>
      <c r="QN46" s="123">
        <v>200</v>
      </c>
      <c r="QO46" s="123">
        <v>200</v>
      </c>
      <c r="QP46" s="123">
        <v>200</v>
      </c>
      <c r="QQ46" s="123">
        <v>200</v>
      </c>
      <c r="QR46" s="123">
        <v>200</v>
      </c>
      <c r="QS46" s="123">
        <v>200</v>
      </c>
      <c r="QT46" s="123">
        <v>200</v>
      </c>
      <c r="QU46" s="123">
        <v>200</v>
      </c>
      <c r="QV46" s="123">
        <v>200</v>
      </c>
      <c r="QW46" s="123">
        <v>200</v>
      </c>
      <c r="QX46" s="123">
        <v>200</v>
      </c>
      <c r="QY46" s="123">
        <v>200</v>
      </c>
      <c r="QZ46" s="123">
        <v>200</v>
      </c>
      <c r="RA46" s="123">
        <v>200</v>
      </c>
      <c r="RB46" s="123">
        <v>200</v>
      </c>
      <c r="RC46" s="123">
        <v>200</v>
      </c>
      <c r="RD46" s="123">
        <v>200</v>
      </c>
      <c r="RE46" s="123">
        <v>200</v>
      </c>
      <c r="RF46" s="123">
        <v>200</v>
      </c>
      <c r="RG46" s="123">
        <v>200</v>
      </c>
      <c r="RH46" s="123">
        <v>200</v>
      </c>
      <c r="RI46" s="123">
        <v>200</v>
      </c>
      <c r="RJ46" s="123">
        <v>200</v>
      </c>
      <c r="RK46" s="123">
        <v>200</v>
      </c>
      <c r="RL46" s="123">
        <v>200</v>
      </c>
      <c r="RM46" s="123">
        <v>200</v>
      </c>
      <c r="RN46" s="123">
        <v>200</v>
      </c>
      <c r="RO46" s="123">
        <v>200</v>
      </c>
      <c r="RP46" s="123">
        <v>200</v>
      </c>
      <c r="RQ46" s="123">
        <v>200</v>
      </c>
      <c r="RR46" s="123">
        <v>200</v>
      </c>
      <c r="RS46" s="123">
        <v>200</v>
      </c>
      <c r="RT46" s="123">
        <v>200</v>
      </c>
      <c r="RU46" s="123">
        <v>200</v>
      </c>
      <c r="RV46" s="123">
        <v>200</v>
      </c>
      <c r="RW46" s="123">
        <v>200</v>
      </c>
      <c r="RX46" s="123">
        <v>200</v>
      </c>
      <c r="RY46" s="123">
        <v>200</v>
      </c>
      <c r="RZ46" s="123">
        <v>200</v>
      </c>
      <c r="SA46" s="123">
        <v>200</v>
      </c>
      <c r="SB46" s="123">
        <v>200</v>
      </c>
      <c r="SC46" s="123">
        <v>200</v>
      </c>
      <c r="SD46" s="123">
        <v>200</v>
      </c>
      <c r="SE46" s="123">
        <v>200</v>
      </c>
      <c r="SF46" s="123">
        <v>200</v>
      </c>
      <c r="SG46" s="123">
        <v>200</v>
      </c>
      <c r="SH46" s="123">
        <v>200</v>
      </c>
      <c r="SI46" s="123">
        <v>200</v>
      </c>
      <c r="SJ46" s="123">
        <v>200</v>
      </c>
      <c r="SK46" s="123">
        <v>200</v>
      </c>
      <c r="SL46" s="123">
        <v>200</v>
      </c>
      <c r="SM46" s="123">
        <v>200</v>
      </c>
      <c r="SN46" s="123">
        <v>200</v>
      </c>
      <c r="SO46" s="123">
        <v>200</v>
      </c>
      <c r="SP46" s="123">
        <v>200</v>
      </c>
      <c r="SQ46" s="123">
        <v>200</v>
      </c>
      <c r="SR46" s="123">
        <v>200</v>
      </c>
      <c r="SS46" s="123">
        <v>200</v>
      </c>
      <c r="ST46" s="123">
        <v>200</v>
      </c>
      <c r="SU46" s="123">
        <v>200</v>
      </c>
      <c r="SV46" s="123">
        <v>200</v>
      </c>
      <c r="SW46" s="123">
        <v>200</v>
      </c>
      <c r="SX46" s="123">
        <v>200</v>
      </c>
      <c r="SY46" s="123">
        <v>200</v>
      </c>
      <c r="SZ46" s="123">
        <v>200</v>
      </c>
      <c r="TA46" s="123">
        <v>200</v>
      </c>
      <c r="TB46" s="123">
        <v>200</v>
      </c>
      <c r="TC46" s="123">
        <v>200</v>
      </c>
      <c r="TD46" s="123">
        <v>200</v>
      </c>
      <c r="TE46" s="123">
        <v>200</v>
      </c>
      <c r="TF46" s="123">
        <v>200</v>
      </c>
      <c r="TG46" s="123">
        <v>200</v>
      </c>
      <c r="TH46" s="123">
        <v>200</v>
      </c>
      <c r="TI46" s="123">
        <v>200</v>
      </c>
      <c r="TJ46" s="123">
        <v>200</v>
      </c>
      <c r="TK46" s="123">
        <v>200</v>
      </c>
      <c r="TL46" s="123">
        <v>200</v>
      </c>
      <c r="TM46" s="123">
        <v>200</v>
      </c>
      <c r="TN46" s="123">
        <v>200</v>
      </c>
      <c r="TO46" s="123">
        <v>200</v>
      </c>
      <c r="TP46" s="123">
        <v>200</v>
      </c>
      <c r="TQ46" s="123">
        <v>200</v>
      </c>
      <c r="TR46" s="123">
        <v>200</v>
      </c>
      <c r="TS46" s="123">
        <v>200</v>
      </c>
      <c r="TT46" s="123">
        <v>200</v>
      </c>
      <c r="TU46" s="123">
        <v>200</v>
      </c>
      <c r="TV46" s="123">
        <v>200</v>
      </c>
      <c r="TW46" s="123">
        <v>200</v>
      </c>
      <c r="TX46" s="123">
        <v>200</v>
      </c>
      <c r="TY46" s="123">
        <v>200</v>
      </c>
      <c r="TZ46" s="123">
        <v>200</v>
      </c>
      <c r="UA46" s="123">
        <v>200</v>
      </c>
      <c r="UB46" s="123">
        <v>200</v>
      </c>
      <c r="UC46" s="123">
        <v>200</v>
      </c>
      <c r="UD46" s="123">
        <v>200</v>
      </c>
      <c r="UE46" s="123">
        <v>200</v>
      </c>
      <c r="UF46" s="123">
        <v>200</v>
      </c>
      <c r="UG46" s="123">
        <v>200</v>
      </c>
      <c r="UH46" s="123">
        <v>200</v>
      </c>
      <c r="UI46" s="123">
        <v>200</v>
      </c>
      <c r="UJ46" s="123">
        <v>200</v>
      </c>
      <c r="UK46" s="123">
        <v>200</v>
      </c>
      <c r="UL46" s="123">
        <v>200</v>
      </c>
      <c r="UM46" s="123">
        <v>200</v>
      </c>
      <c r="UN46" s="123">
        <v>200</v>
      </c>
      <c r="UO46" s="123">
        <v>200</v>
      </c>
      <c r="UP46" s="123">
        <v>200</v>
      </c>
      <c r="UQ46" s="123">
        <v>200</v>
      </c>
      <c r="UR46" s="123">
        <v>200</v>
      </c>
      <c r="US46" s="123">
        <v>200</v>
      </c>
      <c r="UT46" s="123">
        <v>200</v>
      </c>
      <c r="UU46" s="123">
        <v>200</v>
      </c>
      <c r="UV46" s="123">
        <v>200</v>
      </c>
      <c r="UW46" s="123">
        <v>200</v>
      </c>
      <c r="UX46" s="123">
        <v>200</v>
      </c>
      <c r="UY46" s="123">
        <v>200</v>
      </c>
      <c r="UZ46" s="123">
        <v>200</v>
      </c>
      <c r="VA46" s="123">
        <v>200</v>
      </c>
      <c r="VB46" s="123">
        <v>200</v>
      </c>
      <c r="VC46" s="123">
        <v>200</v>
      </c>
      <c r="VD46" s="123">
        <v>200</v>
      </c>
      <c r="VE46" s="4"/>
      <c r="VF46" s="4"/>
      <c r="VG46" s="4"/>
      <c r="VH46" s="4"/>
      <c r="VI46" s="4"/>
      <c r="VJ46" s="4"/>
      <c r="VK46" s="4"/>
      <c r="VL46" s="4"/>
      <c r="VM46" s="4"/>
      <c r="VN46" s="4"/>
      <c r="VO46" s="4"/>
      <c r="VP46" s="4"/>
      <c r="VQ46" s="4"/>
      <c r="VR46" s="4"/>
      <c r="VS46" s="4"/>
      <c r="VT46" s="4"/>
      <c r="VU46" s="4"/>
      <c r="VV46" s="4"/>
      <c r="VW46" s="4"/>
      <c r="VX46" s="4"/>
      <c r="VY46" s="4"/>
      <c r="VZ46" s="4"/>
      <c r="WA46" s="4"/>
      <c r="WB46" s="4"/>
      <c r="WC46" s="4"/>
      <c r="WD46" s="4"/>
      <c r="WE46" s="4"/>
      <c r="WF46" s="4"/>
      <c r="WG46" s="4"/>
      <c r="WH46" s="4"/>
      <c r="WI46" s="4"/>
      <c r="WJ46" s="4"/>
      <c r="WK46" s="4"/>
      <c r="WL46" s="4"/>
      <c r="WM46" s="4"/>
      <c r="WN46" s="4"/>
      <c r="WO46" s="4"/>
      <c r="WP46" s="4"/>
      <c r="WQ46" s="4"/>
      <c r="WR46" s="4"/>
      <c r="WS46" s="4"/>
      <c r="WT46" s="4"/>
      <c r="WU46" s="4"/>
      <c r="WV46" s="4"/>
      <c r="WW46" s="4"/>
      <c r="WX46" s="134"/>
      <c r="WY46" s="134"/>
      <c r="WZ46" s="134"/>
      <c r="XA46" s="134"/>
      <c r="XB46" s="134"/>
      <c r="XC46" s="134"/>
      <c r="XD46" s="134"/>
      <c r="XE46" s="134"/>
      <c r="XF46" s="134"/>
      <c r="XG46" s="134"/>
      <c r="XH46" s="134"/>
      <c r="XI46" s="134"/>
      <c r="XJ46" s="134"/>
      <c r="XK46" s="134"/>
      <c r="XL46" s="134"/>
      <c r="XM46" s="134"/>
      <c r="XN46" s="134"/>
      <c r="XO46" s="134"/>
      <c r="XP46" s="134"/>
      <c r="XQ46" s="134"/>
      <c r="XR46" s="134"/>
      <c r="XS46" s="134"/>
      <c r="XT46" s="134"/>
      <c r="XU46" s="134"/>
      <c r="XV46" s="134"/>
      <c r="XW46" s="134"/>
      <c r="XX46" s="134"/>
      <c r="XY46" s="134"/>
      <c r="XZ46" s="134"/>
      <c r="YA46" s="134"/>
      <c r="YB46" s="134"/>
      <c r="YC46" s="134"/>
      <c r="YD46" s="134"/>
      <c r="YE46" s="134"/>
      <c r="YF46" s="134"/>
      <c r="YG46" s="134"/>
      <c r="YH46" s="134"/>
      <c r="YI46" s="134"/>
      <c r="YJ46" s="134"/>
      <c r="YK46" s="134"/>
      <c r="YL46" s="134"/>
      <c r="YM46" s="134"/>
      <c r="YN46" s="134"/>
      <c r="YO46" s="134"/>
      <c r="YP46" s="134"/>
      <c r="YQ46" s="134"/>
      <c r="YR46" s="134"/>
      <c r="YS46" s="134"/>
      <c r="YT46" s="134"/>
      <c r="YU46" s="134"/>
      <c r="YV46" s="134"/>
      <c r="YW46" s="134"/>
      <c r="YX46" s="134"/>
      <c r="YY46" s="134"/>
      <c r="YZ46" s="134"/>
      <c r="ZA46" s="134"/>
      <c r="ZB46" s="134"/>
      <c r="ZC46" s="134"/>
      <c r="ZD46" s="134"/>
      <c r="ZE46" s="134"/>
      <c r="ZF46" s="134"/>
      <c r="ZG46" s="134"/>
      <c r="ZH46" s="134"/>
      <c r="ZI46" s="134"/>
      <c r="ZJ46" s="134"/>
      <c r="ZK46" s="134"/>
      <c r="ZL46" s="134"/>
      <c r="ZM46" s="134"/>
      <c r="ZN46" s="134"/>
      <c r="ZO46" s="134"/>
      <c r="ZP46" s="134"/>
      <c r="ZQ46" s="134"/>
      <c r="ZR46" s="134"/>
      <c r="ZS46" s="134"/>
      <c r="ZT46" s="134"/>
      <c r="ZU46" s="134"/>
      <c r="ZV46" s="134"/>
      <c r="ZW46" s="134"/>
      <c r="ZX46" s="134"/>
      <c r="ZY46" s="134"/>
      <c r="ZZ46" s="134"/>
      <c r="AAA46" s="134"/>
      <c r="AAB46" s="134"/>
      <c r="AAC46" s="134"/>
      <c r="AAD46" s="134"/>
      <c r="AAE46" s="134"/>
      <c r="AAF46" s="134"/>
      <c r="AAG46" s="134"/>
      <c r="AAH46" s="134"/>
      <c r="AAI46" s="134"/>
      <c r="AAJ46" s="134"/>
      <c r="AAK46" s="134"/>
      <c r="AAL46" s="134"/>
      <c r="AAM46" s="134"/>
      <c r="AAN46" s="134"/>
      <c r="AAO46" s="134"/>
      <c r="AAP46" s="134"/>
      <c r="AAQ46" s="134"/>
      <c r="AAR46" s="134"/>
      <c r="AAS46" s="134"/>
      <c r="AAT46" s="134"/>
      <c r="AAU46" s="134"/>
      <c r="AAV46" s="134"/>
      <c r="AAW46" s="134"/>
      <c r="AAX46" s="134"/>
      <c r="AAY46" s="134"/>
      <c r="AAZ46" s="134"/>
      <c r="ABA46" s="134"/>
      <c r="ABB46" s="134"/>
      <c r="ABC46" s="134"/>
      <c r="ABD46" s="134"/>
      <c r="ABE46" s="134"/>
      <c r="ABF46" s="134"/>
      <c r="ABG46" s="134"/>
      <c r="ABH46" s="134"/>
      <c r="ABI46" s="134"/>
      <c r="ABJ46" s="134"/>
      <c r="ABK46" s="134"/>
      <c r="ABL46" s="134"/>
      <c r="ABM46" s="134"/>
      <c r="ABN46" s="134"/>
      <c r="ABO46" s="134"/>
      <c r="ABP46" s="134"/>
      <c r="ABQ46" s="134"/>
      <c r="ABR46" s="134"/>
      <c r="ABS46" s="134"/>
      <c r="ABT46" s="134"/>
      <c r="ABU46" s="134"/>
      <c r="ABV46" s="134"/>
      <c r="ABW46" s="134"/>
      <c r="ABX46" s="134"/>
      <c r="ABY46" s="134"/>
      <c r="ABZ46" s="134"/>
      <c r="ACA46" s="134"/>
      <c r="ACB46" s="134"/>
      <c r="ACC46" s="134"/>
      <c r="ACD46" s="134"/>
      <c r="ACE46" s="134"/>
      <c r="ACF46" s="134"/>
      <c r="ACG46" s="134"/>
      <c r="ACH46" s="134"/>
      <c r="ACI46" s="134"/>
      <c r="ACJ46" s="134"/>
      <c r="ACK46" s="134"/>
      <c r="ACL46" s="134"/>
      <c r="ACM46" s="134"/>
      <c r="ACN46" s="134"/>
      <c r="ACO46" s="134"/>
      <c r="ACP46" s="134"/>
      <c r="ACQ46" s="134"/>
      <c r="ACR46" s="134"/>
      <c r="ACS46" s="134"/>
      <c r="ACT46" s="134"/>
      <c r="ACU46" s="134"/>
      <c r="ACV46" s="134"/>
      <c r="ACW46" s="134"/>
      <c r="ACX46" s="134"/>
      <c r="ACY46" s="134"/>
      <c r="ACZ46" s="134"/>
      <c r="ADA46" s="134"/>
      <c r="ADB46" s="134"/>
      <c r="ADC46" s="134"/>
      <c r="ADD46" s="134"/>
      <c r="ADE46" s="134"/>
      <c r="ADF46" s="134"/>
      <c r="ADG46" s="134"/>
      <c r="ADH46" s="134"/>
      <c r="ADI46" s="134"/>
      <c r="ADJ46" s="134"/>
      <c r="ADK46" s="134"/>
      <c r="ADL46" s="134"/>
      <c r="ADM46" s="134"/>
      <c r="ADN46" s="134"/>
      <c r="ADO46" s="134"/>
      <c r="ADP46" s="134"/>
      <c r="ADQ46" s="134"/>
      <c r="ADR46" s="134"/>
      <c r="ADS46" s="134"/>
      <c r="ADT46" s="134"/>
      <c r="ADU46" s="134"/>
      <c r="ADV46" s="134"/>
      <c r="ADW46" s="134"/>
      <c r="ADX46" s="134"/>
      <c r="ADY46" s="134"/>
      <c r="ADZ46" s="134"/>
      <c r="AEA46" s="134"/>
      <c r="AEB46" s="134"/>
      <c r="AEC46" s="134"/>
      <c r="AED46" s="134"/>
      <c r="AEE46" s="134"/>
      <c r="AEF46" s="134"/>
      <c r="AEG46" s="134"/>
      <c r="AEH46" s="134"/>
      <c r="AEI46" s="134"/>
      <c r="AEJ46" s="134"/>
      <c r="AEK46" s="134"/>
      <c r="AEL46" s="134"/>
      <c r="AEM46" s="134"/>
      <c r="AEN46" s="134"/>
      <c r="AEO46" s="134"/>
      <c r="AEP46" s="134"/>
      <c r="AEQ46" s="134"/>
      <c r="AER46" s="134"/>
      <c r="AES46" s="134"/>
      <c r="AET46" s="134"/>
      <c r="AEU46" s="134"/>
      <c r="AEV46" s="134"/>
      <c r="AEW46" s="134"/>
      <c r="AEX46" s="134"/>
      <c r="AEY46" s="134"/>
      <c r="AEZ46" s="134"/>
      <c r="AFA46" s="134"/>
      <c r="AFB46" s="134"/>
      <c r="AFC46" s="134"/>
      <c r="AFD46" s="134"/>
      <c r="AFE46" s="134"/>
      <c r="AFF46" s="134"/>
      <c r="AFG46" s="134"/>
      <c r="AFH46" s="134"/>
      <c r="AFI46" s="134"/>
      <c r="AFJ46" s="134"/>
      <c r="AFK46" s="134"/>
      <c r="AFL46" s="134"/>
      <c r="AFM46" s="134"/>
      <c r="AFN46" s="134"/>
      <c r="AFO46" s="134"/>
      <c r="AFP46" s="134"/>
      <c r="AFQ46" s="134"/>
      <c r="AFR46" s="134"/>
      <c r="AFS46" s="134"/>
      <c r="AFT46" s="134"/>
      <c r="AFU46" s="134"/>
      <c r="AFV46" s="134"/>
      <c r="AFW46" s="134"/>
      <c r="AFX46" s="134"/>
      <c r="AFY46" s="134"/>
      <c r="AFZ46" s="134"/>
      <c r="AGA46" s="134"/>
      <c r="AGB46" s="134"/>
      <c r="AGC46" s="134"/>
      <c r="AGD46" s="134"/>
      <c r="AGE46" s="134"/>
      <c r="AGF46" s="134"/>
      <c r="AGG46" s="134"/>
      <c r="AGH46" s="134"/>
      <c r="AGI46" s="134"/>
      <c r="AGJ46" s="134"/>
      <c r="AGK46" s="134"/>
      <c r="AGL46" s="134"/>
      <c r="AGM46" s="134"/>
      <c r="AGN46" s="134"/>
      <c r="AGO46" s="134"/>
      <c r="AGP46" s="134"/>
      <c r="AGQ46" s="134"/>
      <c r="AGR46" s="134"/>
      <c r="AGS46" s="134"/>
      <c r="AGT46" s="134"/>
      <c r="AGU46" s="134"/>
      <c r="AGV46" s="134"/>
      <c r="AGW46" s="134"/>
      <c r="AGX46" s="134"/>
      <c r="AGY46" s="134"/>
      <c r="AGZ46" s="134"/>
      <c r="AHA46" s="134"/>
      <c r="AHB46" s="134"/>
      <c r="AHC46" s="134"/>
      <c r="AHD46" s="134"/>
      <c r="AHE46" s="134"/>
      <c r="AHF46" s="134"/>
      <c r="AHG46" s="134"/>
      <c r="AHH46" s="134"/>
      <c r="AHI46" s="134"/>
      <c r="AHJ46" s="134"/>
      <c r="AHK46" s="134"/>
      <c r="AHL46" s="134"/>
      <c r="AHM46" s="134"/>
      <c r="AHN46" s="134"/>
      <c r="AHO46" s="134"/>
      <c r="AHP46" s="134"/>
      <c r="AHQ46" s="134"/>
      <c r="AHR46" s="134"/>
      <c r="AHS46" s="134"/>
      <c r="AHT46" s="134"/>
      <c r="AHU46" s="134"/>
      <c r="AHV46" s="134"/>
      <c r="AHW46" s="134"/>
      <c r="AHX46" s="134"/>
      <c r="AHY46" s="134"/>
      <c r="AHZ46" s="134"/>
      <c r="AIA46" s="134"/>
      <c r="AIB46" s="134"/>
      <c r="AIC46" s="134"/>
      <c r="AID46" s="134"/>
      <c r="AIE46" s="134"/>
      <c r="AIF46" s="134"/>
      <c r="AIG46" s="134"/>
      <c r="AIH46" s="134"/>
      <c r="AII46" s="134"/>
      <c r="AIJ46" s="134"/>
      <c r="AIK46" s="134"/>
      <c r="AIL46" s="134"/>
      <c r="AIM46" s="134"/>
      <c r="AIN46" s="134"/>
      <c r="AIO46" s="134"/>
      <c r="AIP46" s="134"/>
      <c r="AIQ46" s="134"/>
      <c r="AIR46" s="134"/>
      <c r="AIS46" s="134"/>
      <c r="AIT46" s="134"/>
      <c r="AIU46" s="134"/>
      <c r="AIV46" s="134"/>
      <c r="AIW46" s="134"/>
      <c r="AIX46" s="134"/>
      <c r="AIY46" s="134"/>
      <c r="AIZ46" s="134"/>
      <c r="AJA46" s="134"/>
      <c r="AJB46" s="134"/>
      <c r="AJC46" s="134"/>
      <c r="AJD46" s="134"/>
    </row>
  </sheetData>
  <mergeCells count="42">
    <mergeCell ref="JG2:JS2"/>
    <mergeCell ref="JT2:LJ2"/>
    <mergeCell ref="LK2:LU2"/>
    <mergeCell ref="MC2:MF2"/>
    <mergeCell ref="QI2:RL2"/>
    <mergeCell ref="B2:D2"/>
    <mergeCell ref="I2:L2"/>
    <mergeCell ref="M2:AK2"/>
    <mergeCell ref="DH2:EA2"/>
    <mergeCell ref="AX2:DG2"/>
    <mergeCell ref="VL2:WR2"/>
    <mergeCell ref="MG2:MJ2"/>
    <mergeCell ref="MK2:MN2"/>
    <mergeCell ref="E2:H2"/>
    <mergeCell ref="MW2:OF2"/>
    <mergeCell ref="OG2:PD2"/>
    <mergeCell ref="PE2:QH2"/>
    <mergeCell ref="IT2:JF2"/>
    <mergeCell ref="VE2:VK2"/>
    <mergeCell ref="MO2:MR2"/>
    <mergeCell ref="MS2:MV2"/>
    <mergeCell ref="LY2:MB2"/>
    <mergeCell ref="TU2:VD2"/>
    <mergeCell ref="EB2:IS2"/>
    <mergeCell ref="RM2:SP2"/>
    <mergeCell ref="SQ2:TT2"/>
    <mergeCell ref="WS2:WW2"/>
    <mergeCell ref="WY2:XB2"/>
    <mergeCell ref="LV2:LX2"/>
    <mergeCell ref="AIU2:AJD2"/>
    <mergeCell ref="AGY2:AIT2"/>
    <mergeCell ref="YI2:ZN2"/>
    <mergeCell ref="ZO2:AAT2"/>
    <mergeCell ref="AAU2:ABZ2"/>
    <mergeCell ref="ACA2:ADF2"/>
    <mergeCell ref="ADG2:AEL2"/>
    <mergeCell ref="AGQ2:AGX2"/>
    <mergeCell ref="AGI2:AGP2"/>
    <mergeCell ref="AGA2:AGH2"/>
    <mergeCell ref="AFS2:AFZ2"/>
    <mergeCell ref="AEM2:AFR2"/>
    <mergeCell ref="XC2:YH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AN141"/>
  <sheetViews>
    <sheetView topLeftCell="P1" workbookViewId="0">
      <selection activeCell="F13" sqref="F13:AK19"/>
    </sheetView>
  </sheetViews>
  <sheetFormatPr defaultRowHeight="15"/>
  <cols>
    <col min="1" max="1" width="9.140625" style="256"/>
    <col min="2" max="2" width="35.140625" style="193" bestFit="1" customWidth="1"/>
    <col min="3" max="3" width="5.140625" style="193" bestFit="1" customWidth="1"/>
    <col min="4" max="5" width="9.140625" style="193"/>
    <col min="6" max="8" width="9.5703125" style="193" bestFit="1" customWidth="1"/>
    <col min="9" max="10" width="9.28515625" style="193" bestFit="1" customWidth="1"/>
    <col min="11" max="12" width="9.5703125" style="193" bestFit="1" customWidth="1"/>
    <col min="13" max="13" width="9.28515625" style="193" bestFit="1" customWidth="1"/>
    <col min="14" max="14" width="9.5703125" style="193" bestFit="1" customWidth="1"/>
    <col min="15" max="16" width="9.28515625" style="193" bestFit="1" customWidth="1"/>
    <col min="17" max="18" width="9.5703125" style="193" bestFit="1" customWidth="1"/>
    <col min="19" max="27" width="9.28515625" style="193" bestFit="1" customWidth="1"/>
    <col min="28" max="31" width="9.5703125" style="193" bestFit="1" customWidth="1"/>
    <col min="32" max="34" width="9.28515625" style="193" bestFit="1" customWidth="1"/>
    <col min="35" max="36" width="9.5703125" style="193" bestFit="1" customWidth="1"/>
    <col min="37" max="37" width="9.28515625" style="193" bestFit="1" customWidth="1"/>
    <col min="38" max="38" width="9.140625" style="193"/>
    <col min="39" max="39" width="13.5703125" style="193" bestFit="1" customWidth="1"/>
    <col min="40" max="40" width="11.28515625" style="193" bestFit="1" customWidth="1"/>
    <col min="41" max="16384" width="9.140625" style="193"/>
  </cols>
  <sheetData>
    <row r="1" spans="1:40">
      <c r="A1" s="256">
        <f>2022</f>
        <v>2022</v>
      </c>
      <c r="B1" s="252" t="s">
        <v>1263</v>
      </c>
      <c r="C1" s="254"/>
      <c r="F1" s="256">
        <v>1</v>
      </c>
      <c r="G1" s="256">
        <f>F1+1</f>
        <v>2</v>
      </c>
      <c r="H1" s="256">
        <f t="shared" ref="H1:AK1" si="0">G1+1</f>
        <v>3</v>
      </c>
      <c r="I1" s="256">
        <f t="shared" si="0"/>
        <v>4</v>
      </c>
      <c r="J1" s="256">
        <f t="shared" si="0"/>
        <v>5</v>
      </c>
      <c r="K1" s="256">
        <f t="shared" si="0"/>
        <v>6</v>
      </c>
      <c r="L1" s="256">
        <f t="shared" si="0"/>
        <v>7</v>
      </c>
      <c r="M1" s="256">
        <f t="shared" si="0"/>
        <v>8</v>
      </c>
      <c r="N1" s="256">
        <f t="shared" si="0"/>
        <v>9</v>
      </c>
      <c r="O1" s="256">
        <f t="shared" si="0"/>
        <v>10</v>
      </c>
      <c r="P1" s="256">
        <f t="shared" si="0"/>
        <v>11</v>
      </c>
      <c r="Q1" s="256">
        <f t="shared" si="0"/>
        <v>12</v>
      </c>
      <c r="R1" s="256">
        <f t="shared" si="0"/>
        <v>13</v>
      </c>
      <c r="S1" s="256">
        <f t="shared" si="0"/>
        <v>14</v>
      </c>
      <c r="T1" s="256">
        <f t="shared" si="0"/>
        <v>15</v>
      </c>
      <c r="U1" s="256">
        <f t="shared" si="0"/>
        <v>16</v>
      </c>
      <c r="V1" s="256">
        <f t="shared" si="0"/>
        <v>17</v>
      </c>
      <c r="W1" s="256">
        <f t="shared" si="0"/>
        <v>18</v>
      </c>
      <c r="X1" s="256">
        <f t="shared" si="0"/>
        <v>19</v>
      </c>
      <c r="Y1" s="256">
        <f t="shared" si="0"/>
        <v>20</v>
      </c>
      <c r="Z1" s="256">
        <f t="shared" si="0"/>
        <v>21</v>
      </c>
      <c r="AA1" s="256">
        <f t="shared" si="0"/>
        <v>22</v>
      </c>
      <c r="AB1" s="256">
        <f t="shared" si="0"/>
        <v>23</v>
      </c>
      <c r="AC1" s="256">
        <f t="shared" si="0"/>
        <v>24</v>
      </c>
      <c r="AD1" s="256">
        <f t="shared" si="0"/>
        <v>25</v>
      </c>
      <c r="AE1" s="256">
        <f t="shared" si="0"/>
        <v>26</v>
      </c>
      <c r="AF1" s="256">
        <f t="shared" si="0"/>
        <v>27</v>
      </c>
      <c r="AG1" s="256">
        <f t="shared" si="0"/>
        <v>28</v>
      </c>
      <c r="AH1" s="256">
        <f t="shared" si="0"/>
        <v>29</v>
      </c>
      <c r="AI1" s="256">
        <f t="shared" si="0"/>
        <v>30</v>
      </c>
      <c r="AJ1" s="256">
        <f t="shared" si="0"/>
        <v>31</v>
      </c>
      <c r="AK1" s="256">
        <f t="shared" si="0"/>
        <v>32</v>
      </c>
      <c r="AM1" s="198" t="s">
        <v>1216</v>
      </c>
      <c r="AN1" s="198" t="s">
        <v>1228</v>
      </c>
    </row>
    <row r="2" spans="1:40">
      <c r="A2" s="256">
        <f>A1+1</f>
        <v>2023</v>
      </c>
      <c r="B2" s="253" t="s">
        <v>1264</v>
      </c>
      <c r="C2" s="254"/>
      <c r="D2" s="256" t="s">
        <v>1344</v>
      </c>
      <c r="F2" s="204" t="s">
        <v>1</v>
      </c>
      <c r="G2" s="204" t="s">
        <v>2</v>
      </c>
      <c r="H2" s="204" t="s">
        <v>3</v>
      </c>
      <c r="I2" s="204" t="s">
        <v>12</v>
      </c>
      <c r="J2" s="204" t="s">
        <v>4</v>
      </c>
      <c r="K2" s="204" t="s">
        <v>5</v>
      </c>
      <c r="L2" s="204" t="s">
        <v>6</v>
      </c>
      <c r="M2" s="204" t="s">
        <v>7</v>
      </c>
      <c r="N2" s="204" t="s">
        <v>0</v>
      </c>
      <c r="O2" s="204" t="s">
        <v>9</v>
      </c>
      <c r="P2" s="204" t="s">
        <v>27</v>
      </c>
      <c r="Q2" s="204" t="s">
        <v>10</v>
      </c>
      <c r="R2" s="204" t="s">
        <v>11</v>
      </c>
      <c r="S2" s="204" t="s">
        <v>29</v>
      </c>
      <c r="T2" s="204" t="s">
        <v>13</v>
      </c>
      <c r="U2" s="204" t="s">
        <v>14</v>
      </c>
      <c r="V2" s="204" t="s">
        <v>17</v>
      </c>
      <c r="W2" s="204" t="s">
        <v>32</v>
      </c>
      <c r="X2" s="204" t="s">
        <v>15</v>
      </c>
      <c r="Y2" s="204" t="s">
        <v>16</v>
      </c>
      <c r="Z2" s="204" t="s">
        <v>18</v>
      </c>
      <c r="AA2" s="204" t="s">
        <v>19</v>
      </c>
      <c r="AB2" s="204" t="s">
        <v>26</v>
      </c>
      <c r="AC2" s="204" t="s">
        <v>20</v>
      </c>
      <c r="AD2" s="204" t="s">
        <v>21</v>
      </c>
      <c r="AE2" s="204" t="s">
        <v>22</v>
      </c>
      <c r="AF2" s="204" t="s">
        <v>25</v>
      </c>
      <c r="AG2" s="204" t="s">
        <v>24</v>
      </c>
      <c r="AH2" s="204" t="s">
        <v>8</v>
      </c>
      <c r="AI2" s="204" t="s">
        <v>23</v>
      </c>
      <c r="AJ2" s="204" t="s">
        <v>30</v>
      </c>
      <c r="AK2" s="204" t="s">
        <v>28</v>
      </c>
      <c r="AM2" s="198" t="s">
        <v>1219</v>
      </c>
      <c r="AN2" s="198" t="s">
        <v>1229</v>
      </c>
    </row>
    <row r="3" spans="1:40">
      <c r="A3" s="256">
        <f t="shared" ref="A3:A28" si="1">A2+1</f>
        <v>2024</v>
      </c>
      <c r="B3" s="252" t="s">
        <v>1265</v>
      </c>
      <c r="C3" s="255">
        <v>0.25</v>
      </c>
      <c r="D3" s="256" t="s">
        <v>1345</v>
      </c>
      <c r="E3" s="1035">
        <v>1</v>
      </c>
      <c r="F3" s="204" t="str">
        <f>INDEX('DEFAULT DATA'!$DN$9:$DT$41,F$1,$E3)</f>
        <v>Vienna</v>
      </c>
      <c r="G3" s="204" t="str">
        <f>INDEX('DEFAULT DATA'!$DN$9:$DT$41,G$1,$E3)</f>
        <v>Brussels</v>
      </c>
      <c r="H3" s="204" t="str">
        <f>INDEX('DEFAULT DATA'!$DN$9:$DT$41,H$1,$E3)</f>
        <v>Sofia</v>
      </c>
      <c r="I3" s="204" t="str">
        <f>INDEX('DEFAULT DATA'!$DN$9:$DT$41,I$1,$E3)</f>
        <v>no metro</v>
      </c>
      <c r="J3" s="204" t="str">
        <f>INDEX('DEFAULT DATA'!$DN$9:$DT$41,J$1,$E3)</f>
        <v>no metro</v>
      </c>
      <c r="K3" s="204" t="str">
        <f>INDEX('DEFAULT DATA'!$DN$9:$DT$41,K$1,$E3)</f>
        <v>Prague</v>
      </c>
      <c r="L3" s="204" t="str">
        <f>INDEX('DEFAULT DATA'!$DN$9:$DT$41,L$1,$E3)</f>
        <v>Copenhagen</v>
      </c>
      <c r="M3" s="204" t="str">
        <f>INDEX('DEFAULT DATA'!$DN$9:$DT$41,M$1,$E3)</f>
        <v>no metro</v>
      </c>
      <c r="N3" s="204" t="str">
        <f>INDEX('DEFAULT DATA'!$DN$9:$DT$41,N$1,$E3)</f>
        <v>Helsinki</v>
      </c>
      <c r="O3" s="204" t="str">
        <f>INDEX('DEFAULT DATA'!$DN$9:$DT$41,O$1,$E3)</f>
        <v>Lille</v>
      </c>
      <c r="P3" s="204" t="str">
        <f>INDEX('DEFAULT DATA'!$DN$9:$DT$41,P$1,$E3)</f>
        <v>Berlin</v>
      </c>
      <c r="Q3" s="204" t="str">
        <f>INDEX('DEFAULT DATA'!$DN$9:$DT$41,Q$1,$E3)</f>
        <v>Athens</v>
      </c>
      <c r="R3" s="204" t="str">
        <f>INDEX('DEFAULT DATA'!$DN$9:$DT$41,R$1,$E3)</f>
        <v>Budapest</v>
      </c>
      <c r="S3" s="204" t="str">
        <f>INDEX('DEFAULT DATA'!$DN$9:$DT$41,S$1,$E3)</f>
        <v>no metro</v>
      </c>
      <c r="T3" s="204" t="str">
        <f>INDEX('DEFAULT DATA'!$DN$9:$DT$41,T$1,$E3)</f>
        <v>no metro</v>
      </c>
      <c r="U3" s="204" t="str">
        <f>INDEX('DEFAULT DATA'!$DN$9:$DT$41,U$1,$E3)</f>
        <v>Brescia</v>
      </c>
      <c r="V3" s="204" t="str">
        <f>INDEX('DEFAULT DATA'!$DN$9:$DT$41,V$1,$E3)</f>
        <v>no metro</v>
      </c>
      <c r="W3" s="204" t="str">
        <f>INDEX('DEFAULT DATA'!$DN$9:$DT$41,W$1,$E3)</f>
        <v>no metro</v>
      </c>
      <c r="X3" s="204" t="str">
        <f>INDEX('DEFAULT DATA'!$DN$9:$DT$41,X$1,$E3)</f>
        <v>no metro</v>
      </c>
      <c r="Y3" s="204" t="str">
        <f>INDEX('DEFAULT DATA'!$DN$9:$DT$41,Y$1,$E3)</f>
        <v>no metro</v>
      </c>
      <c r="Z3" s="204" t="str">
        <f>INDEX('DEFAULT DATA'!$DN$9:$DT$41,Z$1,$E3)</f>
        <v>no metro</v>
      </c>
      <c r="AA3" s="204" t="str">
        <f>INDEX('DEFAULT DATA'!$DN$9:$DT$41,AA$1,$E3)</f>
        <v>Amsterdam</v>
      </c>
      <c r="AB3" s="204" t="str">
        <f>INDEX('DEFAULT DATA'!$DN$9:$DT$41,AB$1,$E3)</f>
        <v>Oslo</v>
      </c>
      <c r="AC3" s="204" t="str">
        <f>INDEX('DEFAULT DATA'!$DN$9:$DT$41,AC$1,$E3)</f>
        <v>Warsaw</v>
      </c>
      <c r="AD3" s="204" t="str">
        <f>INDEX('DEFAULT DATA'!$DN$9:$DT$41,AD$1,$E3)</f>
        <v>Lisbon</v>
      </c>
      <c r="AE3" s="204" t="str">
        <f>INDEX('DEFAULT DATA'!$DN$9:$DT$41,AE$1,$E3)</f>
        <v>Bucharest</v>
      </c>
      <c r="AF3" s="204" t="str">
        <f>INDEX('DEFAULT DATA'!$DN$9:$DT$41,AF$1,$E3)</f>
        <v>no metro</v>
      </c>
      <c r="AG3" s="204" t="str">
        <f>INDEX('DEFAULT DATA'!$DN$9:$DT$41,AG$1,$E3)</f>
        <v>no metro</v>
      </c>
      <c r="AH3" s="204" t="str">
        <f>INDEX('DEFAULT DATA'!$DN$9:$DT$41,AH$1,$E3)</f>
        <v>Barcelona</v>
      </c>
      <c r="AI3" s="204" t="str">
        <f>INDEX('DEFAULT DATA'!$DN$9:$DT$41,AI$1,$E3)</f>
        <v>Stockholm</v>
      </c>
      <c r="AJ3" s="204" t="str">
        <f>INDEX('DEFAULT DATA'!$DN$9:$DT$41,AJ$1,$E3)</f>
        <v>Lausanne</v>
      </c>
      <c r="AK3" s="204" t="str">
        <f>INDEX('DEFAULT DATA'!$DN$9:$DT$41,AK$1,$E3)</f>
        <v>Glasgow</v>
      </c>
      <c r="AM3" s="198" t="s">
        <v>1218</v>
      </c>
      <c r="AN3" s="198" t="s">
        <v>1230</v>
      </c>
    </row>
    <row r="4" spans="1:40">
      <c r="A4" s="256">
        <f t="shared" si="1"/>
        <v>2025</v>
      </c>
      <c r="B4" s="252" t="s">
        <v>1266</v>
      </c>
      <c r="C4" s="255">
        <v>1</v>
      </c>
      <c r="D4" s="256" t="s">
        <v>1346</v>
      </c>
      <c r="E4" s="1035">
        <v>2</v>
      </c>
      <c r="F4" s="204" t="str">
        <f>INDEX('DEFAULT DATA'!$DN$9:$DT$41,F$1,$E4)</f>
        <v>-</v>
      </c>
      <c r="G4" s="204" t="str">
        <f>INDEX('DEFAULT DATA'!$DN$9:$DT$41,G$1,$E4)</f>
        <v>-</v>
      </c>
      <c r="H4" s="204" t="str">
        <f>INDEX('DEFAULT DATA'!$DN$9:$DT$41,H$1,$E4)</f>
        <v>-</v>
      </c>
      <c r="I4" s="204" t="str">
        <f>INDEX('DEFAULT DATA'!$DN$9:$DT$41,I$1,$E4)</f>
        <v>-</v>
      </c>
      <c r="J4" s="204" t="str">
        <f>INDEX('DEFAULT DATA'!$DN$9:$DT$41,J$1,$E4)</f>
        <v>-</v>
      </c>
      <c r="K4" s="204" t="str">
        <f>INDEX('DEFAULT DATA'!$DN$9:$DT$41,K$1,$E4)</f>
        <v>-</v>
      </c>
      <c r="L4" s="204" t="str">
        <f>INDEX('DEFAULT DATA'!$DN$9:$DT$41,L$1,$E4)</f>
        <v>-</v>
      </c>
      <c r="M4" s="204" t="str">
        <f>INDEX('DEFAULT DATA'!$DN$9:$DT$41,M$1,$E4)</f>
        <v>-</v>
      </c>
      <c r="N4" s="204" t="str">
        <f>INDEX('DEFAULT DATA'!$DN$9:$DT$41,N$1,$E4)</f>
        <v>-</v>
      </c>
      <c r="O4" s="204" t="str">
        <f>INDEX('DEFAULT DATA'!$DN$9:$DT$41,O$1,$E4)</f>
        <v>Lyon</v>
      </c>
      <c r="P4" s="204" t="str">
        <f>INDEX('DEFAULT DATA'!$DN$9:$DT$41,P$1,$E4)</f>
        <v>Hamburg</v>
      </c>
      <c r="Q4" s="204" t="str">
        <f>INDEX('DEFAULT DATA'!$DN$9:$DT$41,Q$1,$E4)</f>
        <v>-</v>
      </c>
      <c r="R4" s="204" t="str">
        <f>INDEX('DEFAULT DATA'!$DN$9:$DT$41,R$1,$E4)</f>
        <v>-</v>
      </c>
      <c r="S4" s="204" t="str">
        <f>INDEX('DEFAULT DATA'!$DN$9:$DT$41,S$1,$E4)</f>
        <v>-</v>
      </c>
      <c r="T4" s="204" t="str">
        <f>INDEX('DEFAULT DATA'!$DN$9:$DT$41,T$1,$E4)</f>
        <v>-</v>
      </c>
      <c r="U4" s="204" t="str">
        <f>INDEX('DEFAULT DATA'!$DN$9:$DT$41,U$1,$E4)</f>
        <v>Catania</v>
      </c>
      <c r="V4" s="204" t="str">
        <f>INDEX('DEFAULT DATA'!$DN$9:$DT$41,V$1,$E4)</f>
        <v>-</v>
      </c>
      <c r="W4" s="204" t="str">
        <f>INDEX('DEFAULT DATA'!$DN$9:$DT$41,W$1,$E4)</f>
        <v>-</v>
      </c>
      <c r="X4" s="204" t="str">
        <f>INDEX('DEFAULT DATA'!$DN$9:$DT$41,X$1,$E4)</f>
        <v>-</v>
      </c>
      <c r="Y4" s="204" t="str">
        <f>INDEX('DEFAULT DATA'!$DN$9:$DT$41,Y$1,$E4)</f>
        <v>-</v>
      </c>
      <c r="Z4" s="204" t="str">
        <f>INDEX('DEFAULT DATA'!$DN$9:$DT$41,Z$1,$E4)</f>
        <v>-</v>
      </c>
      <c r="AA4" s="204" t="str">
        <f>INDEX('DEFAULT DATA'!$DN$9:$DT$41,AA$1,$E4)</f>
        <v>Rotterdam</v>
      </c>
      <c r="AB4" s="204" t="str">
        <f>INDEX('DEFAULT DATA'!$DN$9:$DT$41,AB$1,$E4)</f>
        <v>-</v>
      </c>
      <c r="AC4" s="204" t="str">
        <f>INDEX('DEFAULT DATA'!$DN$9:$DT$41,AC$1,$E4)</f>
        <v>-</v>
      </c>
      <c r="AD4" s="204" t="str">
        <f>INDEX('DEFAULT DATA'!$DN$9:$DT$41,AD$1,$E4)</f>
        <v>-</v>
      </c>
      <c r="AE4" s="204" t="str">
        <f>INDEX('DEFAULT DATA'!$DN$9:$DT$41,AE$1,$E4)</f>
        <v>-</v>
      </c>
      <c r="AF4" s="204" t="str">
        <f>INDEX('DEFAULT DATA'!$DN$9:$DT$41,AF$1,$E4)</f>
        <v>-</v>
      </c>
      <c r="AG4" s="204" t="str">
        <f>INDEX('DEFAULT DATA'!$DN$9:$DT$41,AG$1,$E4)</f>
        <v>-</v>
      </c>
      <c r="AH4" s="204" t="str">
        <f>INDEX('DEFAULT DATA'!$DN$9:$DT$41,AH$1,$E4)</f>
        <v>Bilbao</v>
      </c>
      <c r="AI4" s="204" t="str">
        <f>INDEX('DEFAULT DATA'!$DN$9:$DT$41,AI$1,$E4)</f>
        <v>-</v>
      </c>
      <c r="AJ4" s="204" t="str">
        <f>INDEX('DEFAULT DATA'!$DN$9:$DT$41,AJ$1,$E4)</f>
        <v>-</v>
      </c>
      <c r="AK4" s="204" t="str">
        <f>INDEX('DEFAULT DATA'!$DN$9:$DT$41,AK$1,$E4)</f>
        <v>London Underground</v>
      </c>
      <c r="AM4" s="198" t="s">
        <v>1217</v>
      </c>
      <c r="AN4" s="198" t="s">
        <v>1231</v>
      </c>
    </row>
    <row r="5" spans="1:40">
      <c r="A5" s="256">
        <f t="shared" si="1"/>
        <v>2026</v>
      </c>
      <c r="B5" s="252" t="s">
        <v>1267</v>
      </c>
      <c r="C5" s="255">
        <v>2.5</v>
      </c>
      <c r="D5" s="256" t="s">
        <v>1348</v>
      </c>
      <c r="E5" s="1035">
        <v>3</v>
      </c>
      <c r="F5" s="204" t="str">
        <f>INDEX('DEFAULT DATA'!$DN$9:$DT$41,F$1,$E5)</f>
        <v>-</v>
      </c>
      <c r="G5" s="204" t="str">
        <f>INDEX('DEFAULT DATA'!$DN$9:$DT$41,G$1,$E5)</f>
        <v>-</v>
      </c>
      <c r="H5" s="204" t="str">
        <f>INDEX('DEFAULT DATA'!$DN$9:$DT$41,H$1,$E5)</f>
        <v>-</v>
      </c>
      <c r="I5" s="204" t="str">
        <f>INDEX('DEFAULT DATA'!$DN$9:$DT$41,I$1,$E5)</f>
        <v>-</v>
      </c>
      <c r="J5" s="204" t="str">
        <f>INDEX('DEFAULT DATA'!$DN$9:$DT$41,J$1,$E5)</f>
        <v>-</v>
      </c>
      <c r="K5" s="204" t="str">
        <f>INDEX('DEFAULT DATA'!$DN$9:$DT$41,K$1,$E5)</f>
        <v>-</v>
      </c>
      <c r="L5" s="204" t="str">
        <f>INDEX('DEFAULT DATA'!$DN$9:$DT$41,L$1,$E5)</f>
        <v>-</v>
      </c>
      <c r="M5" s="204" t="str">
        <f>INDEX('DEFAULT DATA'!$DN$9:$DT$41,M$1,$E5)</f>
        <v>-</v>
      </c>
      <c r="N5" s="204" t="str">
        <f>INDEX('DEFAULT DATA'!$DN$9:$DT$41,N$1,$E5)</f>
        <v>-</v>
      </c>
      <c r="O5" s="204" t="str">
        <f>INDEX('DEFAULT DATA'!$DN$9:$DT$41,O$1,$E5)</f>
        <v>Marseille</v>
      </c>
      <c r="P5" s="204" t="str">
        <f>INDEX('DEFAULT DATA'!$DN$9:$DT$41,P$1,$E5)</f>
        <v>Munich</v>
      </c>
      <c r="Q5" s="204" t="str">
        <f>INDEX('DEFAULT DATA'!$DN$9:$DT$41,Q$1,$E5)</f>
        <v>-</v>
      </c>
      <c r="R5" s="204" t="str">
        <f>INDEX('DEFAULT DATA'!$DN$9:$DT$41,R$1,$E5)</f>
        <v>-</v>
      </c>
      <c r="S5" s="204" t="str">
        <f>INDEX('DEFAULT DATA'!$DN$9:$DT$41,S$1,$E5)</f>
        <v>-</v>
      </c>
      <c r="T5" s="204" t="str">
        <f>INDEX('DEFAULT DATA'!$DN$9:$DT$41,T$1,$E5)</f>
        <v>-</v>
      </c>
      <c r="U5" s="204" t="str">
        <f>INDEX('DEFAULT DATA'!$DN$9:$DT$41,U$1,$E5)</f>
        <v>Genoa</v>
      </c>
      <c r="V5" s="204" t="str">
        <f>INDEX('DEFAULT DATA'!$DN$9:$DT$41,V$1,$E5)</f>
        <v>-</v>
      </c>
      <c r="W5" s="204" t="str">
        <f>INDEX('DEFAULT DATA'!$DN$9:$DT$41,W$1,$E5)</f>
        <v>-</v>
      </c>
      <c r="X5" s="204" t="str">
        <f>INDEX('DEFAULT DATA'!$DN$9:$DT$41,X$1,$E5)</f>
        <v>-</v>
      </c>
      <c r="Y5" s="204" t="str">
        <f>INDEX('DEFAULT DATA'!$DN$9:$DT$41,Y$1,$E5)</f>
        <v>-</v>
      </c>
      <c r="Z5" s="204" t="str">
        <f>INDEX('DEFAULT DATA'!$DN$9:$DT$41,Z$1,$E5)</f>
        <v>-</v>
      </c>
      <c r="AA5" s="204" t="str">
        <f>INDEX('DEFAULT DATA'!$DN$9:$DT$41,AA$1,$E5)</f>
        <v>-</v>
      </c>
      <c r="AB5" s="204" t="str">
        <f>INDEX('DEFAULT DATA'!$DN$9:$DT$41,AB$1,$E5)</f>
        <v>-</v>
      </c>
      <c r="AC5" s="204" t="str">
        <f>INDEX('DEFAULT DATA'!$DN$9:$DT$41,AC$1,$E5)</f>
        <v>-</v>
      </c>
      <c r="AD5" s="204" t="str">
        <f>INDEX('DEFAULT DATA'!$DN$9:$DT$41,AD$1,$E5)</f>
        <v>-</v>
      </c>
      <c r="AE5" s="204" t="str">
        <f>INDEX('DEFAULT DATA'!$DN$9:$DT$41,AE$1,$E5)</f>
        <v>-</v>
      </c>
      <c r="AF5" s="204" t="str">
        <f>INDEX('DEFAULT DATA'!$DN$9:$DT$41,AF$1,$E5)</f>
        <v>-</v>
      </c>
      <c r="AG5" s="204" t="str">
        <f>INDEX('DEFAULT DATA'!$DN$9:$DT$41,AG$1,$E5)</f>
        <v>-</v>
      </c>
      <c r="AH5" s="204" t="str">
        <f>INDEX('DEFAULT DATA'!$DN$9:$DT$41,AH$1,$E5)</f>
        <v>Madrid</v>
      </c>
      <c r="AI5" s="204" t="str">
        <f>INDEX('DEFAULT DATA'!$DN$9:$DT$41,AI$1,$E5)</f>
        <v>-</v>
      </c>
      <c r="AJ5" s="204" t="str">
        <f>INDEX('DEFAULT DATA'!$DN$9:$DT$41,AJ$1,$E5)</f>
        <v>-</v>
      </c>
      <c r="AK5" s="204" t="str">
        <f>INDEX('DEFAULT DATA'!$DN$9:$DT$41,AK$1,$E5)</f>
        <v>-</v>
      </c>
      <c r="AM5" s="198"/>
      <c r="AN5" s="198" t="s">
        <v>1232</v>
      </c>
    </row>
    <row r="6" spans="1:40">
      <c r="A6" s="256">
        <f t="shared" si="1"/>
        <v>2027</v>
      </c>
      <c r="B6" s="252" t="s">
        <v>1268</v>
      </c>
      <c r="C6" s="252"/>
      <c r="D6" s="256" t="s">
        <v>1349</v>
      </c>
      <c r="E6" s="1035">
        <v>4</v>
      </c>
      <c r="F6" s="204" t="str">
        <f>INDEX('DEFAULT DATA'!$DN$9:$DT$41,F$1,$E6)</f>
        <v>-</v>
      </c>
      <c r="G6" s="204" t="str">
        <f>INDEX('DEFAULT DATA'!$DN$9:$DT$41,G$1,$E6)</f>
        <v>-</v>
      </c>
      <c r="H6" s="204" t="str">
        <f>INDEX('DEFAULT DATA'!$DN$9:$DT$41,H$1,$E6)</f>
        <v>-</v>
      </c>
      <c r="I6" s="204" t="str">
        <f>INDEX('DEFAULT DATA'!$DN$9:$DT$41,I$1,$E6)</f>
        <v>-</v>
      </c>
      <c r="J6" s="204" t="str">
        <f>INDEX('DEFAULT DATA'!$DN$9:$DT$41,J$1,$E6)</f>
        <v>-</v>
      </c>
      <c r="K6" s="204" t="str">
        <f>INDEX('DEFAULT DATA'!$DN$9:$DT$41,K$1,$E6)</f>
        <v>-</v>
      </c>
      <c r="L6" s="204" t="str">
        <f>INDEX('DEFAULT DATA'!$DN$9:$DT$41,L$1,$E6)</f>
        <v>-</v>
      </c>
      <c r="M6" s="204" t="str">
        <f>INDEX('DEFAULT DATA'!$DN$9:$DT$41,M$1,$E6)</f>
        <v>-</v>
      </c>
      <c r="N6" s="204" t="str">
        <f>INDEX('DEFAULT DATA'!$DN$9:$DT$41,N$1,$E6)</f>
        <v>-</v>
      </c>
      <c r="O6" s="204" t="str">
        <f>INDEX('DEFAULT DATA'!$DN$9:$DT$41,O$1,$E6)</f>
        <v>Paris</v>
      </c>
      <c r="P6" s="204" t="str">
        <f>INDEX('DEFAULT DATA'!$DN$9:$DT$41,P$1,$E6)</f>
        <v>Nuremberg</v>
      </c>
      <c r="Q6" s="204" t="str">
        <f>INDEX('DEFAULT DATA'!$DN$9:$DT$41,Q$1,$E6)</f>
        <v>-</v>
      </c>
      <c r="R6" s="204" t="str">
        <f>INDEX('DEFAULT DATA'!$DN$9:$DT$41,R$1,$E6)</f>
        <v>-</v>
      </c>
      <c r="S6" s="204" t="str">
        <f>INDEX('DEFAULT DATA'!$DN$9:$DT$41,S$1,$E6)</f>
        <v>-</v>
      </c>
      <c r="T6" s="204" t="str">
        <f>INDEX('DEFAULT DATA'!$DN$9:$DT$41,T$1,$E6)</f>
        <v>-</v>
      </c>
      <c r="U6" s="204" t="str">
        <f>INDEX('DEFAULT DATA'!$DN$9:$DT$41,U$1,$E6)</f>
        <v>Milan</v>
      </c>
      <c r="V6" s="204" t="str">
        <f>INDEX('DEFAULT DATA'!$DN$9:$DT$41,V$1,$E6)</f>
        <v>-</v>
      </c>
      <c r="W6" s="204" t="str">
        <f>INDEX('DEFAULT DATA'!$DN$9:$DT$41,W$1,$E6)</f>
        <v>-</v>
      </c>
      <c r="X6" s="204" t="str">
        <f>INDEX('DEFAULT DATA'!$DN$9:$DT$41,X$1,$E6)</f>
        <v>-</v>
      </c>
      <c r="Y6" s="204" t="str">
        <f>INDEX('DEFAULT DATA'!$DN$9:$DT$41,Y$1,$E6)</f>
        <v>-</v>
      </c>
      <c r="Z6" s="204" t="str">
        <f>INDEX('DEFAULT DATA'!$DN$9:$DT$41,Z$1,$E6)</f>
        <v>-</v>
      </c>
      <c r="AA6" s="204" t="str">
        <f>INDEX('DEFAULT DATA'!$DN$9:$DT$41,AA$1,$E6)</f>
        <v>-</v>
      </c>
      <c r="AB6" s="204" t="str">
        <f>INDEX('DEFAULT DATA'!$DN$9:$DT$41,AB$1,$E6)</f>
        <v>-</v>
      </c>
      <c r="AC6" s="204" t="str">
        <f>INDEX('DEFAULT DATA'!$DN$9:$DT$41,AC$1,$E6)</f>
        <v>-</v>
      </c>
      <c r="AD6" s="204" t="str">
        <f>INDEX('DEFAULT DATA'!$DN$9:$DT$41,AD$1,$E6)</f>
        <v>-</v>
      </c>
      <c r="AE6" s="204" t="str">
        <f>INDEX('DEFAULT DATA'!$DN$9:$DT$41,AE$1,$E6)</f>
        <v>-</v>
      </c>
      <c r="AF6" s="204" t="str">
        <f>INDEX('DEFAULT DATA'!$DN$9:$DT$41,AF$1,$E6)</f>
        <v>-</v>
      </c>
      <c r="AG6" s="204" t="str">
        <f>INDEX('DEFAULT DATA'!$DN$9:$DT$41,AG$1,$E6)</f>
        <v>-</v>
      </c>
      <c r="AH6" s="204" t="str">
        <f>INDEX('DEFAULT DATA'!$DN$9:$DT$41,AH$1,$E6)</f>
        <v>-</v>
      </c>
      <c r="AI6" s="204" t="str">
        <f>INDEX('DEFAULT DATA'!$DN$9:$DT$41,AI$1,$E6)</f>
        <v>-</v>
      </c>
      <c r="AJ6" s="204" t="str">
        <f>INDEX('DEFAULT DATA'!$DN$9:$DT$41,AJ$1,$E6)</f>
        <v>-</v>
      </c>
      <c r="AK6" s="204" t="str">
        <f>INDEX('DEFAULT DATA'!$DN$9:$DT$41,AK$1,$E6)</f>
        <v>-</v>
      </c>
      <c r="AM6" s="198"/>
      <c r="AN6" s="198" t="s">
        <v>1233</v>
      </c>
    </row>
    <row r="7" spans="1:40">
      <c r="A7" s="256">
        <f t="shared" si="1"/>
        <v>2028</v>
      </c>
      <c r="B7" s="253" t="s">
        <v>1269</v>
      </c>
      <c r="C7" s="252"/>
      <c r="D7" s="256" t="s">
        <v>1350</v>
      </c>
      <c r="E7" s="1035">
        <v>5</v>
      </c>
      <c r="F7" s="204" t="str">
        <f>INDEX('DEFAULT DATA'!$DN$9:$DT$41,F$1,$E7)</f>
        <v>-</v>
      </c>
      <c r="G7" s="204" t="str">
        <f>INDEX('DEFAULT DATA'!$DN$9:$DT$41,G$1,$E7)</f>
        <v>-</v>
      </c>
      <c r="H7" s="204" t="str">
        <f>INDEX('DEFAULT DATA'!$DN$9:$DT$41,H$1,$E7)</f>
        <v>-</v>
      </c>
      <c r="I7" s="204" t="str">
        <f>INDEX('DEFAULT DATA'!$DN$9:$DT$41,I$1,$E7)</f>
        <v>-</v>
      </c>
      <c r="J7" s="204" t="str">
        <f>INDEX('DEFAULT DATA'!$DN$9:$DT$41,J$1,$E7)</f>
        <v>-</v>
      </c>
      <c r="K7" s="204" t="str">
        <f>INDEX('DEFAULT DATA'!$DN$9:$DT$41,K$1,$E7)</f>
        <v>-</v>
      </c>
      <c r="L7" s="204" t="str">
        <f>INDEX('DEFAULT DATA'!$DN$9:$DT$41,L$1,$E7)</f>
        <v>-</v>
      </c>
      <c r="M7" s="204" t="str">
        <f>INDEX('DEFAULT DATA'!$DN$9:$DT$41,M$1,$E7)</f>
        <v>-</v>
      </c>
      <c r="N7" s="204" t="str">
        <f>INDEX('DEFAULT DATA'!$DN$9:$DT$41,N$1,$E7)</f>
        <v>-</v>
      </c>
      <c r="O7" s="204" t="str">
        <f>INDEX('DEFAULT DATA'!$DN$9:$DT$41,O$1,$E7)</f>
        <v>Rennes</v>
      </c>
      <c r="P7" s="204" t="str">
        <f>INDEX('DEFAULT DATA'!$DN$9:$DT$41,P$1,$E7)</f>
        <v>-</v>
      </c>
      <c r="Q7" s="204" t="str">
        <f>INDEX('DEFAULT DATA'!$DN$9:$DT$41,Q$1,$E7)</f>
        <v>-</v>
      </c>
      <c r="R7" s="204" t="str">
        <f>INDEX('DEFAULT DATA'!$DN$9:$DT$41,R$1,$E7)</f>
        <v>-</v>
      </c>
      <c r="S7" s="204" t="str">
        <f>INDEX('DEFAULT DATA'!$DN$9:$DT$41,S$1,$E7)</f>
        <v>-</v>
      </c>
      <c r="T7" s="204" t="str">
        <f>INDEX('DEFAULT DATA'!$DN$9:$DT$41,T$1,$E7)</f>
        <v>-</v>
      </c>
      <c r="U7" s="204" t="str">
        <f>INDEX('DEFAULT DATA'!$DN$9:$DT$41,U$1,$E7)</f>
        <v>Naples</v>
      </c>
      <c r="V7" s="204" t="str">
        <f>INDEX('DEFAULT DATA'!$DN$9:$DT$41,V$1,$E7)</f>
        <v>-</v>
      </c>
      <c r="W7" s="204" t="str">
        <f>INDEX('DEFAULT DATA'!$DN$9:$DT$41,W$1,$E7)</f>
        <v>-</v>
      </c>
      <c r="X7" s="204" t="str">
        <f>INDEX('DEFAULT DATA'!$DN$9:$DT$41,X$1,$E7)</f>
        <v>-</v>
      </c>
      <c r="Y7" s="204" t="str">
        <f>INDEX('DEFAULT DATA'!$DN$9:$DT$41,Y$1,$E7)</f>
        <v>-</v>
      </c>
      <c r="Z7" s="204" t="str">
        <f>INDEX('DEFAULT DATA'!$DN$9:$DT$41,Z$1,$E7)</f>
        <v>-</v>
      </c>
      <c r="AA7" s="204" t="str">
        <f>INDEX('DEFAULT DATA'!$DN$9:$DT$41,AA$1,$E7)</f>
        <v>-</v>
      </c>
      <c r="AB7" s="204" t="str">
        <f>INDEX('DEFAULT DATA'!$DN$9:$DT$41,AB$1,$E7)</f>
        <v>-</v>
      </c>
      <c r="AC7" s="204" t="str">
        <f>INDEX('DEFAULT DATA'!$DN$9:$DT$41,AC$1,$E7)</f>
        <v>-</v>
      </c>
      <c r="AD7" s="204" t="str">
        <f>INDEX('DEFAULT DATA'!$DN$9:$DT$41,AD$1,$E7)</f>
        <v>-</v>
      </c>
      <c r="AE7" s="204" t="str">
        <f>INDEX('DEFAULT DATA'!$DN$9:$DT$41,AE$1,$E7)</f>
        <v>-</v>
      </c>
      <c r="AF7" s="204" t="str">
        <f>INDEX('DEFAULT DATA'!$DN$9:$DT$41,AF$1,$E7)</f>
        <v>-</v>
      </c>
      <c r="AG7" s="204" t="str">
        <f>INDEX('DEFAULT DATA'!$DN$9:$DT$41,AG$1,$E7)</f>
        <v>-</v>
      </c>
      <c r="AH7" s="204" t="str">
        <f>INDEX('DEFAULT DATA'!$DN$9:$DT$41,AH$1,$E7)</f>
        <v>-</v>
      </c>
      <c r="AI7" s="204" t="str">
        <f>INDEX('DEFAULT DATA'!$DN$9:$DT$41,AI$1,$E7)</f>
        <v>-</v>
      </c>
      <c r="AJ7" s="204" t="str">
        <f>INDEX('DEFAULT DATA'!$DN$9:$DT$41,AJ$1,$E7)</f>
        <v>-</v>
      </c>
      <c r="AK7" s="204" t="str">
        <f>INDEX('DEFAULT DATA'!$DN$9:$DT$41,AK$1,$E7)</f>
        <v>-</v>
      </c>
      <c r="AM7" s="198"/>
      <c r="AN7" s="198" t="s">
        <v>784</v>
      </c>
    </row>
    <row r="8" spans="1:40">
      <c r="A8" s="256">
        <f t="shared" si="1"/>
        <v>2029</v>
      </c>
      <c r="B8" s="252" t="s">
        <v>1270</v>
      </c>
      <c r="C8" s="255">
        <v>0.25</v>
      </c>
      <c r="D8" s="256" t="s">
        <v>1347</v>
      </c>
      <c r="E8" s="1035">
        <v>6</v>
      </c>
      <c r="F8" s="204" t="str">
        <f>INDEX('DEFAULT DATA'!$DN$9:$DT$41,F$1,$E8)</f>
        <v>-</v>
      </c>
      <c r="G8" s="204" t="str">
        <f>INDEX('DEFAULT DATA'!$DN$9:$DT$41,G$1,$E8)</f>
        <v>-</v>
      </c>
      <c r="H8" s="204" t="str">
        <f>INDEX('DEFAULT DATA'!$DN$9:$DT$41,H$1,$E8)</f>
        <v>-</v>
      </c>
      <c r="I8" s="204" t="str">
        <f>INDEX('DEFAULT DATA'!$DN$9:$DT$41,I$1,$E8)</f>
        <v>-</v>
      </c>
      <c r="J8" s="204" t="str">
        <f>INDEX('DEFAULT DATA'!$DN$9:$DT$41,J$1,$E8)</f>
        <v>-</v>
      </c>
      <c r="K8" s="204" t="str">
        <f>INDEX('DEFAULT DATA'!$DN$9:$DT$41,K$1,$E8)</f>
        <v>-</v>
      </c>
      <c r="L8" s="204" t="str">
        <f>INDEX('DEFAULT DATA'!$DN$9:$DT$41,L$1,$E8)</f>
        <v>-</v>
      </c>
      <c r="M8" s="204" t="str">
        <f>INDEX('DEFAULT DATA'!$DN$9:$DT$41,M$1,$E8)</f>
        <v>-</v>
      </c>
      <c r="N8" s="204" t="str">
        <f>INDEX('DEFAULT DATA'!$DN$9:$DT$41,N$1,$E8)</f>
        <v>-</v>
      </c>
      <c r="O8" s="204" t="str">
        <f>INDEX('DEFAULT DATA'!$DN$9:$DT$41,O$1,$E8)</f>
        <v>Toulouse</v>
      </c>
      <c r="P8" s="204" t="str">
        <f>INDEX('DEFAULT DATA'!$DN$9:$DT$41,P$1,$E8)</f>
        <v>-</v>
      </c>
      <c r="Q8" s="204" t="str">
        <f>INDEX('DEFAULT DATA'!$DN$9:$DT$41,Q$1,$E8)</f>
        <v>-</v>
      </c>
      <c r="R8" s="204" t="str">
        <f>INDEX('DEFAULT DATA'!$DN$9:$DT$41,R$1,$E8)</f>
        <v>-</v>
      </c>
      <c r="S8" s="204" t="str">
        <f>INDEX('DEFAULT DATA'!$DN$9:$DT$41,S$1,$E8)</f>
        <v>-</v>
      </c>
      <c r="T8" s="204" t="str">
        <f>INDEX('DEFAULT DATA'!$DN$9:$DT$41,T$1,$E8)</f>
        <v>-</v>
      </c>
      <c r="U8" s="204" t="str">
        <f>INDEX('DEFAULT DATA'!$DN$9:$DT$41,U$1,$E8)</f>
        <v>Rome</v>
      </c>
      <c r="V8" s="204" t="str">
        <f>INDEX('DEFAULT DATA'!$DN$9:$DT$41,V$1,$E8)</f>
        <v>-</v>
      </c>
      <c r="W8" s="204" t="str">
        <f>INDEX('DEFAULT DATA'!$DN$9:$DT$41,W$1,$E8)</f>
        <v>-</v>
      </c>
      <c r="X8" s="204" t="str">
        <f>INDEX('DEFAULT DATA'!$DN$9:$DT$41,X$1,$E8)</f>
        <v>-</v>
      </c>
      <c r="Y8" s="204" t="str">
        <f>INDEX('DEFAULT DATA'!$DN$9:$DT$41,Y$1,$E8)</f>
        <v>-</v>
      </c>
      <c r="Z8" s="204" t="str">
        <f>INDEX('DEFAULT DATA'!$DN$9:$DT$41,Z$1,$E8)</f>
        <v>-</v>
      </c>
      <c r="AA8" s="204" t="str">
        <f>INDEX('DEFAULT DATA'!$DN$9:$DT$41,AA$1,$E8)</f>
        <v>-</v>
      </c>
      <c r="AB8" s="204" t="str">
        <f>INDEX('DEFAULT DATA'!$DN$9:$DT$41,AB$1,$E8)</f>
        <v>-</v>
      </c>
      <c r="AC8" s="204" t="str">
        <f>INDEX('DEFAULT DATA'!$DN$9:$DT$41,AC$1,$E8)</f>
        <v>-</v>
      </c>
      <c r="AD8" s="204" t="str">
        <f>INDEX('DEFAULT DATA'!$DN$9:$DT$41,AD$1,$E8)</f>
        <v>-</v>
      </c>
      <c r="AE8" s="204" t="str">
        <f>INDEX('DEFAULT DATA'!$DN$9:$DT$41,AE$1,$E8)</f>
        <v>-</v>
      </c>
      <c r="AF8" s="204" t="str">
        <f>INDEX('DEFAULT DATA'!$DN$9:$DT$41,AF$1,$E8)</f>
        <v>-</v>
      </c>
      <c r="AG8" s="204" t="str">
        <f>INDEX('DEFAULT DATA'!$DN$9:$DT$41,AG$1,$E8)</f>
        <v>-</v>
      </c>
      <c r="AH8" s="204" t="str">
        <f>INDEX('DEFAULT DATA'!$DN$9:$DT$41,AH$1,$E8)</f>
        <v>-</v>
      </c>
      <c r="AI8" s="204" t="str">
        <f>INDEX('DEFAULT DATA'!$DN$9:$DT$41,AI$1,$E8)</f>
        <v>-</v>
      </c>
      <c r="AJ8" s="204" t="str">
        <f>INDEX('DEFAULT DATA'!$DN$9:$DT$41,AJ$1,$E8)</f>
        <v>-</v>
      </c>
      <c r="AK8" s="204" t="str">
        <f>INDEX('DEFAULT DATA'!$DN$9:$DT$41,AK$1,$E8)</f>
        <v>-</v>
      </c>
    </row>
    <row r="9" spans="1:40">
      <c r="A9" s="256">
        <f t="shared" si="1"/>
        <v>2030</v>
      </c>
      <c r="B9" s="252" t="s">
        <v>1271</v>
      </c>
      <c r="C9" s="255">
        <v>0.5</v>
      </c>
      <c r="E9" s="1035">
        <v>7</v>
      </c>
      <c r="F9" s="204" t="str">
        <f>INDEX('DEFAULT DATA'!$DN$9:$DT$41,F$1,$E9)</f>
        <v>-</v>
      </c>
      <c r="G9" s="204" t="str">
        <f>INDEX('DEFAULT DATA'!$DN$9:$DT$41,G$1,$E9)</f>
        <v>-</v>
      </c>
      <c r="H9" s="204" t="str">
        <f>INDEX('DEFAULT DATA'!$DN$9:$DT$41,H$1,$E9)</f>
        <v>-</v>
      </c>
      <c r="I9" s="204" t="str">
        <f>INDEX('DEFAULT DATA'!$DN$9:$DT$41,I$1,$E9)</f>
        <v>-</v>
      </c>
      <c r="J9" s="204" t="str">
        <f>INDEX('DEFAULT DATA'!$DN$9:$DT$41,J$1,$E9)</f>
        <v>-</v>
      </c>
      <c r="K9" s="204" t="str">
        <f>INDEX('DEFAULT DATA'!$DN$9:$DT$41,K$1,$E9)</f>
        <v>-</v>
      </c>
      <c r="L9" s="204" t="str">
        <f>INDEX('DEFAULT DATA'!$DN$9:$DT$41,L$1,$E9)</f>
        <v>-</v>
      </c>
      <c r="M9" s="204" t="str">
        <f>INDEX('DEFAULT DATA'!$DN$9:$DT$41,M$1,$E9)</f>
        <v>-</v>
      </c>
      <c r="N9" s="204" t="str">
        <f>INDEX('DEFAULT DATA'!$DN$9:$DT$41,N$1,$E9)</f>
        <v>-</v>
      </c>
      <c r="O9" s="204" t="str">
        <f>INDEX('DEFAULT DATA'!$DN$9:$DT$41,O$1,$E9)</f>
        <v>-</v>
      </c>
      <c r="P9" s="204" t="str">
        <f>INDEX('DEFAULT DATA'!$DN$9:$DT$41,P$1,$E9)</f>
        <v>-</v>
      </c>
      <c r="Q9" s="204" t="str">
        <f>INDEX('DEFAULT DATA'!$DN$9:$DT$41,Q$1,$E9)</f>
        <v>-</v>
      </c>
      <c r="R9" s="204" t="str">
        <f>INDEX('DEFAULT DATA'!$DN$9:$DT$41,R$1,$E9)</f>
        <v>-</v>
      </c>
      <c r="S9" s="204" t="str">
        <f>INDEX('DEFAULT DATA'!$DN$9:$DT$41,S$1,$E9)</f>
        <v>-</v>
      </c>
      <c r="T9" s="204" t="str">
        <f>INDEX('DEFAULT DATA'!$DN$9:$DT$41,T$1,$E9)</f>
        <v>-</v>
      </c>
      <c r="U9" s="204" t="str">
        <f>INDEX('DEFAULT DATA'!$DN$9:$DT$41,U$1,$E9)</f>
        <v>Turin</v>
      </c>
      <c r="V9" s="204" t="str">
        <f>INDEX('DEFAULT DATA'!$DN$9:$DT$41,V$1,$E9)</f>
        <v>-</v>
      </c>
      <c r="W9" s="204" t="str">
        <f>INDEX('DEFAULT DATA'!$DN$9:$DT$41,W$1,$E9)</f>
        <v>-</v>
      </c>
      <c r="X9" s="204" t="str">
        <f>INDEX('DEFAULT DATA'!$DN$9:$DT$41,X$1,$E9)</f>
        <v>-</v>
      </c>
      <c r="Y9" s="204" t="str">
        <f>INDEX('DEFAULT DATA'!$DN$9:$DT$41,Y$1,$E9)</f>
        <v>-</v>
      </c>
      <c r="Z9" s="204" t="str">
        <f>INDEX('DEFAULT DATA'!$DN$9:$DT$41,Z$1,$E9)</f>
        <v>-</v>
      </c>
      <c r="AA9" s="204" t="str">
        <f>INDEX('DEFAULT DATA'!$DN$9:$DT$41,AA$1,$E9)</f>
        <v>-</v>
      </c>
      <c r="AB9" s="204" t="str">
        <f>INDEX('DEFAULT DATA'!$DN$9:$DT$41,AB$1,$E9)</f>
        <v>-</v>
      </c>
      <c r="AC9" s="204" t="str">
        <f>INDEX('DEFAULT DATA'!$DN$9:$DT$41,AC$1,$E9)</f>
        <v>-</v>
      </c>
      <c r="AD9" s="204" t="str">
        <f>INDEX('DEFAULT DATA'!$DN$9:$DT$41,AD$1,$E9)</f>
        <v>-</v>
      </c>
      <c r="AE9" s="204" t="str">
        <f>INDEX('DEFAULT DATA'!$DN$9:$DT$41,AE$1,$E9)</f>
        <v>-</v>
      </c>
      <c r="AF9" s="204" t="str">
        <f>INDEX('DEFAULT DATA'!$DN$9:$DT$41,AF$1,$E9)</f>
        <v>-</v>
      </c>
      <c r="AG9" s="204" t="str">
        <f>INDEX('DEFAULT DATA'!$DN$9:$DT$41,AG$1,$E9)</f>
        <v>-</v>
      </c>
      <c r="AH9" s="204" t="str">
        <f>INDEX('DEFAULT DATA'!$DN$9:$DT$41,AH$1,$E9)</f>
        <v>-</v>
      </c>
      <c r="AI9" s="204" t="str">
        <f>INDEX('DEFAULT DATA'!$DN$9:$DT$41,AI$1,$E9)</f>
        <v>-</v>
      </c>
      <c r="AJ9" s="204" t="str">
        <f>INDEX('DEFAULT DATA'!$DN$9:$DT$41,AJ$1,$E9)</f>
        <v>-</v>
      </c>
      <c r="AK9" s="204" t="str">
        <f>INDEX('DEFAULT DATA'!$DN$9:$DT$41,AK$1,$E9)</f>
        <v>-</v>
      </c>
    </row>
    <row r="10" spans="1:40">
      <c r="A10" s="256">
        <f t="shared" si="1"/>
        <v>2031</v>
      </c>
      <c r="B10" s="252" t="s">
        <v>1266</v>
      </c>
      <c r="C10" s="255">
        <v>1</v>
      </c>
      <c r="F10" s="205"/>
      <c r="G10" s="205"/>
      <c r="H10" s="206"/>
      <c r="I10" s="206"/>
      <c r="J10" s="206"/>
      <c r="K10" s="206"/>
      <c r="L10" s="206"/>
      <c r="M10" s="206"/>
      <c r="N10" s="206"/>
      <c r="O10" s="205"/>
      <c r="P10" s="206"/>
      <c r="Q10" s="206"/>
      <c r="R10" s="206"/>
      <c r="S10" s="206"/>
      <c r="T10" s="206"/>
      <c r="U10" s="205"/>
      <c r="V10" s="206"/>
      <c r="W10" s="206"/>
      <c r="X10" s="206"/>
      <c r="Y10" s="206"/>
      <c r="Z10" s="206"/>
      <c r="AA10" s="206"/>
      <c r="AB10" s="206"/>
      <c r="AC10" s="206"/>
      <c r="AD10" s="206"/>
      <c r="AE10" s="206"/>
      <c r="AF10" s="206"/>
      <c r="AG10" s="206"/>
      <c r="AH10" s="206"/>
      <c r="AI10" s="206"/>
      <c r="AJ10" s="206"/>
      <c r="AK10" s="206"/>
    </row>
    <row r="11" spans="1:40">
      <c r="A11" s="256">
        <f t="shared" si="1"/>
        <v>2032</v>
      </c>
      <c r="B11" s="252" t="s">
        <v>1272</v>
      </c>
      <c r="C11" s="255">
        <v>2</v>
      </c>
      <c r="F11" s="256">
        <v>1</v>
      </c>
      <c r="G11" s="256">
        <f>F11+1</f>
        <v>2</v>
      </c>
      <c r="H11" s="256">
        <f t="shared" ref="H11:AK11" si="2">G11+1</f>
        <v>3</v>
      </c>
      <c r="I11" s="256">
        <f t="shared" si="2"/>
        <v>4</v>
      </c>
      <c r="J11" s="256">
        <f t="shared" si="2"/>
        <v>5</v>
      </c>
      <c r="K11" s="256">
        <f t="shared" si="2"/>
        <v>6</v>
      </c>
      <c r="L11" s="256">
        <f t="shared" si="2"/>
        <v>7</v>
      </c>
      <c r="M11" s="256">
        <f t="shared" si="2"/>
        <v>8</v>
      </c>
      <c r="N11" s="256">
        <f t="shared" si="2"/>
        <v>9</v>
      </c>
      <c r="O11" s="256">
        <f t="shared" si="2"/>
        <v>10</v>
      </c>
      <c r="P11" s="256">
        <f t="shared" si="2"/>
        <v>11</v>
      </c>
      <c r="Q11" s="256">
        <f t="shared" si="2"/>
        <v>12</v>
      </c>
      <c r="R11" s="256">
        <f t="shared" si="2"/>
        <v>13</v>
      </c>
      <c r="S11" s="256">
        <f t="shared" si="2"/>
        <v>14</v>
      </c>
      <c r="T11" s="256">
        <f t="shared" si="2"/>
        <v>15</v>
      </c>
      <c r="U11" s="256">
        <f t="shared" si="2"/>
        <v>16</v>
      </c>
      <c r="V11" s="256">
        <f t="shared" si="2"/>
        <v>17</v>
      </c>
      <c r="W11" s="256">
        <f t="shared" si="2"/>
        <v>18</v>
      </c>
      <c r="X11" s="256">
        <f t="shared" si="2"/>
        <v>19</v>
      </c>
      <c r="Y11" s="256">
        <f t="shared" si="2"/>
        <v>20</v>
      </c>
      <c r="Z11" s="256">
        <f t="shared" si="2"/>
        <v>21</v>
      </c>
      <c r="AA11" s="256">
        <f t="shared" si="2"/>
        <v>22</v>
      </c>
      <c r="AB11" s="256">
        <f t="shared" si="2"/>
        <v>23</v>
      </c>
      <c r="AC11" s="256">
        <f t="shared" si="2"/>
        <v>24</v>
      </c>
      <c r="AD11" s="256">
        <f t="shared" si="2"/>
        <v>25</v>
      </c>
      <c r="AE11" s="256">
        <f t="shared" si="2"/>
        <v>26</v>
      </c>
      <c r="AF11" s="256">
        <f t="shared" si="2"/>
        <v>27</v>
      </c>
      <c r="AG11" s="256">
        <f t="shared" si="2"/>
        <v>28</v>
      </c>
      <c r="AH11" s="256">
        <f t="shared" si="2"/>
        <v>29</v>
      </c>
      <c r="AI11" s="256">
        <f t="shared" si="2"/>
        <v>30</v>
      </c>
      <c r="AJ11" s="256">
        <f t="shared" si="2"/>
        <v>31</v>
      </c>
      <c r="AK11" s="256">
        <f t="shared" si="2"/>
        <v>32</v>
      </c>
    </row>
    <row r="12" spans="1:40">
      <c r="A12" s="256">
        <f t="shared" si="1"/>
        <v>2033</v>
      </c>
      <c r="B12" s="252" t="s">
        <v>1273</v>
      </c>
      <c r="C12" s="255"/>
      <c r="F12" s="204" t="s">
        <v>1</v>
      </c>
      <c r="G12" s="204" t="s">
        <v>2</v>
      </c>
      <c r="H12" s="204" t="s">
        <v>3</v>
      </c>
      <c r="I12" s="204" t="s">
        <v>12</v>
      </c>
      <c r="J12" s="204" t="s">
        <v>4</v>
      </c>
      <c r="K12" s="204" t="s">
        <v>5</v>
      </c>
      <c r="L12" s="204" t="s">
        <v>6</v>
      </c>
      <c r="M12" s="204" t="s">
        <v>7</v>
      </c>
      <c r="N12" s="204" t="s">
        <v>0</v>
      </c>
      <c r="O12" s="204" t="s">
        <v>9</v>
      </c>
      <c r="P12" s="204" t="s">
        <v>27</v>
      </c>
      <c r="Q12" s="207" t="s">
        <v>10</v>
      </c>
      <c r="R12" s="204" t="s">
        <v>11</v>
      </c>
      <c r="S12" s="204" t="s">
        <v>29</v>
      </c>
      <c r="T12" s="204" t="s">
        <v>13</v>
      </c>
      <c r="U12" s="204" t="s">
        <v>14</v>
      </c>
      <c r="V12" s="204" t="s">
        <v>17</v>
      </c>
      <c r="W12" s="204" t="s">
        <v>32</v>
      </c>
      <c r="X12" s="204" t="s">
        <v>15</v>
      </c>
      <c r="Y12" s="204" t="s">
        <v>16</v>
      </c>
      <c r="Z12" s="204" t="s">
        <v>18</v>
      </c>
      <c r="AA12" s="204" t="s">
        <v>19</v>
      </c>
      <c r="AB12" s="204" t="s">
        <v>26</v>
      </c>
      <c r="AC12" s="204" t="s">
        <v>20</v>
      </c>
      <c r="AD12" s="204" t="s">
        <v>21</v>
      </c>
      <c r="AE12" s="204" t="s">
        <v>22</v>
      </c>
      <c r="AF12" s="204" t="s">
        <v>25</v>
      </c>
      <c r="AG12" s="204" t="s">
        <v>24</v>
      </c>
      <c r="AH12" s="204" t="s">
        <v>8</v>
      </c>
      <c r="AI12" s="204" t="s">
        <v>23</v>
      </c>
      <c r="AJ12" s="204" t="s">
        <v>30</v>
      </c>
      <c r="AK12" s="204" t="s">
        <v>28</v>
      </c>
    </row>
    <row r="13" spans="1:40">
      <c r="A13" s="256">
        <f t="shared" si="1"/>
        <v>2034</v>
      </c>
      <c r="B13" s="253" t="s">
        <v>1274</v>
      </c>
      <c r="C13" s="252"/>
      <c r="E13" s="1035">
        <v>1</v>
      </c>
      <c r="F13" s="207">
        <f>INDEX('DEFAULT DATA'!$DU$9:$EA$41,F$11,$E13)</f>
        <v>3595.9771470241367</v>
      </c>
      <c r="G13" s="207">
        <f>INDEX('DEFAULT DATA'!$DU$9:$EA$41,G$11,$E13)</f>
        <v>698.21836923315277</v>
      </c>
      <c r="H13" s="207">
        <f>INDEX('DEFAULT DATA'!$DU$9:$EA$41,H$11,$E13)</f>
        <v>542.5</v>
      </c>
      <c r="I13" s="207">
        <f>INDEX('DEFAULT DATA'!$DU$9:$EA$41,I$11,$E13)</f>
        <v>0</v>
      </c>
      <c r="J13" s="207">
        <f>INDEX('DEFAULT DATA'!$DU$9:$EA$41,J$11,$E13)</f>
        <v>0</v>
      </c>
      <c r="K13" s="207">
        <f>INDEX('DEFAULT DATA'!$DU$9:$EA$41,K$11,$E13)</f>
        <v>5367.4</v>
      </c>
      <c r="L13" s="207">
        <f>INDEX('DEFAULT DATA'!$DU$9:$EA$41,L$11,$E13)</f>
        <v>176</v>
      </c>
      <c r="M13" s="207">
        <f>INDEX('DEFAULT DATA'!$DU$9:$EA$41,M$11,$E13)</f>
        <v>0</v>
      </c>
      <c r="N13" s="207">
        <f>INDEX('DEFAULT DATA'!$DU$9:$EA$41,N$11,$E13)</f>
        <v>327.36064891846928</v>
      </c>
      <c r="O13" s="207">
        <f>INDEX('DEFAULT DATA'!$DU$9:$EA$41,O$11,$E13)</f>
        <v>599.12359428473121</v>
      </c>
      <c r="P13" s="207">
        <f>INDEX('DEFAULT DATA'!$DU$9:$EA$41,P$11,$E13)</f>
        <v>3569.1233646032856</v>
      </c>
      <c r="Q13" s="207">
        <f>INDEX('DEFAULT DATA'!$DU$9:$EA$41,Q$11,$E13)</f>
        <v>844.27409026493683</v>
      </c>
      <c r="R13" s="207">
        <f>INDEX('DEFAULT DATA'!$DU$9:$EA$41,R$11,$E13)</f>
        <v>1353.85</v>
      </c>
      <c r="S13" s="207">
        <f>INDEX('DEFAULT DATA'!$DU$9:$EA$41,S$11,$E13)</f>
        <v>0</v>
      </c>
      <c r="T13" s="207">
        <f>INDEX('DEFAULT DATA'!$DU$9:$EA$41,T$11,$E13)</f>
        <v>0</v>
      </c>
      <c r="U13" s="207">
        <f>INDEX('DEFAULT DATA'!$DU$9:$EA$41,U$11,$E13)</f>
        <v>144.57072932062391</v>
      </c>
      <c r="V13" s="207">
        <f>INDEX('DEFAULT DATA'!$DU$9:$EA$41,V$11,$E13)</f>
        <v>0</v>
      </c>
      <c r="W13" s="207">
        <f>INDEX('DEFAULT DATA'!$DU$9:$EA$41,W$11,$E13)</f>
        <v>0</v>
      </c>
      <c r="X13" s="207">
        <f>INDEX('DEFAULT DATA'!$DU$9:$EA$41,X$11,$E13)</f>
        <v>0</v>
      </c>
      <c r="Y13" s="207">
        <f>INDEX('DEFAULT DATA'!$DU$9:$EA$41,Y$11,$E13)</f>
        <v>0</v>
      </c>
      <c r="Z13" s="207">
        <f>INDEX('DEFAULT DATA'!$DU$9:$EA$41,Z$11,$E13)</f>
        <v>0</v>
      </c>
      <c r="AA13" s="207">
        <f>INDEX('DEFAULT DATA'!$DU$9:$EA$41,AA$11,$E13)</f>
        <v>213.35139051807917</v>
      </c>
      <c r="AB13" s="207">
        <f>INDEX('DEFAULT DATA'!$DU$9:$EA$41,AB$11,$E13)</f>
        <v>498</v>
      </c>
      <c r="AC13" s="207">
        <f>INDEX('DEFAULT DATA'!$DU$9:$EA$41,AC$11,$E13)</f>
        <v>2176.1373675649024</v>
      </c>
      <c r="AD13" s="207">
        <f>INDEX('DEFAULT DATA'!$DU$9:$EA$41,AD$11,$E13)</f>
        <v>588</v>
      </c>
      <c r="AE13" s="207">
        <f>INDEX('DEFAULT DATA'!$DU$9:$EA$41,AE$11,$E13)</f>
        <v>4352.421788839999</v>
      </c>
      <c r="AF13" s="207">
        <f>INDEX('DEFAULT DATA'!$DU$9:$EA$41,AF$11,$E13)</f>
        <v>0</v>
      </c>
      <c r="AG13" s="207">
        <f>INDEX('DEFAULT DATA'!$DU$9:$EA$41,AG$11,$E13)</f>
        <v>0</v>
      </c>
      <c r="AH13" s="207">
        <f>INDEX('DEFAULT DATA'!$DU$9:$EA$41,AH$11,$E13)</f>
        <v>1306.7162288072805</v>
      </c>
      <c r="AI13" s="207">
        <f>INDEX('DEFAULT DATA'!$DU$9:$EA$41,AI$11,$E13)</f>
        <v>1368.5</v>
      </c>
      <c r="AJ13" s="207">
        <f>INDEX('DEFAULT DATA'!$DU$9:$EA$41,AJ$11,$E13)</f>
        <v>587.5</v>
      </c>
      <c r="AK13" s="207">
        <f>INDEX('DEFAULT DATA'!$DU$9:$EA$41,AK$11,$E13)</f>
        <v>38.52849315068493</v>
      </c>
    </row>
    <row r="14" spans="1:40">
      <c r="A14" s="256">
        <f t="shared" si="1"/>
        <v>2035</v>
      </c>
      <c r="B14" s="252" t="s">
        <v>1275</v>
      </c>
      <c r="C14" s="255">
        <v>0</v>
      </c>
      <c r="E14" s="1035">
        <v>2</v>
      </c>
      <c r="F14" s="207">
        <f>INDEX('DEFAULT DATA'!$DU$9:$EA$41,F$11,$E14)</f>
        <v>0</v>
      </c>
      <c r="G14" s="207">
        <f>INDEX('DEFAULT DATA'!$DU$9:$EA$41,G$11,$E14)</f>
        <v>0</v>
      </c>
      <c r="H14" s="207">
        <f>INDEX('DEFAULT DATA'!$DU$9:$EA$41,H$11,$E14)</f>
        <v>0</v>
      </c>
      <c r="I14" s="207">
        <f>INDEX('DEFAULT DATA'!$DU$9:$EA$41,I$11,$E14)</f>
        <v>0</v>
      </c>
      <c r="J14" s="207">
        <f>INDEX('DEFAULT DATA'!$DU$9:$EA$41,J$11,$E14)</f>
        <v>0</v>
      </c>
      <c r="K14" s="207">
        <f>INDEX('DEFAULT DATA'!$DU$9:$EA$41,K$11,$E14)</f>
        <v>0</v>
      </c>
      <c r="L14" s="207">
        <f>INDEX('DEFAULT DATA'!$DU$9:$EA$41,L$11,$E14)</f>
        <v>0</v>
      </c>
      <c r="M14" s="207">
        <f>INDEX('DEFAULT DATA'!$DU$9:$EA$41,M$11,$E14)</f>
        <v>0</v>
      </c>
      <c r="N14" s="207">
        <f>INDEX('DEFAULT DATA'!$DU$9:$EA$41,N$11,$E14)</f>
        <v>0</v>
      </c>
      <c r="O14" s="207">
        <f>INDEX('DEFAULT DATA'!$DU$9:$EA$41,O$11,$E14)</f>
        <v>687.01418028951286</v>
      </c>
      <c r="P14" s="207">
        <f>INDEX('DEFAULT DATA'!$DU$9:$EA$41,P$11,$E14)</f>
        <v>1993.8119039825283</v>
      </c>
      <c r="Q14" s="207">
        <f>INDEX('DEFAULT DATA'!$DU$9:$EA$41,Q$11,$E14)</f>
        <v>0</v>
      </c>
      <c r="R14" s="207">
        <f>INDEX('DEFAULT DATA'!$DU$9:$EA$41,R$11,$E14)</f>
        <v>0</v>
      </c>
      <c r="S14" s="207">
        <f>INDEX('DEFAULT DATA'!$DU$9:$EA$41,S$11,$E14)</f>
        <v>0</v>
      </c>
      <c r="T14" s="207">
        <f>INDEX('DEFAULT DATA'!$DU$9:$EA$41,T$11,$E14)</f>
        <v>0</v>
      </c>
      <c r="U14" s="207">
        <f>INDEX('DEFAULT DATA'!$DU$9:$EA$41,U$11,$E14)</f>
        <v>80.021714619943978</v>
      </c>
      <c r="V14" s="207">
        <f>INDEX('DEFAULT DATA'!$DU$9:$EA$41,V$11,$E14)</f>
        <v>0</v>
      </c>
      <c r="W14" s="207">
        <f>INDEX('DEFAULT DATA'!$DU$9:$EA$41,W$11,$E14)</f>
        <v>0</v>
      </c>
      <c r="X14" s="207">
        <f>INDEX('DEFAULT DATA'!$DU$9:$EA$41,X$11,$E14)</f>
        <v>0</v>
      </c>
      <c r="Y14" s="207">
        <f>INDEX('DEFAULT DATA'!$DU$9:$EA$41,Y$11,$E14)</f>
        <v>0</v>
      </c>
      <c r="Z14" s="207">
        <f>INDEX('DEFAULT DATA'!$DU$9:$EA$41,Z$11,$E14)</f>
        <v>0</v>
      </c>
      <c r="AA14" s="207">
        <f>INDEX('DEFAULT DATA'!$DU$9:$EA$41,AA$11,$E14)</f>
        <v>307.1486094819208</v>
      </c>
      <c r="AB14" s="207">
        <f>INDEX('DEFAULT DATA'!$DU$9:$EA$41,AB$11,$E14)</f>
        <v>0</v>
      </c>
      <c r="AC14" s="207">
        <f>INDEX('DEFAULT DATA'!$DU$9:$EA$41,AC$11,$E14)</f>
        <v>0</v>
      </c>
      <c r="AD14" s="207">
        <f>INDEX('DEFAULT DATA'!$DU$9:$EA$41,AD$11,$E14)</f>
        <v>0</v>
      </c>
      <c r="AE14" s="207">
        <f>INDEX('DEFAULT DATA'!$DU$9:$EA$41,AE$11,$E14)</f>
        <v>0</v>
      </c>
      <c r="AF14" s="207">
        <f>INDEX('DEFAULT DATA'!$DU$9:$EA$41,AF$11,$E14)</f>
        <v>0</v>
      </c>
      <c r="AG14" s="207">
        <f>INDEX('DEFAULT DATA'!$DU$9:$EA$41,AG$11,$E14)</f>
        <v>0</v>
      </c>
      <c r="AH14" s="207">
        <f>INDEX('DEFAULT DATA'!$DU$9:$EA$41,AH$11,$E14)</f>
        <v>519.05714372327691</v>
      </c>
      <c r="AI14" s="207">
        <f>INDEX('DEFAULT DATA'!$DU$9:$EA$41,AI$11,$E14)</f>
        <v>0</v>
      </c>
      <c r="AJ14" s="207">
        <f>INDEX('DEFAULT DATA'!$DU$9:$EA$41,AJ$11,$E14)</f>
        <v>0</v>
      </c>
      <c r="AK14" s="207">
        <f>INDEX('DEFAULT DATA'!$DU$9:$EA$41,AK$11,$E14)</f>
        <v>6992.921506849314</v>
      </c>
    </row>
    <row r="15" spans="1:40">
      <c r="A15" s="256">
        <f t="shared" si="1"/>
        <v>2036</v>
      </c>
      <c r="B15" s="252" t="s">
        <v>1271</v>
      </c>
      <c r="C15" s="255">
        <v>0.25</v>
      </c>
      <c r="E15" s="1035">
        <v>3</v>
      </c>
      <c r="F15" s="207">
        <f>INDEX('DEFAULT DATA'!$DU$9:$EA$41,F$11,$E15)</f>
        <v>0</v>
      </c>
      <c r="G15" s="207">
        <f>INDEX('DEFAULT DATA'!$DU$9:$EA$41,G$11,$E15)</f>
        <v>0</v>
      </c>
      <c r="H15" s="207">
        <f>INDEX('DEFAULT DATA'!$DU$9:$EA$41,H$11,$E15)</f>
        <v>0</v>
      </c>
      <c r="I15" s="207">
        <f>INDEX('DEFAULT DATA'!$DU$9:$EA$41,I$11,$E15)</f>
        <v>0</v>
      </c>
      <c r="J15" s="207">
        <f>INDEX('DEFAULT DATA'!$DU$9:$EA$41,J$11,$E15)</f>
        <v>0</v>
      </c>
      <c r="K15" s="207">
        <f>INDEX('DEFAULT DATA'!$DU$9:$EA$41,K$11,$E15)</f>
        <v>0</v>
      </c>
      <c r="L15" s="207">
        <f>INDEX('DEFAULT DATA'!$DU$9:$EA$41,L$11,$E15)</f>
        <v>0</v>
      </c>
      <c r="M15" s="207">
        <f>INDEX('DEFAULT DATA'!$DU$9:$EA$41,M$11,$E15)</f>
        <v>0</v>
      </c>
      <c r="N15" s="207">
        <f>INDEX('DEFAULT DATA'!$DU$9:$EA$41,N$11,$E15)</f>
        <v>0</v>
      </c>
      <c r="O15" s="207">
        <f>INDEX('DEFAULT DATA'!$DU$9:$EA$41,O$11,$E15)</f>
        <v>323.9910154637542</v>
      </c>
      <c r="P15" s="207">
        <f>INDEX('DEFAULT DATA'!$DU$9:$EA$41,P$11,$E15)</f>
        <v>2439.5272931957988</v>
      </c>
      <c r="Q15" s="207">
        <f>INDEX('DEFAULT DATA'!$DU$9:$EA$41,Q$11,$E15)</f>
        <v>0</v>
      </c>
      <c r="R15" s="207">
        <f>INDEX('DEFAULT DATA'!$DU$9:$EA$41,R$11,$E15)</f>
        <v>0</v>
      </c>
      <c r="S15" s="207">
        <f>INDEX('DEFAULT DATA'!$DU$9:$EA$41,S$11,$E15)</f>
        <v>0</v>
      </c>
      <c r="T15" s="207">
        <f>INDEX('DEFAULT DATA'!$DU$9:$EA$41,T$11,$E15)</f>
        <v>0</v>
      </c>
      <c r="U15" s="207">
        <f>INDEX('DEFAULT DATA'!$DU$9:$EA$41,U$11,$E15)</f>
        <v>86.51835265463005</v>
      </c>
      <c r="V15" s="207">
        <f>INDEX('DEFAULT DATA'!$DU$9:$EA$41,V$11,$E15)</f>
        <v>0</v>
      </c>
      <c r="W15" s="207">
        <f>INDEX('DEFAULT DATA'!$DU$9:$EA$41,W$11,$E15)</f>
        <v>0</v>
      </c>
      <c r="X15" s="207">
        <f>INDEX('DEFAULT DATA'!$DU$9:$EA$41,X$11,$E15)</f>
        <v>0</v>
      </c>
      <c r="Y15" s="207">
        <f>INDEX('DEFAULT DATA'!$DU$9:$EA$41,Y$11,$E15)</f>
        <v>0</v>
      </c>
      <c r="Z15" s="207">
        <f>INDEX('DEFAULT DATA'!$DU$9:$EA$41,Z$11,$E15)</f>
        <v>0</v>
      </c>
      <c r="AA15" s="207">
        <f>INDEX('DEFAULT DATA'!$DU$9:$EA$41,AA$11,$E15)</f>
        <v>0</v>
      </c>
      <c r="AB15" s="207">
        <f>INDEX('DEFAULT DATA'!$DU$9:$EA$41,AB$11,$E15)</f>
        <v>0</v>
      </c>
      <c r="AC15" s="207">
        <f>INDEX('DEFAULT DATA'!$DU$9:$EA$41,AC$11,$E15)</f>
        <v>0</v>
      </c>
      <c r="AD15" s="207">
        <f>INDEX('DEFAULT DATA'!$DU$9:$EA$41,AD$11,$E15)</f>
        <v>0</v>
      </c>
      <c r="AE15" s="207">
        <f>INDEX('DEFAULT DATA'!$DU$9:$EA$41,AE$11,$E15)</f>
        <v>0</v>
      </c>
      <c r="AF15" s="207">
        <f>INDEX('DEFAULT DATA'!$DU$9:$EA$41,AF$11,$E15)</f>
        <v>0</v>
      </c>
      <c r="AG15" s="207">
        <f>INDEX('DEFAULT DATA'!$DU$9:$EA$41,AG$11,$E15)</f>
        <v>0</v>
      </c>
      <c r="AH15" s="207">
        <f>INDEX('DEFAULT DATA'!$DU$9:$EA$41,AH$11,$E15)</f>
        <v>2538.7266274694425</v>
      </c>
      <c r="AI15" s="207">
        <f>INDEX('DEFAULT DATA'!$DU$9:$EA$41,AI$11,$E15)</f>
        <v>0</v>
      </c>
      <c r="AJ15" s="207">
        <f>INDEX('DEFAULT DATA'!$DU$9:$EA$41,AJ$11,$E15)</f>
        <v>0</v>
      </c>
      <c r="AK15" s="207">
        <f>INDEX('DEFAULT DATA'!$DU$9:$EA$41,AK$11,$E15)</f>
        <v>0</v>
      </c>
    </row>
    <row r="16" spans="1:40">
      <c r="A16" s="256">
        <f t="shared" si="1"/>
        <v>2037</v>
      </c>
      <c r="B16" s="252" t="s">
        <v>1266</v>
      </c>
      <c r="C16" s="255">
        <v>1</v>
      </c>
      <c r="E16" s="1035">
        <v>4</v>
      </c>
      <c r="F16" s="207">
        <f>INDEX('DEFAULT DATA'!$DU$9:$EA$41,F$11,$E16)</f>
        <v>0</v>
      </c>
      <c r="G16" s="207">
        <f>INDEX('DEFAULT DATA'!$DU$9:$EA$41,G$11,$E16)</f>
        <v>0</v>
      </c>
      <c r="H16" s="207">
        <f>INDEX('DEFAULT DATA'!$DU$9:$EA$41,H$11,$E16)</f>
        <v>0</v>
      </c>
      <c r="I16" s="207">
        <f>INDEX('DEFAULT DATA'!$DU$9:$EA$41,I$11,$E16)</f>
        <v>0</v>
      </c>
      <c r="J16" s="207">
        <f>INDEX('DEFAULT DATA'!$DU$9:$EA$41,J$11,$E16)</f>
        <v>0</v>
      </c>
      <c r="K16" s="207">
        <f>INDEX('DEFAULT DATA'!$DU$9:$EA$41,K$11,$E16)</f>
        <v>0</v>
      </c>
      <c r="L16" s="207">
        <f>INDEX('DEFAULT DATA'!$DU$9:$EA$41,L$11,$E16)</f>
        <v>0</v>
      </c>
      <c r="M16" s="207">
        <f>INDEX('DEFAULT DATA'!$DU$9:$EA$41,M$11,$E16)</f>
        <v>0</v>
      </c>
      <c r="N16" s="207">
        <f>INDEX('DEFAULT DATA'!$DU$9:$EA$41,N$11,$E16)</f>
        <v>0</v>
      </c>
      <c r="O16" s="207">
        <f>INDEX('DEFAULT DATA'!$DU$9:$EA$41,O$11,$E16)</f>
        <v>3190.1049666385361</v>
      </c>
      <c r="P16" s="207">
        <f>INDEX('DEFAULT DATA'!$DU$9:$EA$41,P$11,$E16)</f>
        <v>797.53743821838771</v>
      </c>
      <c r="Q16" s="207">
        <f>INDEX('DEFAULT DATA'!$DU$9:$EA$41,Q$11,$E16)</f>
        <v>0</v>
      </c>
      <c r="R16" s="207">
        <f>INDEX('DEFAULT DATA'!$DU$9:$EA$41,R$11,$E16)</f>
        <v>0</v>
      </c>
      <c r="S16" s="207">
        <f>INDEX('DEFAULT DATA'!$DU$9:$EA$41,S$11,$E16)</f>
        <v>0</v>
      </c>
      <c r="T16" s="207">
        <f>INDEX('DEFAULT DATA'!$DU$9:$EA$41,T$11,$E16)</f>
        <v>0</v>
      </c>
      <c r="U16" s="207">
        <f>INDEX('DEFAULT DATA'!$DU$9:$EA$41,U$11,$E16)</f>
        <v>1547.9680224671793</v>
      </c>
      <c r="V16" s="207">
        <f>INDEX('DEFAULT DATA'!$DU$9:$EA$41,V$11,$E16)</f>
        <v>0</v>
      </c>
      <c r="W16" s="207">
        <f>INDEX('DEFAULT DATA'!$DU$9:$EA$41,W$11,$E16)</f>
        <v>0</v>
      </c>
      <c r="X16" s="207">
        <f>INDEX('DEFAULT DATA'!$DU$9:$EA$41,X$11,$E16)</f>
        <v>0</v>
      </c>
      <c r="Y16" s="207">
        <f>INDEX('DEFAULT DATA'!$DU$9:$EA$41,Y$11,$E16)</f>
        <v>0</v>
      </c>
      <c r="Z16" s="207">
        <f>INDEX('DEFAULT DATA'!$DU$9:$EA$41,Z$11,$E16)</f>
        <v>0</v>
      </c>
      <c r="AA16" s="207">
        <f>INDEX('DEFAULT DATA'!$DU$9:$EA$41,AA$11,$E16)</f>
        <v>0</v>
      </c>
      <c r="AB16" s="207">
        <f>INDEX('DEFAULT DATA'!$DU$9:$EA$41,AB$11,$E16)</f>
        <v>0</v>
      </c>
      <c r="AC16" s="207">
        <f>INDEX('DEFAULT DATA'!$DU$9:$EA$41,AC$11,$E16)</f>
        <v>0</v>
      </c>
      <c r="AD16" s="207">
        <f>INDEX('DEFAULT DATA'!$DU$9:$EA$41,AD$11,$E16)</f>
        <v>0</v>
      </c>
      <c r="AE16" s="207">
        <f>INDEX('DEFAULT DATA'!$DU$9:$EA$41,AE$11,$E16)</f>
        <v>0</v>
      </c>
      <c r="AF16" s="207">
        <f>INDEX('DEFAULT DATA'!$DU$9:$EA$41,AF$11,$E16)</f>
        <v>0</v>
      </c>
      <c r="AG16" s="207">
        <f>INDEX('DEFAULT DATA'!$DU$9:$EA$41,AG$11,$E16)</f>
        <v>0</v>
      </c>
      <c r="AH16" s="207">
        <f>INDEX('DEFAULT DATA'!$DU$9:$EA$41,AH$11,$E16)</f>
        <v>0</v>
      </c>
      <c r="AI16" s="207">
        <f>INDEX('DEFAULT DATA'!$DU$9:$EA$41,AI$11,$E16)</f>
        <v>0</v>
      </c>
      <c r="AJ16" s="207">
        <f>INDEX('DEFAULT DATA'!$DU$9:$EA$41,AJ$11,$E16)</f>
        <v>0</v>
      </c>
      <c r="AK16" s="207">
        <f>INDEX('DEFAULT DATA'!$DU$9:$EA$41,AK$11,$E16)</f>
        <v>0</v>
      </c>
    </row>
    <row r="17" spans="1:37">
      <c r="A17" s="256">
        <f t="shared" si="1"/>
        <v>2038</v>
      </c>
      <c r="B17" s="252" t="s">
        <v>1272</v>
      </c>
      <c r="C17" s="255">
        <v>2</v>
      </c>
      <c r="E17" s="1035">
        <v>5</v>
      </c>
      <c r="F17" s="207">
        <f>INDEX('DEFAULT DATA'!$DU$9:$EA$41,F$11,$E17)</f>
        <v>0</v>
      </c>
      <c r="G17" s="207">
        <f>INDEX('DEFAULT DATA'!$DU$9:$EA$41,G$11,$E17)</f>
        <v>0</v>
      </c>
      <c r="H17" s="207">
        <f>INDEX('DEFAULT DATA'!$DU$9:$EA$41,H$11,$E17)</f>
        <v>0</v>
      </c>
      <c r="I17" s="207">
        <f>INDEX('DEFAULT DATA'!$DU$9:$EA$41,I$11,$E17)</f>
        <v>0</v>
      </c>
      <c r="J17" s="207">
        <f>INDEX('DEFAULT DATA'!$DU$9:$EA$41,J$11,$E17)</f>
        <v>0</v>
      </c>
      <c r="K17" s="207">
        <f>INDEX('DEFAULT DATA'!$DU$9:$EA$41,K$11,$E17)</f>
        <v>0</v>
      </c>
      <c r="L17" s="207">
        <f>INDEX('DEFAULT DATA'!$DU$9:$EA$41,L$11,$E17)</f>
        <v>0</v>
      </c>
      <c r="M17" s="207">
        <f>INDEX('DEFAULT DATA'!$DU$9:$EA$41,M$11,$E17)</f>
        <v>0</v>
      </c>
      <c r="N17" s="207">
        <f>INDEX('DEFAULT DATA'!$DU$9:$EA$41,N$11,$E17)</f>
        <v>0</v>
      </c>
      <c r="O17" s="207">
        <f>INDEX('DEFAULT DATA'!$DU$9:$EA$41,O$11,$E17)</f>
        <v>146.52407276967594</v>
      </c>
      <c r="P17" s="207">
        <f>INDEX('DEFAULT DATA'!$DU$9:$EA$41,P$11,$E17)</f>
        <v>0</v>
      </c>
      <c r="Q17" s="207">
        <f>INDEX('DEFAULT DATA'!$DU$9:$EA$41,Q$11,$E17)</f>
        <v>0</v>
      </c>
      <c r="R17" s="207">
        <f>INDEX('DEFAULT DATA'!$DU$9:$EA$41,R$11,$E17)</f>
        <v>0</v>
      </c>
      <c r="S17" s="207">
        <f>INDEX('DEFAULT DATA'!$DU$9:$EA$41,S$11,$E17)</f>
        <v>0</v>
      </c>
      <c r="T17" s="207">
        <f>INDEX('DEFAULT DATA'!$DU$9:$EA$41,T$11,$E17)</f>
        <v>0</v>
      </c>
      <c r="U17" s="207">
        <f>INDEX('DEFAULT DATA'!$DU$9:$EA$41,U$11,$E17)</f>
        <v>243.44746313707105</v>
      </c>
      <c r="V17" s="207">
        <f>INDEX('DEFAULT DATA'!$DU$9:$EA$41,V$11,$E17)</f>
        <v>0</v>
      </c>
      <c r="W17" s="207">
        <f>INDEX('DEFAULT DATA'!$DU$9:$EA$41,W$11,$E17)</f>
        <v>0</v>
      </c>
      <c r="X17" s="207">
        <f>INDEX('DEFAULT DATA'!$DU$9:$EA$41,X$11,$E17)</f>
        <v>0</v>
      </c>
      <c r="Y17" s="207">
        <f>INDEX('DEFAULT DATA'!$DU$9:$EA$41,Y$11,$E17)</f>
        <v>0</v>
      </c>
      <c r="Z17" s="207">
        <f>INDEX('DEFAULT DATA'!$DU$9:$EA$41,Z$11,$E17)</f>
        <v>0</v>
      </c>
      <c r="AA17" s="207">
        <f>INDEX('DEFAULT DATA'!$DU$9:$EA$41,AA$11,$E17)</f>
        <v>0</v>
      </c>
      <c r="AB17" s="207">
        <f>INDEX('DEFAULT DATA'!$DU$9:$EA$41,AB$11,$E17)</f>
        <v>0</v>
      </c>
      <c r="AC17" s="207">
        <f>INDEX('DEFAULT DATA'!$DU$9:$EA$41,AC$11,$E17)</f>
        <v>0</v>
      </c>
      <c r="AD17" s="207">
        <f>INDEX('DEFAULT DATA'!$DU$9:$EA$41,AD$11,$E17)</f>
        <v>0</v>
      </c>
      <c r="AE17" s="207">
        <f>INDEX('DEFAULT DATA'!$DU$9:$EA$41,AE$11,$E17)</f>
        <v>0</v>
      </c>
      <c r="AF17" s="207">
        <f>INDEX('DEFAULT DATA'!$DU$9:$EA$41,AF$11,$E17)</f>
        <v>0</v>
      </c>
      <c r="AG17" s="207">
        <f>INDEX('DEFAULT DATA'!$DU$9:$EA$41,AG$11,$E17)</f>
        <v>0</v>
      </c>
      <c r="AH17" s="207">
        <f>INDEX('DEFAULT DATA'!$DU$9:$EA$41,AH$11,$E17)</f>
        <v>0</v>
      </c>
      <c r="AI17" s="207">
        <f>INDEX('DEFAULT DATA'!$DU$9:$EA$41,AI$11,$E17)</f>
        <v>0</v>
      </c>
      <c r="AJ17" s="207">
        <f>INDEX('DEFAULT DATA'!$DU$9:$EA$41,AJ$11,$E17)</f>
        <v>0</v>
      </c>
      <c r="AK17" s="207">
        <f>INDEX('DEFAULT DATA'!$DU$9:$EA$41,AK$11,$E17)</f>
        <v>0</v>
      </c>
    </row>
    <row r="18" spans="1:37">
      <c r="A18" s="256">
        <f t="shared" si="1"/>
        <v>2039</v>
      </c>
      <c r="B18" s="252" t="s">
        <v>1276</v>
      </c>
      <c r="C18" s="255"/>
      <c r="E18" s="1035">
        <v>6</v>
      </c>
      <c r="F18" s="207">
        <f>INDEX('DEFAULT DATA'!$DU$9:$EA$41,F$11,$E18)</f>
        <v>0</v>
      </c>
      <c r="G18" s="207">
        <f>INDEX('DEFAULT DATA'!$DU$9:$EA$41,G$11,$E18)</f>
        <v>0</v>
      </c>
      <c r="H18" s="207">
        <f>INDEX('DEFAULT DATA'!$DU$9:$EA$41,H$11,$E18)</f>
        <v>0</v>
      </c>
      <c r="I18" s="207">
        <f>INDEX('DEFAULT DATA'!$DU$9:$EA$41,I$11,$E18)</f>
        <v>0</v>
      </c>
      <c r="J18" s="207">
        <f>INDEX('DEFAULT DATA'!$DU$9:$EA$41,J$11,$E18)</f>
        <v>0</v>
      </c>
      <c r="K18" s="207">
        <f>INDEX('DEFAULT DATA'!$DU$9:$EA$41,K$11,$E18)</f>
        <v>0</v>
      </c>
      <c r="L18" s="207">
        <f>INDEX('DEFAULT DATA'!$DU$9:$EA$41,L$11,$E18)</f>
        <v>0</v>
      </c>
      <c r="M18" s="207">
        <f>INDEX('DEFAULT DATA'!$DU$9:$EA$41,M$11,$E18)</f>
        <v>0</v>
      </c>
      <c r="N18" s="207">
        <f>INDEX('DEFAULT DATA'!$DU$9:$EA$41,N$11,$E18)</f>
        <v>0</v>
      </c>
      <c r="O18" s="207">
        <f>INDEX('DEFAULT DATA'!$DU$9:$EA$41,O$11,$E18)</f>
        <v>452.9488657786186</v>
      </c>
      <c r="P18" s="207">
        <f>INDEX('DEFAULT DATA'!$DU$9:$EA$41,P$11,$E18)</f>
        <v>0</v>
      </c>
      <c r="Q18" s="207">
        <f>INDEX('DEFAULT DATA'!$DU$9:$EA$41,Q$11,$E18)</f>
        <v>0</v>
      </c>
      <c r="R18" s="207">
        <f>INDEX('DEFAULT DATA'!$DU$9:$EA$41,R$11,$E18)</f>
        <v>0</v>
      </c>
      <c r="S18" s="207">
        <f>INDEX('DEFAULT DATA'!$DU$9:$EA$41,S$11,$E18)</f>
        <v>0</v>
      </c>
      <c r="T18" s="207">
        <f>INDEX('DEFAULT DATA'!$DU$9:$EA$41,T$11,$E18)</f>
        <v>0</v>
      </c>
      <c r="U18" s="207">
        <f>INDEX('DEFAULT DATA'!$DU$9:$EA$41,U$11,$E18)</f>
        <v>1125.378694160313</v>
      </c>
      <c r="V18" s="207">
        <f>INDEX('DEFAULT DATA'!$DU$9:$EA$41,V$11,$E18)</f>
        <v>0</v>
      </c>
      <c r="W18" s="207">
        <f>INDEX('DEFAULT DATA'!$DU$9:$EA$41,W$11,$E18)</f>
        <v>0</v>
      </c>
      <c r="X18" s="207">
        <f>INDEX('DEFAULT DATA'!$DU$9:$EA$41,X$11,$E18)</f>
        <v>0</v>
      </c>
      <c r="Y18" s="207">
        <f>INDEX('DEFAULT DATA'!$DU$9:$EA$41,Y$11,$E18)</f>
        <v>0</v>
      </c>
      <c r="Z18" s="207">
        <f>INDEX('DEFAULT DATA'!$DU$9:$EA$41,Z$11,$E18)</f>
        <v>0</v>
      </c>
      <c r="AA18" s="207">
        <f>INDEX('DEFAULT DATA'!$DU$9:$EA$41,AA$11,$E18)</f>
        <v>0</v>
      </c>
      <c r="AB18" s="207">
        <f>INDEX('DEFAULT DATA'!$DU$9:$EA$41,AB$11,$E18)</f>
        <v>0</v>
      </c>
      <c r="AC18" s="207">
        <f>INDEX('DEFAULT DATA'!$DU$9:$EA$41,AC$11,$E18)</f>
        <v>0</v>
      </c>
      <c r="AD18" s="207">
        <f>INDEX('DEFAULT DATA'!$DU$9:$EA$41,AD$11,$E18)</f>
        <v>0</v>
      </c>
      <c r="AE18" s="207">
        <f>INDEX('DEFAULT DATA'!$DU$9:$EA$41,AE$11,$E18)</f>
        <v>0</v>
      </c>
      <c r="AF18" s="207">
        <f>INDEX('DEFAULT DATA'!$DU$9:$EA$41,AF$11,$E18)</f>
        <v>0</v>
      </c>
      <c r="AG18" s="207">
        <f>INDEX('DEFAULT DATA'!$DU$9:$EA$41,AG$11,$E18)</f>
        <v>0</v>
      </c>
      <c r="AH18" s="207">
        <f>INDEX('DEFAULT DATA'!$DU$9:$EA$41,AH$11,$E18)</f>
        <v>0</v>
      </c>
      <c r="AI18" s="207">
        <f>INDEX('DEFAULT DATA'!$DU$9:$EA$41,AI$11,$E18)</f>
        <v>0</v>
      </c>
      <c r="AJ18" s="207">
        <f>INDEX('DEFAULT DATA'!$DU$9:$EA$41,AJ$11,$E18)</f>
        <v>0</v>
      </c>
      <c r="AK18" s="207">
        <f>INDEX('DEFAULT DATA'!$DU$9:$EA$41,AK$11,$E18)</f>
        <v>0</v>
      </c>
    </row>
    <row r="19" spans="1:37">
      <c r="A19" s="256">
        <f t="shared" si="1"/>
        <v>2040</v>
      </c>
      <c r="B19" s="253" t="s">
        <v>1277</v>
      </c>
      <c r="C19" s="252"/>
      <c r="E19" s="1035">
        <v>7</v>
      </c>
      <c r="F19" s="207">
        <f>INDEX('DEFAULT DATA'!$DU$9:$EA$41,F$11,$E19)</f>
        <v>0</v>
      </c>
      <c r="G19" s="207">
        <f>INDEX('DEFAULT DATA'!$DU$9:$EA$41,G$11,$E19)</f>
        <v>0</v>
      </c>
      <c r="H19" s="207">
        <f>INDEX('DEFAULT DATA'!$DU$9:$EA$41,H$11,$E19)</f>
        <v>0</v>
      </c>
      <c r="I19" s="207">
        <f>INDEX('DEFAULT DATA'!$DU$9:$EA$41,I$11,$E19)</f>
        <v>0</v>
      </c>
      <c r="J19" s="207">
        <f>INDEX('DEFAULT DATA'!$DU$9:$EA$41,J$11,$E19)</f>
        <v>0</v>
      </c>
      <c r="K19" s="207">
        <f>INDEX('DEFAULT DATA'!$DU$9:$EA$41,K$11,$E19)</f>
        <v>0</v>
      </c>
      <c r="L19" s="207">
        <f>INDEX('DEFAULT DATA'!$DU$9:$EA$41,L$11,$E19)</f>
        <v>0</v>
      </c>
      <c r="M19" s="207">
        <f>INDEX('DEFAULT DATA'!$DU$9:$EA$41,M$11,$E19)</f>
        <v>0</v>
      </c>
      <c r="N19" s="207">
        <f>INDEX('DEFAULT DATA'!$DU$9:$EA$41,N$11,$E19)</f>
        <v>0</v>
      </c>
      <c r="O19" s="207">
        <f>INDEX('DEFAULT DATA'!$DU$9:$EA$41,O$11,$E19)</f>
        <v>0</v>
      </c>
      <c r="P19" s="207">
        <f>INDEX('DEFAULT DATA'!$DU$9:$EA$41,P$11,$E19)</f>
        <v>0</v>
      </c>
      <c r="Q19" s="207">
        <f>INDEX('DEFAULT DATA'!$DU$9:$EA$41,Q$11,$E19)</f>
        <v>0</v>
      </c>
      <c r="R19" s="207">
        <f>INDEX('DEFAULT DATA'!$DU$9:$EA$41,R$11,$E19)</f>
        <v>0</v>
      </c>
      <c r="S19" s="207">
        <f>INDEX('DEFAULT DATA'!$DU$9:$EA$41,S$11,$E19)</f>
        <v>0</v>
      </c>
      <c r="T19" s="207">
        <f>INDEX('DEFAULT DATA'!$DU$9:$EA$41,T$11,$E19)</f>
        <v>0</v>
      </c>
      <c r="U19" s="207">
        <f>INDEX('DEFAULT DATA'!$DU$9:$EA$41,U$11,$E19)</f>
        <v>204.59502364023862</v>
      </c>
      <c r="V19" s="207">
        <f>INDEX('DEFAULT DATA'!$DU$9:$EA$41,V$11,$E19)</f>
        <v>0</v>
      </c>
      <c r="W19" s="207">
        <f>INDEX('DEFAULT DATA'!$DU$9:$EA$41,W$11,$E19)</f>
        <v>0</v>
      </c>
      <c r="X19" s="207">
        <f>INDEX('DEFAULT DATA'!$DU$9:$EA$41,X$11,$E19)</f>
        <v>0</v>
      </c>
      <c r="Y19" s="207">
        <f>INDEX('DEFAULT DATA'!$DU$9:$EA$41,Y$11,$E19)</f>
        <v>0</v>
      </c>
      <c r="Z19" s="207">
        <f>INDEX('DEFAULT DATA'!$DU$9:$EA$41,Z$11,$E19)</f>
        <v>0</v>
      </c>
      <c r="AA19" s="207">
        <f>INDEX('DEFAULT DATA'!$DU$9:$EA$41,AA$11,$E19)</f>
        <v>0</v>
      </c>
      <c r="AB19" s="207">
        <f>INDEX('DEFAULT DATA'!$DU$9:$EA$41,AB$11,$E19)</f>
        <v>0</v>
      </c>
      <c r="AC19" s="207">
        <f>INDEX('DEFAULT DATA'!$DU$9:$EA$41,AC$11,$E19)</f>
        <v>0</v>
      </c>
      <c r="AD19" s="207">
        <f>INDEX('DEFAULT DATA'!$DU$9:$EA$41,AD$11,$E19)</f>
        <v>0</v>
      </c>
      <c r="AE19" s="207">
        <f>INDEX('DEFAULT DATA'!$DU$9:$EA$41,AE$11,$E19)</f>
        <v>0</v>
      </c>
      <c r="AF19" s="207">
        <f>INDEX('DEFAULT DATA'!$DU$9:$EA$41,AF$11,$E19)</f>
        <v>0</v>
      </c>
      <c r="AG19" s="207">
        <f>INDEX('DEFAULT DATA'!$DU$9:$EA$41,AG$11,$E19)</f>
        <v>0</v>
      </c>
      <c r="AH19" s="207">
        <f>INDEX('DEFAULT DATA'!$DU$9:$EA$41,AH$11,$E19)</f>
        <v>0</v>
      </c>
      <c r="AI19" s="207">
        <f>INDEX('DEFAULT DATA'!$DU$9:$EA$41,AI$11,$E19)</f>
        <v>0</v>
      </c>
      <c r="AJ19" s="207">
        <f>INDEX('DEFAULT DATA'!$DU$9:$EA$41,AJ$11,$E19)</f>
        <v>0</v>
      </c>
      <c r="AK19" s="207">
        <f>INDEX('DEFAULT DATA'!$DU$9:$EA$41,AK$11,$E19)</f>
        <v>0</v>
      </c>
    </row>
    <row r="20" spans="1:37">
      <c r="A20" s="256">
        <f t="shared" si="1"/>
        <v>2041</v>
      </c>
      <c r="B20" s="252" t="s">
        <v>1278</v>
      </c>
      <c r="C20" s="255">
        <v>0</v>
      </c>
    </row>
    <row r="21" spans="1:37">
      <c r="A21" s="256">
        <f t="shared" si="1"/>
        <v>2042</v>
      </c>
      <c r="B21" s="252" t="s">
        <v>1271</v>
      </c>
      <c r="C21" s="255">
        <v>0.25</v>
      </c>
      <c r="F21" s="256">
        <v>1</v>
      </c>
      <c r="G21" s="256">
        <f>F21+1</f>
        <v>2</v>
      </c>
      <c r="H21" s="256">
        <f t="shared" ref="H21:AK21" si="3">G21+1</f>
        <v>3</v>
      </c>
      <c r="I21" s="256">
        <f t="shared" si="3"/>
        <v>4</v>
      </c>
      <c r="J21" s="256">
        <f t="shared" si="3"/>
        <v>5</v>
      </c>
      <c r="K21" s="256">
        <f t="shared" si="3"/>
        <v>6</v>
      </c>
      <c r="L21" s="256">
        <f t="shared" si="3"/>
        <v>7</v>
      </c>
      <c r="M21" s="256">
        <f t="shared" si="3"/>
        <v>8</v>
      </c>
      <c r="N21" s="256">
        <f t="shared" si="3"/>
        <v>9</v>
      </c>
      <c r="O21" s="256">
        <f t="shared" si="3"/>
        <v>10</v>
      </c>
      <c r="P21" s="256">
        <f t="shared" si="3"/>
        <v>11</v>
      </c>
      <c r="Q21" s="256">
        <f t="shared" si="3"/>
        <v>12</v>
      </c>
      <c r="R21" s="256">
        <f t="shared" si="3"/>
        <v>13</v>
      </c>
      <c r="S21" s="256">
        <f t="shared" si="3"/>
        <v>14</v>
      </c>
      <c r="T21" s="256">
        <f t="shared" si="3"/>
        <v>15</v>
      </c>
      <c r="U21" s="256">
        <f t="shared" si="3"/>
        <v>16</v>
      </c>
      <c r="V21" s="256">
        <f t="shared" si="3"/>
        <v>17</v>
      </c>
      <c r="W21" s="256">
        <f t="shared" si="3"/>
        <v>18</v>
      </c>
      <c r="X21" s="256">
        <f t="shared" si="3"/>
        <v>19</v>
      </c>
      <c r="Y21" s="256">
        <f t="shared" si="3"/>
        <v>20</v>
      </c>
      <c r="Z21" s="256">
        <f t="shared" si="3"/>
        <v>21</v>
      </c>
      <c r="AA21" s="256">
        <f t="shared" si="3"/>
        <v>22</v>
      </c>
      <c r="AB21" s="256">
        <f t="shared" si="3"/>
        <v>23</v>
      </c>
      <c r="AC21" s="256">
        <f t="shared" si="3"/>
        <v>24</v>
      </c>
      <c r="AD21" s="256">
        <f t="shared" si="3"/>
        <v>25</v>
      </c>
      <c r="AE21" s="256">
        <f t="shared" si="3"/>
        <v>26</v>
      </c>
      <c r="AF21" s="256">
        <f t="shared" si="3"/>
        <v>27</v>
      </c>
      <c r="AG21" s="256">
        <f t="shared" si="3"/>
        <v>28</v>
      </c>
      <c r="AH21" s="256">
        <f t="shared" si="3"/>
        <v>29</v>
      </c>
      <c r="AI21" s="256">
        <f t="shared" si="3"/>
        <v>30</v>
      </c>
      <c r="AJ21" s="256">
        <f t="shared" si="3"/>
        <v>31</v>
      </c>
      <c r="AK21" s="256">
        <f t="shared" si="3"/>
        <v>32</v>
      </c>
    </row>
    <row r="22" spans="1:37">
      <c r="A22" s="256">
        <f t="shared" si="1"/>
        <v>2043</v>
      </c>
      <c r="B22" s="252" t="s">
        <v>1266</v>
      </c>
      <c r="C22" s="255">
        <v>1</v>
      </c>
      <c r="F22" s="204" t="s">
        <v>1</v>
      </c>
      <c r="G22" s="204" t="s">
        <v>2</v>
      </c>
      <c r="H22" s="204" t="s">
        <v>3</v>
      </c>
      <c r="I22" s="204" t="s">
        <v>12</v>
      </c>
      <c r="J22" s="204" t="s">
        <v>4</v>
      </c>
      <c r="K22" s="204" t="s">
        <v>5</v>
      </c>
      <c r="L22" s="204" t="s">
        <v>6</v>
      </c>
      <c r="M22" s="204" t="s">
        <v>7</v>
      </c>
      <c r="N22" s="204" t="s">
        <v>0</v>
      </c>
      <c r="O22" s="204" t="s">
        <v>9</v>
      </c>
      <c r="P22" s="204" t="s">
        <v>27</v>
      </c>
      <c r="Q22" s="204" t="s">
        <v>10</v>
      </c>
      <c r="R22" s="204" t="s">
        <v>11</v>
      </c>
      <c r="S22" s="204" t="s">
        <v>29</v>
      </c>
      <c r="T22" s="204" t="s">
        <v>13</v>
      </c>
      <c r="U22" s="204" t="s">
        <v>14</v>
      </c>
      <c r="V22" s="204" t="s">
        <v>17</v>
      </c>
      <c r="W22" s="204" t="s">
        <v>32</v>
      </c>
      <c r="X22" s="204" t="s">
        <v>15</v>
      </c>
      <c r="Y22" s="204" t="s">
        <v>16</v>
      </c>
      <c r="Z22" s="204" t="s">
        <v>18</v>
      </c>
      <c r="AA22" s="204" t="s">
        <v>19</v>
      </c>
      <c r="AB22" s="204" t="s">
        <v>26</v>
      </c>
      <c r="AC22" s="204" t="s">
        <v>20</v>
      </c>
      <c r="AD22" s="204" t="s">
        <v>21</v>
      </c>
      <c r="AE22" s="204" t="s">
        <v>22</v>
      </c>
      <c r="AF22" s="204" t="s">
        <v>25</v>
      </c>
      <c r="AG22" s="204" t="s">
        <v>24</v>
      </c>
      <c r="AH22" s="204" t="s">
        <v>8</v>
      </c>
      <c r="AI22" s="204" t="s">
        <v>23</v>
      </c>
      <c r="AJ22" s="204" t="s">
        <v>30</v>
      </c>
      <c r="AK22" s="204" t="s">
        <v>28</v>
      </c>
    </row>
    <row r="23" spans="1:37">
      <c r="A23" s="256">
        <f t="shared" si="1"/>
        <v>2044</v>
      </c>
      <c r="B23" s="252" t="s">
        <v>1272</v>
      </c>
      <c r="C23" s="255">
        <v>2</v>
      </c>
      <c r="E23" s="193">
        <v>1</v>
      </c>
      <c r="F23" s="1030" t="str">
        <f>INDEX('DEFAULT DATA'!$EH$9:$GM$41,F$21,$E23)</f>
        <v>Gmunden</v>
      </c>
      <c r="G23" s="1030" t="str">
        <f>INDEX('DEFAULT DATA'!$EH$9:$GM$41,G$21,$E23)</f>
        <v>Antwerp</v>
      </c>
      <c r="H23" s="1030" t="str">
        <f>INDEX('DEFAULT DATA'!$EH$9:$GM$41,H$21,$E23)</f>
        <v>Sofia</v>
      </c>
      <c r="I23" s="1030" t="str">
        <f>INDEX('DEFAULT DATA'!$EH$9:$GM$41,I$21,$E23)</f>
        <v>Osijek</v>
      </c>
      <c r="J23" s="1030" t="str">
        <f>INDEX('DEFAULT DATA'!$EH$9:$GM$41,J$21,$E23)</f>
        <v>no trams</v>
      </c>
      <c r="K23" s="1030" t="str">
        <f>INDEX('DEFAULT DATA'!$EH$9:$GM$41,K$21,$E23)</f>
        <v>Brno</v>
      </c>
      <c r="L23" s="1030" t="str">
        <f>INDEX('DEFAULT DATA'!$EH$9:$GM$41,L$21,$E23)</f>
        <v>Aarhus</v>
      </c>
      <c r="M23" s="1030" t="str">
        <f>INDEX('DEFAULT DATA'!$EH$9:$GM$41,M$21,$E23)</f>
        <v>Tallinn</v>
      </c>
      <c r="N23" s="1030" t="str">
        <f>INDEX('DEFAULT DATA'!$EH$9:$GM$41,N$21,$E23)</f>
        <v>Helsinki</v>
      </c>
      <c r="O23" s="1030" t="str">
        <f>INDEX('DEFAULT DATA'!$EH$9:$GM$41,O$21,$E23)</f>
        <v>Angers</v>
      </c>
      <c r="P23" s="1030" t="str">
        <f>INDEX('DEFAULT DATA'!$EH$9:$GM$41,P$21,$E23)</f>
        <v>Augsburg</v>
      </c>
      <c r="Q23" s="1030" t="str">
        <f>INDEX('DEFAULT DATA'!$EH$9:$GM$41,Q$21,$E23)</f>
        <v>Athens</v>
      </c>
      <c r="R23" s="1030" t="str">
        <f>INDEX('DEFAULT DATA'!$EH$9:$GM$41,R$21,$E23)</f>
        <v>Budapest</v>
      </c>
      <c r="S23" s="1030" t="str">
        <f>INDEX('DEFAULT DATA'!$EH$9:$GM$41,S$21,$E23)</f>
        <v>no trams</v>
      </c>
      <c r="T23" s="1030" t="str">
        <f>INDEX('DEFAULT DATA'!$EH$9:$GM$41,T$21,$E23)</f>
        <v>Dublin</v>
      </c>
      <c r="U23" s="1030" t="str">
        <f>INDEX('DEFAULT DATA'!$EH$9:$GM$41,U$21,$E23)</f>
        <v>Bergamo–Albino light rail</v>
      </c>
      <c r="V23" s="1030" t="str">
        <f>INDEX('DEFAULT DATA'!$EH$9:$GM$41,V$21,$E23)</f>
        <v>Daugavpils</v>
      </c>
      <c r="W23" s="1030" t="str">
        <f>INDEX('DEFAULT DATA'!$EH$9:$GM$41,W$21,$E23)</f>
        <v>no trams</v>
      </c>
      <c r="X23" s="1030" t="str">
        <f>INDEX('DEFAULT DATA'!$EH$9:$GM$41,X$21,$E23)</f>
        <v>no trams</v>
      </c>
      <c r="Y23" s="1030" t="str">
        <f>INDEX('DEFAULT DATA'!$EH$9:$GM$41,Y$21,$E23)</f>
        <v>Luxembourg</v>
      </c>
      <c r="Z23" s="1030" t="str">
        <f>INDEX('DEFAULT DATA'!$EH$9:$GM$41,Z$21,$E23)</f>
        <v>no trams</v>
      </c>
      <c r="AA23" s="1030" t="str">
        <f>INDEX('DEFAULT DATA'!$EH$9:$GM$41,AA$21,$E23)</f>
        <v>Amsterdam</v>
      </c>
      <c r="AB23" s="1030" t="str">
        <f>INDEX('DEFAULT DATA'!$EH$9:$GM$41,AB$21,$E23)</f>
        <v>Bergen Light Rail</v>
      </c>
      <c r="AC23" s="1030" t="str">
        <f>INDEX('DEFAULT DATA'!$EH$9:$GM$41,AC$21,$E23)</f>
        <v>Bydgoszcz</v>
      </c>
      <c r="AD23" s="1030" t="str">
        <f>INDEX('DEFAULT DATA'!$EH$9:$GM$41,AD$21,$E23)</f>
        <v>Almada-Seixal</v>
      </c>
      <c r="AE23" s="1030" t="str">
        <f>INDEX('DEFAULT DATA'!$EH$9:$GM$41,AE$21,$E23)</f>
        <v>Arad</v>
      </c>
      <c r="AF23" s="1030" t="str">
        <f>INDEX('DEFAULT DATA'!$EH$9:$GM$41,AF$21,$E23)</f>
        <v>Bratislava</v>
      </c>
      <c r="AG23" s="1030" t="str">
        <f>INDEX('DEFAULT DATA'!$EH$9:$GM$41,AG$21,$E23)</f>
        <v>no trams</v>
      </c>
      <c r="AH23" s="1030" t="str">
        <f>INDEX('DEFAULT DATA'!$EH$9:$GM$41,AH$21,$E23)</f>
        <v>Alicante</v>
      </c>
      <c r="AI23" s="1030" t="str">
        <f>INDEX('DEFAULT DATA'!$EH$9:$GM$41,AI$21,$E23)</f>
        <v>Gothenburg</v>
      </c>
      <c r="AJ23" s="1030" t="str">
        <f>INDEX('DEFAULT DATA'!$EH$9:$GM$41,AJ$21,$E23)</f>
        <v>Basel</v>
      </c>
      <c r="AK23" s="1030" t="str">
        <f>INDEX('DEFAULT DATA'!$EH$9:$GM$41,AK$21,$E23)</f>
        <v>Birmingham, West Midlands Metro</v>
      </c>
    </row>
    <row r="24" spans="1:37">
      <c r="A24" s="256">
        <f t="shared" si="1"/>
        <v>2045</v>
      </c>
      <c r="B24" s="252" t="s">
        <v>1279</v>
      </c>
      <c r="C24" s="255"/>
      <c r="E24" s="193">
        <f>E23+1</f>
        <v>2</v>
      </c>
      <c r="F24" s="1030" t="str">
        <f>INDEX('DEFAULT DATA'!$EH$9:$GM$41,F$21,$E24)</f>
        <v>Graz</v>
      </c>
      <c r="G24" s="1030" t="str">
        <f>INDEX('DEFAULT DATA'!$EH$9:$GM$41,G$21,$E24)</f>
        <v xml:space="preserve">Coast Tram </v>
      </c>
      <c r="H24" s="1030" t="str">
        <f>INDEX('DEFAULT DATA'!$EH$9:$GM$41,H$21,$E24)</f>
        <v>-</v>
      </c>
      <c r="I24" s="1030" t="str">
        <f>INDEX('DEFAULT DATA'!$EH$9:$GM$41,I$21,$E24)</f>
        <v>Zagreb</v>
      </c>
      <c r="J24" s="1030" t="str">
        <f>INDEX('DEFAULT DATA'!$EH$9:$GM$41,J$21,$E24)</f>
        <v>-</v>
      </c>
      <c r="K24" s="1030" t="str">
        <f>INDEX('DEFAULT DATA'!$EH$9:$GM$41,K$21,$E24)</f>
        <v>Liberec–Jablonec</v>
      </c>
      <c r="L24" s="1030" t="str">
        <f>INDEX('DEFAULT DATA'!$EH$9:$GM$41,L$21,$E24)</f>
        <v>-</v>
      </c>
      <c r="M24" s="1030" t="str">
        <f>INDEX('DEFAULT DATA'!$EH$9:$GM$41,M$21,$E24)</f>
        <v>-</v>
      </c>
      <c r="N24" s="1030" t="str">
        <f>INDEX('DEFAULT DATA'!$EH$9:$GM$41,N$21,$E24)</f>
        <v>Tampere</v>
      </c>
      <c r="O24" s="1030" t="str">
        <f>INDEX('DEFAULT DATA'!$EH$9:$GM$41,O$21,$E24)</f>
        <v>Aubagne</v>
      </c>
      <c r="P24" s="1030" t="str">
        <f>INDEX('DEFAULT DATA'!$EH$9:$GM$41,P$21,$E24)</f>
        <v>Bad Schandau</v>
      </c>
      <c r="Q24" s="1030" t="str">
        <f>INDEX('DEFAULT DATA'!$EH$9:$GM$41,Q$21,$E24)</f>
        <v>-</v>
      </c>
      <c r="R24" s="1030" t="str">
        <f>INDEX('DEFAULT DATA'!$EH$9:$GM$41,R$21,$E24)</f>
        <v>Debrecen</v>
      </c>
      <c r="S24" s="1030" t="str">
        <f>INDEX('DEFAULT DATA'!$EH$9:$GM$41,S$21,$E24)</f>
        <v>-</v>
      </c>
      <c r="T24" s="1030" t="str">
        <f>INDEX('DEFAULT DATA'!$EH$9:$GM$41,T$21,$E24)</f>
        <v>-</v>
      </c>
      <c r="U24" s="1030" t="str">
        <f>INDEX('DEFAULT DATA'!$EH$9:$GM$41,U$21,$E24)</f>
        <v>Cagliari light rail</v>
      </c>
      <c r="V24" s="1030" t="str">
        <f>INDEX('DEFAULT DATA'!$EH$9:$GM$41,V$21,$E24)</f>
        <v>Liepāja</v>
      </c>
      <c r="W24" s="1030" t="str">
        <f>INDEX('DEFAULT DATA'!$EH$9:$GM$41,W$21,$E24)</f>
        <v>-</v>
      </c>
      <c r="X24" s="1030" t="str">
        <f>INDEX('DEFAULT DATA'!$EH$9:$GM$41,X$21,$E24)</f>
        <v>-</v>
      </c>
      <c r="Y24" s="1030" t="str">
        <f>INDEX('DEFAULT DATA'!$EH$9:$GM$41,Y$21,$E24)</f>
        <v>-</v>
      </c>
      <c r="Z24" s="1030" t="str">
        <f>INDEX('DEFAULT DATA'!$EH$9:$GM$41,Z$21,$E24)</f>
        <v>-</v>
      </c>
      <c r="AA24" s="1030" t="str">
        <f>INDEX('DEFAULT DATA'!$EH$9:$GM$41,AA$21,$E24)</f>
        <v>Rotterdam</v>
      </c>
      <c r="AB24" s="1030" t="str">
        <f>INDEX('DEFAULT DATA'!$EH$9:$GM$41,AB$21,$E24)</f>
        <v>Oslo</v>
      </c>
      <c r="AC24" s="1030" t="str">
        <f>INDEX('DEFAULT DATA'!$EH$9:$GM$41,AC$21,$E24)</f>
        <v>Częstochowa</v>
      </c>
      <c r="AD24" s="1030" t="str">
        <f>INDEX('DEFAULT DATA'!$EH$9:$GM$41,AD$21,$E24)</f>
        <v>Lisbon</v>
      </c>
      <c r="AE24" s="1030" t="str">
        <f>INDEX('DEFAULT DATA'!$EH$9:$GM$41,AE$21,$E24)</f>
        <v>Botoșani</v>
      </c>
      <c r="AF24" s="1030" t="str">
        <f>INDEX('DEFAULT DATA'!$EH$9:$GM$41,AF$21,$E24)</f>
        <v>Košice</v>
      </c>
      <c r="AG24" s="1030" t="str">
        <f>INDEX('DEFAULT DATA'!$EH$9:$GM$41,AG$21,$E24)</f>
        <v>-</v>
      </c>
      <c r="AH24" s="1030" t="str">
        <f>INDEX('DEFAULT DATA'!$EH$9:$GM$41,AH$21,$E24)</f>
        <v>Barcelona</v>
      </c>
      <c r="AI24" s="1030" t="str">
        <f>INDEX('DEFAULT DATA'!$EH$9:$GM$41,AI$21,$E24)</f>
        <v>Lund</v>
      </c>
      <c r="AJ24" s="1030" t="str">
        <f>INDEX('DEFAULT DATA'!$EH$9:$GM$41,AJ$21,$E24)</f>
        <v>Bern</v>
      </c>
      <c r="AK24" s="1030" t="str">
        <f>INDEX('DEFAULT DATA'!$EH$9:$GM$41,AK$21,$E24)</f>
        <v>Blackpool tramway</v>
      </c>
    </row>
    <row r="25" spans="1:37">
      <c r="A25" s="256">
        <f>A24+1</f>
        <v>2046</v>
      </c>
      <c r="E25" s="193">
        <f t="shared" ref="E25:E80" si="4">E24+1</f>
        <v>3</v>
      </c>
      <c r="F25" s="1030" t="str">
        <f>INDEX('DEFAULT DATA'!$EH$9:$GM$41,F$21,$E25)</f>
        <v>Innsbruck</v>
      </c>
      <c r="G25" s="1030" t="str">
        <f>INDEX('DEFAULT DATA'!$EH$9:$GM$41,G$21,$E25)</f>
        <v>Brussels</v>
      </c>
      <c r="H25" s="1030" t="str">
        <f>INDEX('DEFAULT DATA'!$EH$9:$GM$41,H$21,$E25)</f>
        <v>-</v>
      </c>
      <c r="I25" s="1030" t="str">
        <f>INDEX('DEFAULT DATA'!$EH$9:$GM$41,I$21,$E25)</f>
        <v>-</v>
      </c>
      <c r="J25" s="1030" t="str">
        <f>INDEX('DEFAULT DATA'!$EH$9:$GM$41,J$21,$E25)</f>
        <v>-</v>
      </c>
      <c r="K25" s="1030" t="str">
        <f>INDEX('DEFAULT DATA'!$EH$9:$GM$41,K$21,$E25)</f>
        <v>Most-Litvínov</v>
      </c>
      <c r="L25" s="1030" t="str">
        <f>INDEX('DEFAULT DATA'!$EH$9:$GM$41,L$21,$E25)</f>
        <v>-</v>
      </c>
      <c r="M25" s="1030" t="str">
        <f>INDEX('DEFAULT DATA'!$EH$9:$GM$41,M$21,$E25)</f>
        <v>-</v>
      </c>
      <c r="N25" s="1030" t="str">
        <f>INDEX('DEFAULT DATA'!$EH$9:$GM$41,N$21,$E25)</f>
        <v>-</v>
      </c>
      <c r="O25" s="1030" t="str">
        <f>INDEX('DEFAULT DATA'!$EH$9:$GM$41,O$21,$E25)</f>
        <v>Avignon</v>
      </c>
      <c r="P25" s="1030" t="str">
        <f>INDEX('DEFAULT DATA'!$EH$9:$GM$41,P$21,$E25)</f>
        <v>Berlin</v>
      </c>
      <c r="Q25" s="1030" t="str">
        <f>INDEX('DEFAULT DATA'!$EH$9:$GM$41,Q$21,$E25)</f>
        <v>-</v>
      </c>
      <c r="R25" s="1030" t="str">
        <f>INDEX('DEFAULT DATA'!$EH$9:$GM$41,R$21,$E25)</f>
        <v>Miskolc</v>
      </c>
      <c r="S25" s="1030" t="str">
        <f>INDEX('DEFAULT DATA'!$EH$9:$GM$41,S$21,$E25)</f>
        <v>-</v>
      </c>
      <c r="T25" s="1030" t="str">
        <f>INDEX('DEFAULT DATA'!$EH$9:$GM$41,T$21,$E25)</f>
        <v>-</v>
      </c>
      <c r="U25" s="1030" t="str">
        <f>INDEX('DEFAULT DATA'!$EH$9:$GM$41,U$21,$E25)</f>
        <v>Florence</v>
      </c>
      <c r="V25" s="1030" t="str">
        <f>INDEX('DEFAULT DATA'!$EH$9:$GM$41,V$21,$E25)</f>
        <v>Riga</v>
      </c>
      <c r="W25" s="1030" t="str">
        <f>INDEX('DEFAULT DATA'!$EH$9:$GM$41,W$21,$E25)</f>
        <v>-</v>
      </c>
      <c r="X25" s="1030" t="str">
        <f>INDEX('DEFAULT DATA'!$EH$9:$GM$41,X$21,$E25)</f>
        <v>-</v>
      </c>
      <c r="Y25" s="1030" t="str">
        <f>INDEX('DEFAULT DATA'!$EH$9:$GM$41,Y$21,$E25)</f>
        <v>-</v>
      </c>
      <c r="Z25" s="1030" t="str">
        <f>INDEX('DEFAULT DATA'!$EH$9:$GM$41,Z$21,$E25)</f>
        <v>-</v>
      </c>
      <c r="AA25" s="1030" t="str">
        <f>INDEX('DEFAULT DATA'!$EH$9:$GM$41,AA$21,$E25)</f>
        <v>The Hague</v>
      </c>
      <c r="AB25" s="1030" t="str">
        <f>INDEX('DEFAULT DATA'!$EH$9:$GM$41,AB$21,$E25)</f>
        <v>Trondheim</v>
      </c>
      <c r="AC25" s="1030" t="str">
        <f>INDEX('DEFAULT DATA'!$EH$9:$GM$41,AC$21,$E25)</f>
        <v>Elbląg</v>
      </c>
      <c r="AD25" s="1030" t="str">
        <f>INDEX('DEFAULT DATA'!$EH$9:$GM$41,AD$21,$E25)</f>
        <v>Porto Metro</v>
      </c>
      <c r="AE25" s="1030" t="str">
        <f>INDEX('DEFAULT DATA'!$EH$9:$GM$41,AE$21,$E25)</f>
        <v>Brăila</v>
      </c>
      <c r="AF25" s="1030" t="str">
        <f>INDEX('DEFAULT DATA'!$EH$9:$GM$41,AF$21,$E25)</f>
        <v>Trenčianske Teplice</v>
      </c>
      <c r="AG25" s="1030" t="str">
        <f>INDEX('DEFAULT DATA'!$EH$9:$GM$41,AG$21,$E25)</f>
        <v>-</v>
      </c>
      <c r="AH25" s="1030" t="str">
        <f>INDEX('DEFAULT DATA'!$EH$9:$GM$41,AH$21,$E25)</f>
        <v>Bilbao</v>
      </c>
      <c r="AI25" s="1030" t="str">
        <f>INDEX('DEFAULT DATA'!$EH$9:$GM$41,AI$21,$E25)</f>
        <v>Norrköping</v>
      </c>
      <c r="AJ25" s="1030" t="str">
        <f>INDEX('DEFAULT DATA'!$EH$9:$GM$41,AJ$21,$E25)</f>
        <v>Geneva</v>
      </c>
      <c r="AK25" s="1030" t="str">
        <f>INDEX('DEFAULT DATA'!$EH$9:$GM$41,AK$21,$E25)</f>
        <v>Edinburgh</v>
      </c>
    </row>
    <row r="26" spans="1:37">
      <c r="A26" s="256">
        <f t="shared" si="1"/>
        <v>2047</v>
      </c>
      <c r="E26" s="193">
        <f t="shared" si="4"/>
        <v>4</v>
      </c>
      <c r="F26" s="1030" t="str">
        <f>INDEX('DEFAULT DATA'!$EH$9:$GM$41,F$21,$E26)</f>
        <v>Linz</v>
      </c>
      <c r="G26" s="1030" t="str">
        <f>INDEX('DEFAULT DATA'!$EH$9:$GM$41,G$21,$E26)</f>
        <v>Charleroi</v>
      </c>
      <c r="H26" s="1030" t="str">
        <f>INDEX('DEFAULT DATA'!$EH$9:$GM$41,H$21,$E26)</f>
        <v>-</v>
      </c>
      <c r="I26" s="1030" t="str">
        <f>INDEX('DEFAULT DATA'!$EH$9:$GM$41,I$21,$E26)</f>
        <v>-</v>
      </c>
      <c r="J26" s="1030" t="str">
        <f>INDEX('DEFAULT DATA'!$EH$9:$GM$41,J$21,$E26)</f>
        <v>-</v>
      </c>
      <c r="K26" s="1030" t="str">
        <f>INDEX('DEFAULT DATA'!$EH$9:$GM$41,K$21,$E26)</f>
        <v>Olomouc</v>
      </c>
      <c r="L26" s="1030" t="str">
        <f>INDEX('DEFAULT DATA'!$EH$9:$GM$41,L$21,$E26)</f>
        <v>-</v>
      </c>
      <c r="M26" s="1030" t="str">
        <f>INDEX('DEFAULT DATA'!$EH$9:$GM$41,M$21,$E26)</f>
        <v>-</v>
      </c>
      <c r="N26" s="1030" t="str">
        <f>INDEX('DEFAULT DATA'!$EH$9:$GM$41,N$21,$E26)</f>
        <v>-</v>
      </c>
      <c r="O26" s="1030" t="str">
        <f>INDEX('DEFAULT DATA'!$EH$9:$GM$41,O$21,$E26)</f>
        <v>Besançon</v>
      </c>
      <c r="P26" s="1030" t="str">
        <f>INDEX('DEFAULT DATA'!$EH$9:$GM$41,P$21,$E26)</f>
        <v>Bielefeld</v>
      </c>
      <c r="Q26" s="1030" t="str">
        <f>INDEX('DEFAULT DATA'!$EH$9:$GM$41,Q$21,$E26)</f>
        <v>-</v>
      </c>
      <c r="R26" s="1030" t="str">
        <f>INDEX('DEFAULT DATA'!$EH$9:$GM$41,R$21,$E26)</f>
        <v>Szeged</v>
      </c>
      <c r="S26" s="1030" t="str">
        <f>INDEX('DEFAULT DATA'!$EH$9:$GM$41,S$21,$E26)</f>
        <v>-</v>
      </c>
      <c r="T26" s="1030" t="str">
        <f>INDEX('DEFAULT DATA'!$EH$9:$GM$41,T$21,$E26)</f>
        <v>-</v>
      </c>
      <c r="U26" s="1030" t="str">
        <f>INDEX('DEFAULT DATA'!$EH$9:$GM$41,U$21,$E26)</f>
        <v>Messina</v>
      </c>
      <c r="V26" s="1030" t="str">
        <f>INDEX('DEFAULT DATA'!$EH$9:$GM$41,V$21,$E26)</f>
        <v>-</v>
      </c>
      <c r="W26" s="1030" t="str">
        <f>INDEX('DEFAULT DATA'!$EH$9:$GM$41,W$21,$E26)</f>
        <v>-</v>
      </c>
      <c r="X26" s="1030" t="str">
        <f>INDEX('DEFAULT DATA'!$EH$9:$GM$41,X$21,$E26)</f>
        <v>-</v>
      </c>
      <c r="Y26" s="1030" t="str">
        <f>INDEX('DEFAULT DATA'!$EH$9:$GM$41,Y$21,$E26)</f>
        <v>-</v>
      </c>
      <c r="Z26" s="1030" t="str">
        <f>INDEX('DEFAULT DATA'!$EH$9:$GM$41,Z$21,$E26)</f>
        <v>-</v>
      </c>
      <c r="AA26" s="1030" t="str">
        <f>INDEX('DEFAULT DATA'!$EH$9:$GM$41,AA$21,$E26)</f>
        <v>Utrecht sneltram</v>
      </c>
      <c r="AB26" s="1030" t="str">
        <f>INDEX('DEFAULT DATA'!$EH$9:$GM$41,AB$21,$E26)</f>
        <v>-</v>
      </c>
      <c r="AC26" s="1030" t="str">
        <f>INDEX('DEFAULT DATA'!$EH$9:$GM$41,AC$21,$E26)</f>
        <v>Gdańsk</v>
      </c>
      <c r="AD26" s="1030" t="str">
        <f>INDEX('DEFAULT DATA'!$EH$9:$GM$41,AD$21,$E26)</f>
        <v>Porto</v>
      </c>
      <c r="AE26" s="1030" t="str">
        <f>INDEX('DEFAULT DATA'!$EH$9:$GM$41,AE$21,$E26)</f>
        <v>Bucharest</v>
      </c>
      <c r="AF26" s="1030" t="str">
        <f>INDEX('DEFAULT DATA'!$EH$9:$GM$41,AF$21,$E26)</f>
        <v>-</v>
      </c>
      <c r="AG26" s="1030" t="str">
        <f>INDEX('DEFAULT DATA'!$EH$9:$GM$41,AG$21,$E26)</f>
        <v>-</v>
      </c>
      <c r="AH26" s="1030" t="str">
        <f>INDEX('DEFAULT DATA'!$EH$9:$GM$41,AH$21,$E26)</f>
        <v>Granada</v>
      </c>
      <c r="AI26" s="1030" t="str">
        <f>INDEX('DEFAULT DATA'!$EH$9:$GM$41,AI$21,$E26)</f>
        <v>Stockholm</v>
      </c>
      <c r="AJ26" s="1030" t="str">
        <f>INDEX('DEFAULT DATA'!$EH$9:$GM$41,AJ$21,$E26)</f>
        <v>Lausanne</v>
      </c>
      <c r="AK26" s="1030" t="str">
        <f>INDEX('DEFAULT DATA'!$EH$9:$GM$41,AK$21,$E26)</f>
        <v>London Tramlink</v>
      </c>
    </row>
    <row r="27" spans="1:37">
      <c r="A27" s="256">
        <f t="shared" si="1"/>
        <v>2048</v>
      </c>
      <c r="B27" s="198" t="s">
        <v>1216</v>
      </c>
      <c r="E27" s="193">
        <f t="shared" si="4"/>
        <v>5</v>
      </c>
      <c r="F27" s="1030" t="str">
        <f>INDEX('DEFAULT DATA'!$EH$9:$GM$41,F$21,$E27)</f>
        <v>Vienna tram</v>
      </c>
      <c r="G27" s="1030" t="str">
        <f>INDEX('DEFAULT DATA'!$EH$9:$GM$41,G$21,$E27)</f>
        <v>Ghent</v>
      </c>
      <c r="H27" s="1030" t="str">
        <f>INDEX('DEFAULT DATA'!$EH$9:$GM$41,H$21,$E27)</f>
        <v>-</v>
      </c>
      <c r="I27" s="1030" t="str">
        <f>INDEX('DEFAULT DATA'!$EH$9:$GM$41,I$21,$E27)</f>
        <v>-</v>
      </c>
      <c r="J27" s="1030" t="str">
        <f>INDEX('DEFAULT DATA'!$EH$9:$GM$41,J$21,$E27)</f>
        <v>-</v>
      </c>
      <c r="K27" s="1030" t="str">
        <f>INDEX('DEFAULT DATA'!$EH$9:$GM$41,K$21,$E27)</f>
        <v>Ostrava</v>
      </c>
      <c r="L27" s="1030" t="str">
        <f>INDEX('DEFAULT DATA'!$EH$9:$GM$41,L$21,$E27)</f>
        <v>-</v>
      </c>
      <c r="M27" s="1030" t="str">
        <f>INDEX('DEFAULT DATA'!$EH$9:$GM$41,M$21,$E27)</f>
        <v>-</v>
      </c>
      <c r="N27" s="1030" t="str">
        <f>INDEX('DEFAULT DATA'!$EH$9:$GM$41,N$21,$E27)</f>
        <v>-</v>
      </c>
      <c r="O27" s="1030" t="str">
        <f>INDEX('DEFAULT DATA'!$EH$9:$GM$41,O$21,$E27)</f>
        <v>Bordeaux</v>
      </c>
      <c r="P27" s="1030" t="str">
        <f>INDEX('DEFAULT DATA'!$EH$9:$GM$41,P$21,$E27)</f>
        <v>Bochum Stadtbahn</v>
      </c>
      <c r="Q27" s="1030" t="str">
        <f>INDEX('DEFAULT DATA'!$EH$9:$GM$41,Q$21,$E27)</f>
        <v>-</v>
      </c>
      <c r="R27" s="1030" t="str">
        <f>INDEX('DEFAULT DATA'!$EH$9:$GM$41,R$21,$E27)</f>
        <v>-</v>
      </c>
      <c r="S27" s="1030" t="str">
        <f>INDEX('DEFAULT DATA'!$EH$9:$GM$41,S$21,$E27)</f>
        <v>-</v>
      </c>
      <c r="T27" s="1030" t="str">
        <f>INDEX('DEFAULT DATA'!$EH$9:$GM$41,T$21,$E27)</f>
        <v>-</v>
      </c>
      <c r="U27" s="1030" t="str">
        <f>INDEX('DEFAULT DATA'!$EH$9:$GM$41,U$21,$E27)</f>
        <v>Mestre</v>
      </c>
      <c r="V27" s="1030" t="str">
        <f>INDEX('DEFAULT DATA'!$EH$9:$GM$41,V$21,$E27)</f>
        <v>-</v>
      </c>
      <c r="W27" s="1030" t="str">
        <f>INDEX('DEFAULT DATA'!$EH$9:$GM$41,W$21,$E27)</f>
        <v>-</v>
      </c>
      <c r="X27" s="1030" t="str">
        <f>INDEX('DEFAULT DATA'!$EH$9:$GM$41,X$21,$E27)</f>
        <v>-</v>
      </c>
      <c r="Y27" s="1030" t="str">
        <f>INDEX('DEFAULT DATA'!$EH$9:$GM$41,Y$21,$E27)</f>
        <v>-</v>
      </c>
      <c r="Z27" s="1030" t="str">
        <f>INDEX('DEFAULT DATA'!$EH$9:$GM$41,Z$21,$E27)</f>
        <v>-</v>
      </c>
      <c r="AA27" s="1030" t="str">
        <f>INDEX('DEFAULT DATA'!$EH$9:$GM$41,AA$21,$E27)</f>
        <v>-</v>
      </c>
      <c r="AB27" s="1030" t="str">
        <f>INDEX('DEFAULT DATA'!$EH$9:$GM$41,AB$21,$E27)</f>
        <v>-</v>
      </c>
      <c r="AC27" s="1030" t="str">
        <f>INDEX('DEFAULT DATA'!$EH$9:$GM$41,AC$21,$E27)</f>
        <v>Gorzów Wielkopolski</v>
      </c>
      <c r="AD27" s="1030" t="str">
        <f>INDEX('DEFAULT DATA'!$EH$9:$GM$41,AD$21,$E27)</f>
        <v>Sintra</v>
      </c>
      <c r="AE27" s="1030" t="str">
        <f>INDEX('DEFAULT DATA'!$EH$9:$GM$41,AE$21,$E27)</f>
        <v>Cluj-Napoca</v>
      </c>
      <c r="AF27" s="1030" t="str">
        <f>INDEX('DEFAULT DATA'!$EH$9:$GM$41,AF$21,$E27)</f>
        <v>-</v>
      </c>
      <c r="AG27" s="1030" t="str">
        <f>INDEX('DEFAULT DATA'!$EH$9:$GM$41,AG$21,$E27)</f>
        <v>-</v>
      </c>
      <c r="AH27" s="1030" t="str">
        <f>INDEX('DEFAULT DATA'!$EH$9:$GM$41,AH$21,$E27)</f>
        <v>Madrid</v>
      </c>
      <c r="AI27" s="1030" t="str">
        <f>INDEX('DEFAULT DATA'!$EH$9:$GM$41,AI$21,$E27)</f>
        <v>-</v>
      </c>
      <c r="AJ27" s="1030" t="str">
        <f>INDEX('DEFAULT DATA'!$EH$9:$GM$41,AJ$21,$E27)</f>
        <v>Neuchâtel</v>
      </c>
      <c r="AK27" s="1030" t="str">
        <f>INDEX('DEFAULT DATA'!$EH$9:$GM$41,AK$21,$E27)</f>
        <v>Manchester Metrolink</v>
      </c>
    </row>
    <row r="28" spans="1:37">
      <c r="A28" s="256">
        <f t="shared" si="1"/>
        <v>2049</v>
      </c>
      <c r="B28" s="198" t="s">
        <v>1219</v>
      </c>
      <c r="E28" s="193">
        <f t="shared" si="4"/>
        <v>6</v>
      </c>
      <c r="F28" s="1030" t="str">
        <f>INDEX('DEFAULT DATA'!$EH$9:$GM$41,F$21,$E28)</f>
        <v>Wiener Lokalbahn</v>
      </c>
      <c r="G28" s="1030" t="str">
        <f>INDEX('DEFAULT DATA'!$EH$9:$GM$41,G$21,$E28)</f>
        <v>-</v>
      </c>
      <c r="H28" s="1030" t="str">
        <f>INDEX('DEFAULT DATA'!$EH$9:$GM$41,H$21,$E28)</f>
        <v>-</v>
      </c>
      <c r="I28" s="1030" t="str">
        <f>INDEX('DEFAULT DATA'!$EH$9:$GM$41,I$21,$E28)</f>
        <v>-</v>
      </c>
      <c r="J28" s="1030" t="str">
        <f>INDEX('DEFAULT DATA'!$EH$9:$GM$41,J$21,$E28)</f>
        <v>-</v>
      </c>
      <c r="K28" s="1030" t="str">
        <f>INDEX('DEFAULT DATA'!$EH$9:$GM$41,K$21,$E28)</f>
        <v>Pilsen</v>
      </c>
      <c r="L28" s="1030" t="str">
        <f>INDEX('DEFAULT DATA'!$EH$9:$GM$41,L$21,$E28)</f>
        <v>-</v>
      </c>
      <c r="M28" s="1030" t="str">
        <f>INDEX('DEFAULT DATA'!$EH$9:$GM$41,M$21,$E28)</f>
        <v>-</v>
      </c>
      <c r="N28" s="1030" t="str">
        <f>INDEX('DEFAULT DATA'!$EH$9:$GM$41,N$21,$E28)</f>
        <v>-</v>
      </c>
      <c r="O28" s="1030" t="str">
        <f>INDEX('DEFAULT DATA'!$EH$9:$GM$41,O$21,$E28)</f>
        <v>Brest</v>
      </c>
      <c r="P28" s="1030" t="str">
        <f>INDEX('DEFAULT DATA'!$EH$9:$GM$41,P$21,$E28)</f>
        <v>Bochum/Gelsenkirchen</v>
      </c>
      <c r="Q28" s="1030" t="str">
        <f>INDEX('DEFAULT DATA'!$EH$9:$GM$41,Q$21,$E28)</f>
        <v>-</v>
      </c>
      <c r="R28" s="1030" t="str">
        <f>INDEX('DEFAULT DATA'!$EH$9:$GM$41,R$21,$E28)</f>
        <v>-</v>
      </c>
      <c r="S28" s="1030" t="str">
        <f>INDEX('DEFAULT DATA'!$EH$9:$GM$41,S$21,$E28)</f>
        <v>-</v>
      </c>
      <c r="T28" s="1030" t="str">
        <f>INDEX('DEFAULT DATA'!$EH$9:$GM$41,T$21,$E28)</f>
        <v>-</v>
      </c>
      <c r="U28" s="1030" t="str">
        <f>INDEX('DEFAULT DATA'!$EH$9:$GM$41,U$21,$E28)</f>
        <v>Milan</v>
      </c>
      <c r="V28" s="1030" t="str">
        <f>INDEX('DEFAULT DATA'!$EH$9:$GM$41,V$21,$E28)</f>
        <v>-</v>
      </c>
      <c r="W28" s="1030" t="str">
        <f>INDEX('DEFAULT DATA'!$EH$9:$GM$41,W$21,$E28)</f>
        <v>-</v>
      </c>
      <c r="X28" s="1030" t="str">
        <f>INDEX('DEFAULT DATA'!$EH$9:$GM$41,X$21,$E28)</f>
        <v>-</v>
      </c>
      <c r="Y28" s="1030" t="str">
        <f>INDEX('DEFAULT DATA'!$EH$9:$GM$41,Y$21,$E28)</f>
        <v>-</v>
      </c>
      <c r="Z28" s="1030" t="str">
        <f>INDEX('DEFAULT DATA'!$EH$9:$GM$41,Z$21,$E28)</f>
        <v>-</v>
      </c>
      <c r="AA28" s="1030" t="str">
        <f>INDEX('DEFAULT DATA'!$EH$9:$GM$41,AA$21,$E28)</f>
        <v>-</v>
      </c>
      <c r="AB28" s="1030" t="str">
        <f>INDEX('DEFAULT DATA'!$EH$9:$GM$41,AB$21,$E28)</f>
        <v>-</v>
      </c>
      <c r="AC28" s="1030" t="str">
        <f>INDEX('DEFAULT DATA'!$EH$9:$GM$41,AC$21,$E28)</f>
        <v>Grudziądz</v>
      </c>
      <c r="AD28" s="1030" t="str">
        <f>INDEX('DEFAULT DATA'!$EH$9:$GM$41,AD$21,$E28)</f>
        <v>-</v>
      </c>
      <c r="AE28" s="1030" t="str">
        <f>INDEX('DEFAULT DATA'!$EH$9:$GM$41,AE$21,$E28)</f>
        <v>Craiova</v>
      </c>
      <c r="AF28" s="1030" t="str">
        <f>INDEX('DEFAULT DATA'!$EH$9:$GM$41,AF$21,$E28)</f>
        <v>-</v>
      </c>
      <c r="AG28" s="1030" t="str">
        <f>INDEX('DEFAULT DATA'!$EH$9:$GM$41,AG$21,$E28)</f>
        <v>-</v>
      </c>
      <c r="AH28" s="1030" t="str">
        <f>INDEX('DEFAULT DATA'!$EH$9:$GM$41,AH$21,$E28)</f>
        <v>Murcia</v>
      </c>
      <c r="AI28" s="1030" t="str">
        <f>INDEX('DEFAULT DATA'!$EH$9:$GM$41,AI$21,$E28)</f>
        <v>-</v>
      </c>
      <c r="AJ28" s="1030" t="str">
        <f>INDEX('DEFAULT DATA'!$EH$9:$GM$41,AJ$21,$E28)</f>
        <v>Zürich</v>
      </c>
      <c r="AK28" s="1030" t="str">
        <f>INDEX('DEFAULT DATA'!$EH$9:$GM$41,AK$21,$E28)</f>
        <v>Newcastle, Tyne and Wear Metro</v>
      </c>
    </row>
    <row r="29" spans="1:37">
      <c r="A29" s="256">
        <f>A28+1</f>
        <v>2050</v>
      </c>
      <c r="B29" s="198" t="s">
        <v>1218</v>
      </c>
      <c r="E29" s="193">
        <f t="shared" si="4"/>
        <v>7</v>
      </c>
      <c r="F29" s="1030" t="str">
        <f>INDEX('DEFAULT DATA'!$EH$9:$GM$41,F$21,$E29)</f>
        <v>-</v>
      </c>
      <c r="G29" s="1030" t="str">
        <f>INDEX('DEFAULT DATA'!$EH$9:$GM$41,G$21,$E29)</f>
        <v>-</v>
      </c>
      <c r="H29" s="1030" t="str">
        <f>INDEX('DEFAULT DATA'!$EH$9:$GM$41,H$21,$E29)</f>
        <v>-</v>
      </c>
      <c r="I29" s="1030" t="str">
        <f>INDEX('DEFAULT DATA'!$EH$9:$GM$41,I$21,$E29)</f>
        <v>-</v>
      </c>
      <c r="J29" s="1030" t="str">
        <f>INDEX('DEFAULT DATA'!$EH$9:$GM$41,J$21,$E29)</f>
        <v>-</v>
      </c>
      <c r="K29" s="1030" t="str">
        <f>INDEX('DEFAULT DATA'!$EH$9:$GM$41,K$21,$E29)</f>
        <v>-</v>
      </c>
      <c r="L29" s="1030" t="str">
        <f>INDEX('DEFAULT DATA'!$EH$9:$GM$41,L$21,$E29)</f>
        <v>-</v>
      </c>
      <c r="M29" s="1030" t="str">
        <f>INDEX('DEFAULT DATA'!$EH$9:$GM$41,M$21,$E29)</f>
        <v>-</v>
      </c>
      <c r="N29" s="1030" t="str">
        <f>INDEX('DEFAULT DATA'!$EH$9:$GM$41,N$21,$E29)</f>
        <v>-</v>
      </c>
      <c r="O29" s="1030" t="str">
        <f>INDEX('DEFAULT DATA'!$EH$9:$GM$41,O$21,$E29)</f>
        <v>-</v>
      </c>
      <c r="P29" s="1030" t="str">
        <f>INDEX('DEFAULT DATA'!$EH$9:$GM$41,P$21,$E29)</f>
        <v>Bonn Stadtbahn</v>
      </c>
      <c r="Q29" s="1030" t="str">
        <f>INDEX('DEFAULT DATA'!$EH$9:$GM$41,Q$21,$E29)</f>
        <v>-</v>
      </c>
      <c r="R29" s="1030" t="str">
        <f>INDEX('DEFAULT DATA'!$EH$9:$GM$41,R$21,$E29)</f>
        <v>-</v>
      </c>
      <c r="S29" s="1030" t="str">
        <f>INDEX('DEFAULT DATA'!$EH$9:$GM$41,S$21,$E29)</f>
        <v>-</v>
      </c>
      <c r="T29" s="1030" t="str">
        <f>INDEX('DEFAULT DATA'!$EH$9:$GM$41,T$21,$E29)</f>
        <v>-</v>
      </c>
      <c r="U29" s="1030" t="str">
        <f>INDEX('DEFAULT DATA'!$EH$9:$GM$41,U$21,$E29)</f>
        <v>Naples</v>
      </c>
      <c r="V29" s="1030" t="str">
        <f>INDEX('DEFAULT DATA'!$EH$9:$GM$41,V$21,$E29)</f>
        <v>-</v>
      </c>
      <c r="W29" s="1030" t="str">
        <f>INDEX('DEFAULT DATA'!$EH$9:$GM$41,W$21,$E29)</f>
        <v>-</v>
      </c>
      <c r="X29" s="1030" t="str">
        <f>INDEX('DEFAULT DATA'!$EH$9:$GM$41,X$21,$E29)</f>
        <v>-</v>
      </c>
      <c r="Y29" s="1030" t="str">
        <f>INDEX('DEFAULT DATA'!$EH$9:$GM$41,Y$21,$E29)</f>
        <v>-</v>
      </c>
      <c r="Z29" s="1030" t="str">
        <f>INDEX('DEFAULT DATA'!$EH$9:$GM$41,Z$21,$E29)</f>
        <v>-</v>
      </c>
      <c r="AA29" s="1030" t="str">
        <f>INDEX('DEFAULT DATA'!$EH$9:$GM$41,AA$21,$E29)</f>
        <v>-</v>
      </c>
      <c r="AB29" s="1030" t="str">
        <f>INDEX('DEFAULT DATA'!$EH$9:$GM$41,AB$21,$E29)</f>
        <v>-</v>
      </c>
      <c r="AC29" s="1030" t="str">
        <f>INDEX('DEFAULT DATA'!$EH$9:$GM$41,AC$21,$E29)</f>
        <v>Katowice</v>
      </c>
      <c r="AD29" s="1030" t="str">
        <f>INDEX('DEFAULT DATA'!$EH$9:$GM$41,AD$21,$E29)</f>
        <v>-</v>
      </c>
      <c r="AE29" s="1030" t="str">
        <f>INDEX('DEFAULT DATA'!$EH$9:$GM$41,AE$21,$E29)</f>
        <v>Galați</v>
      </c>
      <c r="AF29" s="1030" t="str">
        <f>INDEX('DEFAULT DATA'!$EH$9:$GM$41,AF$21,$E29)</f>
        <v>-</v>
      </c>
      <c r="AG29" s="1030" t="str">
        <f>INDEX('DEFAULT DATA'!$EH$9:$GM$41,AG$21,$E29)</f>
        <v>-</v>
      </c>
      <c r="AH29" s="1030" t="str">
        <f>INDEX('DEFAULT DATA'!$EH$9:$GM$41,AH$21,$E29)</f>
        <v>Parla</v>
      </c>
      <c r="AI29" s="1030" t="str">
        <f>INDEX('DEFAULT DATA'!$EH$9:$GM$41,AI$21,$E29)</f>
        <v>-</v>
      </c>
      <c r="AJ29" s="1030" t="str">
        <f>INDEX('DEFAULT DATA'!$EH$9:$GM$41,AJ$21,$E29)</f>
        <v>-</v>
      </c>
      <c r="AK29" s="1030" t="str">
        <f>INDEX('DEFAULT DATA'!$EH$9:$GM$41,AK$21,$E29)</f>
        <v>Nottingham Express Transit</v>
      </c>
    </row>
    <row r="30" spans="1:37">
      <c r="B30" s="198" t="s">
        <v>1217</v>
      </c>
      <c r="E30" s="193">
        <f t="shared" si="4"/>
        <v>8</v>
      </c>
      <c r="F30" s="1030" t="str">
        <f>INDEX('DEFAULT DATA'!$EH$9:$GM$41,F$21,$E30)</f>
        <v>-</v>
      </c>
      <c r="G30" s="1030" t="str">
        <f>INDEX('DEFAULT DATA'!$EH$9:$GM$41,G$21,$E30)</f>
        <v>-</v>
      </c>
      <c r="H30" s="1030" t="str">
        <f>INDEX('DEFAULT DATA'!$EH$9:$GM$41,H$21,$E30)</f>
        <v>-</v>
      </c>
      <c r="I30" s="1030" t="str">
        <f>INDEX('DEFAULT DATA'!$EH$9:$GM$41,I$21,$E30)</f>
        <v>-</v>
      </c>
      <c r="J30" s="1030" t="str">
        <f>INDEX('DEFAULT DATA'!$EH$9:$GM$41,J$21,$E30)</f>
        <v>-</v>
      </c>
      <c r="K30" s="1030" t="str">
        <f>INDEX('DEFAULT DATA'!$EH$9:$GM$41,K$21,$E30)</f>
        <v>-</v>
      </c>
      <c r="L30" s="1030" t="str">
        <f>INDEX('DEFAULT DATA'!$EH$9:$GM$41,L$21,$E30)</f>
        <v>-</v>
      </c>
      <c r="M30" s="1030" t="str">
        <f>INDEX('DEFAULT DATA'!$EH$9:$GM$41,M$21,$E30)</f>
        <v>-</v>
      </c>
      <c r="N30" s="1030" t="str">
        <f>INDEX('DEFAULT DATA'!$EH$9:$GM$41,N$21,$E30)</f>
        <v>-</v>
      </c>
      <c r="O30" s="1030" t="str">
        <f>INDEX('DEFAULT DATA'!$EH$9:$GM$41,O$21,$E30)</f>
        <v>-</v>
      </c>
      <c r="P30" s="1030" t="str">
        <f>INDEX('DEFAULT DATA'!$EH$9:$GM$41,P$21,$E30)</f>
        <v>Bonn</v>
      </c>
      <c r="Q30" s="1030" t="str">
        <f>INDEX('DEFAULT DATA'!$EH$9:$GM$41,Q$21,$E30)</f>
        <v>-</v>
      </c>
      <c r="R30" s="1030" t="str">
        <f>INDEX('DEFAULT DATA'!$EH$9:$GM$41,R$21,$E30)</f>
        <v>-</v>
      </c>
      <c r="S30" s="1030" t="str">
        <f>INDEX('DEFAULT DATA'!$EH$9:$GM$41,S$21,$E30)</f>
        <v>-</v>
      </c>
      <c r="T30" s="1030" t="str">
        <f>INDEX('DEFAULT DATA'!$EH$9:$GM$41,T$21,$E30)</f>
        <v>-</v>
      </c>
      <c r="U30" s="1030" t="str">
        <f>INDEX('DEFAULT DATA'!$EH$9:$GM$41,U$21,$E30)</f>
        <v>Padua</v>
      </c>
      <c r="V30" s="1030" t="str">
        <f>INDEX('DEFAULT DATA'!$EH$9:$GM$41,V$21,$E30)</f>
        <v>-</v>
      </c>
      <c r="W30" s="1030" t="str">
        <f>INDEX('DEFAULT DATA'!$EH$9:$GM$41,W$21,$E30)</f>
        <v>-</v>
      </c>
      <c r="X30" s="1030" t="str">
        <f>INDEX('DEFAULT DATA'!$EH$9:$GM$41,X$21,$E30)</f>
        <v>-</v>
      </c>
      <c r="Y30" s="1030" t="str">
        <f>INDEX('DEFAULT DATA'!$EH$9:$GM$41,Y$21,$E30)</f>
        <v>-</v>
      </c>
      <c r="Z30" s="1030" t="str">
        <f>INDEX('DEFAULT DATA'!$EH$9:$GM$41,Z$21,$E30)</f>
        <v>-</v>
      </c>
      <c r="AA30" s="1030" t="str">
        <f>INDEX('DEFAULT DATA'!$EH$9:$GM$41,AA$21,$E30)</f>
        <v>-</v>
      </c>
      <c r="AB30" s="1030" t="str">
        <f>INDEX('DEFAULT DATA'!$EH$9:$GM$41,AB$21,$E30)</f>
        <v>-</v>
      </c>
      <c r="AC30" s="1030" t="str">
        <f>INDEX('DEFAULT DATA'!$EH$9:$GM$41,AC$21,$E30)</f>
        <v>Kraków</v>
      </c>
      <c r="AD30" s="1030" t="str">
        <f>INDEX('DEFAULT DATA'!$EH$9:$GM$41,AD$21,$E30)</f>
        <v>-</v>
      </c>
      <c r="AE30" s="1030" t="str">
        <f>INDEX('DEFAULT DATA'!$EH$9:$GM$41,AE$21,$E30)</f>
        <v>Iași (RATP Iași)</v>
      </c>
      <c r="AF30" s="1030" t="str">
        <f>INDEX('DEFAULT DATA'!$EH$9:$GM$41,AF$21,$E30)</f>
        <v>-</v>
      </c>
      <c r="AG30" s="1030" t="str">
        <f>INDEX('DEFAULT DATA'!$EH$9:$GM$41,AG$21,$E30)</f>
        <v>-</v>
      </c>
      <c r="AH30" s="1030" t="str">
        <f>INDEX('DEFAULT DATA'!$EH$9:$GM$41,AH$21,$E30)</f>
        <v>Santa Cruz de Tenerife</v>
      </c>
      <c r="AI30" s="1030" t="str">
        <f>INDEX('DEFAULT DATA'!$EH$9:$GM$41,AI$21,$E30)</f>
        <v>-</v>
      </c>
      <c r="AJ30" s="1030" t="str">
        <f>INDEX('DEFAULT DATA'!$EH$9:$GM$41,AJ$21,$E30)</f>
        <v>-</v>
      </c>
      <c r="AK30" s="1030" t="str">
        <f>INDEX('DEFAULT DATA'!$EH$9:$GM$41,AK$21,$E30)</f>
        <v>Sheffield Supertram</v>
      </c>
    </row>
    <row r="31" spans="1:37">
      <c r="B31" s="193" t="s">
        <v>1228</v>
      </c>
      <c r="E31" s="193">
        <f t="shared" si="4"/>
        <v>9</v>
      </c>
      <c r="F31" s="1030" t="str">
        <f>INDEX('DEFAULT DATA'!$EH$9:$GM$41,F$21,$E31)</f>
        <v>-</v>
      </c>
      <c r="G31" s="1030" t="str">
        <f>INDEX('DEFAULT DATA'!$EH$9:$GM$41,G$21,$E31)</f>
        <v>-</v>
      </c>
      <c r="H31" s="1030" t="str">
        <f>INDEX('DEFAULT DATA'!$EH$9:$GM$41,H$21,$E31)</f>
        <v>-</v>
      </c>
      <c r="I31" s="1030" t="str">
        <f>INDEX('DEFAULT DATA'!$EH$9:$GM$41,I$21,$E31)</f>
        <v>-</v>
      </c>
      <c r="J31" s="1030" t="str">
        <f>INDEX('DEFAULT DATA'!$EH$9:$GM$41,J$21,$E31)</f>
        <v>-</v>
      </c>
      <c r="K31" s="1030" t="str">
        <f>INDEX('DEFAULT DATA'!$EH$9:$GM$41,K$21,$E31)</f>
        <v>-</v>
      </c>
      <c r="L31" s="1030" t="str">
        <f>INDEX('DEFAULT DATA'!$EH$9:$GM$41,L$21,$E31)</f>
        <v>-</v>
      </c>
      <c r="M31" s="1030" t="str">
        <f>INDEX('DEFAULT DATA'!$EH$9:$GM$41,M$21,$E31)</f>
        <v>-</v>
      </c>
      <c r="N31" s="1030" t="str">
        <f>INDEX('DEFAULT DATA'!$EH$9:$GM$41,N$21,$E31)</f>
        <v>-</v>
      </c>
      <c r="O31" s="1030" t="str">
        <f>INDEX('DEFAULT DATA'!$EH$9:$GM$41,O$21,$E31)</f>
        <v>-</v>
      </c>
      <c r="P31" s="1030" t="str">
        <f>INDEX('DEFAULT DATA'!$EH$9:$GM$41,P$21,$E31)</f>
        <v>Brandenburg  and der Havel</v>
      </c>
      <c r="Q31" s="1030" t="str">
        <f>INDEX('DEFAULT DATA'!$EH$9:$GM$41,Q$21,$E31)</f>
        <v>-</v>
      </c>
      <c r="R31" s="1030" t="str">
        <f>INDEX('DEFAULT DATA'!$EH$9:$GM$41,R$21,$E31)</f>
        <v>-</v>
      </c>
      <c r="S31" s="1030" t="str">
        <f>INDEX('DEFAULT DATA'!$EH$9:$GM$41,S$21,$E31)</f>
        <v>-</v>
      </c>
      <c r="T31" s="1030" t="str">
        <f>INDEX('DEFAULT DATA'!$EH$9:$GM$41,T$21,$E31)</f>
        <v>-</v>
      </c>
      <c r="U31" s="1030" t="str">
        <f>INDEX('DEFAULT DATA'!$EH$9:$GM$41,U$21,$E31)</f>
        <v>Palermo</v>
      </c>
      <c r="V31" s="1030" t="str">
        <f>INDEX('DEFAULT DATA'!$EH$9:$GM$41,V$21,$E31)</f>
        <v>-</v>
      </c>
      <c r="W31" s="1030" t="str">
        <f>INDEX('DEFAULT DATA'!$EH$9:$GM$41,W$21,$E31)</f>
        <v>-</v>
      </c>
      <c r="X31" s="1030" t="str">
        <f>INDEX('DEFAULT DATA'!$EH$9:$GM$41,X$21,$E31)</f>
        <v>-</v>
      </c>
      <c r="Y31" s="1030" t="str">
        <f>INDEX('DEFAULT DATA'!$EH$9:$GM$41,Y$21,$E31)</f>
        <v>-</v>
      </c>
      <c r="Z31" s="1030" t="str">
        <f>INDEX('DEFAULT DATA'!$EH$9:$GM$41,Z$21,$E31)</f>
        <v>-</v>
      </c>
      <c r="AA31" s="1030" t="str">
        <f>INDEX('DEFAULT DATA'!$EH$9:$GM$41,AA$21,$E31)</f>
        <v>-</v>
      </c>
      <c r="AB31" s="1030" t="str">
        <f>INDEX('DEFAULT DATA'!$EH$9:$GM$41,AB$21,$E31)</f>
        <v>-</v>
      </c>
      <c r="AC31" s="1030" t="str">
        <f>INDEX('DEFAULT DATA'!$EH$9:$GM$41,AC$21,$E31)</f>
        <v>Kraków Fast Tram</v>
      </c>
      <c r="AD31" s="1030" t="str">
        <f>INDEX('DEFAULT DATA'!$EH$9:$GM$41,AD$21,$E31)</f>
        <v>-</v>
      </c>
      <c r="AE31" s="1030" t="str">
        <f>INDEX('DEFAULT DATA'!$EH$9:$GM$41,AE$21,$E31)</f>
        <v>Oradea</v>
      </c>
      <c r="AF31" s="1030" t="str">
        <f>INDEX('DEFAULT DATA'!$EH$9:$GM$41,AF$21,$E31)</f>
        <v>-</v>
      </c>
      <c r="AG31" s="1030" t="str">
        <f>INDEX('DEFAULT DATA'!$EH$9:$GM$41,AG$21,$E31)</f>
        <v>-</v>
      </c>
      <c r="AH31" s="1030" t="str">
        <f>INDEX('DEFAULT DATA'!$EH$9:$GM$41,AH$21,$E31)</f>
        <v>Seville</v>
      </c>
      <c r="AI31" s="1030" t="str">
        <f>INDEX('DEFAULT DATA'!$EH$9:$GM$41,AI$21,$E31)</f>
        <v>-</v>
      </c>
      <c r="AJ31" s="1030" t="str">
        <f>INDEX('DEFAULT DATA'!$EH$9:$GM$41,AJ$21,$E31)</f>
        <v>-</v>
      </c>
      <c r="AK31" s="1030" t="str">
        <f>INDEX('DEFAULT DATA'!$EH$9:$GM$41,AK$21,$E31)</f>
        <v>Docklands Light Railway</v>
      </c>
    </row>
    <row r="32" spans="1:37">
      <c r="B32" s="193" t="s">
        <v>1229</v>
      </c>
      <c r="E32" s="193">
        <f t="shared" si="4"/>
        <v>10</v>
      </c>
      <c r="F32" s="1030" t="str">
        <f>INDEX('DEFAULT DATA'!$EH$9:$GM$41,F$21,$E32)</f>
        <v>-</v>
      </c>
      <c r="G32" s="1030" t="str">
        <f>INDEX('DEFAULT DATA'!$EH$9:$GM$41,G$21,$E32)</f>
        <v>-</v>
      </c>
      <c r="H32" s="1030" t="str">
        <f>INDEX('DEFAULT DATA'!$EH$9:$GM$41,H$21,$E32)</f>
        <v>-</v>
      </c>
      <c r="I32" s="1030" t="str">
        <f>INDEX('DEFAULT DATA'!$EH$9:$GM$41,I$21,$E32)</f>
        <v>-</v>
      </c>
      <c r="J32" s="1030" t="str">
        <f>INDEX('DEFAULT DATA'!$EH$9:$GM$41,J$21,$E32)</f>
        <v>-</v>
      </c>
      <c r="K32" s="1030" t="str">
        <f>INDEX('DEFAULT DATA'!$EH$9:$GM$41,K$21,$E32)</f>
        <v>-</v>
      </c>
      <c r="L32" s="1030" t="str">
        <f>INDEX('DEFAULT DATA'!$EH$9:$GM$41,L$21,$E32)</f>
        <v>-</v>
      </c>
      <c r="M32" s="1030" t="str">
        <f>INDEX('DEFAULT DATA'!$EH$9:$GM$41,M$21,$E32)</f>
        <v>-</v>
      </c>
      <c r="N32" s="1030" t="str">
        <f>INDEX('DEFAULT DATA'!$EH$9:$GM$41,N$21,$E32)</f>
        <v>-</v>
      </c>
      <c r="O32" s="1030" t="str">
        <f>INDEX('DEFAULT DATA'!$EH$9:$GM$41,O$21,$E32)</f>
        <v>-</v>
      </c>
      <c r="P32" s="1030" t="str">
        <f>INDEX('DEFAULT DATA'!$EH$9:$GM$41,P$21,$E32)</f>
        <v>Braunschweig</v>
      </c>
      <c r="Q32" s="1030" t="str">
        <f>INDEX('DEFAULT DATA'!$EH$9:$GM$41,Q$21,$E32)</f>
        <v>-</v>
      </c>
      <c r="R32" s="1030" t="str">
        <f>INDEX('DEFAULT DATA'!$EH$9:$GM$41,R$21,$E32)</f>
        <v>-</v>
      </c>
      <c r="S32" s="1030" t="str">
        <f>INDEX('DEFAULT DATA'!$EH$9:$GM$41,S$21,$E32)</f>
        <v>-</v>
      </c>
      <c r="T32" s="1030" t="str">
        <f>INDEX('DEFAULT DATA'!$EH$9:$GM$41,T$21,$E32)</f>
        <v>-</v>
      </c>
      <c r="U32" s="1030" t="str">
        <f>INDEX('DEFAULT DATA'!$EH$9:$GM$41,U$21,$E32)</f>
        <v>Rome</v>
      </c>
      <c r="V32" s="1030" t="str">
        <f>INDEX('DEFAULT DATA'!$EH$9:$GM$41,V$21,$E32)</f>
        <v>-</v>
      </c>
      <c r="W32" s="1030" t="str">
        <f>INDEX('DEFAULT DATA'!$EH$9:$GM$41,W$21,$E32)</f>
        <v>-</v>
      </c>
      <c r="X32" s="1030" t="str">
        <f>INDEX('DEFAULT DATA'!$EH$9:$GM$41,X$21,$E32)</f>
        <v>-</v>
      </c>
      <c r="Y32" s="1030" t="str">
        <f>INDEX('DEFAULT DATA'!$EH$9:$GM$41,Y$21,$E32)</f>
        <v>-</v>
      </c>
      <c r="Z32" s="1030" t="str">
        <f>INDEX('DEFAULT DATA'!$EH$9:$GM$41,Z$21,$E32)</f>
        <v>-</v>
      </c>
      <c r="AA32" s="1030" t="str">
        <f>INDEX('DEFAULT DATA'!$EH$9:$GM$41,AA$21,$E32)</f>
        <v>-</v>
      </c>
      <c r="AB32" s="1030" t="str">
        <f>INDEX('DEFAULT DATA'!$EH$9:$GM$41,AB$21,$E32)</f>
        <v>-</v>
      </c>
      <c r="AC32" s="1030" t="str">
        <f>INDEX('DEFAULT DATA'!$EH$9:$GM$41,AC$21,$E32)</f>
        <v>Łódź</v>
      </c>
      <c r="AD32" s="1030" t="str">
        <f>INDEX('DEFAULT DATA'!$EH$9:$GM$41,AD$21,$E32)</f>
        <v>-</v>
      </c>
      <c r="AE32" s="1030" t="str">
        <f>INDEX('DEFAULT DATA'!$EH$9:$GM$41,AE$21,$E32)</f>
        <v>Ploiești</v>
      </c>
      <c r="AF32" s="1030" t="str">
        <f>INDEX('DEFAULT DATA'!$EH$9:$GM$41,AF$21,$E32)</f>
        <v>-</v>
      </c>
      <c r="AG32" s="1030" t="str">
        <f>INDEX('DEFAULT DATA'!$EH$9:$GM$41,AG$21,$E32)</f>
        <v>-</v>
      </c>
      <c r="AH32" s="1030" t="str">
        <f>INDEX('DEFAULT DATA'!$EH$9:$GM$41,AH$21,$E32)</f>
        <v>Sóller, Mallorca</v>
      </c>
      <c r="AI32" s="1030" t="str">
        <f>INDEX('DEFAULT DATA'!$EH$9:$GM$41,AI$21,$E32)</f>
        <v>-</v>
      </c>
      <c r="AJ32" s="1030" t="str">
        <f>INDEX('DEFAULT DATA'!$EH$9:$GM$41,AJ$21,$E32)</f>
        <v>-</v>
      </c>
      <c r="AK32" s="1030" t="str">
        <f>INDEX('DEFAULT DATA'!$EH$9:$GM$41,AK$21,$E32)</f>
        <v>-</v>
      </c>
    </row>
    <row r="33" spans="2:37">
      <c r="B33" s="193" t="s">
        <v>1230</v>
      </c>
      <c r="E33" s="193">
        <f t="shared" si="4"/>
        <v>11</v>
      </c>
      <c r="F33" s="1030" t="str">
        <f>INDEX('DEFAULT DATA'!$EH$9:$GM$41,F$21,$E33)</f>
        <v>-</v>
      </c>
      <c r="G33" s="1030" t="str">
        <f>INDEX('DEFAULT DATA'!$EH$9:$GM$41,G$21,$E33)</f>
        <v>-</v>
      </c>
      <c r="H33" s="1030" t="str">
        <f>INDEX('DEFAULT DATA'!$EH$9:$GM$41,H$21,$E33)</f>
        <v>-</v>
      </c>
      <c r="I33" s="1030" t="str">
        <f>INDEX('DEFAULT DATA'!$EH$9:$GM$41,I$21,$E33)</f>
        <v>-</v>
      </c>
      <c r="J33" s="1030" t="str">
        <f>INDEX('DEFAULT DATA'!$EH$9:$GM$41,J$21,$E33)</f>
        <v>-</v>
      </c>
      <c r="K33" s="1030" t="str">
        <f>INDEX('DEFAULT DATA'!$EH$9:$GM$41,K$21,$E33)</f>
        <v>-</v>
      </c>
      <c r="L33" s="1030" t="str">
        <f>INDEX('DEFAULT DATA'!$EH$9:$GM$41,L$21,$E33)</f>
        <v>-</v>
      </c>
      <c r="M33" s="1030" t="str">
        <f>INDEX('DEFAULT DATA'!$EH$9:$GM$41,M$21,$E33)</f>
        <v>-</v>
      </c>
      <c r="N33" s="1030" t="str">
        <f>INDEX('DEFAULT DATA'!$EH$9:$GM$41,N$21,$E33)</f>
        <v>-</v>
      </c>
      <c r="O33" s="1030" t="str">
        <f>INDEX('DEFAULT DATA'!$EH$9:$GM$41,O$21,$E33)</f>
        <v>-</v>
      </c>
      <c r="P33" s="1030" t="str">
        <f>INDEX('DEFAULT DATA'!$EH$9:$GM$41,P$21,$E33)</f>
        <v>Bremen</v>
      </c>
      <c r="Q33" s="1030" t="str">
        <f>INDEX('DEFAULT DATA'!$EH$9:$GM$41,Q$21,$E33)</f>
        <v>-</v>
      </c>
      <c r="R33" s="1030" t="str">
        <f>INDEX('DEFAULT DATA'!$EH$9:$GM$41,R$21,$E33)</f>
        <v>-</v>
      </c>
      <c r="S33" s="1030" t="str">
        <f>INDEX('DEFAULT DATA'!$EH$9:$GM$41,S$21,$E33)</f>
        <v>-</v>
      </c>
      <c r="T33" s="1030" t="str">
        <f>INDEX('DEFAULT DATA'!$EH$9:$GM$41,T$21,$E33)</f>
        <v>-</v>
      </c>
      <c r="U33" s="1030" t="str">
        <f>INDEX('DEFAULT DATA'!$EH$9:$GM$41,U$21,$E33)</f>
        <v>Sassari</v>
      </c>
      <c r="V33" s="1030" t="str">
        <f>INDEX('DEFAULT DATA'!$EH$9:$GM$41,V$21,$E33)</f>
        <v>-</v>
      </c>
      <c r="W33" s="1030" t="str">
        <f>INDEX('DEFAULT DATA'!$EH$9:$GM$41,W$21,$E33)</f>
        <v>-</v>
      </c>
      <c r="X33" s="1030" t="str">
        <f>INDEX('DEFAULT DATA'!$EH$9:$GM$41,X$21,$E33)</f>
        <v>-</v>
      </c>
      <c r="Y33" s="1030" t="str">
        <f>INDEX('DEFAULT DATA'!$EH$9:$GM$41,Y$21,$E33)</f>
        <v>-</v>
      </c>
      <c r="Z33" s="1030" t="str">
        <f>INDEX('DEFAULT DATA'!$EH$9:$GM$41,Z$21,$E33)</f>
        <v>-</v>
      </c>
      <c r="AA33" s="1030" t="str">
        <f>INDEX('DEFAULT DATA'!$EH$9:$GM$41,AA$21,$E33)</f>
        <v>-</v>
      </c>
      <c r="AB33" s="1030" t="str">
        <f>INDEX('DEFAULT DATA'!$EH$9:$GM$41,AB$21,$E33)</f>
        <v>-</v>
      </c>
      <c r="AC33" s="1030" t="str">
        <f>INDEX('DEFAULT DATA'!$EH$9:$GM$41,AC$21,$E33)</f>
        <v>Olsztyn</v>
      </c>
      <c r="AD33" s="1030" t="str">
        <f>INDEX('DEFAULT DATA'!$EH$9:$GM$41,AD$21,$E33)</f>
        <v>-</v>
      </c>
      <c r="AE33" s="1030" t="str">
        <f>INDEX('DEFAULT DATA'!$EH$9:$GM$41,AE$21,$E33)</f>
        <v>Timișoara</v>
      </c>
      <c r="AF33" s="1030" t="str">
        <f>INDEX('DEFAULT DATA'!$EH$9:$GM$41,AF$21,$E33)</f>
        <v>-</v>
      </c>
      <c r="AG33" s="1030" t="str">
        <f>INDEX('DEFAULT DATA'!$EH$9:$GM$41,AG$21,$E33)</f>
        <v>-</v>
      </c>
      <c r="AH33" s="1030" t="str">
        <f>INDEX('DEFAULT DATA'!$EH$9:$GM$41,AH$21,$E33)</f>
        <v>Valencia</v>
      </c>
      <c r="AI33" s="1030" t="str">
        <f>INDEX('DEFAULT DATA'!$EH$9:$GM$41,AI$21,$E33)</f>
        <v>-</v>
      </c>
      <c r="AJ33" s="1030" t="str">
        <f>INDEX('DEFAULT DATA'!$EH$9:$GM$41,AJ$21,$E33)</f>
        <v>-</v>
      </c>
      <c r="AK33" s="1030" t="str">
        <f>INDEX('DEFAULT DATA'!$EH$9:$GM$41,AK$21,$E33)</f>
        <v>-</v>
      </c>
    </row>
    <row r="34" spans="2:37">
      <c r="B34" s="193" t="s">
        <v>1231</v>
      </c>
      <c r="E34" s="193">
        <f t="shared" si="4"/>
        <v>12</v>
      </c>
      <c r="F34" s="1030" t="str">
        <f>INDEX('DEFAULT DATA'!$EH$9:$GM$41,F$21,$E34)</f>
        <v>-</v>
      </c>
      <c r="G34" s="1030" t="str">
        <f>INDEX('DEFAULT DATA'!$EH$9:$GM$41,G$21,$E34)</f>
        <v>-</v>
      </c>
      <c r="H34" s="1030" t="str">
        <f>INDEX('DEFAULT DATA'!$EH$9:$GM$41,H$21,$E34)</f>
        <v>-</v>
      </c>
      <c r="I34" s="1030" t="str">
        <f>INDEX('DEFAULT DATA'!$EH$9:$GM$41,I$21,$E34)</f>
        <v>-</v>
      </c>
      <c r="J34" s="1030" t="str">
        <f>INDEX('DEFAULT DATA'!$EH$9:$GM$41,J$21,$E34)</f>
        <v>-</v>
      </c>
      <c r="K34" s="1030" t="str">
        <f>INDEX('DEFAULT DATA'!$EH$9:$GM$41,K$21,$E34)</f>
        <v>-</v>
      </c>
      <c r="L34" s="1030" t="str">
        <f>INDEX('DEFAULT DATA'!$EH$9:$GM$41,L$21,$E34)</f>
        <v>-</v>
      </c>
      <c r="M34" s="1030" t="str">
        <f>INDEX('DEFAULT DATA'!$EH$9:$GM$41,M$21,$E34)</f>
        <v>-</v>
      </c>
      <c r="N34" s="1030" t="str">
        <f>INDEX('DEFAULT DATA'!$EH$9:$GM$41,N$21,$E34)</f>
        <v>-</v>
      </c>
      <c r="O34" s="1030" t="str">
        <f>INDEX('DEFAULT DATA'!$EH$9:$GM$41,O$21,$E34)</f>
        <v>-</v>
      </c>
      <c r="P34" s="1030" t="str">
        <f>INDEX('DEFAULT DATA'!$EH$9:$GM$41,P$21,$E34)</f>
        <v>Chemnitz</v>
      </c>
      <c r="Q34" s="1030" t="str">
        <f>INDEX('DEFAULT DATA'!$EH$9:$GM$41,Q$21,$E34)</f>
        <v>-</v>
      </c>
      <c r="R34" s="1030" t="str">
        <f>INDEX('DEFAULT DATA'!$EH$9:$GM$41,R$21,$E34)</f>
        <v>-</v>
      </c>
      <c r="S34" s="1030" t="str">
        <f>INDEX('DEFAULT DATA'!$EH$9:$GM$41,S$21,$E34)</f>
        <v>-</v>
      </c>
      <c r="T34" s="1030" t="str">
        <f>INDEX('DEFAULT DATA'!$EH$9:$GM$41,T$21,$E34)</f>
        <v>-</v>
      </c>
      <c r="U34" s="1030" t="str">
        <f>INDEX('DEFAULT DATA'!$EH$9:$GM$41,U$21,$E34)</f>
        <v>Turin</v>
      </c>
      <c r="V34" s="1030" t="str">
        <f>INDEX('DEFAULT DATA'!$EH$9:$GM$41,V$21,$E34)</f>
        <v>-</v>
      </c>
      <c r="W34" s="1030" t="str">
        <f>INDEX('DEFAULT DATA'!$EH$9:$GM$41,W$21,$E34)</f>
        <v>-</v>
      </c>
      <c r="X34" s="1030" t="str">
        <f>INDEX('DEFAULT DATA'!$EH$9:$GM$41,X$21,$E34)</f>
        <v>-</v>
      </c>
      <c r="Y34" s="1030" t="str">
        <f>INDEX('DEFAULT DATA'!$EH$9:$GM$41,Y$21,$E34)</f>
        <v>-</v>
      </c>
      <c r="Z34" s="1030" t="str">
        <f>INDEX('DEFAULT DATA'!$EH$9:$GM$41,Z$21,$E34)</f>
        <v>-</v>
      </c>
      <c r="AA34" s="1030" t="str">
        <f>INDEX('DEFAULT DATA'!$EH$9:$GM$41,AA$21,$E34)</f>
        <v>-</v>
      </c>
      <c r="AB34" s="1030" t="str">
        <f>INDEX('DEFAULT DATA'!$EH$9:$GM$41,AB$21,$E34)</f>
        <v>-</v>
      </c>
      <c r="AC34" s="1030" t="str">
        <f>INDEX('DEFAULT DATA'!$EH$9:$GM$41,AC$21,$E34)</f>
        <v>Poznań</v>
      </c>
      <c r="AD34" s="1030" t="str">
        <f>INDEX('DEFAULT DATA'!$EH$9:$GM$41,AD$21,$E34)</f>
        <v>-</v>
      </c>
      <c r="AE34" s="1030" t="str">
        <f>INDEX('DEFAULT DATA'!$EH$9:$GM$41,AE$21,$E34)</f>
        <v>-</v>
      </c>
      <c r="AF34" s="1030" t="str">
        <f>INDEX('DEFAULT DATA'!$EH$9:$GM$41,AF$21,$E34)</f>
        <v>-</v>
      </c>
      <c r="AG34" s="1030" t="str">
        <f>INDEX('DEFAULT DATA'!$EH$9:$GM$41,AG$21,$E34)</f>
        <v>-</v>
      </c>
      <c r="AH34" s="1030" t="str">
        <f>INDEX('DEFAULT DATA'!$EH$9:$GM$41,AH$21,$E34)</f>
        <v>Vitoria-Gasteiz</v>
      </c>
      <c r="AI34" s="1030" t="str">
        <f>INDEX('DEFAULT DATA'!$EH$9:$GM$41,AI$21,$E34)</f>
        <v>-</v>
      </c>
      <c r="AJ34" s="1030" t="str">
        <f>INDEX('DEFAULT DATA'!$EH$9:$GM$41,AJ$21,$E34)</f>
        <v>-</v>
      </c>
      <c r="AK34" s="1030" t="str">
        <f>INDEX('DEFAULT DATA'!$EH$9:$GM$41,AK$21,$E34)</f>
        <v>-</v>
      </c>
    </row>
    <row r="35" spans="2:37">
      <c r="B35" s="193" t="s">
        <v>1232</v>
      </c>
      <c r="E35" s="193">
        <f t="shared" si="4"/>
        <v>13</v>
      </c>
      <c r="F35" s="1030" t="str">
        <f>INDEX('DEFAULT DATA'!$EH$9:$GM$41,F$21,$E35)</f>
        <v>-</v>
      </c>
      <c r="G35" s="1030" t="str">
        <f>INDEX('DEFAULT DATA'!$EH$9:$GM$41,G$21,$E35)</f>
        <v>-</v>
      </c>
      <c r="H35" s="1030" t="str">
        <f>INDEX('DEFAULT DATA'!$EH$9:$GM$41,H$21,$E35)</f>
        <v>-</v>
      </c>
      <c r="I35" s="1030" t="str">
        <f>INDEX('DEFAULT DATA'!$EH$9:$GM$41,I$21,$E35)</f>
        <v>-</v>
      </c>
      <c r="J35" s="1030" t="str">
        <f>INDEX('DEFAULT DATA'!$EH$9:$GM$41,J$21,$E35)</f>
        <v>-</v>
      </c>
      <c r="K35" s="1030" t="str">
        <f>INDEX('DEFAULT DATA'!$EH$9:$GM$41,K$21,$E35)</f>
        <v>-</v>
      </c>
      <c r="L35" s="1030" t="str">
        <f>INDEX('DEFAULT DATA'!$EH$9:$GM$41,L$21,$E35)</f>
        <v>-</v>
      </c>
      <c r="M35" s="1030" t="str">
        <f>INDEX('DEFAULT DATA'!$EH$9:$GM$41,M$21,$E35)</f>
        <v>-</v>
      </c>
      <c r="N35" s="1030" t="str">
        <f>INDEX('DEFAULT DATA'!$EH$9:$GM$41,N$21,$E35)</f>
        <v>-</v>
      </c>
      <c r="O35" s="1030" t="str">
        <f>INDEX('DEFAULT DATA'!$EH$9:$GM$41,O$21,$E35)</f>
        <v>-</v>
      </c>
      <c r="P35" s="1030" t="str">
        <f>INDEX('DEFAULT DATA'!$EH$9:$GM$41,P$21,$E35)</f>
        <v>Cologne</v>
      </c>
      <c r="Q35" s="1030" t="str">
        <f>INDEX('DEFAULT DATA'!$EH$9:$GM$41,Q$21,$E35)</f>
        <v>-</v>
      </c>
      <c r="R35" s="1030" t="str">
        <f>INDEX('DEFAULT DATA'!$EH$9:$GM$41,R$21,$E35)</f>
        <v>-</v>
      </c>
      <c r="S35" s="1030" t="str">
        <f>INDEX('DEFAULT DATA'!$EH$9:$GM$41,S$21,$E35)</f>
        <v>-</v>
      </c>
      <c r="T35" s="1030" t="str">
        <f>INDEX('DEFAULT DATA'!$EH$9:$GM$41,T$21,$E35)</f>
        <v>-</v>
      </c>
      <c r="U35" s="1030" t="str">
        <f>INDEX('DEFAULT DATA'!$EH$9:$GM$41,U$21,$E35)</f>
        <v>Trieste–Opicina</v>
      </c>
      <c r="V35" s="1030" t="str">
        <f>INDEX('DEFAULT DATA'!$EH$9:$GM$41,V$21,$E35)</f>
        <v>-</v>
      </c>
      <c r="W35" s="1030" t="str">
        <f>INDEX('DEFAULT DATA'!$EH$9:$GM$41,W$21,$E35)</f>
        <v>-</v>
      </c>
      <c r="X35" s="1030" t="str">
        <f>INDEX('DEFAULT DATA'!$EH$9:$GM$41,X$21,$E35)</f>
        <v>-</v>
      </c>
      <c r="Y35" s="1030" t="str">
        <f>INDEX('DEFAULT DATA'!$EH$9:$GM$41,Y$21,$E35)</f>
        <v>-</v>
      </c>
      <c r="Z35" s="1030" t="str">
        <f>INDEX('DEFAULT DATA'!$EH$9:$GM$41,Z$21,$E35)</f>
        <v>-</v>
      </c>
      <c r="AA35" s="1030" t="str">
        <f>INDEX('DEFAULT DATA'!$EH$9:$GM$41,AA$21,$E35)</f>
        <v>-</v>
      </c>
      <c r="AB35" s="1030" t="str">
        <f>INDEX('DEFAULT DATA'!$EH$9:$GM$41,AB$21,$E35)</f>
        <v>-</v>
      </c>
      <c r="AC35" s="1030" t="str">
        <f>INDEX('DEFAULT DATA'!$EH$9:$GM$41,AC$21,$E35)</f>
        <v>Poznań Fast Tram</v>
      </c>
      <c r="AD35" s="1030" t="str">
        <f>INDEX('DEFAULT DATA'!$EH$9:$GM$41,AD$21,$E35)</f>
        <v>-</v>
      </c>
      <c r="AE35" s="1030" t="str">
        <f>INDEX('DEFAULT DATA'!$EH$9:$GM$41,AE$21,$E35)</f>
        <v>-</v>
      </c>
      <c r="AF35" s="1030" t="str">
        <f>INDEX('DEFAULT DATA'!$EH$9:$GM$41,AF$21,$E35)</f>
        <v>-</v>
      </c>
      <c r="AG35" s="1030" t="str">
        <f>INDEX('DEFAULT DATA'!$EH$9:$GM$41,AG$21,$E35)</f>
        <v>-</v>
      </c>
      <c r="AH35" s="1030" t="str">
        <f>INDEX('DEFAULT DATA'!$EH$9:$GM$41,AH$21,$E35)</f>
        <v>Zaragoza</v>
      </c>
      <c r="AI35" s="1030" t="str">
        <f>INDEX('DEFAULT DATA'!$EH$9:$GM$41,AI$21,$E35)</f>
        <v>-</v>
      </c>
      <c r="AJ35" s="1030" t="str">
        <f>INDEX('DEFAULT DATA'!$EH$9:$GM$41,AJ$21,$E35)</f>
        <v>-</v>
      </c>
      <c r="AK35" s="1030" t="str">
        <f>INDEX('DEFAULT DATA'!$EH$9:$GM$41,AK$21,$E35)</f>
        <v>-</v>
      </c>
    </row>
    <row r="36" spans="2:37">
      <c r="B36" s="193" t="s">
        <v>1233</v>
      </c>
      <c r="E36" s="193">
        <f t="shared" si="4"/>
        <v>14</v>
      </c>
      <c r="F36" s="1030" t="str">
        <f>INDEX('DEFAULT DATA'!$EH$9:$GM$41,F$21,$E36)</f>
        <v>-</v>
      </c>
      <c r="G36" s="1030" t="str">
        <f>INDEX('DEFAULT DATA'!$EH$9:$GM$41,G$21,$E36)</f>
        <v>-</v>
      </c>
      <c r="H36" s="1030" t="str">
        <f>INDEX('DEFAULT DATA'!$EH$9:$GM$41,H$21,$E36)</f>
        <v>-</v>
      </c>
      <c r="I36" s="1030" t="str">
        <f>INDEX('DEFAULT DATA'!$EH$9:$GM$41,I$21,$E36)</f>
        <v>-</v>
      </c>
      <c r="J36" s="1030" t="str">
        <f>INDEX('DEFAULT DATA'!$EH$9:$GM$41,J$21,$E36)</f>
        <v>-</v>
      </c>
      <c r="K36" s="1030" t="str">
        <f>INDEX('DEFAULT DATA'!$EH$9:$GM$41,K$21,$E36)</f>
        <v>-</v>
      </c>
      <c r="L36" s="1030" t="str">
        <f>INDEX('DEFAULT DATA'!$EH$9:$GM$41,L$21,$E36)</f>
        <v>-</v>
      </c>
      <c r="M36" s="1030" t="str">
        <f>INDEX('DEFAULT DATA'!$EH$9:$GM$41,M$21,$E36)</f>
        <v>-</v>
      </c>
      <c r="N36" s="1030" t="str">
        <f>INDEX('DEFAULT DATA'!$EH$9:$GM$41,N$21,$E36)</f>
        <v>-</v>
      </c>
      <c r="O36" s="1030" t="str">
        <f>INDEX('DEFAULT DATA'!$EH$9:$GM$41,O$21,$E36)</f>
        <v>-</v>
      </c>
      <c r="P36" s="1030" t="str">
        <f>INDEX('DEFAULT DATA'!$EH$9:$GM$41,P$21,$E36)</f>
        <v>Cottbus</v>
      </c>
      <c r="Q36" s="1030" t="str">
        <f>INDEX('DEFAULT DATA'!$EH$9:$GM$41,Q$21,$E36)</f>
        <v>-</v>
      </c>
      <c r="R36" s="1030" t="str">
        <f>INDEX('DEFAULT DATA'!$EH$9:$GM$41,R$21,$E36)</f>
        <v>-</v>
      </c>
      <c r="S36" s="1030" t="str">
        <f>INDEX('DEFAULT DATA'!$EH$9:$GM$41,S$21,$E36)</f>
        <v>-</v>
      </c>
      <c r="T36" s="1030" t="str">
        <f>INDEX('DEFAULT DATA'!$EH$9:$GM$41,T$21,$E36)</f>
        <v>-</v>
      </c>
      <c r="U36" s="1030" t="str">
        <f>INDEX('DEFAULT DATA'!$EH$9:$GM$41,U$21,$E36)</f>
        <v>-</v>
      </c>
      <c r="V36" s="1030" t="str">
        <f>INDEX('DEFAULT DATA'!$EH$9:$GM$41,V$21,$E36)</f>
        <v>-</v>
      </c>
      <c r="W36" s="1030" t="str">
        <f>INDEX('DEFAULT DATA'!$EH$9:$GM$41,W$21,$E36)</f>
        <v>-</v>
      </c>
      <c r="X36" s="1030" t="str">
        <f>INDEX('DEFAULT DATA'!$EH$9:$GM$41,X$21,$E36)</f>
        <v>-</v>
      </c>
      <c r="Y36" s="1030" t="str">
        <f>INDEX('DEFAULT DATA'!$EH$9:$GM$41,Y$21,$E36)</f>
        <v>-</v>
      </c>
      <c r="Z36" s="1030" t="str">
        <f>INDEX('DEFAULT DATA'!$EH$9:$GM$41,Z$21,$E36)</f>
        <v>-</v>
      </c>
      <c r="AA36" s="1030" t="str">
        <f>INDEX('DEFAULT DATA'!$EH$9:$GM$41,AA$21,$E36)</f>
        <v>-</v>
      </c>
      <c r="AB36" s="1030" t="str">
        <f>INDEX('DEFAULT DATA'!$EH$9:$GM$41,AB$21,$E36)</f>
        <v>-</v>
      </c>
      <c r="AC36" s="1030" t="str">
        <f>INDEX('DEFAULT DATA'!$EH$9:$GM$41,AC$21,$E36)</f>
        <v>Szczecin</v>
      </c>
      <c r="AD36" s="1030" t="str">
        <f>INDEX('DEFAULT DATA'!$EH$9:$GM$41,AD$21,$E36)</f>
        <v>-</v>
      </c>
      <c r="AE36" s="1030" t="str">
        <f>INDEX('DEFAULT DATA'!$EH$9:$GM$41,AE$21,$E36)</f>
        <v>-</v>
      </c>
      <c r="AF36" s="1030" t="str">
        <f>INDEX('DEFAULT DATA'!$EH$9:$GM$41,AF$21,$E36)</f>
        <v>-</v>
      </c>
      <c r="AG36" s="1030" t="str">
        <f>INDEX('DEFAULT DATA'!$EH$9:$GM$41,AG$21,$E36)</f>
        <v>-</v>
      </c>
      <c r="AH36" s="1030" t="str">
        <f>INDEX('DEFAULT DATA'!$EH$9:$GM$41,AH$21,$E36)</f>
        <v>-</v>
      </c>
      <c r="AI36" s="1030" t="str">
        <f>INDEX('DEFAULT DATA'!$EH$9:$GM$41,AI$21,$E36)</f>
        <v>-</v>
      </c>
      <c r="AJ36" s="1030" t="str">
        <f>INDEX('DEFAULT DATA'!$EH$9:$GM$41,AJ$21,$E36)</f>
        <v>-</v>
      </c>
      <c r="AK36" s="1030" t="str">
        <f>INDEX('DEFAULT DATA'!$EH$9:$GM$41,AK$21,$E36)</f>
        <v>-</v>
      </c>
    </row>
    <row r="37" spans="2:37">
      <c r="E37" s="193">
        <f t="shared" si="4"/>
        <v>15</v>
      </c>
      <c r="F37" s="1030" t="str">
        <f>INDEX('DEFAULT DATA'!$EH$9:$GM$41,F$21,$E37)</f>
        <v>-</v>
      </c>
      <c r="G37" s="1030" t="str">
        <f>INDEX('DEFAULT DATA'!$EH$9:$GM$41,G$21,$E37)</f>
        <v>-</v>
      </c>
      <c r="H37" s="1030" t="str">
        <f>INDEX('DEFAULT DATA'!$EH$9:$GM$41,H$21,$E37)</f>
        <v>-</v>
      </c>
      <c r="I37" s="1030" t="str">
        <f>INDEX('DEFAULT DATA'!$EH$9:$GM$41,I$21,$E37)</f>
        <v>-</v>
      </c>
      <c r="J37" s="1030" t="str">
        <f>INDEX('DEFAULT DATA'!$EH$9:$GM$41,J$21,$E37)</f>
        <v>-</v>
      </c>
      <c r="K37" s="1030" t="str">
        <f>INDEX('DEFAULT DATA'!$EH$9:$GM$41,K$21,$E37)</f>
        <v>-</v>
      </c>
      <c r="L37" s="1030" t="str">
        <f>INDEX('DEFAULT DATA'!$EH$9:$GM$41,L$21,$E37)</f>
        <v>-</v>
      </c>
      <c r="M37" s="1030" t="str">
        <f>INDEX('DEFAULT DATA'!$EH$9:$GM$41,M$21,$E37)</f>
        <v>-</v>
      </c>
      <c r="N37" s="1030" t="str">
        <f>INDEX('DEFAULT DATA'!$EH$9:$GM$41,N$21,$E37)</f>
        <v>-</v>
      </c>
      <c r="O37" s="1030" t="str">
        <f>INDEX('DEFAULT DATA'!$EH$9:$GM$41,O$21,$E37)</f>
        <v>-</v>
      </c>
      <c r="P37" s="1030" t="str">
        <f>INDEX('DEFAULT DATA'!$EH$9:$GM$41,P$21,$E37)</f>
        <v>Darmstadt</v>
      </c>
      <c r="Q37" s="1030" t="str">
        <f>INDEX('DEFAULT DATA'!$EH$9:$GM$41,Q$21,$E37)</f>
        <v>-</v>
      </c>
      <c r="R37" s="1030" t="str">
        <f>INDEX('DEFAULT DATA'!$EH$9:$GM$41,R$21,$E37)</f>
        <v>-</v>
      </c>
      <c r="S37" s="1030" t="str">
        <f>INDEX('DEFAULT DATA'!$EH$9:$GM$41,S$21,$E37)</f>
        <v>-</v>
      </c>
      <c r="T37" s="1030" t="str">
        <f>INDEX('DEFAULT DATA'!$EH$9:$GM$41,T$21,$E37)</f>
        <v>-</v>
      </c>
      <c r="U37" s="1030" t="str">
        <f>INDEX('DEFAULT DATA'!$EH$9:$GM$41,U$21,$E37)</f>
        <v>-</v>
      </c>
      <c r="V37" s="1030" t="str">
        <f>INDEX('DEFAULT DATA'!$EH$9:$GM$41,V$21,$E37)</f>
        <v>-</v>
      </c>
      <c r="W37" s="1030" t="str">
        <f>INDEX('DEFAULT DATA'!$EH$9:$GM$41,W$21,$E37)</f>
        <v>-</v>
      </c>
      <c r="X37" s="1030" t="str">
        <f>INDEX('DEFAULT DATA'!$EH$9:$GM$41,X$21,$E37)</f>
        <v>-</v>
      </c>
      <c r="Y37" s="1030" t="str">
        <f>INDEX('DEFAULT DATA'!$EH$9:$GM$41,Y$21,$E37)</f>
        <v>-</v>
      </c>
      <c r="Z37" s="1030" t="str">
        <f>INDEX('DEFAULT DATA'!$EH$9:$GM$41,Z$21,$E37)</f>
        <v>-</v>
      </c>
      <c r="AA37" s="1030" t="str">
        <f>INDEX('DEFAULT DATA'!$EH$9:$GM$41,AA$21,$E37)</f>
        <v>-</v>
      </c>
      <c r="AB37" s="1030" t="str">
        <f>INDEX('DEFAULT DATA'!$EH$9:$GM$41,AB$21,$E37)</f>
        <v>-</v>
      </c>
      <c r="AC37" s="1030" t="str">
        <f>INDEX('DEFAULT DATA'!$EH$9:$GM$41,AC$21,$E37)</f>
        <v>Toruń</v>
      </c>
      <c r="AD37" s="1030" t="str">
        <f>INDEX('DEFAULT DATA'!$EH$9:$GM$41,AD$21,$E37)</f>
        <v>-</v>
      </c>
      <c r="AE37" s="1030" t="str">
        <f>INDEX('DEFAULT DATA'!$EH$9:$GM$41,AE$21,$E37)</f>
        <v>-</v>
      </c>
      <c r="AF37" s="1030" t="str">
        <f>INDEX('DEFAULT DATA'!$EH$9:$GM$41,AF$21,$E37)</f>
        <v>-</v>
      </c>
      <c r="AG37" s="1030" t="str">
        <f>INDEX('DEFAULT DATA'!$EH$9:$GM$41,AG$21,$E37)</f>
        <v>-</v>
      </c>
      <c r="AH37" s="1030" t="str">
        <f>INDEX('DEFAULT DATA'!$EH$9:$GM$41,AH$21,$E37)</f>
        <v>-</v>
      </c>
      <c r="AI37" s="1030" t="str">
        <f>INDEX('DEFAULT DATA'!$EH$9:$GM$41,AI$21,$E37)</f>
        <v>-</v>
      </c>
      <c r="AJ37" s="1030" t="str">
        <f>INDEX('DEFAULT DATA'!$EH$9:$GM$41,AJ$21,$E37)</f>
        <v>-</v>
      </c>
      <c r="AK37" s="1030" t="str">
        <f>INDEX('DEFAULT DATA'!$EH$9:$GM$41,AK$21,$E37)</f>
        <v>-</v>
      </c>
    </row>
    <row r="38" spans="2:37">
      <c r="E38" s="193">
        <f t="shared" si="4"/>
        <v>16</v>
      </c>
      <c r="F38" s="1030" t="str">
        <f>INDEX('DEFAULT DATA'!$EH$9:$GM$41,F$21,$E38)</f>
        <v>-</v>
      </c>
      <c r="G38" s="1030" t="str">
        <f>INDEX('DEFAULT DATA'!$EH$9:$GM$41,G$21,$E38)</f>
        <v>-</v>
      </c>
      <c r="H38" s="1030" t="str">
        <f>INDEX('DEFAULT DATA'!$EH$9:$GM$41,H$21,$E38)</f>
        <v>-</v>
      </c>
      <c r="I38" s="1030" t="str">
        <f>INDEX('DEFAULT DATA'!$EH$9:$GM$41,I$21,$E38)</f>
        <v>-</v>
      </c>
      <c r="J38" s="1030" t="str">
        <f>INDEX('DEFAULT DATA'!$EH$9:$GM$41,J$21,$E38)</f>
        <v>-</v>
      </c>
      <c r="K38" s="1030" t="str">
        <f>INDEX('DEFAULT DATA'!$EH$9:$GM$41,K$21,$E38)</f>
        <v>-</v>
      </c>
      <c r="L38" s="1030" t="str">
        <f>INDEX('DEFAULT DATA'!$EH$9:$GM$41,L$21,$E38)</f>
        <v>-</v>
      </c>
      <c r="M38" s="1030" t="str">
        <f>INDEX('DEFAULT DATA'!$EH$9:$GM$41,M$21,$E38)</f>
        <v>-</v>
      </c>
      <c r="N38" s="1030" t="str">
        <f>INDEX('DEFAULT DATA'!$EH$9:$GM$41,N$21,$E38)</f>
        <v>-</v>
      </c>
      <c r="O38" s="1030" t="str">
        <f>INDEX('DEFAULT DATA'!$EH$9:$GM$41,O$21,$E38)</f>
        <v>-</v>
      </c>
      <c r="P38" s="1030" t="str">
        <f>INDEX('DEFAULT DATA'!$EH$9:$GM$41,P$21,$E38)</f>
        <v>Dessau</v>
      </c>
      <c r="Q38" s="1030" t="str">
        <f>INDEX('DEFAULT DATA'!$EH$9:$GM$41,Q$21,$E38)</f>
        <v>-</v>
      </c>
      <c r="R38" s="1030" t="str">
        <f>INDEX('DEFAULT DATA'!$EH$9:$GM$41,R$21,$E38)</f>
        <v>-</v>
      </c>
      <c r="S38" s="1030" t="str">
        <f>INDEX('DEFAULT DATA'!$EH$9:$GM$41,S$21,$E38)</f>
        <v>-</v>
      </c>
      <c r="T38" s="1030" t="str">
        <f>INDEX('DEFAULT DATA'!$EH$9:$GM$41,T$21,$E38)</f>
        <v>-</v>
      </c>
      <c r="U38" s="1030" t="str">
        <f>INDEX('DEFAULT DATA'!$EH$9:$GM$41,U$21,$E38)</f>
        <v>-</v>
      </c>
      <c r="V38" s="1030" t="str">
        <f>INDEX('DEFAULT DATA'!$EH$9:$GM$41,V$21,$E38)</f>
        <v>-</v>
      </c>
      <c r="W38" s="1030" t="str">
        <f>INDEX('DEFAULT DATA'!$EH$9:$GM$41,W$21,$E38)</f>
        <v>-</v>
      </c>
      <c r="X38" s="1030" t="str">
        <f>INDEX('DEFAULT DATA'!$EH$9:$GM$41,X$21,$E38)</f>
        <v>-</v>
      </c>
      <c r="Y38" s="1030" t="str">
        <f>INDEX('DEFAULT DATA'!$EH$9:$GM$41,Y$21,$E38)</f>
        <v>-</v>
      </c>
      <c r="Z38" s="1030" t="str">
        <f>INDEX('DEFAULT DATA'!$EH$9:$GM$41,Z$21,$E38)</f>
        <v>-</v>
      </c>
      <c r="AA38" s="1030" t="str">
        <f>INDEX('DEFAULT DATA'!$EH$9:$GM$41,AA$21,$E38)</f>
        <v>-</v>
      </c>
      <c r="AB38" s="1030" t="str">
        <f>INDEX('DEFAULT DATA'!$EH$9:$GM$41,AB$21,$E38)</f>
        <v>-</v>
      </c>
      <c r="AC38" s="1030" t="str">
        <f>INDEX('DEFAULT DATA'!$EH$9:$GM$41,AC$21,$E38)</f>
        <v>Warsaw</v>
      </c>
      <c r="AD38" s="1030" t="str">
        <f>INDEX('DEFAULT DATA'!$EH$9:$GM$41,AD$21,$E38)</f>
        <v>-</v>
      </c>
      <c r="AE38" s="1030" t="str">
        <f>INDEX('DEFAULT DATA'!$EH$9:$GM$41,AE$21,$E38)</f>
        <v>-</v>
      </c>
      <c r="AF38" s="1030" t="str">
        <f>INDEX('DEFAULT DATA'!$EH$9:$GM$41,AF$21,$E38)</f>
        <v>-</v>
      </c>
      <c r="AG38" s="1030" t="str">
        <f>INDEX('DEFAULT DATA'!$EH$9:$GM$41,AG$21,$E38)</f>
        <v>-</v>
      </c>
      <c r="AH38" s="1030" t="str">
        <f>INDEX('DEFAULT DATA'!$EH$9:$GM$41,AH$21,$E38)</f>
        <v>-</v>
      </c>
      <c r="AI38" s="1030" t="str">
        <f>INDEX('DEFAULT DATA'!$EH$9:$GM$41,AI$21,$E38)</f>
        <v>-</v>
      </c>
      <c r="AJ38" s="1030" t="str">
        <f>INDEX('DEFAULT DATA'!$EH$9:$GM$41,AJ$21,$E38)</f>
        <v>-</v>
      </c>
      <c r="AK38" s="1030" t="str">
        <f>INDEX('DEFAULT DATA'!$EH$9:$GM$41,AK$21,$E38)</f>
        <v>-</v>
      </c>
    </row>
    <row r="39" spans="2:37">
      <c r="E39" s="193">
        <f t="shared" si="4"/>
        <v>17</v>
      </c>
      <c r="F39" s="1030" t="str">
        <f>INDEX('DEFAULT DATA'!$EH$9:$GM$41,F$21,$E39)</f>
        <v>-</v>
      </c>
      <c r="G39" s="1030" t="str">
        <f>INDEX('DEFAULT DATA'!$EH$9:$GM$41,G$21,$E39)</f>
        <v>-</v>
      </c>
      <c r="H39" s="1030" t="str">
        <f>INDEX('DEFAULT DATA'!$EH$9:$GM$41,H$21,$E39)</f>
        <v>-</v>
      </c>
      <c r="I39" s="1030" t="str">
        <f>INDEX('DEFAULT DATA'!$EH$9:$GM$41,I$21,$E39)</f>
        <v>-</v>
      </c>
      <c r="J39" s="1030" t="str">
        <f>INDEX('DEFAULT DATA'!$EH$9:$GM$41,J$21,$E39)</f>
        <v>-</v>
      </c>
      <c r="K39" s="1030" t="str">
        <f>INDEX('DEFAULT DATA'!$EH$9:$GM$41,K$21,$E39)</f>
        <v>-</v>
      </c>
      <c r="L39" s="1030" t="str">
        <f>INDEX('DEFAULT DATA'!$EH$9:$GM$41,L$21,$E39)</f>
        <v>-</v>
      </c>
      <c r="M39" s="1030" t="str">
        <f>INDEX('DEFAULT DATA'!$EH$9:$GM$41,M$21,$E39)</f>
        <v>-</v>
      </c>
      <c r="N39" s="1030" t="str">
        <f>INDEX('DEFAULT DATA'!$EH$9:$GM$41,N$21,$E39)</f>
        <v>-</v>
      </c>
      <c r="O39" s="1030" t="str">
        <f>INDEX('DEFAULT DATA'!$EH$9:$GM$41,O$21,$E39)</f>
        <v>-</v>
      </c>
      <c r="P39" s="1030" t="str">
        <f>INDEX('DEFAULT DATA'!$EH$9:$GM$41,P$21,$E39)</f>
        <v>Dortmund</v>
      </c>
      <c r="Q39" s="1030" t="str">
        <f>INDEX('DEFAULT DATA'!$EH$9:$GM$41,Q$21,$E39)</f>
        <v>-</v>
      </c>
      <c r="R39" s="1030" t="str">
        <f>INDEX('DEFAULT DATA'!$EH$9:$GM$41,R$21,$E39)</f>
        <v>-</v>
      </c>
      <c r="S39" s="1030" t="str">
        <f>INDEX('DEFAULT DATA'!$EH$9:$GM$41,S$21,$E39)</f>
        <v>-</v>
      </c>
      <c r="T39" s="1030" t="str">
        <f>INDEX('DEFAULT DATA'!$EH$9:$GM$41,T$21,$E39)</f>
        <v>-</v>
      </c>
      <c r="U39" s="1030" t="str">
        <f>INDEX('DEFAULT DATA'!$EH$9:$GM$41,U$21,$E39)</f>
        <v>-</v>
      </c>
      <c r="V39" s="1030" t="str">
        <f>INDEX('DEFAULT DATA'!$EH$9:$GM$41,V$21,$E39)</f>
        <v>-</v>
      </c>
      <c r="W39" s="1030" t="str">
        <f>INDEX('DEFAULT DATA'!$EH$9:$GM$41,W$21,$E39)</f>
        <v>-</v>
      </c>
      <c r="X39" s="1030" t="str">
        <f>INDEX('DEFAULT DATA'!$EH$9:$GM$41,X$21,$E39)</f>
        <v>-</v>
      </c>
      <c r="Y39" s="1030" t="str">
        <f>INDEX('DEFAULT DATA'!$EH$9:$GM$41,Y$21,$E39)</f>
        <v>-</v>
      </c>
      <c r="Z39" s="1030" t="str">
        <f>INDEX('DEFAULT DATA'!$EH$9:$GM$41,Z$21,$E39)</f>
        <v>-</v>
      </c>
      <c r="AA39" s="1030" t="str">
        <f>INDEX('DEFAULT DATA'!$EH$9:$GM$41,AA$21,$E39)</f>
        <v>-</v>
      </c>
      <c r="AB39" s="1030" t="str">
        <f>INDEX('DEFAULT DATA'!$EH$9:$GM$41,AB$21,$E39)</f>
        <v>-</v>
      </c>
      <c r="AC39" s="1030" t="str">
        <f>INDEX('DEFAULT DATA'!$EH$9:$GM$41,AC$21,$E39)</f>
        <v>Wrocław</v>
      </c>
      <c r="AD39" s="1030" t="str">
        <f>INDEX('DEFAULT DATA'!$EH$9:$GM$41,AD$21,$E39)</f>
        <v>-</v>
      </c>
      <c r="AE39" s="1030" t="str">
        <f>INDEX('DEFAULT DATA'!$EH$9:$GM$41,AE$21,$E39)</f>
        <v>-</v>
      </c>
      <c r="AF39" s="1030" t="str">
        <f>INDEX('DEFAULT DATA'!$EH$9:$GM$41,AF$21,$E39)</f>
        <v>-</v>
      </c>
      <c r="AG39" s="1030" t="str">
        <f>INDEX('DEFAULT DATA'!$EH$9:$GM$41,AG$21,$E39)</f>
        <v>-</v>
      </c>
      <c r="AH39" s="1030" t="str">
        <f>INDEX('DEFAULT DATA'!$EH$9:$GM$41,AH$21,$E39)</f>
        <v>-</v>
      </c>
      <c r="AI39" s="1030" t="str">
        <f>INDEX('DEFAULT DATA'!$EH$9:$GM$41,AI$21,$E39)</f>
        <v>-</v>
      </c>
      <c r="AJ39" s="1030" t="str">
        <f>INDEX('DEFAULT DATA'!$EH$9:$GM$41,AJ$21,$E39)</f>
        <v>-</v>
      </c>
      <c r="AK39" s="1030" t="str">
        <f>INDEX('DEFAULT DATA'!$EH$9:$GM$41,AK$21,$E39)</f>
        <v>-</v>
      </c>
    </row>
    <row r="40" spans="2:37">
      <c r="E40" s="193">
        <f t="shared" si="4"/>
        <v>18</v>
      </c>
      <c r="F40" s="1030" t="str">
        <f>INDEX('DEFAULT DATA'!$EH$9:$GM$41,F$21,$E40)</f>
        <v>-</v>
      </c>
      <c r="G40" s="1030" t="str">
        <f>INDEX('DEFAULT DATA'!$EH$9:$GM$41,G$21,$E40)</f>
        <v>-</v>
      </c>
      <c r="H40" s="1030" t="str">
        <f>INDEX('DEFAULT DATA'!$EH$9:$GM$41,H$21,$E40)</f>
        <v>-</v>
      </c>
      <c r="I40" s="1030" t="str">
        <f>INDEX('DEFAULT DATA'!$EH$9:$GM$41,I$21,$E40)</f>
        <v>-</v>
      </c>
      <c r="J40" s="1030" t="str">
        <f>INDEX('DEFAULT DATA'!$EH$9:$GM$41,J$21,$E40)</f>
        <v>-</v>
      </c>
      <c r="K40" s="1030" t="str">
        <f>INDEX('DEFAULT DATA'!$EH$9:$GM$41,K$21,$E40)</f>
        <v>-</v>
      </c>
      <c r="L40" s="1030" t="str">
        <f>INDEX('DEFAULT DATA'!$EH$9:$GM$41,L$21,$E40)</f>
        <v>-</v>
      </c>
      <c r="M40" s="1030" t="str">
        <f>INDEX('DEFAULT DATA'!$EH$9:$GM$41,M$21,$E40)</f>
        <v>-</v>
      </c>
      <c r="N40" s="1030" t="str">
        <f>INDEX('DEFAULT DATA'!$EH$9:$GM$41,N$21,$E40)</f>
        <v>-</v>
      </c>
      <c r="O40" s="1030" t="str">
        <f>INDEX('DEFAULT DATA'!$EH$9:$GM$41,O$21,$E40)</f>
        <v>-</v>
      </c>
      <c r="P40" s="1030" t="str">
        <f>INDEX('DEFAULT DATA'!$EH$9:$GM$41,P$21,$E40)</f>
        <v>Dresden</v>
      </c>
      <c r="Q40" s="1030" t="str">
        <f>INDEX('DEFAULT DATA'!$EH$9:$GM$41,Q$21,$E40)</f>
        <v>-</v>
      </c>
      <c r="R40" s="1030" t="str">
        <f>INDEX('DEFAULT DATA'!$EH$9:$GM$41,R$21,$E40)</f>
        <v>-</v>
      </c>
      <c r="S40" s="1030" t="str">
        <f>INDEX('DEFAULT DATA'!$EH$9:$GM$41,S$21,$E40)</f>
        <v>-</v>
      </c>
      <c r="T40" s="1030" t="str">
        <f>INDEX('DEFAULT DATA'!$EH$9:$GM$41,T$21,$E40)</f>
        <v>-</v>
      </c>
      <c r="U40" s="1030" t="str">
        <f>INDEX('DEFAULT DATA'!$EH$9:$GM$41,U$21,$E40)</f>
        <v>-</v>
      </c>
      <c r="V40" s="1030" t="str">
        <f>INDEX('DEFAULT DATA'!$EH$9:$GM$41,V$21,$E40)</f>
        <v>-</v>
      </c>
      <c r="W40" s="1030" t="str">
        <f>INDEX('DEFAULT DATA'!$EH$9:$GM$41,W$21,$E40)</f>
        <v>-</v>
      </c>
      <c r="X40" s="1030" t="str">
        <f>INDEX('DEFAULT DATA'!$EH$9:$GM$41,X$21,$E40)</f>
        <v>-</v>
      </c>
      <c r="Y40" s="1030" t="str">
        <f>INDEX('DEFAULT DATA'!$EH$9:$GM$41,Y$21,$E40)</f>
        <v>-</v>
      </c>
      <c r="Z40" s="1030" t="str">
        <f>INDEX('DEFAULT DATA'!$EH$9:$GM$41,Z$21,$E40)</f>
        <v>-</v>
      </c>
      <c r="AA40" s="1030" t="str">
        <f>INDEX('DEFAULT DATA'!$EH$9:$GM$41,AA$21,$E40)</f>
        <v>-</v>
      </c>
      <c r="AB40" s="1030" t="str">
        <f>INDEX('DEFAULT DATA'!$EH$9:$GM$41,AB$21,$E40)</f>
        <v>-</v>
      </c>
      <c r="AC40" s="1030" t="str">
        <f>INDEX('DEFAULT DATA'!$EH$9:$GM$41,AC$21,$E40)</f>
        <v>-</v>
      </c>
      <c r="AD40" s="1030" t="str">
        <f>INDEX('DEFAULT DATA'!$EH$9:$GM$41,AD$21,$E40)</f>
        <v>-</v>
      </c>
      <c r="AE40" s="1030" t="str">
        <f>INDEX('DEFAULT DATA'!$EH$9:$GM$41,AE$21,$E40)</f>
        <v>-</v>
      </c>
      <c r="AF40" s="1030" t="str">
        <f>INDEX('DEFAULT DATA'!$EH$9:$GM$41,AF$21,$E40)</f>
        <v>-</v>
      </c>
      <c r="AG40" s="1030" t="str">
        <f>INDEX('DEFAULT DATA'!$EH$9:$GM$41,AG$21,$E40)</f>
        <v>-</v>
      </c>
      <c r="AH40" s="1030" t="str">
        <f>INDEX('DEFAULT DATA'!$EH$9:$GM$41,AH$21,$E40)</f>
        <v>-</v>
      </c>
      <c r="AI40" s="1030" t="str">
        <f>INDEX('DEFAULT DATA'!$EH$9:$GM$41,AI$21,$E40)</f>
        <v>-</v>
      </c>
      <c r="AJ40" s="1030" t="str">
        <f>INDEX('DEFAULT DATA'!$EH$9:$GM$41,AJ$21,$E40)</f>
        <v>-</v>
      </c>
      <c r="AK40" s="1030" t="str">
        <f>INDEX('DEFAULT DATA'!$EH$9:$GM$41,AK$21,$E40)</f>
        <v>-</v>
      </c>
    </row>
    <row r="41" spans="2:37">
      <c r="E41" s="193">
        <f t="shared" si="4"/>
        <v>19</v>
      </c>
      <c r="F41" s="1030" t="str">
        <f>INDEX('DEFAULT DATA'!$EH$9:$GM$41,F$21,$E41)</f>
        <v>-</v>
      </c>
      <c r="G41" s="1030" t="str">
        <f>INDEX('DEFAULT DATA'!$EH$9:$GM$41,G$21,$E41)</f>
        <v>-</v>
      </c>
      <c r="H41" s="1030" t="str">
        <f>INDEX('DEFAULT DATA'!$EH$9:$GM$41,H$21,$E41)</f>
        <v>-</v>
      </c>
      <c r="I41" s="1030" t="str">
        <f>INDEX('DEFAULT DATA'!$EH$9:$GM$41,I$21,$E41)</f>
        <v>-</v>
      </c>
      <c r="J41" s="1030" t="str">
        <f>INDEX('DEFAULT DATA'!$EH$9:$GM$41,J$21,$E41)</f>
        <v>-</v>
      </c>
      <c r="K41" s="1030" t="str">
        <f>INDEX('DEFAULT DATA'!$EH$9:$GM$41,K$21,$E41)</f>
        <v>-</v>
      </c>
      <c r="L41" s="1030" t="str">
        <f>INDEX('DEFAULT DATA'!$EH$9:$GM$41,L$21,$E41)</f>
        <v>-</v>
      </c>
      <c r="M41" s="1030" t="str">
        <f>INDEX('DEFAULT DATA'!$EH$9:$GM$41,M$21,$E41)</f>
        <v>-</v>
      </c>
      <c r="N41" s="1030" t="str">
        <f>INDEX('DEFAULT DATA'!$EH$9:$GM$41,N$21,$E41)</f>
        <v>-</v>
      </c>
      <c r="O41" s="1030" t="str">
        <f>INDEX('DEFAULT DATA'!$EH$9:$GM$41,O$21,$E41)</f>
        <v>-</v>
      </c>
      <c r="P41" s="1030" t="str">
        <f>INDEX('DEFAULT DATA'!$EH$9:$GM$41,P$21,$E41)</f>
        <v>Duisburg</v>
      </c>
      <c r="Q41" s="1030" t="str">
        <f>INDEX('DEFAULT DATA'!$EH$9:$GM$41,Q$21,$E41)</f>
        <v>-</v>
      </c>
      <c r="R41" s="1030" t="str">
        <f>INDEX('DEFAULT DATA'!$EH$9:$GM$41,R$21,$E41)</f>
        <v>-</v>
      </c>
      <c r="S41" s="1030" t="str">
        <f>INDEX('DEFAULT DATA'!$EH$9:$GM$41,S$21,$E41)</f>
        <v>-</v>
      </c>
      <c r="T41" s="1030" t="str">
        <f>INDEX('DEFAULT DATA'!$EH$9:$GM$41,T$21,$E41)</f>
        <v>-</v>
      </c>
      <c r="U41" s="1030" t="str">
        <f>INDEX('DEFAULT DATA'!$EH$9:$GM$41,U$21,$E41)</f>
        <v>-</v>
      </c>
      <c r="V41" s="1030" t="str">
        <f>INDEX('DEFAULT DATA'!$EH$9:$GM$41,V$21,$E41)</f>
        <v>-</v>
      </c>
      <c r="W41" s="1030" t="str">
        <f>INDEX('DEFAULT DATA'!$EH$9:$GM$41,W$21,$E41)</f>
        <v>-</v>
      </c>
      <c r="X41" s="1030" t="str">
        <f>INDEX('DEFAULT DATA'!$EH$9:$GM$41,X$21,$E41)</f>
        <v>-</v>
      </c>
      <c r="Y41" s="1030" t="str">
        <f>INDEX('DEFAULT DATA'!$EH$9:$GM$41,Y$21,$E41)</f>
        <v>-</v>
      </c>
      <c r="Z41" s="1030" t="str">
        <f>INDEX('DEFAULT DATA'!$EH$9:$GM$41,Z$21,$E41)</f>
        <v>-</v>
      </c>
      <c r="AA41" s="1030" t="str">
        <f>INDEX('DEFAULT DATA'!$EH$9:$GM$41,AA$21,$E41)</f>
        <v>-</v>
      </c>
      <c r="AB41" s="1030" t="str">
        <f>INDEX('DEFAULT DATA'!$EH$9:$GM$41,AB$21,$E41)</f>
        <v>-</v>
      </c>
      <c r="AC41" s="1030" t="str">
        <f>INDEX('DEFAULT DATA'!$EH$9:$GM$41,AC$21,$E41)</f>
        <v>-</v>
      </c>
      <c r="AD41" s="1030" t="str">
        <f>INDEX('DEFAULT DATA'!$EH$9:$GM$41,AD$21,$E41)</f>
        <v>-</v>
      </c>
      <c r="AE41" s="1030" t="str">
        <f>INDEX('DEFAULT DATA'!$EH$9:$GM$41,AE$21,$E41)</f>
        <v>-</v>
      </c>
      <c r="AF41" s="1030" t="str">
        <f>INDEX('DEFAULT DATA'!$EH$9:$GM$41,AF$21,$E41)</f>
        <v>-</v>
      </c>
      <c r="AG41" s="1030" t="str">
        <f>INDEX('DEFAULT DATA'!$EH$9:$GM$41,AG$21,$E41)</f>
        <v>-</v>
      </c>
      <c r="AH41" s="1030" t="str">
        <f>INDEX('DEFAULT DATA'!$EH$9:$GM$41,AH$21,$E41)</f>
        <v>-</v>
      </c>
      <c r="AI41" s="1030" t="str">
        <f>INDEX('DEFAULT DATA'!$EH$9:$GM$41,AI$21,$E41)</f>
        <v>-</v>
      </c>
      <c r="AJ41" s="1030" t="str">
        <f>INDEX('DEFAULT DATA'!$EH$9:$GM$41,AJ$21,$E41)</f>
        <v>-</v>
      </c>
      <c r="AK41" s="1030" t="str">
        <f>INDEX('DEFAULT DATA'!$EH$9:$GM$41,AK$21,$E41)</f>
        <v>-</v>
      </c>
    </row>
    <row r="42" spans="2:37">
      <c r="E42" s="193">
        <f t="shared" si="4"/>
        <v>20</v>
      </c>
      <c r="F42" s="1030" t="str">
        <f>INDEX('DEFAULT DATA'!$EH$9:$GM$41,F$21,$E42)</f>
        <v>-</v>
      </c>
      <c r="G42" s="1030" t="str">
        <f>INDEX('DEFAULT DATA'!$EH$9:$GM$41,G$21,$E42)</f>
        <v>-</v>
      </c>
      <c r="H42" s="1030" t="str">
        <f>INDEX('DEFAULT DATA'!$EH$9:$GM$41,H$21,$E42)</f>
        <v>-</v>
      </c>
      <c r="I42" s="1030" t="str">
        <f>INDEX('DEFAULT DATA'!$EH$9:$GM$41,I$21,$E42)</f>
        <v>-</v>
      </c>
      <c r="J42" s="1030" t="str">
        <f>INDEX('DEFAULT DATA'!$EH$9:$GM$41,J$21,$E42)</f>
        <v>-</v>
      </c>
      <c r="K42" s="1030" t="str">
        <f>INDEX('DEFAULT DATA'!$EH$9:$GM$41,K$21,$E42)</f>
        <v>-</v>
      </c>
      <c r="L42" s="1030" t="str">
        <f>INDEX('DEFAULT DATA'!$EH$9:$GM$41,L$21,$E42)</f>
        <v>-</v>
      </c>
      <c r="M42" s="1030" t="str">
        <f>INDEX('DEFAULT DATA'!$EH$9:$GM$41,M$21,$E42)</f>
        <v>-</v>
      </c>
      <c r="N42" s="1030" t="str">
        <f>INDEX('DEFAULT DATA'!$EH$9:$GM$41,N$21,$E42)</f>
        <v>-</v>
      </c>
      <c r="O42" s="1030" t="str">
        <f>INDEX('DEFAULT DATA'!$EH$9:$GM$41,O$21,$E42)</f>
        <v>-</v>
      </c>
      <c r="P42" s="1030" t="str">
        <f>INDEX('DEFAULT DATA'!$EH$9:$GM$41,P$21,$E42)</f>
        <v>Düsseldorf Stadtbahn</v>
      </c>
      <c r="Q42" s="1030" t="str">
        <f>INDEX('DEFAULT DATA'!$EH$9:$GM$41,Q$21,$E42)</f>
        <v>-</v>
      </c>
      <c r="R42" s="1030" t="str">
        <f>INDEX('DEFAULT DATA'!$EH$9:$GM$41,R$21,$E42)</f>
        <v>-</v>
      </c>
      <c r="S42" s="1030" t="str">
        <f>INDEX('DEFAULT DATA'!$EH$9:$GM$41,S$21,$E42)</f>
        <v>-</v>
      </c>
      <c r="T42" s="1030" t="str">
        <f>INDEX('DEFAULT DATA'!$EH$9:$GM$41,T$21,$E42)</f>
        <v>-</v>
      </c>
      <c r="U42" s="1030" t="str">
        <f>INDEX('DEFAULT DATA'!$EH$9:$GM$41,U$21,$E42)</f>
        <v>-</v>
      </c>
      <c r="V42" s="1030" t="str">
        <f>INDEX('DEFAULT DATA'!$EH$9:$GM$41,V$21,$E42)</f>
        <v>-</v>
      </c>
      <c r="W42" s="1030" t="str">
        <f>INDEX('DEFAULT DATA'!$EH$9:$GM$41,W$21,$E42)</f>
        <v>-</v>
      </c>
      <c r="X42" s="1030" t="str">
        <f>INDEX('DEFAULT DATA'!$EH$9:$GM$41,X$21,$E42)</f>
        <v>-</v>
      </c>
      <c r="Y42" s="1030" t="str">
        <f>INDEX('DEFAULT DATA'!$EH$9:$GM$41,Y$21,$E42)</f>
        <v>-</v>
      </c>
      <c r="Z42" s="1030" t="str">
        <f>INDEX('DEFAULT DATA'!$EH$9:$GM$41,Z$21,$E42)</f>
        <v>-</v>
      </c>
      <c r="AA42" s="1030" t="str">
        <f>INDEX('DEFAULT DATA'!$EH$9:$GM$41,AA$21,$E42)</f>
        <v>-</v>
      </c>
      <c r="AB42" s="1030" t="str">
        <f>INDEX('DEFAULT DATA'!$EH$9:$GM$41,AB$21,$E42)</f>
        <v>-</v>
      </c>
      <c r="AC42" s="1030" t="str">
        <f>INDEX('DEFAULT DATA'!$EH$9:$GM$41,AC$21,$E42)</f>
        <v>-</v>
      </c>
      <c r="AD42" s="1030" t="str">
        <f>INDEX('DEFAULT DATA'!$EH$9:$GM$41,AD$21,$E42)</f>
        <v>-</v>
      </c>
      <c r="AE42" s="1030" t="str">
        <f>INDEX('DEFAULT DATA'!$EH$9:$GM$41,AE$21,$E42)</f>
        <v>-</v>
      </c>
      <c r="AF42" s="1030" t="str">
        <f>INDEX('DEFAULT DATA'!$EH$9:$GM$41,AF$21,$E42)</f>
        <v>-</v>
      </c>
      <c r="AG42" s="1030" t="str">
        <f>INDEX('DEFAULT DATA'!$EH$9:$GM$41,AG$21,$E42)</f>
        <v>-</v>
      </c>
      <c r="AH42" s="1030" t="str">
        <f>INDEX('DEFAULT DATA'!$EH$9:$GM$41,AH$21,$E42)</f>
        <v>-</v>
      </c>
      <c r="AI42" s="1030" t="str">
        <f>INDEX('DEFAULT DATA'!$EH$9:$GM$41,AI$21,$E42)</f>
        <v>-</v>
      </c>
      <c r="AJ42" s="1030" t="str">
        <f>INDEX('DEFAULT DATA'!$EH$9:$GM$41,AJ$21,$E42)</f>
        <v>-</v>
      </c>
      <c r="AK42" s="1030" t="str">
        <f>INDEX('DEFAULT DATA'!$EH$9:$GM$41,AK$21,$E42)</f>
        <v>-</v>
      </c>
    </row>
    <row r="43" spans="2:37">
      <c r="E43" s="193">
        <f t="shared" si="4"/>
        <v>21</v>
      </c>
      <c r="F43" s="1030" t="str">
        <f>INDEX('DEFAULT DATA'!$EH$9:$GM$41,F$21,$E43)</f>
        <v>-</v>
      </c>
      <c r="G43" s="1030" t="str">
        <f>INDEX('DEFAULT DATA'!$EH$9:$GM$41,G$21,$E43)</f>
        <v>-</v>
      </c>
      <c r="H43" s="1030" t="str">
        <f>INDEX('DEFAULT DATA'!$EH$9:$GM$41,H$21,$E43)</f>
        <v>-</v>
      </c>
      <c r="I43" s="1030" t="str">
        <f>INDEX('DEFAULT DATA'!$EH$9:$GM$41,I$21,$E43)</f>
        <v>-</v>
      </c>
      <c r="J43" s="1030" t="str">
        <f>INDEX('DEFAULT DATA'!$EH$9:$GM$41,J$21,$E43)</f>
        <v>-</v>
      </c>
      <c r="K43" s="1030" t="str">
        <f>INDEX('DEFAULT DATA'!$EH$9:$GM$41,K$21,$E43)</f>
        <v>-</v>
      </c>
      <c r="L43" s="1030" t="str">
        <f>INDEX('DEFAULT DATA'!$EH$9:$GM$41,L$21,$E43)</f>
        <v>-</v>
      </c>
      <c r="M43" s="1030" t="str">
        <f>INDEX('DEFAULT DATA'!$EH$9:$GM$41,M$21,$E43)</f>
        <v>-</v>
      </c>
      <c r="N43" s="1030" t="str">
        <f>INDEX('DEFAULT DATA'!$EH$9:$GM$41,N$21,$E43)</f>
        <v>-</v>
      </c>
      <c r="O43" s="1030" t="str">
        <f>INDEX('DEFAULT DATA'!$EH$9:$GM$41,O$21,$E43)</f>
        <v>-</v>
      </c>
      <c r="P43" s="1030" t="str">
        <f>INDEX('DEFAULT DATA'!$EH$9:$GM$41,P$21,$E43)</f>
        <v>Düsseldorf</v>
      </c>
      <c r="Q43" s="1030" t="str">
        <f>INDEX('DEFAULT DATA'!$EH$9:$GM$41,Q$21,$E43)</f>
        <v>-</v>
      </c>
      <c r="R43" s="1030" t="str">
        <f>INDEX('DEFAULT DATA'!$EH$9:$GM$41,R$21,$E43)</f>
        <v>-</v>
      </c>
      <c r="S43" s="1030" t="str">
        <f>INDEX('DEFAULT DATA'!$EH$9:$GM$41,S$21,$E43)</f>
        <v>-</v>
      </c>
      <c r="T43" s="1030" t="str">
        <f>INDEX('DEFAULT DATA'!$EH$9:$GM$41,T$21,$E43)</f>
        <v>-</v>
      </c>
      <c r="U43" s="1030" t="str">
        <f>INDEX('DEFAULT DATA'!$EH$9:$GM$41,U$21,$E43)</f>
        <v>-</v>
      </c>
      <c r="V43" s="1030" t="str">
        <f>INDEX('DEFAULT DATA'!$EH$9:$GM$41,V$21,$E43)</f>
        <v>-</v>
      </c>
      <c r="W43" s="1030" t="str">
        <f>INDEX('DEFAULT DATA'!$EH$9:$GM$41,W$21,$E43)</f>
        <v>-</v>
      </c>
      <c r="X43" s="1030" t="str">
        <f>INDEX('DEFAULT DATA'!$EH$9:$GM$41,X$21,$E43)</f>
        <v>-</v>
      </c>
      <c r="Y43" s="1030" t="str">
        <f>INDEX('DEFAULT DATA'!$EH$9:$GM$41,Y$21,$E43)</f>
        <v>-</v>
      </c>
      <c r="Z43" s="1030" t="str">
        <f>INDEX('DEFAULT DATA'!$EH$9:$GM$41,Z$21,$E43)</f>
        <v>-</v>
      </c>
      <c r="AA43" s="1030" t="str">
        <f>INDEX('DEFAULT DATA'!$EH$9:$GM$41,AA$21,$E43)</f>
        <v>-</v>
      </c>
      <c r="AB43" s="1030" t="str">
        <f>INDEX('DEFAULT DATA'!$EH$9:$GM$41,AB$21,$E43)</f>
        <v>-</v>
      </c>
      <c r="AC43" s="1030" t="str">
        <f>INDEX('DEFAULT DATA'!$EH$9:$GM$41,AC$21,$E43)</f>
        <v>-</v>
      </c>
      <c r="AD43" s="1030" t="str">
        <f>INDEX('DEFAULT DATA'!$EH$9:$GM$41,AD$21,$E43)</f>
        <v>-</v>
      </c>
      <c r="AE43" s="1030" t="str">
        <f>INDEX('DEFAULT DATA'!$EH$9:$GM$41,AE$21,$E43)</f>
        <v>-</v>
      </c>
      <c r="AF43" s="1030" t="str">
        <f>INDEX('DEFAULT DATA'!$EH$9:$GM$41,AF$21,$E43)</f>
        <v>-</v>
      </c>
      <c r="AG43" s="1030" t="str">
        <f>INDEX('DEFAULT DATA'!$EH$9:$GM$41,AG$21,$E43)</f>
        <v>-</v>
      </c>
      <c r="AH43" s="1030" t="str">
        <f>INDEX('DEFAULT DATA'!$EH$9:$GM$41,AH$21,$E43)</f>
        <v>-</v>
      </c>
      <c r="AI43" s="1030" t="str">
        <f>INDEX('DEFAULT DATA'!$EH$9:$GM$41,AI$21,$E43)</f>
        <v>-</v>
      </c>
      <c r="AJ43" s="1030" t="str">
        <f>INDEX('DEFAULT DATA'!$EH$9:$GM$41,AJ$21,$E43)</f>
        <v>-</v>
      </c>
      <c r="AK43" s="1030" t="str">
        <f>INDEX('DEFAULT DATA'!$EH$9:$GM$41,AK$21,$E43)</f>
        <v>-</v>
      </c>
    </row>
    <row r="44" spans="2:37">
      <c r="E44" s="193">
        <f t="shared" si="4"/>
        <v>22</v>
      </c>
      <c r="F44" s="1030" t="str">
        <f>INDEX('DEFAULT DATA'!$EH$9:$GM$41,F$21,$E44)</f>
        <v>-</v>
      </c>
      <c r="G44" s="1030" t="str">
        <f>INDEX('DEFAULT DATA'!$EH$9:$GM$41,G$21,$E44)</f>
        <v>-</v>
      </c>
      <c r="H44" s="1030" t="str">
        <f>INDEX('DEFAULT DATA'!$EH$9:$GM$41,H$21,$E44)</f>
        <v>-</v>
      </c>
      <c r="I44" s="1030" t="str">
        <f>INDEX('DEFAULT DATA'!$EH$9:$GM$41,I$21,$E44)</f>
        <v>-</v>
      </c>
      <c r="J44" s="1030" t="str">
        <f>INDEX('DEFAULT DATA'!$EH$9:$GM$41,J$21,$E44)</f>
        <v>-</v>
      </c>
      <c r="K44" s="1030" t="str">
        <f>INDEX('DEFAULT DATA'!$EH$9:$GM$41,K$21,$E44)</f>
        <v>-</v>
      </c>
      <c r="L44" s="1030" t="str">
        <f>INDEX('DEFAULT DATA'!$EH$9:$GM$41,L$21,$E44)</f>
        <v>-</v>
      </c>
      <c r="M44" s="1030" t="str">
        <f>INDEX('DEFAULT DATA'!$EH$9:$GM$41,M$21,$E44)</f>
        <v>-</v>
      </c>
      <c r="N44" s="1030" t="str">
        <f>INDEX('DEFAULT DATA'!$EH$9:$GM$41,N$21,$E44)</f>
        <v>-</v>
      </c>
      <c r="O44" s="1030" t="str">
        <f>INDEX('DEFAULT DATA'!$EH$9:$GM$41,O$21,$E44)</f>
        <v>-</v>
      </c>
      <c r="P44" s="1030" t="str">
        <f>INDEX('DEFAULT DATA'!$EH$9:$GM$41,P$21,$E44)</f>
        <v>Erfurt</v>
      </c>
      <c r="Q44" s="1030" t="str">
        <f>INDEX('DEFAULT DATA'!$EH$9:$GM$41,Q$21,$E44)</f>
        <v>-</v>
      </c>
      <c r="R44" s="1030" t="str">
        <f>INDEX('DEFAULT DATA'!$EH$9:$GM$41,R$21,$E44)</f>
        <v>-</v>
      </c>
      <c r="S44" s="1030" t="str">
        <f>INDEX('DEFAULT DATA'!$EH$9:$GM$41,S$21,$E44)</f>
        <v>-</v>
      </c>
      <c r="T44" s="1030" t="str">
        <f>INDEX('DEFAULT DATA'!$EH$9:$GM$41,T$21,$E44)</f>
        <v>-</v>
      </c>
      <c r="U44" s="1030" t="str">
        <f>INDEX('DEFAULT DATA'!$EH$9:$GM$41,U$21,$E44)</f>
        <v>-</v>
      </c>
      <c r="V44" s="1030" t="str">
        <f>INDEX('DEFAULT DATA'!$EH$9:$GM$41,V$21,$E44)</f>
        <v>-</v>
      </c>
      <c r="W44" s="1030" t="str">
        <f>INDEX('DEFAULT DATA'!$EH$9:$GM$41,W$21,$E44)</f>
        <v>-</v>
      </c>
      <c r="X44" s="1030" t="str">
        <f>INDEX('DEFAULT DATA'!$EH$9:$GM$41,X$21,$E44)</f>
        <v>-</v>
      </c>
      <c r="Y44" s="1030" t="str">
        <f>INDEX('DEFAULT DATA'!$EH$9:$GM$41,Y$21,$E44)</f>
        <v>-</v>
      </c>
      <c r="Z44" s="1030" t="str">
        <f>INDEX('DEFAULT DATA'!$EH$9:$GM$41,Z$21,$E44)</f>
        <v>-</v>
      </c>
      <c r="AA44" s="1030" t="str">
        <f>INDEX('DEFAULT DATA'!$EH$9:$GM$41,AA$21,$E44)</f>
        <v>-</v>
      </c>
      <c r="AB44" s="1030" t="str">
        <f>INDEX('DEFAULT DATA'!$EH$9:$GM$41,AB$21,$E44)</f>
        <v>-</v>
      </c>
      <c r="AC44" s="1030" t="str">
        <f>INDEX('DEFAULT DATA'!$EH$9:$GM$41,AC$21,$E44)</f>
        <v>-</v>
      </c>
      <c r="AD44" s="1030" t="str">
        <f>INDEX('DEFAULT DATA'!$EH$9:$GM$41,AD$21,$E44)</f>
        <v>-</v>
      </c>
      <c r="AE44" s="1030" t="str">
        <f>INDEX('DEFAULT DATA'!$EH$9:$GM$41,AE$21,$E44)</f>
        <v>-</v>
      </c>
      <c r="AF44" s="1030" t="str">
        <f>INDEX('DEFAULT DATA'!$EH$9:$GM$41,AF$21,$E44)</f>
        <v>-</v>
      </c>
      <c r="AG44" s="1030" t="str">
        <f>INDEX('DEFAULT DATA'!$EH$9:$GM$41,AG$21,$E44)</f>
        <v>-</v>
      </c>
      <c r="AH44" s="1030" t="str">
        <f>INDEX('DEFAULT DATA'!$EH$9:$GM$41,AH$21,$E44)</f>
        <v>-</v>
      </c>
      <c r="AI44" s="1030" t="str">
        <f>INDEX('DEFAULT DATA'!$EH$9:$GM$41,AI$21,$E44)</f>
        <v>-</v>
      </c>
      <c r="AJ44" s="1030" t="str">
        <f>INDEX('DEFAULT DATA'!$EH$9:$GM$41,AJ$21,$E44)</f>
        <v>-</v>
      </c>
      <c r="AK44" s="1030" t="str">
        <f>INDEX('DEFAULT DATA'!$EH$9:$GM$41,AK$21,$E44)</f>
        <v>-</v>
      </c>
    </row>
    <row r="45" spans="2:37">
      <c r="E45" s="193">
        <f t="shared" si="4"/>
        <v>23</v>
      </c>
      <c r="F45" s="1030" t="str">
        <f>INDEX('DEFAULT DATA'!$EH$9:$GM$41,F$21,$E45)</f>
        <v>-</v>
      </c>
      <c r="G45" s="1030" t="str">
        <f>INDEX('DEFAULT DATA'!$EH$9:$GM$41,G$21,$E45)</f>
        <v>-</v>
      </c>
      <c r="H45" s="1030" t="str">
        <f>INDEX('DEFAULT DATA'!$EH$9:$GM$41,H$21,$E45)</f>
        <v>-</v>
      </c>
      <c r="I45" s="1030" t="str">
        <f>INDEX('DEFAULT DATA'!$EH$9:$GM$41,I$21,$E45)</f>
        <v>-</v>
      </c>
      <c r="J45" s="1030" t="str">
        <f>INDEX('DEFAULT DATA'!$EH$9:$GM$41,J$21,$E45)</f>
        <v>-</v>
      </c>
      <c r="K45" s="1030" t="str">
        <f>INDEX('DEFAULT DATA'!$EH$9:$GM$41,K$21,$E45)</f>
        <v>-</v>
      </c>
      <c r="L45" s="1030" t="str">
        <f>INDEX('DEFAULT DATA'!$EH$9:$GM$41,L$21,$E45)</f>
        <v>-</v>
      </c>
      <c r="M45" s="1030" t="str">
        <f>INDEX('DEFAULT DATA'!$EH$9:$GM$41,M$21,$E45)</f>
        <v>-</v>
      </c>
      <c r="N45" s="1030" t="str">
        <f>INDEX('DEFAULT DATA'!$EH$9:$GM$41,N$21,$E45)</f>
        <v>-</v>
      </c>
      <c r="O45" s="1030" t="str">
        <f>INDEX('DEFAULT DATA'!$EH$9:$GM$41,O$21,$E45)</f>
        <v>-</v>
      </c>
      <c r="P45" s="1030" t="str">
        <f>INDEX('DEFAULT DATA'!$EH$9:$GM$41,P$21,$E45)</f>
        <v>Essen Stadtbahn</v>
      </c>
      <c r="Q45" s="1030" t="str">
        <f>INDEX('DEFAULT DATA'!$EH$9:$GM$41,Q$21,$E45)</f>
        <v>-</v>
      </c>
      <c r="R45" s="1030" t="str">
        <f>INDEX('DEFAULT DATA'!$EH$9:$GM$41,R$21,$E45)</f>
        <v>-</v>
      </c>
      <c r="S45" s="1030" t="str">
        <f>INDEX('DEFAULT DATA'!$EH$9:$GM$41,S$21,$E45)</f>
        <v>-</v>
      </c>
      <c r="T45" s="1030" t="str">
        <f>INDEX('DEFAULT DATA'!$EH$9:$GM$41,T$21,$E45)</f>
        <v>-</v>
      </c>
      <c r="U45" s="1030" t="str">
        <f>INDEX('DEFAULT DATA'!$EH$9:$GM$41,U$21,$E45)</f>
        <v>-</v>
      </c>
      <c r="V45" s="1030" t="str">
        <f>INDEX('DEFAULT DATA'!$EH$9:$GM$41,V$21,$E45)</f>
        <v>-</v>
      </c>
      <c r="W45" s="1030" t="str">
        <f>INDEX('DEFAULT DATA'!$EH$9:$GM$41,W$21,$E45)</f>
        <v>-</v>
      </c>
      <c r="X45" s="1030" t="str">
        <f>INDEX('DEFAULT DATA'!$EH$9:$GM$41,X$21,$E45)</f>
        <v>-</v>
      </c>
      <c r="Y45" s="1030" t="str">
        <f>INDEX('DEFAULT DATA'!$EH$9:$GM$41,Y$21,$E45)</f>
        <v>-</v>
      </c>
      <c r="Z45" s="1030" t="str">
        <f>INDEX('DEFAULT DATA'!$EH$9:$GM$41,Z$21,$E45)</f>
        <v>-</v>
      </c>
      <c r="AA45" s="1030" t="str">
        <f>INDEX('DEFAULT DATA'!$EH$9:$GM$41,AA$21,$E45)</f>
        <v>-</v>
      </c>
      <c r="AB45" s="1030" t="str">
        <f>INDEX('DEFAULT DATA'!$EH$9:$GM$41,AB$21,$E45)</f>
        <v>-</v>
      </c>
      <c r="AC45" s="1030" t="str">
        <f>INDEX('DEFAULT DATA'!$EH$9:$GM$41,AC$21,$E45)</f>
        <v>-</v>
      </c>
      <c r="AD45" s="1030" t="str">
        <f>INDEX('DEFAULT DATA'!$EH$9:$GM$41,AD$21,$E45)</f>
        <v>-</v>
      </c>
      <c r="AE45" s="1030" t="str">
        <f>INDEX('DEFAULT DATA'!$EH$9:$GM$41,AE$21,$E45)</f>
        <v>-</v>
      </c>
      <c r="AF45" s="1030" t="str">
        <f>INDEX('DEFAULT DATA'!$EH$9:$GM$41,AF$21,$E45)</f>
        <v>-</v>
      </c>
      <c r="AG45" s="1030" t="str">
        <f>INDEX('DEFAULT DATA'!$EH$9:$GM$41,AG$21,$E45)</f>
        <v>-</v>
      </c>
      <c r="AH45" s="1030" t="str">
        <f>INDEX('DEFAULT DATA'!$EH$9:$GM$41,AH$21,$E45)</f>
        <v>-</v>
      </c>
      <c r="AI45" s="1030" t="str">
        <f>INDEX('DEFAULT DATA'!$EH$9:$GM$41,AI$21,$E45)</f>
        <v>-</v>
      </c>
      <c r="AJ45" s="1030" t="str">
        <f>INDEX('DEFAULT DATA'!$EH$9:$GM$41,AJ$21,$E45)</f>
        <v>-</v>
      </c>
      <c r="AK45" s="1030" t="str">
        <f>INDEX('DEFAULT DATA'!$EH$9:$GM$41,AK$21,$E45)</f>
        <v>-</v>
      </c>
    </row>
    <row r="46" spans="2:37">
      <c r="E46" s="193">
        <f t="shared" si="4"/>
        <v>24</v>
      </c>
      <c r="F46" s="1030" t="str">
        <f>INDEX('DEFAULT DATA'!$EH$9:$GM$41,F$21,$E46)</f>
        <v>-</v>
      </c>
      <c r="G46" s="1030" t="str">
        <f>INDEX('DEFAULT DATA'!$EH$9:$GM$41,G$21,$E46)</f>
        <v>-</v>
      </c>
      <c r="H46" s="1030" t="str">
        <f>INDEX('DEFAULT DATA'!$EH$9:$GM$41,H$21,$E46)</f>
        <v>-</v>
      </c>
      <c r="I46" s="1030" t="str">
        <f>INDEX('DEFAULT DATA'!$EH$9:$GM$41,I$21,$E46)</f>
        <v>-</v>
      </c>
      <c r="J46" s="1030" t="str">
        <f>INDEX('DEFAULT DATA'!$EH$9:$GM$41,J$21,$E46)</f>
        <v>-</v>
      </c>
      <c r="K46" s="1030" t="str">
        <f>INDEX('DEFAULT DATA'!$EH$9:$GM$41,K$21,$E46)</f>
        <v>-</v>
      </c>
      <c r="L46" s="1030" t="str">
        <f>INDEX('DEFAULT DATA'!$EH$9:$GM$41,L$21,$E46)</f>
        <v>-</v>
      </c>
      <c r="M46" s="1030" t="str">
        <f>INDEX('DEFAULT DATA'!$EH$9:$GM$41,M$21,$E46)</f>
        <v>-</v>
      </c>
      <c r="N46" s="1030" t="str">
        <f>INDEX('DEFAULT DATA'!$EH$9:$GM$41,N$21,$E46)</f>
        <v>-</v>
      </c>
      <c r="O46" s="1030" t="str">
        <f>INDEX('DEFAULT DATA'!$EH$9:$GM$41,O$21,$E46)</f>
        <v>-</v>
      </c>
      <c r="P46" s="1030" t="str">
        <f>INDEX('DEFAULT DATA'!$EH$9:$GM$41,P$21,$E46)</f>
        <v>Essen trams</v>
      </c>
      <c r="Q46" s="1030" t="str">
        <f>INDEX('DEFAULT DATA'!$EH$9:$GM$41,Q$21,$E46)</f>
        <v>-</v>
      </c>
      <c r="R46" s="1030" t="str">
        <f>INDEX('DEFAULT DATA'!$EH$9:$GM$41,R$21,$E46)</f>
        <v>-</v>
      </c>
      <c r="S46" s="1030" t="str">
        <f>INDEX('DEFAULT DATA'!$EH$9:$GM$41,S$21,$E46)</f>
        <v>-</v>
      </c>
      <c r="T46" s="1030" t="str">
        <f>INDEX('DEFAULT DATA'!$EH$9:$GM$41,T$21,$E46)</f>
        <v>-</v>
      </c>
      <c r="U46" s="1030" t="str">
        <f>INDEX('DEFAULT DATA'!$EH$9:$GM$41,U$21,$E46)</f>
        <v>-</v>
      </c>
      <c r="V46" s="1030" t="str">
        <f>INDEX('DEFAULT DATA'!$EH$9:$GM$41,V$21,$E46)</f>
        <v>-</v>
      </c>
      <c r="W46" s="1030" t="str">
        <f>INDEX('DEFAULT DATA'!$EH$9:$GM$41,W$21,$E46)</f>
        <v>-</v>
      </c>
      <c r="X46" s="1030" t="str">
        <f>INDEX('DEFAULT DATA'!$EH$9:$GM$41,X$21,$E46)</f>
        <v>-</v>
      </c>
      <c r="Y46" s="1030" t="str">
        <f>INDEX('DEFAULT DATA'!$EH$9:$GM$41,Y$21,$E46)</f>
        <v>-</v>
      </c>
      <c r="Z46" s="1030" t="str">
        <f>INDEX('DEFAULT DATA'!$EH$9:$GM$41,Z$21,$E46)</f>
        <v>-</v>
      </c>
      <c r="AA46" s="1030" t="str">
        <f>INDEX('DEFAULT DATA'!$EH$9:$GM$41,AA$21,$E46)</f>
        <v>-</v>
      </c>
      <c r="AB46" s="1030" t="str">
        <f>INDEX('DEFAULT DATA'!$EH$9:$GM$41,AB$21,$E46)</f>
        <v>-</v>
      </c>
      <c r="AC46" s="1030" t="str">
        <f>INDEX('DEFAULT DATA'!$EH$9:$GM$41,AC$21,$E46)</f>
        <v>-</v>
      </c>
      <c r="AD46" s="1030" t="str">
        <f>INDEX('DEFAULT DATA'!$EH$9:$GM$41,AD$21,$E46)</f>
        <v>-</v>
      </c>
      <c r="AE46" s="1030" t="str">
        <f>INDEX('DEFAULT DATA'!$EH$9:$GM$41,AE$21,$E46)</f>
        <v>-</v>
      </c>
      <c r="AF46" s="1030" t="str">
        <f>INDEX('DEFAULT DATA'!$EH$9:$GM$41,AF$21,$E46)</f>
        <v>-</v>
      </c>
      <c r="AG46" s="1030" t="str">
        <f>INDEX('DEFAULT DATA'!$EH$9:$GM$41,AG$21,$E46)</f>
        <v>-</v>
      </c>
      <c r="AH46" s="1030" t="str">
        <f>INDEX('DEFAULT DATA'!$EH$9:$GM$41,AH$21,$E46)</f>
        <v>-</v>
      </c>
      <c r="AI46" s="1030" t="str">
        <f>INDEX('DEFAULT DATA'!$EH$9:$GM$41,AI$21,$E46)</f>
        <v>-</v>
      </c>
      <c r="AJ46" s="1030" t="str">
        <f>INDEX('DEFAULT DATA'!$EH$9:$GM$41,AJ$21,$E46)</f>
        <v>-</v>
      </c>
      <c r="AK46" s="1030" t="str">
        <f>INDEX('DEFAULT DATA'!$EH$9:$GM$41,AK$21,$E46)</f>
        <v>-</v>
      </c>
    </row>
    <row r="47" spans="2:37">
      <c r="E47" s="193">
        <f t="shared" si="4"/>
        <v>25</v>
      </c>
      <c r="F47" s="1030" t="str">
        <f>INDEX('DEFAULT DATA'!$EH$9:$GM$41,F$21,$E47)</f>
        <v>-</v>
      </c>
      <c r="G47" s="1030" t="str">
        <f>INDEX('DEFAULT DATA'!$EH$9:$GM$41,G$21,$E47)</f>
        <v>-</v>
      </c>
      <c r="H47" s="1030" t="str">
        <f>INDEX('DEFAULT DATA'!$EH$9:$GM$41,H$21,$E47)</f>
        <v>-</v>
      </c>
      <c r="I47" s="1030" t="str">
        <f>INDEX('DEFAULT DATA'!$EH$9:$GM$41,I$21,$E47)</f>
        <v>-</v>
      </c>
      <c r="J47" s="1030" t="str">
        <f>INDEX('DEFAULT DATA'!$EH$9:$GM$41,J$21,$E47)</f>
        <v>-</v>
      </c>
      <c r="K47" s="1030" t="str">
        <f>INDEX('DEFAULT DATA'!$EH$9:$GM$41,K$21,$E47)</f>
        <v>-</v>
      </c>
      <c r="L47" s="1030" t="str">
        <f>INDEX('DEFAULT DATA'!$EH$9:$GM$41,L$21,$E47)</f>
        <v>-</v>
      </c>
      <c r="M47" s="1030" t="str">
        <f>INDEX('DEFAULT DATA'!$EH$9:$GM$41,M$21,$E47)</f>
        <v>-</v>
      </c>
      <c r="N47" s="1030" t="str">
        <f>INDEX('DEFAULT DATA'!$EH$9:$GM$41,N$21,$E47)</f>
        <v>-</v>
      </c>
      <c r="O47" s="1030" t="str">
        <f>INDEX('DEFAULT DATA'!$EH$9:$GM$41,O$21,$E47)</f>
        <v>-</v>
      </c>
      <c r="P47" s="1030" t="str">
        <f>INDEX('DEFAULT DATA'!$EH$9:$GM$41,P$21,$E47)</f>
        <v>Frankfurt am Main U-Bahn</v>
      </c>
      <c r="Q47" s="1030" t="str">
        <f>INDEX('DEFAULT DATA'!$EH$9:$GM$41,Q$21,$E47)</f>
        <v>-</v>
      </c>
      <c r="R47" s="1030" t="str">
        <f>INDEX('DEFAULT DATA'!$EH$9:$GM$41,R$21,$E47)</f>
        <v>-</v>
      </c>
      <c r="S47" s="1030" t="str">
        <f>INDEX('DEFAULT DATA'!$EH$9:$GM$41,S$21,$E47)</f>
        <v>-</v>
      </c>
      <c r="T47" s="1030" t="str">
        <f>INDEX('DEFAULT DATA'!$EH$9:$GM$41,T$21,$E47)</f>
        <v>-</v>
      </c>
      <c r="U47" s="1030" t="str">
        <f>INDEX('DEFAULT DATA'!$EH$9:$GM$41,U$21,$E47)</f>
        <v>-</v>
      </c>
      <c r="V47" s="1030" t="str">
        <f>INDEX('DEFAULT DATA'!$EH$9:$GM$41,V$21,$E47)</f>
        <v>-</v>
      </c>
      <c r="W47" s="1030" t="str">
        <f>INDEX('DEFAULT DATA'!$EH$9:$GM$41,W$21,$E47)</f>
        <v>-</v>
      </c>
      <c r="X47" s="1030" t="str">
        <f>INDEX('DEFAULT DATA'!$EH$9:$GM$41,X$21,$E47)</f>
        <v>-</v>
      </c>
      <c r="Y47" s="1030" t="str">
        <f>INDEX('DEFAULT DATA'!$EH$9:$GM$41,Y$21,$E47)</f>
        <v>-</v>
      </c>
      <c r="Z47" s="1030" t="str">
        <f>INDEX('DEFAULT DATA'!$EH$9:$GM$41,Z$21,$E47)</f>
        <v>-</v>
      </c>
      <c r="AA47" s="1030" t="str">
        <f>INDEX('DEFAULT DATA'!$EH$9:$GM$41,AA$21,$E47)</f>
        <v>-</v>
      </c>
      <c r="AB47" s="1030" t="str">
        <f>INDEX('DEFAULT DATA'!$EH$9:$GM$41,AB$21,$E47)</f>
        <v>-</v>
      </c>
      <c r="AC47" s="1030" t="str">
        <f>INDEX('DEFAULT DATA'!$EH$9:$GM$41,AC$21,$E47)</f>
        <v>-</v>
      </c>
      <c r="AD47" s="1030" t="str">
        <f>INDEX('DEFAULT DATA'!$EH$9:$GM$41,AD$21,$E47)</f>
        <v>-</v>
      </c>
      <c r="AE47" s="1030" t="str">
        <f>INDEX('DEFAULT DATA'!$EH$9:$GM$41,AE$21,$E47)</f>
        <v>-</v>
      </c>
      <c r="AF47" s="1030" t="str">
        <f>INDEX('DEFAULT DATA'!$EH$9:$GM$41,AF$21,$E47)</f>
        <v>-</v>
      </c>
      <c r="AG47" s="1030" t="str">
        <f>INDEX('DEFAULT DATA'!$EH$9:$GM$41,AG$21,$E47)</f>
        <v>-</v>
      </c>
      <c r="AH47" s="1030" t="str">
        <f>INDEX('DEFAULT DATA'!$EH$9:$GM$41,AH$21,$E47)</f>
        <v>-</v>
      </c>
      <c r="AI47" s="1030" t="str">
        <f>INDEX('DEFAULT DATA'!$EH$9:$GM$41,AI$21,$E47)</f>
        <v>-</v>
      </c>
      <c r="AJ47" s="1030" t="str">
        <f>INDEX('DEFAULT DATA'!$EH$9:$GM$41,AJ$21,$E47)</f>
        <v>-</v>
      </c>
      <c r="AK47" s="1030" t="str">
        <f>INDEX('DEFAULT DATA'!$EH$9:$GM$41,AK$21,$E47)</f>
        <v>-</v>
      </c>
    </row>
    <row r="48" spans="2:37">
      <c r="E48" s="193">
        <f t="shared" si="4"/>
        <v>26</v>
      </c>
      <c r="F48" s="1030" t="str">
        <f>INDEX('DEFAULT DATA'!$EH$9:$GM$41,F$21,$E48)</f>
        <v>-</v>
      </c>
      <c r="G48" s="1030" t="str">
        <f>INDEX('DEFAULT DATA'!$EH$9:$GM$41,G$21,$E48)</f>
        <v>-</v>
      </c>
      <c r="H48" s="1030" t="str">
        <f>INDEX('DEFAULT DATA'!$EH$9:$GM$41,H$21,$E48)</f>
        <v>-</v>
      </c>
      <c r="I48" s="1030" t="str">
        <f>INDEX('DEFAULT DATA'!$EH$9:$GM$41,I$21,$E48)</f>
        <v>-</v>
      </c>
      <c r="J48" s="1030" t="str">
        <f>INDEX('DEFAULT DATA'!$EH$9:$GM$41,J$21,$E48)</f>
        <v>-</v>
      </c>
      <c r="K48" s="1030" t="str">
        <f>INDEX('DEFAULT DATA'!$EH$9:$GM$41,K$21,$E48)</f>
        <v>-</v>
      </c>
      <c r="L48" s="1030" t="str">
        <f>INDEX('DEFAULT DATA'!$EH$9:$GM$41,L$21,$E48)</f>
        <v>-</v>
      </c>
      <c r="M48" s="1030" t="str">
        <f>INDEX('DEFAULT DATA'!$EH$9:$GM$41,M$21,$E48)</f>
        <v>-</v>
      </c>
      <c r="N48" s="1030" t="str">
        <f>INDEX('DEFAULT DATA'!$EH$9:$GM$41,N$21,$E48)</f>
        <v>-</v>
      </c>
      <c r="O48" s="1030" t="str">
        <f>INDEX('DEFAULT DATA'!$EH$9:$GM$41,O$21,$E48)</f>
        <v>-</v>
      </c>
      <c r="P48" s="1030" t="str">
        <f>INDEX('DEFAULT DATA'!$EH$9:$GM$41,P$21,$E48)</f>
        <v>Frankfurt am Main</v>
      </c>
      <c r="Q48" s="1030" t="str">
        <f>INDEX('DEFAULT DATA'!$EH$9:$GM$41,Q$21,$E48)</f>
        <v>-</v>
      </c>
      <c r="R48" s="1030" t="str">
        <f>INDEX('DEFAULT DATA'!$EH$9:$GM$41,R$21,$E48)</f>
        <v>-</v>
      </c>
      <c r="S48" s="1030" t="str">
        <f>INDEX('DEFAULT DATA'!$EH$9:$GM$41,S$21,$E48)</f>
        <v>-</v>
      </c>
      <c r="T48" s="1030" t="str">
        <f>INDEX('DEFAULT DATA'!$EH$9:$GM$41,T$21,$E48)</f>
        <v>-</v>
      </c>
      <c r="U48" s="1030" t="str">
        <f>INDEX('DEFAULT DATA'!$EH$9:$GM$41,U$21,$E48)</f>
        <v>-</v>
      </c>
      <c r="V48" s="1030" t="str">
        <f>INDEX('DEFAULT DATA'!$EH$9:$GM$41,V$21,$E48)</f>
        <v>-</v>
      </c>
      <c r="W48" s="1030" t="str">
        <f>INDEX('DEFAULT DATA'!$EH$9:$GM$41,W$21,$E48)</f>
        <v>-</v>
      </c>
      <c r="X48" s="1030" t="str">
        <f>INDEX('DEFAULT DATA'!$EH$9:$GM$41,X$21,$E48)</f>
        <v>-</v>
      </c>
      <c r="Y48" s="1030" t="str">
        <f>INDEX('DEFAULT DATA'!$EH$9:$GM$41,Y$21,$E48)</f>
        <v>-</v>
      </c>
      <c r="Z48" s="1030" t="str">
        <f>INDEX('DEFAULT DATA'!$EH$9:$GM$41,Z$21,$E48)</f>
        <v>-</v>
      </c>
      <c r="AA48" s="1030" t="str">
        <f>INDEX('DEFAULT DATA'!$EH$9:$GM$41,AA$21,$E48)</f>
        <v>-</v>
      </c>
      <c r="AB48" s="1030" t="str">
        <f>INDEX('DEFAULT DATA'!$EH$9:$GM$41,AB$21,$E48)</f>
        <v>-</v>
      </c>
      <c r="AC48" s="1030" t="str">
        <f>INDEX('DEFAULT DATA'!$EH$9:$GM$41,AC$21,$E48)</f>
        <v>-</v>
      </c>
      <c r="AD48" s="1030" t="str">
        <f>INDEX('DEFAULT DATA'!$EH$9:$GM$41,AD$21,$E48)</f>
        <v>-</v>
      </c>
      <c r="AE48" s="1030" t="str">
        <f>INDEX('DEFAULT DATA'!$EH$9:$GM$41,AE$21,$E48)</f>
        <v>-</v>
      </c>
      <c r="AF48" s="1030" t="str">
        <f>INDEX('DEFAULT DATA'!$EH$9:$GM$41,AF$21,$E48)</f>
        <v>-</v>
      </c>
      <c r="AG48" s="1030" t="str">
        <f>INDEX('DEFAULT DATA'!$EH$9:$GM$41,AG$21,$E48)</f>
        <v>-</v>
      </c>
      <c r="AH48" s="1030" t="str">
        <f>INDEX('DEFAULT DATA'!$EH$9:$GM$41,AH$21,$E48)</f>
        <v>-</v>
      </c>
      <c r="AI48" s="1030" t="str">
        <f>INDEX('DEFAULT DATA'!$EH$9:$GM$41,AI$21,$E48)</f>
        <v>-</v>
      </c>
      <c r="AJ48" s="1030" t="str">
        <f>INDEX('DEFAULT DATA'!$EH$9:$GM$41,AJ$21,$E48)</f>
        <v>-</v>
      </c>
      <c r="AK48" s="1030" t="str">
        <f>INDEX('DEFAULT DATA'!$EH$9:$GM$41,AK$21,$E48)</f>
        <v>-</v>
      </c>
    </row>
    <row r="49" spans="5:37">
      <c r="E49" s="193">
        <f t="shared" si="4"/>
        <v>27</v>
      </c>
      <c r="F49" s="1030" t="str">
        <f>INDEX('DEFAULT DATA'!$EH$9:$GM$41,F$21,$E49)</f>
        <v>-</v>
      </c>
      <c r="G49" s="1030" t="str">
        <f>INDEX('DEFAULT DATA'!$EH$9:$GM$41,G$21,$E49)</f>
        <v>-</v>
      </c>
      <c r="H49" s="1030" t="str">
        <f>INDEX('DEFAULT DATA'!$EH$9:$GM$41,H$21,$E49)</f>
        <v>-</v>
      </c>
      <c r="I49" s="1030" t="str">
        <f>INDEX('DEFAULT DATA'!$EH$9:$GM$41,I$21,$E49)</f>
        <v>-</v>
      </c>
      <c r="J49" s="1030" t="str">
        <f>INDEX('DEFAULT DATA'!$EH$9:$GM$41,J$21,$E49)</f>
        <v>-</v>
      </c>
      <c r="K49" s="1030" t="str">
        <f>INDEX('DEFAULT DATA'!$EH$9:$GM$41,K$21,$E49)</f>
        <v>-</v>
      </c>
      <c r="L49" s="1030" t="str">
        <f>INDEX('DEFAULT DATA'!$EH$9:$GM$41,L$21,$E49)</f>
        <v>-</v>
      </c>
      <c r="M49" s="1030" t="str">
        <f>INDEX('DEFAULT DATA'!$EH$9:$GM$41,M$21,$E49)</f>
        <v>-</v>
      </c>
      <c r="N49" s="1030" t="str">
        <f>INDEX('DEFAULT DATA'!$EH$9:$GM$41,N$21,$E49)</f>
        <v>-</v>
      </c>
      <c r="O49" s="1030" t="str">
        <f>INDEX('DEFAULT DATA'!$EH$9:$GM$41,O$21,$E49)</f>
        <v>-</v>
      </c>
      <c r="P49" s="1030" t="str">
        <f>INDEX('DEFAULT DATA'!$EH$9:$GM$41,P$21,$E49)</f>
        <v>Frankfurt (Oder)</v>
      </c>
      <c r="Q49" s="1030" t="str">
        <f>INDEX('DEFAULT DATA'!$EH$9:$GM$41,Q$21,$E49)</f>
        <v>-</v>
      </c>
      <c r="R49" s="1030" t="str">
        <f>INDEX('DEFAULT DATA'!$EH$9:$GM$41,R$21,$E49)</f>
        <v>-</v>
      </c>
      <c r="S49" s="1030" t="str">
        <f>INDEX('DEFAULT DATA'!$EH$9:$GM$41,S$21,$E49)</f>
        <v>-</v>
      </c>
      <c r="T49" s="1030" t="str">
        <f>INDEX('DEFAULT DATA'!$EH$9:$GM$41,T$21,$E49)</f>
        <v>-</v>
      </c>
      <c r="U49" s="1030" t="str">
        <f>INDEX('DEFAULT DATA'!$EH$9:$GM$41,U$21,$E49)</f>
        <v>-</v>
      </c>
      <c r="V49" s="1030" t="str">
        <f>INDEX('DEFAULT DATA'!$EH$9:$GM$41,V$21,$E49)</f>
        <v>-</v>
      </c>
      <c r="W49" s="1030" t="str">
        <f>INDEX('DEFAULT DATA'!$EH$9:$GM$41,W$21,$E49)</f>
        <v>-</v>
      </c>
      <c r="X49" s="1030" t="str">
        <f>INDEX('DEFAULT DATA'!$EH$9:$GM$41,X$21,$E49)</f>
        <v>-</v>
      </c>
      <c r="Y49" s="1030" t="str">
        <f>INDEX('DEFAULT DATA'!$EH$9:$GM$41,Y$21,$E49)</f>
        <v>-</v>
      </c>
      <c r="Z49" s="1030" t="str">
        <f>INDEX('DEFAULT DATA'!$EH$9:$GM$41,Z$21,$E49)</f>
        <v>-</v>
      </c>
      <c r="AA49" s="1030" t="str">
        <f>INDEX('DEFAULT DATA'!$EH$9:$GM$41,AA$21,$E49)</f>
        <v>-</v>
      </c>
      <c r="AB49" s="1030" t="str">
        <f>INDEX('DEFAULT DATA'!$EH$9:$GM$41,AB$21,$E49)</f>
        <v>-</v>
      </c>
      <c r="AC49" s="1030" t="str">
        <f>INDEX('DEFAULT DATA'!$EH$9:$GM$41,AC$21,$E49)</f>
        <v>-</v>
      </c>
      <c r="AD49" s="1030" t="str">
        <f>INDEX('DEFAULT DATA'!$EH$9:$GM$41,AD$21,$E49)</f>
        <v>-</v>
      </c>
      <c r="AE49" s="1030" t="str">
        <f>INDEX('DEFAULT DATA'!$EH$9:$GM$41,AE$21,$E49)</f>
        <v>-</v>
      </c>
      <c r="AF49" s="1030" t="str">
        <f>INDEX('DEFAULT DATA'!$EH$9:$GM$41,AF$21,$E49)</f>
        <v>-</v>
      </c>
      <c r="AG49" s="1030" t="str">
        <f>INDEX('DEFAULT DATA'!$EH$9:$GM$41,AG$21,$E49)</f>
        <v>-</v>
      </c>
      <c r="AH49" s="1030" t="str">
        <f>INDEX('DEFAULT DATA'!$EH$9:$GM$41,AH$21,$E49)</f>
        <v>-</v>
      </c>
      <c r="AI49" s="1030" t="str">
        <f>INDEX('DEFAULT DATA'!$EH$9:$GM$41,AI$21,$E49)</f>
        <v>-</v>
      </c>
      <c r="AJ49" s="1030" t="str">
        <f>INDEX('DEFAULT DATA'!$EH$9:$GM$41,AJ$21,$E49)</f>
        <v>-</v>
      </c>
      <c r="AK49" s="1030" t="str">
        <f>INDEX('DEFAULT DATA'!$EH$9:$GM$41,AK$21,$E49)</f>
        <v>-</v>
      </c>
    </row>
    <row r="50" spans="5:37">
      <c r="E50" s="193">
        <f t="shared" si="4"/>
        <v>28</v>
      </c>
      <c r="F50" s="1030" t="str">
        <f>INDEX('DEFAULT DATA'!$EH$9:$GM$41,F$21,$E50)</f>
        <v>-</v>
      </c>
      <c r="G50" s="1030" t="str">
        <f>INDEX('DEFAULT DATA'!$EH$9:$GM$41,G$21,$E50)</f>
        <v>-</v>
      </c>
      <c r="H50" s="1030" t="str">
        <f>INDEX('DEFAULT DATA'!$EH$9:$GM$41,H$21,$E50)</f>
        <v>-</v>
      </c>
      <c r="I50" s="1030" t="str">
        <f>INDEX('DEFAULT DATA'!$EH$9:$GM$41,I$21,$E50)</f>
        <v>-</v>
      </c>
      <c r="J50" s="1030" t="str">
        <f>INDEX('DEFAULT DATA'!$EH$9:$GM$41,J$21,$E50)</f>
        <v>-</v>
      </c>
      <c r="K50" s="1030" t="str">
        <f>INDEX('DEFAULT DATA'!$EH$9:$GM$41,K$21,$E50)</f>
        <v>-</v>
      </c>
      <c r="L50" s="1030" t="str">
        <f>INDEX('DEFAULT DATA'!$EH$9:$GM$41,L$21,$E50)</f>
        <v>-</v>
      </c>
      <c r="M50" s="1030" t="str">
        <f>INDEX('DEFAULT DATA'!$EH$9:$GM$41,M$21,$E50)</f>
        <v>-</v>
      </c>
      <c r="N50" s="1030" t="str">
        <f>INDEX('DEFAULT DATA'!$EH$9:$GM$41,N$21,$E50)</f>
        <v>-</v>
      </c>
      <c r="O50" s="1030" t="str">
        <f>INDEX('DEFAULT DATA'!$EH$9:$GM$41,O$21,$E50)</f>
        <v>-</v>
      </c>
      <c r="P50" s="1030" t="str">
        <f>INDEX('DEFAULT DATA'!$EH$9:$GM$41,P$21,$E50)</f>
        <v>Freiburg im Breisgau</v>
      </c>
      <c r="Q50" s="1030" t="str">
        <f>INDEX('DEFAULT DATA'!$EH$9:$GM$41,Q$21,$E50)</f>
        <v>-</v>
      </c>
      <c r="R50" s="1030" t="str">
        <f>INDEX('DEFAULT DATA'!$EH$9:$GM$41,R$21,$E50)</f>
        <v>-</v>
      </c>
      <c r="S50" s="1030" t="str">
        <f>INDEX('DEFAULT DATA'!$EH$9:$GM$41,S$21,$E50)</f>
        <v>-</v>
      </c>
      <c r="T50" s="1030" t="str">
        <f>INDEX('DEFAULT DATA'!$EH$9:$GM$41,T$21,$E50)</f>
        <v>-</v>
      </c>
      <c r="U50" s="1030" t="str">
        <f>INDEX('DEFAULT DATA'!$EH$9:$GM$41,U$21,$E50)</f>
        <v>-</v>
      </c>
      <c r="V50" s="1030" t="str">
        <f>INDEX('DEFAULT DATA'!$EH$9:$GM$41,V$21,$E50)</f>
        <v>-</v>
      </c>
      <c r="W50" s="1030" t="str">
        <f>INDEX('DEFAULT DATA'!$EH$9:$GM$41,W$21,$E50)</f>
        <v>-</v>
      </c>
      <c r="X50" s="1030" t="str">
        <f>INDEX('DEFAULT DATA'!$EH$9:$GM$41,X$21,$E50)</f>
        <v>-</v>
      </c>
      <c r="Y50" s="1030" t="str">
        <f>INDEX('DEFAULT DATA'!$EH$9:$GM$41,Y$21,$E50)</f>
        <v>-</v>
      </c>
      <c r="Z50" s="1030" t="str">
        <f>INDEX('DEFAULT DATA'!$EH$9:$GM$41,Z$21,$E50)</f>
        <v>-</v>
      </c>
      <c r="AA50" s="1030" t="str">
        <f>INDEX('DEFAULT DATA'!$EH$9:$GM$41,AA$21,$E50)</f>
        <v>-</v>
      </c>
      <c r="AB50" s="1030" t="str">
        <f>INDEX('DEFAULT DATA'!$EH$9:$GM$41,AB$21,$E50)</f>
        <v>-</v>
      </c>
      <c r="AC50" s="1030" t="str">
        <f>INDEX('DEFAULT DATA'!$EH$9:$GM$41,AC$21,$E50)</f>
        <v>-</v>
      </c>
      <c r="AD50" s="1030" t="str">
        <f>INDEX('DEFAULT DATA'!$EH$9:$GM$41,AD$21,$E50)</f>
        <v>-</v>
      </c>
      <c r="AE50" s="1030" t="str">
        <f>INDEX('DEFAULT DATA'!$EH$9:$GM$41,AE$21,$E50)</f>
        <v>-</v>
      </c>
      <c r="AF50" s="1030" t="str">
        <f>INDEX('DEFAULT DATA'!$EH$9:$GM$41,AF$21,$E50)</f>
        <v>-</v>
      </c>
      <c r="AG50" s="1030" t="str">
        <f>INDEX('DEFAULT DATA'!$EH$9:$GM$41,AG$21,$E50)</f>
        <v>-</v>
      </c>
      <c r="AH50" s="1030" t="str">
        <f>INDEX('DEFAULT DATA'!$EH$9:$GM$41,AH$21,$E50)</f>
        <v>-</v>
      </c>
      <c r="AI50" s="1030" t="str">
        <f>INDEX('DEFAULT DATA'!$EH$9:$GM$41,AI$21,$E50)</f>
        <v>-</v>
      </c>
      <c r="AJ50" s="1030" t="str">
        <f>INDEX('DEFAULT DATA'!$EH$9:$GM$41,AJ$21,$E50)</f>
        <v>-</v>
      </c>
      <c r="AK50" s="1030" t="str">
        <f>INDEX('DEFAULT DATA'!$EH$9:$GM$41,AK$21,$E50)</f>
        <v>-</v>
      </c>
    </row>
    <row r="51" spans="5:37">
      <c r="E51" s="193">
        <f t="shared" si="4"/>
        <v>29</v>
      </c>
      <c r="F51" s="1030" t="str">
        <f>INDEX('DEFAULT DATA'!$EH$9:$GM$41,F$21,$E51)</f>
        <v>-</v>
      </c>
      <c r="G51" s="1030" t="str">
        <f>INDEX('DEFAULT DATA'!$EH$9:$GM$41,G$21,$E51)</f>
        <v>-</v>
      </c>
      <c r="H51" s="1030" t="str">
        <f>INDEX('DEFAULT DATA'!$EH$9:$GM$41,H$21,$E51)</f>
        <v>-</v>
      </c>
      <c r="I51" s="1030" t="str">
        <f>INDEX('DEFAULT DATA'!$EH$9:$GM$41,I$21,$E51)</f>
        <v>-</v>
      </c>
      <c r="J51" s="1030" t="str">
        <f>INDEX('DEFAULT DATA'!$EH$9:$GM$41,J$21,$E51)</f>
        <v>-</v>
      </c>
      <c r="K51" s="1030" t="str">
        <f>INDEX('DEFAULT DATA'!$EH$9:$GM$41,K$21,$E51)</f>
        <v>-</v>
      </c>
      <c r="L51" s="1030" t="str">
        <f>INDEX('DEFAULT DATA'!$EH$9:$GM$41,L$21,$E51)</f>
        <v>-</v>
      </c>
      <c r="M51" s="1030" t="str">
        <f>INDEX('DEFAULT DATA'!$EH$9:$GM$41,M$21,$E51)</f>
        <v>-</v>
      </c>
      <c r="N51" s="1030" t="str">
        <f>INDEX('DEFAULT DATA'!$EH$9:$GM$41,N$21,$E51)</f>
        <v>-</v>
      </c>
      <c r="O51" s="1030" t="str">
        <f>INDEX('DEFAULT DATA'!$EH$9:$GM$41,O$21,$E51)</f>
        <v>-</v>
      </c>
      <c r="P51" s="1030" t="str">
        <f>INDEX('DEFAULT DATA'!$EH$9:$GM$41,P$21,$E51)</f>
        <v>Gera</v>
      </c>
      <c r="Q51" s="1030" t="str">
        <f>INDEX('DEFAULT DATA'!$EH$9:$GM$41,Q$21,$E51)</f>
        <v>-</v>
      </c>
      <c r="R51" s="1030" t="str">
        <f>INDEX('DEFAULT DATA'!$EH$9:$GM$41,R$21,$E51)</f>
        <v>-</v>
      </c>
      <c r="S51" s="1030" t="str">
        <f>INDEX('DEFAULT DATA'!$EH$9:$GM$41,S$21,$E51)</f>
        <v>-</v>
      </c>
      <c r="T51" s="1030" t="str">
        <f>INDEX('DEFAULT DATA'!$EH$9:$GM$41,T$21,$E51)</f>
        <v>-</v>
      </c>
      <c r="U51" s="1030" t="str">
        <f>INDEX('DEFAULT DATA'!$EH$9:$GM$41,U$21,$E51)</f>
        <v>-</v>
      </c>
      <c r="V51" s="1030" t="str">
        <f>INDEX('DEFAULT DATA'!$EH$9:$GM$41,V$21,$E51)</f>
        <v>-</v>
      </c>
      <c r="W51" s="1030" t="str">
        <f>INDEX('DEFAULT DATA'!$EH$9:$GM$41,W$21,$E51)</f>
        <v>-</v>
      </c>
      <c r="X51" s="1030" t="str">
        <f>INDEX('DEFAULT DATA'!$EH$9:$GM$41,X$21,$E51)</f>
        <v>-</v>
      </c>
      <c r="Y51" s="1030" t="str">
        <f>INDEX('DEFAULT DATA'!$EH$9:$GM$41,Y$21,$E51)</f>
        <v>-</v>
      </c>
      <c r="Z51" s="1030" t="str">
        <f>INDEX('DEFAULT DATA'!$EH$9:$GM$41,Z$21,$E51)</f>
        <v>-</v>
      </c>
      <c r="AA51" s="1030" t="str">
        <f>INDEX('DEFAULT DATA'!$EH$9:$GM$41,AA$21,$E51)</f>
        <v>-</v>
      </c>
      <c r="AB51" s="1030" t="str">
        <f>INDEX('DEFAULT DATA'!$EH$9:$GM$41,AB$21,$E51)</f>
        <v>-</v>
      </c>
      <c r="AC51" s="1030" t="str">
        <f>INDEX('DEFAULT DATA'!$EH$9:$GM$41,AC$21,$E51)</f>
        <v>-</v>
      </c>
      <c r="AD51" s="1030" t="str">
        <f>INDEX('DEFAULT DATA'!$EH$9:$GM$41,AD$21,$E51)</f>
        <v>-</v>
      </c>
      <c r="AE51" s="1030" t="str">
        <f>INDEX('DEFAULT DATA'!$EH$9:$GM$41,AE$21,$E51)</f>
        <v>-</v>
      </c>
      <c r="AF51" s="1030" t="str">
        <f>INDEX('DEFAULT DATA'!$EH$9:$GM$41,AF$21,$E51)</f>
        <v>-</v>
      </c>
      <c r="AG51" s="1030" t="str">
        <f>INDEX('DEFAULT DATA'!$EH$9:$GM$41,AG$21,$E51)</f>
        <v>-</v>
      </c>
      <c r="AH51" s="1030" t="str">
        <f>INDEX('DEFAULT DATA'!$EH$9:$GM$41,AH$21,$E51)</f>
        <v>-</v>
      </c>
      <c r="AI51" s="1030" t="str">
        <f>INDEX('DEFAULT DATA'!$EH$9:$GM$41,AI$21,$E51)</f>
        <v>-</v>
      </c>
      <c r="AJ51" s="1030" t="str">
        <f>INDEX('DEFAULT DATA'!$EH$9:$GM$41,AJ$21,$E51)</f>
        <v>-</v>
      </c>
      <c r="AK51" s="1030" t="str">
        <f>INDEX('DEFAULT DATA'!$EH$9:$GM$41,AK$21,$E51)</f>
        <v>-</v>
      </c>
    </row>
    <row r="52" spans="5:37">
      <c r="E52" s="193">
        <f t="shared" si="4"/>
        <v>30</v>
      </c>
      <c r="F52" s="1030" t="str">
        <f>INDEX('DEFAULT DATA'!$EH$9:$GM$41,F$21,$E52)</f>
        <v>-</v>
      </c>
      <c r="G52" s="1030" t="str">
        <f>INDEX('DEFAULT DATA'!$EH$9:$GM$41,G$21,$E52)</f>
        <v>-</v>
      </c>
      <c r="H52" s="1030" t="str">
        <f>INDEX('DEFAULT DATA'!$EH$9:$GM$41,H$21,$E52)</f>
        <v>-</v>
      </c>
      <c r="I52" s="1030" t="str">
        <f>INDEX('DEFAULT DATA'!$EH$9:$GM$41,I$21,$E52)</f>
        <v>-</v>
      </c>
      <c r="J52" s="1030" t="str">
        <f>INDEX('DEFAULT DATA'!$EH$9:$GM$41,J$21,$E52)</f>
        <v>-</v>
      </c>
      <c r="K52" s="1030" t="str">
        <f>INDEX('DEFAULT DATA'!$EH$9:$GM$41,K$21,$E52)</f>
        <v>-</v>
      </c>
      <c r="L52" s="1030" t="str">
        <f>INDEX('DEFAULT DATA'!$EH$9:$GM$41,L$21,$E52)</f>
        <v>-</v>
      </c>
      <c r="M52" s="1030" t="str">
        <f>INDEX('DEFAULT DATA'!$EH$9:$GM$41,M$21,$E52)</f>
        <v>-</v>
      </c>
      <c r="N52" s="1030" t="str">
        <f>INDEX('DEFAULT DATA'!$EH$9:$GM$41,N$21,$E52)</f>
        <v>-</v>
      </c>
      <c r="O52" s="1030" t="str">
        <f>INDEX('DEFAULT DATA'!$EH$9:$GM$41,O$21,$E52)</f>
        <v>-</v>
      </c>
      <c r="P52" s="1030" t="str">
        <f>INDEX('DEFAULT DATA'!$EH$9:$GM$41,P$21,$E52)</f>
        <v>Görlitz</v>
      </c>
      <c r="Q52" s="1030" t="str">
        <f>INDEX('DEFAULT DATA'!$EH$9:$GM$41,Q$21,$E52)</f>
        <v>-</v>
      </c>
      <c r="R52" s="1030" t="str">
        <f>INDEX('DEFAULT DATA'!$EH$9:$GM$41,R$21,$E52)</f>
        <v>-</v>
      </c>
      <c r="S52" s="1030" t="str">
        <f>INDEX('DEFAULT DATA'!$EH$9:$GM$41,S$21,$E52)</f>
        <v>-</v>
      </c>
      <c r="T52" s="1030" t="str">
        <f>INDEX('DEFAULT DATA'!$EH$9:$GM$41,T$21,$E52)</f>
        <v>-</v>
      </c>
      <c r="U52" s="1030" t="str">
        <f>INDEX('DEFAULT DATA'!$EH$9:$GM$41,U$21,$E52)</f>
        <v>-</v>
      </c>
      <c r="V52" s="1030" t="str">
        <f>INDEX('DEFAULT DATA'!$EH$9:$GM$41,V$21,$E52)</f>
        <v>-</v>
      </c>
      <c r="W52" s="1030" t="str">
        <f>INDEX('DEFAULT DATA'!$EH$9:$GM$41,W$21,$E52)</f>
        <v>-</v>
      </c>
      <c r="X52" s="1030" t="str">
        <f>INDEX('DEFAULT DATA'!$EH$9:$GM$41,X$21,$E52)</f>
        <v>-</v>
      </c>
      <c r="Y52" s="1030" t="str">
        <f>INDEX('DEFAULT DATA'!$EH$9:$GM$41,Y$21,$E52)</f>
        <v>-</v>
      </c>
      <c r="Z52" s="1030" t="str">
        <f>INDEX('DEFAULT DATA'!$EH$9:$GM$41,Z$21,$E52)</f>
        <v>-</v>
      </c>
      <c r="AA52" s="1030" t="str">
        <f>INDEX('DEFAULT DATA'!$EH$9:$GM$41,AA$21,$E52)</f>
        <v>-</v>
      </c>
      <c r="AB52" s="1030" t="str">
        <f>INDEX('DEFAULT DATA'!$EH$9:$GM$41,AB$21,$E52)</f>
        <v>-</v>
      </c>
      <c r="AC52" s="1030" t="str">
        <f>INDEX('DEFAULT DATA'!$EH$9:$GM$41,AC$21,$E52)</f>
        <v>-</v>
      </c>
      <c r="AD52" s="1030" t="str">
        <f>INDEX('DEFAULT DATA'!$EH$9:$GM$41,AD$21,$E52)</f>
        <v>-</v>
      </c>
      <c r="AE52" s="1030" t="str">
        <f>INDEX('DEFAULT DATA'!$EH$9:$GM$41,AE$21,$E52)</f>
        <v>-</v>
      </c>
      <c r="AF52" s="1030" t="str">
        <f>INDEX('DEFAULT DATA'!$EH$9:$GM$41,AF$21,$E52)</f>
        <v>-</v>
      </c>
      <c r="AG52" s="1030" t="str">
        <f>INDEX('DEFAULT DATA'!$EH$9:$GM$41,AG$21,$E52)</f>
        <v>-</v>
      </c>
      <c r="AH52" s="1030" t="str">
        <f>INDEX('DEFAULT DATA'!$EH$9:$GM$41,AH$21,$E52)</f>
        <v>-</v>
      </c>
      <c r="AI52" s="1030" t="str">
        <f>INDEX('DEFAULT DATA'!$EH$9:$GM$41,AI$21,$E52)</f>
        <v>-</v>
      </c>
      <c r="AJ52" s="1030" t="str">
        <f>INDEX('DEFAULT DATA'!$EH$9:$GM$41,AJ$21,$E52)</f>
        <v>-</v>
      </c>
      <c r="AK52" s="1030" t="str">
        <f>INDEX('DEFAULT DATA'!$EH$9:$GM$41,AK$21,$E52)</f>
        <v>-</v>
      </c>
    </row>
    <row r="53" spans="5:37">
      <c r="E53" s="193">
        <f t="shared" si="4"/>
        <v>31</v>
      </c>
      <c r="F53" s="1030" t="str">
        <f>INDEX('DEFAULT DATA'!$EH$9:$GM$41,F$21,$E53)</f>
        <v>-</v>
      </c>
      <c r="G53" s="1030" t="str">
        <f>INDEX('DEFAULT DATA'!$EH$9:$GM$41,G$21,$E53)</f>
        <v>-</v>
      </c>
      <c r="H53" s="1030" t="str">
        <f>INDEX('DEFAULT DATA'!$EH$9:$GM$41,H$21,$E53)</f>
        <v>-</v>
      </c>
      <c r="I53" s="1030" t="str">
        <f>INDEX('DEFAULT DATA'!$EH$9:$GM$41,I$21,$E53)</f>
        <v>-</v>
      </c>
      <c r="J53" s="1030" t="str">
        <f>INDEX('DEFAULT DATA'!$EH$9:$GM$41,J$21,$E53)</f>
        <v>-</v>
      </c>
      <c r="K53" s="1030" t="str">
        <f>INDEX('DEFAULT DATA'!$EH$9:$GM$41,K$21,$E53)</f>
        <v>-</v>
      </c>
      <c r="L53" s="1030" t="str">
        <f>INDEX('DEFAULT DATA'!$EH$9:$GM$41,L$21,$E53)</f>
        <v>-</v>
      </c>
      <c r="M53" s="1030" t="str">
        <f>INDEX('DEFAULT DATA'!$EH$9:$GM$41,M$21,$E53)</f>
        <v>-</v>
      </c>
      <c r="N53" s="1030" t="str">
        <f>INDEX('DEFAULT DATA'!$EH$9:$GM$41,N$21,$E53)</f>
        <v>-</v>
      </c>
      <c r="O53" s="1030" t="str">
        <f>INDEX('DEFAULT DATA'!$EH$9:$GM$41,O$21,$E53)</f>
        <v>-</v>
      </c>
      <c r="P53" s="1030" t="str">
        <f>INDEX('DEFAULT DATA'!$EH$9:$GM$41,P$21,$E53)</f>
        <v>Gotha</v>
      </c>
      <c r="Q53" s="1030" t="str">
        <f>INDEX('DEFAULT DATA'!$EH$9:$GM$41,Q$21,$E53)</f>
        <v>-</v>
      </c>
      <c r="R53" s="1030" t="str">
        <f>INDEX('DEFAULT DATA'!$EH$9:$GM$41,R$21,$E53)</f>
        <v>-</v>
      </c>
      <c r="S53" s="1030" t="str">
        <f>INDEX('DEFAULT DATA'!$EH$9:$GM$41,S$21,$E53)</f>
        <v>-</v>
      </c>
      <c r="T53" s="1030" t="str">
        <f>INDEX('DEFAULT DATA'!$EH$9:$GM$41,T$21,$E53)</f>
        <v>-</v>
      </c>
      <c r="U53" s="1030" t="str">
        <f>INDEX('DEFAULT DATA'!$EH$9:$GM$41,U$21,$E53)</f>
        <v>-</v>
      </c>
      <c r="V53" s="1030" t="str">
        <f>INDEX('DEFAULT DATA'!$EH$9:$GM$41,V$21,$E53)</f>
        <v>-</v>
      </c>
      <c r="W53" s="1030" t="str">
        <f>INDEX('DEFAULT DATA'!$EH$9:$GM$41,W$21,$E53)</f>
        <v>-</v>
      </c>
      <c r="X53" s="1030" t="str">
        <f>INDEX('DEFAULT DATA'!$EH$9:$GM$41,X$21,$E53)</f>
        <v>-</v>
      </c>
      <c r="Y53" s="1030" t="str">
        <f>INDEX('DEFAULT DATA'!$EH$9:$GM$41,Y$21,$E53)</f>
        <v>-</v>
      </c>
      <c r="Z53" s="1030" t="str">
        <f>INDEX('DEFAULT DATA'!$EH$9:$GM$41,Z$21,$E53)</f>
        <v>-</v>
      </c>
      <c r="AA53" s="1030" t="str">
        <f>INDEX('DEFAULT DATA'!$EH$9:$GM$41,AA$21,$E53)</f>
        <v>-</v>
      </c>
      <c r="AB53" s="1030" t="str">
        <f>INDEX('DEFAULT DATA'!$EH$9:$GM$41,AB$21,$E53)</f>
        <v>-</v>
      </c>
      <c r="AC53" s="1030" t="str">
        <f>INDEX('DEFAULT DATA'!$EH$9:$GM$41,AC$21,$E53)</f>
        <v>-</v>
      </c>
      <c r="AD53" s="1030" t="str">
        <f>INDEX('DEFAULT DATA'!$EH$9:$GM$41,AD$21,$E53)</f>
        <v>-</v>
      </c>
      <c r="AE53" s="1030" t="str">
        <f>INDEX('DEFAULT DATA'!$EH$9:$GM$41,AE$21,$E53)</f>
        <v>-</v>
      </c>
      <c r="AF53" s="1030" t="str">
        <f>INDEX('DEFAULT DATA'!$EH$9:$GM$41,AF$21,$E53)</f>
        <v>-</v>
      </c>
      <c r="AG53" s="1030" t="str">
        <f>INDEX('DEFAULT DATA'!$EH$9:$GM$41,AG$21,$E53)</f>
        <v>-</v>
      </c>
      <c r="AH53" s="1030" t="str">
        <f>INDEX('DEFAULT DATA'!$EH$9:$GM$41,AH$21,$E53)</f>
        <v>-</v>
      </c>
      <c r="AI53" s="1030" t="str">
        <f>INDEX('DEFAULT DATA'!$EH$9:$GM$41,AI$21,$E53)</f>
        <v>-</v>
      </c>
      <c r="AJ53" s="1030" t="str">
        <f>INDEX('DEFAULT DATA'!$EH$9:$GM$41,AJ$21,$E53)</f>
        <v>-</v>
      </c>
      <c r="AK53" s="1030" t="str">
        <f>INDEX('DEFAULT DATA'!$EH$9:$GM$41,AK$21,$E53)</f>
        <v>-</v>
      </c>
    </row>
    <row r="54" spans="5:37">
      <c r="E54" s="193">
        <f t="shared" si="4"/>
        <v>32</v>
      </c>
      <c r="F54" s="1030" t="str">
        <f>INDEX('DEFAULT DATA'!$EH$9:$GM$41,F$21,$E54)</f>
        <v>-</v>
      </c>
      <c r="G54" s="1030" t="str">
        <f>INDEX('DEFAULT DATA'!$EH$9:$GM$41,G$21,$E54)</f>
        <v>-</v>
      </c>
      <c r="H54" s="1030" t="str">
        <f>INDEX('DEFAULT DATA'!$EH$9:$GM$41,H$21,$E54)</f>
        <v>-</v>
      </c>
      <c r="I54" s="1030" t="str">
        <f>INDEX('DEFAULT DATA'!$EH$9:$GM$41,I$21,$E54)</f>
        <v>-</v>
      </c>
      <c r="J54" s="1030" t="str">
        <f>INDEX('DEFAULT DATA'!$EH$9:$GM$41,J$21,$E54)</f>
        <v>-</v>
      </c>
      <c r="K54" s="1030" t="str">
        <f>INDEX('DEFAULT DATA'!$EH$9:$GM$41,K$21,$E54)</f>
        <v>-</v>
      </c>
      <c r="L54" s="1030" t="str">
        <f>INDEX('DEFAULT DATA'!$EH$9:$GM$41,L$21,$E54)</f>
        <v>-</v>
      </c>
      <c r="M54" s="1030" t="str">
        <f>INDEX('DEFAULT DATA'!$EH$9:$GM$41,M$21,$E54)</f>
        <v>-</v>
      </c>
      <c r="N54" s="1030" t="str">
        <f>INDEX('DEFAULT DATA'!$EH$9:$GM$41,N$21,$E54)</f>
        <v>-</v>
      </c>
      <c r="O54" s="1030" t="str">
        <f>INDEX('DEFAULT DATA'!$EH$9:$GM$41,O$21,$E54)</f>
        <v>-</v>
      </c>
      <c r="P54" s="1030" t="str">
        <f>INDEX('DEFAULT DATA'!$EH$9:$GM$41,P$21,$E54)</f>
        <v>Halberstadt</v>
      </c>
      <c r="Q54" s="1030" t="str">
        <f>INDEX('DEFAULT DATA'!$EH$9:$GM$41,Q$21,$E54)</f>
        <v>-</v>
      </c>
      <c r="R54" s="1030" t="str">
        <f>INDEX('DEFAULT DATA'!$EH$9:$GM$41,R$21,$E54)</f>
        <v>-</v>
      </c>
      <c r="S54" s="1030" t="str">
        <f>INDEX('DEFAULT DATA'!$EH$9:$GM$41,S$21,$E54)</f>
        <v>-</v>
      </c>
      <c r="T54" s="1030" t="str">
        <f>INDEX('DEFAULT DATA'!$EH$9:$GM$41,T$21,$E54)</f>
        <v>-</v>
      </c>
      <c r="U54" s="1030" t="str">
        <f>INDEX('DEFAULT DATA'!$EH$9:$GM$41,U$21,$E54)</f>
        <v>-</v>
      </c>
      <c r="V54" s="1030" t="str">
        <f>INDEX('DEFAULT DATA'!$EH$9:$GM$41,V$21,$E54)</f>
        <v>-</v>
      </c>
      <c r="W54" s="1030" t="str">
        <f>INDEX('DEFAULT DATA'!$EH$9:$GM$41,W$21,$E54)</f>
        <v>-</v>
      </c>
      <c r="X54" s="1030" t="str">
        <f>INDEX('DEFAULT DATA'!$EH$9:$GM$41,X$21,$E54)</f>
        <v>-</v>
      </c>
      <c r="Y54" s="1030" t="str">
        <f>INDEX('DEFAULT DATA'!$EH$9:$GM$41,Y$21,$E54)</f>
        <v>-</v>
      </c>
      <c r="Z54" s="1030" t="str">
        <f>INDEX('DEFAULT DATA'!$EH$9:$GM$41,Z$21,$E54)</f>
        <v>-</v>
      </c>
      <c r="AA54" s="1030" t="str">
        <f>INDEX('DEFAULT DATA'!$EH$9:$GM$41,AA$21,$E54)</f>
        <v>-</v>
      </c>
      <c r="AB54" s="1030" t="str">
        <f>INDEX('DEFAULT DATA'!$EH$9:$GM$41,AB$21,$E54)</f>
        <v>-</v>
      </c>
      <c r="AC54" s="1030" t="str">
        <f>INDEX('DEFAULT DATA'!$EH$9:$GM$41,AC$21,$E54)</f>
        <v>-</v>
      </c>
      <c r="AD54" s="1030" t="str">
        <f>INDEX('DEFAULT DATA'!$EH$9:$GM$41,AD$21,$E54)</f>
        <v>-</v>
      </c>
      <c r="AE54" s="1030" t="str">
        <f>INDEX('DEFAULT DATA'!$EH$9:$GM$41,AE$21,$E54)</f>
        <v>-</v>
      </c>
      <c r="AF54" s="1030" t="str">
        <f>INDEX('DEFAULT DATA'!$EH$9:$GM$41,AF$21,$E54)</f>
        <v>-</v>
      </c>
      <c r="AG54" s="1030" t="str">
        <f>INDEX('DEFAULT DATA'!$EH$9:$GM$41,AG$21,$E54)</f>
        <v>-</v>
      </c>
      <c r="AH54" s="1030" t="str">
        <f>INDEX('DEFAULT DATA'!$EH$9:$GM$41,AH$21,$E54)</f>
        <v>-</v>
      </c>
      <c r="AI54" s="1030" t="str">
        <f>INDEX('DEFAULT DATA'!$EH$9:$GM$41,AI$21,$E54)</f>
        <v>-</v>
      </c>
      <c r="AJ54" s="1030" t="str">
        <f>INDEX('DEFAULT DATA'!$EH$9:$GM$41,AJ$21,$E54)</f>
        <v>-</v>
      </c>
      <c r="AK54" s="1030" t="str">
        <f>INDEX('DEFAULT DATA'!$EH$9:$GM$41,AK$21,$E54)</f>
        <v>-</v>
      </c>
    </row>
    <row r="55" spans="5:37">
      <c r="E55" s="193">
        <f t="shared" si="4"/>
        <v>33</v>
      </c>
      <c r="F55" s="1030" t="str">
        <f>INDEX('DEFAULT DATA'!$EH$9:$GM$41,F$21,$E55)</f>
        <v>-</v>
      </c>
      <c r="G55" s="1030" t="str">
        <f>INDEX('DEFAULT DATA'!$EH$9:$GM$41,G$21,$E55)</f>
        <v>-</v>
      </c>
      <c r="H55" s="1030" t="str">
        <f>INDEX('DEFAULT DATA'!$EH$9:$GM$41,H$21,$E55)</f>
        <v>-</v>
      </c>
      <c r="I55" s="1030" t="str">
        <f>INDEX('DEFAULT DATA'!$EH$9:$GM$41,I$21,$E55)</f>
        <v>-</v>
      </c>
      <c r="J55" s="1030" t="str">
        <f>INDEX('DEFAULT DATA'!$EH$9:$GM$41,J$21,$E55)</f>
        <v>-</v>
      </c>
      <c r="K55" s="1030" t="str">
        <f>INDEX('DEFAULT DATA'!$EH$9:$GM$41,K$21,$E55)</f>
        <v>-</v>
      </c>
      <c r="L55" s="1030" t="str">
        <f>INDEX('DEFAULT DATA'!$EH$9:$GM$41,L$21,$E55)</f>
        <v>-</v>
      </c>
      <c r="M55" s="1030" t="str">
        <f>INDEX('DEFAULT DATA'!$EH$9:$GM$41,M$21,$E55)</f>
        <v>-</v>
      </c>
      <c r="N55" s="1030" t="str">
        <f>INDEX('DEFAULT DATA'!$EH$9:$GM$41,N$21,$E55)</f>
        <v>-</v>
      </c>
      <c r="O55" s="1030" t="str">
        <f>INDEX('DEFAULT DATA'!$EH$9:$GM$41,O$21,$E55)</f>
        <v>-</v>
      </c>
      <c r="P55" s="1030" t="str">
        <f>INDEX('DEFAULT DATA'!$EH$9:$GM$41,P$21,$E55)</f>
        <v>Halle (Saale)</v>
      </c>
      <c r="Q55" s="1030" t="str">
        <f>INDEX('DEFAULT DATA'!$EH$9:$GM$41,Q$21,$E55)</f>
        <v>-</v>
      </c>
      <c r="R55" s="1030" t="str">
        <f>INDEX('DEFAULT DATA'!$EH$9:$GM$41,R$21,$E55)</f>
        <v>-</v>
      </c>
      <c r="S55" s="1030" t="str">
        <f>INDEX('DEFAULT DATA'!$EH$9:$GM$41,S$21,$E55)</f>
        <v>-</v>
      </c>
      <c r="T55" s="1030" t="str">
        <f>INDEX('DEFAULT DATA'!$EH$9:$GM$41,T$21,$E55)</f>
        <v>-</v>
      </c>
      <c r="U55" s="1030" t="str">
        <f>INDEX('DEFAULT DATA'!$EH$9:$GM$41,U$21,$E55)</f>
        <v>-</v>
      </c>
      <c r="V55" s="1030" t="str">
        <f>INDEX('DEFAULT DATA'!$EH$9:$GM$41,V$21,$E55)</f>
        <v>-</v>
      </c>
      <c r="W55" s="1030" t="str">
        <f>INDEX('DEFAULT DATA'!$EH$9:$GM$41,W$21,$E55)</f>
        <v>-</v>
      </c>
      <c r="X55" s="1030" t="str">
        <f>INDEX('DEFAULT DATA'!$EH$9:$GM$41,X$21,$E55)</f>
        <v>-</v>
      </c>
      <c r="Y55" s="1030" t="str">
        <f>INDEX('DEFAULT DATA'!$EH$9:$GM$41,Y$21,$E55)</f>
        <v>-</v>
      </c>
      <c r="Z55" s="1030" t="str">
        <f>INDEX('DEFAULT DATA'!$EH$9:$GM$41,Z$21,$E55)</f>
        <v>-</v>
      </c>
      <c r="AA55" s="1030" t="str">
        <f>INDEX('DEFAULT DATA'!$EH$9:$GM$41,AA$21,$E55)</f>
        <v>-</v>
      </c>
      <c r="AB55" s="1030" t="str">
        <f>INDEX('DEFAULT DATA'!$EH$9:$GM$41,AB$21,$E55)</f>
        <v>-</v>
      </c>
      <c r="AC55" s="1030" t="str">
        <f>INDEX('DEFAULT DATA'!$EH$9:$GM$41,AC$21,$E55)</f>
        <v>-</v>
      </c>
      <c r="AD55" s="1030" t="str">
        <f>INDEX('DEFAULT DATA'!$EH$9:$GM$41,AD$21,$E55)</f>
        <v>-</v>
      </c>
      <c r="AE55" s="1030" t="str">
        <f>INDEX('DEFAULT DATA'!$EH$9:$GM$41,AE$21,$E55)</f>
        <v>-</v>
      </c>
      <c r="AF55" s="1030" t="str">
        <f>INDEX('DEFAULT DATA'!$EH$9:$GM$41,AF$21,$E55)</f>
        <v>-</v>
      </c>
      <c r="AG55" s="1030" t="str">
        <f>INDEX('DEFAULT DATA'!$EH$9:$GM$41,AG$21,$E55)</f>
        <v>-</v>
      </c>
      <c r="AH55" s="1030" t="str">
        <f>INDEX('DEFAULT DATA'!$EH$9:$GM$41,AH$21,$E55)</f>
        <v>-</v>
      </c>
      <c r="AI55" s="1030" t="str">
        <f>INDEX('DEFAULT DATA'!$EH$9:$GM$41,AI$21,$E55)</f>
        <v>-</v>
      </c>
      <c r="AJ55" s="1030" t="str">
        <f>INDEX('DEFAULT DATA'!$EH$9:$GM$41,AJ$21,$E55)</f>
        <v>-</v>
      </c>
      <c r="AK55" s="1030" t="str">
        <f>INDEX('DEFAULT DATA'!$EH$9:$GM$41,AK$21,$E55)</f>
        <v>-</v>
      </c>
    </row>
    <row r="56" spans="5:37">
      <c r="E56" s="193">
        <f t="shared" si="4"/>
        <v>34</v>
      </c>
      <c r="F56" s="1030" t="str">
        <f>INDEX('DEFAULT DATA'!$EH$9:$GM$41,F$21,$E56)</f>
        <v>-</v>
      </c>
      <c r="G56" s="1030" t="str">
        <f>INDEX('DEFAULT DATA'!$EH$9:$GM$41,G$21,$E56)</f>
        <v>-</v>
      </c>
      <c r="H56" s="1030" t="str">
        <f>INDEX('DEFAULT DATA'!$EH$9:$GM$41,H$21,$E56)</f>
        <v>-</v>
      </c>
      <c r="I56" s="1030" t="str">
        <f>INDEX('DEFAULT DATA'!$EH$9:$GM$41,I$21,$E56)</f>
        <v>-</v>
      </c>
      <c r="J56" s="1030" t="str">
        <f>INDEX('DEFAULT DATA'!$EH$9:$GM$41,J$21,$E56)</f>
        <v>-</v>
      </c>
      <c r="K56" s="1030" t="str">
        <f>INDEX('DEFAULT DATA'!$EH$9:$GM$41,K$21,$E56)</f>
        <v>-</v>
      </c>
      <c r="L56" s="1030" t="str">
        <f>INDEX('DEFAULT DATA'!$EH$9:$GM$41,L$21,$E56)</f>
        <v>-</v>
      </c>
      <c r="M56" s="1030" t="str">
        <f>INDEX('DEFAULT DATA'!$EH$9:$GM$41,M$21,$E56)</f>
        <v>-</v>
      </c>
      <c r="N56" s="1030" t="str">
        <f>INDEX('DEFAULT DATA'!$EH$9:$GM$41,N$21,$E56)</f>
        <v>-</v>
      </c>
      <c r="O56" s="1030" t="str">
        <f>INDEX('DEFAULT DATA'!$EH$9:$GM$41,O$21,$E56)</f>
        <v>-</v>
      </c>
      <c r="P56" s="1030" t="str">
        <f>INDEX('DEFAULT DATA'!$EH$9:$GM$41,P$21,$E56)</f>
        <v>Heidelberg</v>
      </c>
      <c r="Q56" s="1030" t="str">
        <f>INDEX('DEFAULT DATA'!$EH$9:$GM$41,Q$21,$E56)</f>
        <v>-</v>
      </c>
      <c r="R56" s="1030" t="str">
        <f>INDEX('DEFAULT DATA'!$EH$9:$GM$41,R$21,$E56)</f>
        <v>-</v>
      </c>
      <c r="S56" s="1030" t="str">
        <f>INDEX('DEFAULT DATA'!$EH$9:$GM$41,S$21,$E56)</f>
        <v>-</v>
      </c>
      <c r="T56" s="1030" t="str">
        <f>INDEX('DEFAULT DATA'!$EH$9:$GM$41,T$21,$E56)</f>
        <v>-</v>
      </c>
      <c r="U56" s="1030" t="str">
        <f>INDEX('DEFAULT DATA'!$EH$9:$GM$41,U$21,$E56)</f>
        <v>-</v>
      </c>
      <c r="V56" s="1030" t="str">
        <f>INDEX('DEFAULT DATA'!$EH$9:$GM$41,V$21,$E56)</f>
        <v>-</v>
      </c>
      <c r="W56" s="1030" t="str">
        <f>INDEX('DEFAULT DATA'!$EH$9:$GM$41,W$21,$E56)</f>
        <v>-</v>
      </c>
      <c r="X56" s="1030" t="str">
        <f>INDEX('DEFAULT DATA'!$EH$9:$GM$41,X$21,$E56)</f>
        <v>-</v>
      </c>
      <c r="Y56" s="1030" t="str">
        <f>INDEX('DEFAULT DATA'!$EH$9:$GM$41,Y$21,$E56)</f>
        <v>-</v>
      </c>
      <c r="Z56" s="1030" t="str">
        <f>INDEX('DEFAULT DATA'!$EH$9:$GM$41,Z$21,$E56)</f>
        <v>-</v>
      </c>
      <c r="AA56" s="1030" t="str">
        <f>INDEX('DEFAULT DATA'!$EH$9:$GM$41,AA$21,$E56)</f>
        <v>-</v>
      </c>
      <c r="AB56" s="1030" t="str">
        <f>INDEX('DEFAULT DATA'!$EH$9:$GM$41,AB$21,$E56)</f>
        <v>-</v>
      </c>
      <c r="AC56" s="1030" t="str">
        <f>INDEX('DEFAULT DATA'!$EH$9:$GM$41,AC$21,$E56)</f>
        <v>-</v>
      </c>
      <c r="AD56" s="1030" t="str">
        <f>INDEX('DEFAULT DATA'!$EH$9:$GM$41,AD$21,$E56)</f>
        <v>-</v>
      </c>
      <c r="AE56" s="1030" t="str">
        <f>INDEX('DEFAULT DATA'!$EH$9:$GM$41,AE$21,$E56)</f>
        <v>-</v>
      </c>
      <c r="AF56" s="1030" t="str">
        <f>INDEX('DEFAULT DATA'!$EH$9:$GM$41,AF$21,$E56)</f>
        <v>-</v>
      </c>
      <c r="AG56" s="1030" t="str">
        <f>INDEX('DEFAULT DATA'!$EH$9:$GM$41,AG$21,$E56)</f>
        <v>-</v>
      </c>
      <c r="AH56" s="1030" t="str">
        <f>INDEX('DEFAULT DATA'!$EH$9:$GM$41,AH$21,$E56)</f>
        <v>-</v>
      </c>
      <c r="AI56" s="1030" t="str">
        <f>INDEX('DEFAULT DATA'!$EH$9:$GM$41,AI$21,$E56)</f>
        <v>-</v>
      </c>
      <c r="AJ56" s="1030" t="str">
        <f>INDEX('DEFAULT DATA'!$EH$9:$GM$41,AJ$21,$E56)</f>
        <v>-</v>
      </c>
      <c r="AK56" s="1030" t="str">
        <f>INDEX('DEFAULT DATA'!$EH$9:$GM$41,AK$21,$E56)</f>
        <v>-</v>
      </c>
    </row>
    <row r="57" spans="5:37">
      <c r="E57" s="193">
        <f t="shared" si="4"/>
        <v>35</v>
      </c>
      <c r="F57" s="1030" t="str">
        <f>INDEX('DEFAULT DATA'!$EH$9:$GM$41,F$21,$E57)</f>
        <v>-</v>
      </c>
      <c r="G57" s="1030" t="str">
        <f>INDEX('DEFAULT DATA'!$EH$9:$GM$41,G$21,$E57)</f>
        <v>-</v>
      </c>
      <c r="H57" s="1030" t="str">
        <f>INDEX('DEFAULT DATA'!$EH$9:$GM$41,H$21,$E57)</f>
        <v>-</v>
      </c>
      <c r="I57" s="1030" t="str">
        <f>INDEX('DEFAULT DATA'!$EH$9:$GM$41,I$21,$E57)</f>
        <v>-</v>
      </c>
      <c r="J57" s="1030" t="str">
        <f>INDEX('DEFAULT DATA'!$EH$9:$GM$41,J$21,$E57)</f>
        <v>-</v>
      </c>
      <c r="K57" s="1030" t="str">
        <f>INDEX('DEFAULT DATA'!$EH$9:$GM$41,K$21,$E57)</f>
        <v>-</v>
      </c>
      <c r="L57" s="1030" t="str">
        <f>INDEX('DEFAULT DATA'!$EH$9:$GM$41,L$21,$E57)</f>
        <v>-</v>
      </c>
      <c r="M57" s="1030" t="str">
        <f>INDEX('DEFAULT DATA'!$EH$9:$GM$41,M$21,$E57)</f>
        <v>-</v>
      </c>
      <c r="N57" s="1030" t="str">
        <f>INDEX('DEFAULT DATA'!$EH$9:$GM$41,N$21,$E57)</f>
        <v>-</v>
      </c>
      <c r="O57" s="1030" t="str">
        <f>INDEX('DEFAULT DATA'!$EH$9:$GM$41,O$21,$E57)</f>
        <v>-</v>
      </c>
      <c r="P57" s="1030" t="str">
        <f>INDEX('DEFAULT DATA'!$EH$9:$GM$41,P$21,$E57)</f>
        <v>Hanover</v>
      </c>
      <c r="Q57" s="1030" t="str">
        <f>INDEX('DEFAULT DATA'!$EH$9:$GM$41,Q$21,$E57)</f>
        <v>-</v>
      </c>
      <c r="R57" s="1030" t="str">
        <f>INDEX('DEFAULT DATA'!$EH$9:$GM$41,R$21,$E57)</f>
        <v>-</v>
      </c>
      <c r="S57" s="1030" t="str">
        <f>INDEX('DEFAULT DATA'!$EH$9:$GM$41,S$21,$E57)</f>
        <v>-</v>
      </c>
      <c r="T57" s="1030" t="str">
        <f>INDEX('DEFAULT DATA'!$EH$9:$GM$41,T$21,$E57)</f>
        <v>-</v>
      </c>
      <c r="U57" s="1030" t="str">
        <f>INDEX('DEFAULT DATA'!$EH$9:$GM$41,U$21,$E57)</f>
        <v>-</v>
      </c>
      <c r="V57" s="1030" t="str">
        <f>INDEX('DEFAULT DATA'!$EH$9:$GM$41,V$21,$E57)</f>
        <v>-</v>
      </c>
      <c r="W57" s="1030" t="str">
        <f>INDEX('DEFAULT DATA'!$EH$9:$GM$41,W$21,$E57)</f>
        <v>-</v>
      </c>
      <c r="X57" s="1030" t="str">
        <f>INDEX('DEFAULT DATA'!$EH$9:$GM$41,X$21,$E57)</f>
        <v>-</v>
      </c>
      <c r="Y57" s="1030" t="str">
        <f>INDEX('DEFAULT DATA'!$EH$9:$GM$41,Y$21,$E57)</f>
        <v>-</v>
      </c>
      <c r="Z57" s="1030" t="str">
        <f>INDEX('DEFAULT DATA'!$EH$9:$GM$41,Z$21,$E57)</f>
        <v>-</v>
      </c>
      <c r="AA57" s="1030" t="str">
        <f>INDEX('DEFAULT DATA'!$EH$9:$GM$41,AA$21,$E57)</f>
        <v>-</v>
      </c>
      <c r="AB57" s="1030" t="str">
        <f>INDEX('DEFAULT DATA'!$EH$9:$GM$41,AB$21,$E57)</f>
        <v>-</v>
      </c>
      <c r="AC57" s="1030" t="str">
        <f>INDEX('DEFAULT DATA'!$EH$9:$GM$41,AC$21,$E57)</f>
        <v>-</v>
      </c>
      <c r="AD57" s="1030" t="str">
        <f>INDEX('DEFAULT DATA'!$EH$9:$GM$41,AD$21,$E57)</f>
        <v>-</v>
      </c>
      <c r="AE57" s="1030" t="str">
        <f>INDEX('DEFAULT DATA'!$EH$9:$GM$41,AE$21,$E57)</f>
        <v>-</v>
      </c>
      <c r="AF57" s="1030" t="str">
        <f>INDEX('DEFAULT DATA'!$EH$9:$GM$41,AF$21,$E57)</f>
        <v>-</v>
      </c>
      <c r="AG57" s="1030" t="str">
        <f>INDEX('DEFAULT DATA'!$EH$9:$GM$41,AG$21,$E57)</f>
        <v>-</v>
      </c>
      <c r="AH57" s="1030" t="str">
        <f>INDEX('DEFAULT DATA'!$EH$9:$GM$41,AH$21,$E57)</f>
        <v>-</v>
      </c>
      <c r="AI57" s="1030" t="str">
        <f>INDEX('DEFAULT DATA'!$EH$9:$GM$41,AI$21,$E57)</f>
        <v>-</v>
      </c>
      <c r="AJ57" s="1030" t="str">
        <f>INDEX('DEFAULT DATA'!$EH$9:$GM$41,AJ$21,$E57)</f>
        <v>-</v>
      </c>
      <c r="AK57" s="1030" t="str">
        <f>INDEX('DEFAULT DATA'!$EH$9:$GM$41,AK$21,$E57)</f>
        <v>-</v>
      </c>
    </row>
    <row r="58" spans="5:37">
      <c r="E58" s="193">
        <f t="shared" si="4"/>
        <v>36</v>
      </c>
      <c r="F58" s="1030" t="str">
        <f>INDEX('DEFAULT DATA'!$EH$9:$GM$41,F$21,$E58)</f>
        <v>-</v>
      </c>
      <c r="G58" s="1030" t="str">
        <f>INDEX('DEFAULT DATA'!$EH$9:$GM$41,G$21,$E58)</f>
        <v>-</v>
      </c>
      <c r="H58" s="1030" t="str">
        <f>INDEX('DEFAULT DATA'!$EH$9:$GM$41,H$21,$E58)</f>
        <v>-</v>
      </c>
      <c r="I58" s="1030" t="str">
        <f>INDEX('DEFAULT DATA'!$EH$9:$GM$41,I$21,$E58)</f>
        <v>-</v>
      </c>
      <c r="J58" s="1030" t="str">
        <f>INDEX('DEFAULT DATA'!$EH$9:$GM$41,J$21,$E58)</f>
        <v>-</v>
      </c>
      <c r="K58" s="1030" t="str">
        <f>INDEX('DEFAULT DATA'!$EH$9:$GM$41,K$21,$E58)</f>
        <v>-</v>
      </c>
      <c r="L58" s="1030" t="str">
        <f>INDEX('DEFAULT DATA'!$EH$9:$GM$41,L$21,$E58)</f>
        <v>-</v>
      </c>
      <c r="M58" s="1030" t="str">
        <f>INDEX('DEFAULT DATA'!$EH$9:$GM$41,M$21,$E58)</f>
        <v>-</v>
      </c>
      <c r="N58" s="1030" t="str">
        <f>INDEX('DEFAULT DATA'!$EH$9:$GM$41,N$21,$E58)</f>
        <v>-</v>
      </c>
      <c r="O58" s="1030" t="str">
        <f>INDEX('DEFAULT DATA'!$EH$9:$GM$41,O$21,$E58)</f>
        <v>-</v>
      </c>
      <c r="P58" s="1030" t="str">
        <f>INDEX('DEFAULT DATA'!$EH$9:$GM$41,P$21,$E58)</f>
        <v>Jena</v>
      </c>
      <c r="Q58" s="1030" t="str">
        <f>INDEX('DEFAULT DATA'!$EH$9:$GM$41,Q$21,$E58)</f>
        <v>-</v>
      </c>
      <c r="R58" s="1030" t="str">
        <f>INDEX('DEFAULT DATA'!$EH$9:$GM$41,R$21,$E58)</f>
        <v>-</v>
      </c>
      <c r="S58" s="1030" t="str">
        <f>INDEX('DEFAULT DATA'!$EH$9:$GM$41,S$21,$E58)</f>
        <v>-</v>
      </c>
      <c r="T58" s="1030" t="str">
        <f>INDEX('DEFAULT DATA'!$EH$9:$GM$41,T$21,$E58)</f>
        <v>-</v>
      </c>
      <c r="U58" s="1030" t="str">
        <f>INDEX('DEFAULT DATA'!$EH$9:$GM$41,U$21,$E58)</f>
        <v>-</v>
      </c>
      <c r="V58" s="1030" t="str">
        <f>INDEX('DEFAULT DATA'!$EH$9:$GM$41,V$21,$E58)</f>
        <v>-</v>
      </c>
      <c r="W58" s="1030" t="str">
        <f>INDEX('DEFAULT DATA'!$EH$9:$GM$41,W$21,$E58)</f>
        <v>-</v>
      </c>
      <c r="X58" s="1030" t="str">
        <f>INDEX('DEFAULT DATA'!$EH$9:$GM$41,X$21,$E58)</f>
        <v>-</v>
      </c>
      <c r="Y58" s="1030" t="str">
        <f>INDEX('DEFAULT DATA'!$EH$9:$GM$41,Y$21,$E58)</f>
        <v>-</v>
      </c>
      <c r="Z58" s="1030" t="str">
        <f>INDEX('DEFAULT DATA'!$EH$9:$GM$41,Z$21,$E58)</f>
        <v>-</v>
      </c>
      <c r="AA58" s="1030" t="str">
        <f>INDEX('DEFAULT DATA'!$EH$9:$GM$41,AA$21,$E58)</f>
        <v>-</v>
      </c>
      <c r="AB58" s="1030" t="str">
        <f>INDEX('DEFAULT DATA'!$EH$9:$GM$41,AB$21,$E58)</f>
        <v>-</v>
      </c>
      <c r="AC58" s="1030" t="str">
        <f>INDEX('DEFAULT DATA'!$EH$9:$GM$41,AC$21,$E58)</f>
        <v>-</v>
      </c>
      <c r="AD58" s="1030" t="str">
        <f>INDEX('DEFAULT DATA'!$EH$9:$GM$41,AD$21,$E58)</f>
        <v>-</v>
      </c>
      <c r="AE58" s="1030" t="str">
        <f>INDEX('DEFAULT DATA'!$EH$9:$GM$41,AE$21,$E58)</f>
        <v>-</v>
      </c>
      <c r="AF58" s="1030" t="str">
        <f>INDEX('DEFAULT DATA'!$EH$9:$GM$41,AF$21,$E58)</f>
        <v>-</v>
      </c>
      <c r="AG58" s="1030" t="str">
        <f>INDEX('DEFAULT DATA'!$EH$9:$GM$41,AG$21,$E58)</f>
        <v>-</v>
      </c>
      <c r="AH58" s="1030" t="str">
        <f>INDEX('DEFAULT DATA'!$EH$9:$GM$41,AH$21,$E58)</f>
        <v>-</v>
      </c>
      <c r="AI58" s="1030" t="str">
        <f>INDEX('DEFAULT DATA'!$EH$9:$GM$41,AI$21,$E58)</f>
        <v>-</v>
      </c>
      <c r="AJ58" s="1030" t="str">
        <f>INDEX('DEFAULT DATA'!$EH$9:$GM$41,AJ$21,$E58)</f>
        <v>-</v>
      </c>
      <c r="AK58" s="1030" t="str">
        <f>INDEX('DEFAULT DATA'!$EH$9:$GM$41,AK$21,$E58)</f>
        <v>-</v>
      </c>
    </row>
    <row r="59" spans="5:37">
      <c r="E59" s="193">
        <f t="shared" si="4"/>
        <v>37</v>
      </c>
      <c r="F59" s="1030" t="str">
        <f>INDEX('DEFAULT DATA'!$EH$9:$GM$41,F$21,$E59)</f>
        <v>-</v>
      </c>
      <c r="G59" s="1030" t="str">
        <f>INDEX('DEFAULT DATA'!$EH$9:$GM$41,G$21,$E59)</f>
        <v>-</v>
      </c>
      <c r="H59" s="1030" t="str">
        <f>INDEX('DEFAULT DATA'!$EH$9:$GM$41,H$21,$E59)</f>
        <v>-</v>
      </c>
      <c r="I59" s="1030" t="str">
        <f>INDEX('DEFAULT DATA'!$EH$9:$GM$41,I$21,$E59)</f>
        <v>-</v>
      </c>
      <c r="J59" s="1030" t="str">
        <f>INDEX('DEFAULT DATA'!$EH$9:$GM$41,J$21,$E59)</f>
        <v>-</v>
      </c>
      <c r="K59" s="1030" t="str">
        <f>INDEX('DEFAULT DATA'!$EH$9:$GM$41,K$21,$E59)</f>
        <v>-</v>
      </c>
      <c r="L59" s="1030" t="str">
        <f>INDEX('DEFAULT DATA'!$EH$9:$GM$41,L$21,$E59)</f>
        <v>-</v>
      </c>
      <c r="M59" s="1030" t="str">
        <f>INDEX('DEFAULT DATA'!$EH$9:$GM$41,M$21,$E59)</f>
        <v>-</v>
      </c>
      <c r="N59" s="1030" t="str">
        <f>INDEX('DEFAULT DATA'!$EH$9:$GM$41,N$21,$E59)</f>
        <v>-</v>
      </c>
      <c r="O59" s="1030" t="str">
        <f>INDEX('DEFAULT DATA'!$EH$9:$GM$41,O$21,$E59)</f>
        <v>-</v>
      </c>
      <c r="P59" s="1030" t="str">
        <f>INDEX('DEFAULT DATA'!$EH$9:$GM$41,P$21,$E59)</f>
        <v>Karlsruhe Stadtbahn</v>
      </c>
      <c r="Q59" s="1030" t="str">
        <f>INDEX('DEFAULT DATA'!$EH$9:$GM$41,Q$21,$E59)</f>
        <v>-</v>
      </c>
      <c r="R59" s="1030" t="str">
        <f>INDEX('DEFAULT DATA'!$EH$9:$GM$41,R$21,$E59)</f>
        <v>-</v>
      </c>
      <c r="S59" s="1030" t="str">
        <f>INDEX('DEFAULT DATA'!$EH$9:$GM$41,S$21,$E59)</f>
        <v>-</v>
      </c>
      <c r="T59" s="1030" t="str">
        <f>INDEX('DEFAULT DATA'!$EH$9:$GM$41,T$21,$E59)</f>
        <v>-</v>
      </c>
      <c r="U59" s="1030" t="str">
        <f>INDEX('DEFAULT DATA'!$EH$9:$GM$41,U$21,$E59)</f>
        <v>-</v>
      </c>
      <c r="V59" s="1030" t="str">
        <f>INDEX('DEFAULT DATA'!$EH$9:$GM$41,V$21,$E59)</f>
        <v>-</v>
      </c>
      <c r="W59" s="1030" t="str">
        <f>INDEX('DEFAULT DATA'!$EH$9:$GM$41,W$21,$E59)</f>
        <v>-</v>
      </c>
      <c r="X59" s="1030" t="str">
        <f>INDEX('DEFAULT DATA'!$EH$9:$GM$41,X$21,$E59)</f>
        <v>-</v>
      </c>
      <c r="Y59" s="1030" t="str">
        <f>INDEX('DEFAULT DATA'!$EH$9:$GM$41,Y$21,$E59)</f>
        <v>-</v>
      </c>
      <c r="Z59" s="1030" t="str">
        <f>INDEX('DEFAULT DATA'!$EH$9:$GM$41,Z$21,$E59)</f>
        <v>-</v>
      </c>
      <c r="AA59" s="1030" t="str">
        <f>INDEX('DEFAULT DATA'!$EH$9:$GM$41,AA$21,$E59)</f>
        <v>-</v>
      </c>
      <c r="AB59" s="1030" t="str">
        <f>INDEX('DEFAULT DATA'!$EH$9:$GM$41,AB$21,$E59)</f>
        <v>-</v>
      </c>
      <c r="AC59" s="1030" t="str">
        <f>INDEX('DEFAULT DATA'!$EH$9:$GM$41,AC$21,$E59)</f>
        <v>-</v>
      </c>
      <c r="AD59" s="1030" t="str">
        <f>INDEX('DEFAULT DATA'!$EH$9:$GM$41,AD$21,$E59)</f>
        <v>-</v>
      </c>
      <c r="AE59" s="1030" t="str">
        <f>INDEX('DEFAULT DATA'!$EH$9:$GM$41,AE$21,$E59)</f>
        <v>-</v>
      </c>
      <c r="AF59" s="1030" t="str">
        <f>INDEX('DEFAULT DATA'!$EH$9:$GM$41,AF$21,$E59)</f>
        <v>-</v>
      </c>
      <c r="AG59" s="1030" t="str">
        <f>INDEX('DEFAULT DATA'!$EH$9:$GM$41,AG$21,$E59)</f>
        <v>-</v>
      </c>
      <c r="AH59" s="1030" t="str">
        <f>INDEX('DEFAULT DATA'!$EH$9:$GM$41,AH$21,$E59)</f>
        <v>-</v>
      </c>
      <c r="AI59" s="1030" t="str">
        <f>INDEX('DEFAULT DATA'!$EH$9:$GM$41,AI$21,$E59)</f>
        <v>-</v>
      </c>
      <c r="AJ59" s="1030" t="str">
        <f>INDEX('DEFAULT DATA'!$EH$9:$GM$41,AJ$21,$E59)</f>
        <v>-</v>
      </c>
      <c r="AK59" s="1030" t="str">
        <f>INDEX('DEFAULT DATA'!$EH$9:$GM$41,AK$21,$E59)</f>
        <v>-</v>
      </c>
    </row>
    <row r="60" spans="5:37">
      <c r="E60" s="193">
        <f t="shared" si="4"/>
        <v>38</v>
      </c>
      <c r="F60" s="1030" t="str">
        <f>INDEX('DEFAULT DATA'!$EH$9:$GM$41,F$21,$E60)</f>
        <v>-</v>
      </c>
      <c r="G60" s="1030" t="str">
        <f>INDEX('DEFAULT DATA'!$EH$9:$GM$41,G$21,$E60)</f>
        <v>-</v>
      </c>
      <c r="H60" s="1030" t="str">
        <f>INDEX('DEFAULT DATA'!$EH$9:$GM$41,H$21,$E60)</f>
        <v>-</v>
      </c>
      <c r="I60" s="1030" t="str">
        <f>INDEX('DEFAULT DATA'!$EH$9:$GM$41,I$21,$E60)</f>
        <v>-</v>
      </c>
      <c r="J60" s="1030" t="str">
        <f>INDEX('DEFAULT DATA'!$EH$9:$GM$41,J$21,$E60)</f>
        <v>-</v>
      </c>
      <c r="K60" s="1030" t="str">
        <f>INDEX('DEFAULT DATA'!$EH$9:$GM$41,K$21,$E60)</f>
        <v>-</v>
      </c>
      <c r="L60" s="1030" t="str">
        <f>INDEX('DEFAULT DATA'!$EH$9:$GM$41,L$21,$E60)</f>
        <v>-</v>
      </c>
      <c r="M60" s="1030" t="str">
        <f>INDEX('DEFAULT DATA'!$EH$9:$GM$41,M$21,$E60)</f>
        <v>-</v>
      </c>
      <c r="N60" s="1030" t="str">
        <f>INDEX('DEFAULT DATA'!$EH$9:$GM$41,N$21,$E60)</f>
        <v>-</v>
      </c>
      <c r="O60" s="1030" t="str">
        <f>INDEX('DEFAULT DATA'!$EH$9:$GM$41,O$21,$E60)</f>
        <v>-</v>
      </c>
      <c r="P60" s="1030" t="str">
        <f>INDEX('DEFAULT DATA'!$EH$9:$GM$41,P$21,$E60)</f>
        <v>Karlsruhe</v>
      </c>
      <c r="Q60" s="1030" t="str">
        <f>INDEX('DEFAULT DATA'!$EH$9:$GM$41,Q$21,$E60)</f>
        <v>-</v>
      </c>
      <c r="R60" s="1030" t="str">
        <f>INDEX('DEFAULT DATA'!$EH$9:$GM$41,R$21,$E60)</f>
        <v>-</v>
      </c>
      <c r="S60" s="1030" t="str">
        <f>INDEX('DEFAULT DATA'!$EH$9:$GM$41,S$21,$E60)</f>
        <v>-</v>
      </c>
      <c r="T60" s="1030" t="str">
        <f>INDEX('DEFAULT DATA'!$EH$9:$GM$41,T$21,$E60)</f>
        <v>-</v>
      </c>
      <c r="U60" s="1030" t="str">
        <f>INDEX('DEFAULT DATA'!$EH$9:$GM$41,U$21,$E60)</f>
        <v>-</v>
      </c>
      <c r="V60" s="1030" t="str">
        <f>INDEX('DEFAULT DATA'!$EH$9:$GM$41,V$21,$E60)</f>
        <v>-</v>
      </c>
      <c r="W60" s="1030" t="str">
        <f>INDEX('DEFAULT DATA'!$EH$9:$GM$41,W$21,$E60)</f>
        <v>-</v>
      </c>
      <c r="X60" s="1030" t="str">
        <f>INDEX('DEFAULT DATA'!$EH$9:$GM$41,X$21,$E60)</f>
        <v>-</v>
      </c>
      <c r="Y60" s="1030" t="str">
        <f>INDEX('DEFAULT DATA'!$EH$9:$GM$41,Y$21,$E60)</f>
        <v>-</v>
      </c>
      <c r="Z60" s="1030" t="str">
        <f>INDEX('DEFAULT DATA'!$EH$9:$GM$41,Z$21,$E60)</f>
        <v>-</v>
      </c>
      <c r="AA60" s="1030" t="str">
        <f>INDEX('DEFAULT DATA'!$EH$9:$GM$41,AA$21,$E60)</f>
        <v>-</v>
      </c>
      <c r="AB60" s="1030" t="str">
        <f>INDEX('DEFAULT DATA'!$EH$9:$GM$41,AB$21,$E60)</f>
        <v>-</v>
      </c>
      <c r="AC60" s="1030" t="str">
        <f>INDEX('DEFAULT DATA'!$EH$9:$GM$41,AC$21,$E60)</f>
        <v>-</v>
      </c>
      <c r="AD60" s="1030" t="str">
        <f>INDEX('DEFAULT DATA'!$EH$9:$GM$41,AD$21,$E60)</f>
        <v>-</v>
      </c>
      <c r="AE60" s="1030" t="str">
        <f>INDEX('DEFAULT DATA'!$EH$9:$GM$41,AE$21,$E60)</f>
        <v>-</v>
      </c>
      <c r="AF60" s="1030" t="str">
        <f>INDEX('DEFAULT DATA'!$EH$9:$GM$41,AF$21,$E60)</f>
        <v>-</v>
      </c>
      <c r="AG60" s="1030" t="str">
        <f>INDEX('DEFAULT DATA'!$EH$9:$GM$41,AG$21,$E60)</f>
        <v>-</v>
      </c>
      <c r="AH60" s="1030" t="str">
        <f>INDEX('DEFAULT DATA'!$EH$9:$GM$41,AH$21,$E60)</f>
        <v>-</v>
      </c>
      <c r="AI60" s="1030" t="str">
        <f>INDEX('DEFAULT DATA'!$EH$9:$GM$41,AI$21,$E60)</f>
        <v>-</v>
      </c>
      <c r="AJ60" s="1030" t="str">
        <f>INDEX('DEFAULT DATA'!$EH$9:$GM$41,AJ$21,$E60)</f>
        <v>-</v>
      </c>
      <c r="AK60" s="1030" t="str">
        <f>INDEX('DEFAULT DATA'!$EH$9:$GM$41,AK$21,$E60)</f>
        <v>-</v>
      </c>
    </row>
    <row r="61" spans="5:37">
      <c r="E61" s="193">
        <f t="shared" si="4"/>
        <v>39</v>
      </c>
      <c r="F61" s="1030" t="str">
        <f>INDEX('DEFAULT DATA'!$EH$9:$GM$41,F$21,$E61)</f>
        <v>-</v>
      </c>
      <c r="G61" s="1030" t="str">
        <f>INDEX('DEFAULT DATA'!$EH$9:$GM$41,G$21,$E61)</f>
        <v>-</v>
      </c>
      <c r="H61" s="1030" t="str">
        <f>INDEX('DEFAULT DATA'!$EH$9:$GM$41,H$21,$E61)</f>
        <v>-</v>
      </c>
      <c r="I61" s="1030" t="str">
        <f>INDEX('DEFAULT DATA'!$EH$9:$GM$41,I$21,$E61)</f>
        <v>-</v>
      </c>
      <c r="J61" s="1030" t="str">
        <f>INDEX('DEFAULT DATA'!$EH$9:$GM$41,J$21,$E61)</f>
        <v>-</v>
      </c>
      <c r="K61" s="1030" t="str">
        <f>INDEX('DEFAULT DATA'!$EH$9:$GM$41,K$21,$E61)</f>
        <v>-</v>
      </c>
      <c r="L61" s="1030" t="str">
        <f>INDEX('DEFAULT DATA'!$EH$9:$GM$41,L$21,$E61)</f>
        <v>-</v>
      </c>
      <c r="M61" s="1030" t="str">
        <f>INDEX('DEFAULT DATA'!$EH$9:$GM$41,M$21,$E61)</f>
        <v>-</v>
      </c>
      <c r="N61" s="1030" t="str">
        <f>INDEX('DEFAULT DATA'!$EH$9:$GM$41,N$21,$E61)</f>
        <v>-</v>
      </c>
      <c r="O61" s="1030" t="str">
        <f>INDEX('DEFAULT DATA'!$EH$9:$GM$41,O$21,$E61)</f>
        <v>-</v>
      </c>
      <c r="P61" s="1030" t="str">
        <f>INDEX('DEFAULT DATA'!$EH$9:$GM$41,P$21,$E61)</f>
        <v>Kassel RegioTram</v>
      </c>
      <c r="Q61" s="1030" t="str">
        <f>INDEX('DEFAULT DATA'!$EH$9:$GM$41,Q$21,$E61)</f>
        <v>-</v>
      </c>
      <c r="R61" s="1030" t="str">
        <f>INDEX('DEFAULT DATA'!$EH$9:$GM$41,R$21,$E61)</f>
        <v>-</v>
      </c>
      <c r="S61" s="1030" t="str">
        <f>INDEX('DEFAULT DATA'!$EH$9:$GM$41,S$21,$E61)</f>
        <v>-</v>
      </c>
      <c r="T61" s="1030" t="str">
        <f>INDEX('DEFAULT DATA'!$EH$9:$GM$41,T$21,$E61)</f>
        <v>-</v>
      </c>
      <c r="U61" s="1030" t="str">
        <f>INDEX('DEFAULT DATA'!$EH$9:$GM$41,U$21,$E61)</f>
        <v>-</v>
      </c>
      <c r="V61" s="1030" t="str">
        <f>INDEX('DEFAULT DATA'!$EH$9:$GM$41,V$21,$E61)</f>
        <v>-</v>
      </c>
      <c r="W61" s="1030" t="str">
        <f>INDEX('DEFAULT DATA'!$EH$9:$GM$41,W$21,$E61)</f>
        <v>-</v>
      </c>
      <c r="X61" s="1030" t="str">
        <f>INDEX('DEFAULT DATA'!$EH$9:$GM$41,X$21,$E61)</f>
        <v>-</v>
      </c>
      <c r="Y61" s="1030" t="str">
        <f>INDEX('DEFAULT DATA'!$EH$9:$GM$41,Y$21,$E61)</f>
        <v>-</v>
      </c>
      <c r="Z61" s="1030" t="str">
        <f>INDEX('DEFAULT DATA'!$EH$9:$GM$41,Z$21,$E61)</f>
        <v>-</v>
      </c>
      <c r="AA61" s="1030" t="str">
        <f>INDEX('DEFAULT DATA'!$EH$9:$GM$41,AA$21,$E61)</f>
        <v>-</v>
      </c>
      <c r="AB61" s="1030" t="str">
        <f>INDEX('DEFAULT DATA'!$EH$9:$GM$41,AB$21,$E61)</f>
        <v>-</v>
      </c>
      <c r="AC61" s="1030" t="str">
        <f>INDEX('DEFAULT DATA'!$EH$9:$GM$41,AC$21,$E61)</f>
        <v>-</v>
      </c>
      <c r="AD61" s="1030" t="str">
        <f>INDEX('DEFAULT DATA'!$EH$9:$GM$41,AD$21,$E61)</f>
        <v>-</v>
      </c>
      <c r="AE61" s="1030" t="str">
        <f>INDEX('DEFAULT DATA'!$EH$9:$GM$41,AE$21,$E61)</f>
        <v>-</v>
      </c>
      <c r="AF61" s="1030" t="str">
        <f>INDEX('DEFAULT DATA'!$EH$9:$GM$41,AF$21,$E61)</f>
        <v>-</v>
      </c>
      <c r="AG61" s="1030" t="str">
        <f>INDEX('DEFAULT DATA'!$EH$9:$GM$41,AG$21,$E61)</f>
        <v>-</v>
      </c>
      <c r="AH61" s="1030" t="str">
        <f>INDEX('DEFAULT DATA'!$EH$9:$GM$41,AH$21,$E61)</f>
        <v>-</v>
      </c>
      <c r="AI61" s="1030" t="str">
        <f>INDEX('DEFAULT DATA'!$EH$9:$GM$41,AI$21,$E61)</f>
        <v>-</v>
      </c>
      <c r="AJ61" s="1030" t="str">
        <f>INDEX('DEFAULT DATA'!$EH$9:$GM$41,AJ$21,$E61)</f>
        <v>-</v>
      </c>
      <c r="AK61" s="1030" t="str">
        <f>INDEX('DEFAULT DATA'!$EH$9:$GM$41,AK$21,$E61)</f>
        <v>-</v>
      </c>
    </row>
    <row r="62" spans="5:37">
      <c r="E62" s="193">
        <f t="shared" si="4"/>
        <v>40</v>
      </c>
      <c r="F62" s="1030" t="str">
        <f>INDEX('DEFAULT DATA'!$EH$9:$GM$41,F$21,$E62)</f>
        <v>-</v>
      </c>
      <c r="G62" s="1030" t="str">
        <f>INDEX('DEFAULT DATA'!$EH$9:$GM$41,G$21,$E62)</f>
        <v>-</v>
      </c>
      <c r="H62" s="1030" t="str">
        <f>INDEX('DEFAULT DATA'!$EH$9:$GM$41,H$21,$E62)</f>
        <v>-</v>
      </c>
      <c r="I62" s="1030" t="str">
        <f>INDEX('DEFAULT DATA'!$EH$9:$GM$41,I$21,$E62)</f>
        <v>-</v>
      </c>
      <c r="J62" s="1030" t="str">
        <f>INDEX('DEFAULT DATA'!$EH$9:$GM$41,J$21,$E62)</f>
        <v>-</v>
      </c>
      <c r="K62" s="1030" t="str">
        <f>INDEX('DEFAULT DATA'!$EH$9:$GM$41,K$21,$E62)</f>
        <v>-</v>
      </c>
      <c r="L62" s="1030" t="str">
        <f>INDEX('DEFAULT DATA'!$EH$9:$GM$41,L$21,$E62)</f>
        <v>-</v>
      </c>
      <c r="M62" s="1030" t="str">
        <f>INDEX('DEFAULT DATA'!$EH$9:$GM$41,M$21,$E62)</f>
        <v>-</v>
      </c>
      <c r="N62" s="1030" t="str">
        <f>INDEX('DEFAULT DATA'!$EH$9:$GM$41,N$21,$E62)</f>
        <v>-</v>
      </c>
      <c r="O62" s="1030" t="str">
        <f>INDEX('DEFAULT DATA'!$EH$9:$GM$41,O$21,$E62)</f>
        <v>-</v>
      </c>
      <c r="P62" s="1030" t="str">
        <f>INDEX('DEFAULT DATA'!$EH$9:$GM$41,P$21,$E62)</f>
        <v>Kassel</v>
      </c>
      <c r="Q62" s="1030" t="str">
        <f>INDEX('DEFAULT DATA'!$EH$9:$GM$41,Q$21,$E62)</f>
        <v>-</v>
      </c>
      <c r="R62" s="1030" t="str">
        <f>INDEX('DEFAULT DATA'!$EH$9:$GM$41,R$21,$E62)</f>
        <v>-</v>
      </c>
      <c r="S62" s="1030" t="str">
        <f>INDEX('DEFAULT DATA'!$EH$9:$GM$41,S$21,$E62)</f>
        <v>-</v>
      </c>
      <c r="T62" s="1030" t="str">
        <f>INDEX('DEFAULT DATA'!$EH$9:$GM$41,T$21,$E62)</f>
        <v>-</v>
      </c>
      <c r="U62" s="1030" t="str">
        <f>INDEX('DEFAULT DATA'!$EH$9:$GM$41,U$21,$E62)</f>
        <v>-</v>
      </c>
      <c r="V62" s="1030" t="str">
        <f>INDEX('DEFAULT DATA'!$EH$9:$GM$41,V$21,$E62)</f>
        <v>-</v>
      </c>
      <c r="W62" s="1030" t="str">
        <f>INDEX('DEFAULT DATA'!$EH$9:$GM$41,W$21,$E62)</f>
        <v>-</v>
      </c>
      <c r="X62" s="1030" t="str">
        <f>INDEX('DEFAULT DATA'!$EH$9:$GM$41,X$21,$E62)</f>
        <v>-</v>
      </c>
      <c r="Y62" s="1030" t="str">
        <f>INDEX('DEFAULT DATA'!$EH$9:$GM$41,Y$21,$E62)</f>
        <v>-</v>
      </c>
      <c r="Z62" s="1030" t="str">
        <f>INDEX('DEFAULT DATA'!$EH$9:$GM$41,Z$21,$E62)</f>
        <v>-</v>
      </c>
      <c r="AA62" s="1030" t="str">
        <f>INDEX('DEFAULT DATA'!$EH$9:$GM$41,AA$21,$E62)</f>
        <v>-</v>
      </c>
      <c r="AB62" s="1030" t="str">
        <f>INDEX('DEFAULT DATA'!$EH$9:$GM$41,AB$21,$E62)</f>
        <v>-</v>
      </c>
      <c r="AC62" s="1030" t="str">
        <f>INDEX('DEFAULT DATA'!$EH$9:$GM$41,AC$21,$E62)</f>
        <v>-</v>
      </c>
      <c r="AD62" s="1030" t="str">
        <f>INDEX('DEFAULT DATA'!$EH$9:$GM$41,AD$21,$E62)</f>
        <v>-</v>
      </c>
      <c r="AE62" s="1030" t="str">
        <f>INDEX('DEFAULT DATA'!$EH$9:$GM$41,AE$21,$E62)</f>
        <v>-</v>
      </c>
      <c r="AF62" s="1030" t="str">
        <f>INDEX('DEFAULT DATA'!$EH$9:$GM$41,AF$21,$E62)</f>
        <v>-</v>
      </c>
      <c r="AG62" s="1030" t="str">
        <f>INDEX('DEFAULT DATA'!$EH$9:$GM$41,AG$21,$E62)</f>
        <v>-</v>
      </c>
      <c r="AH62" s="1030" t="str">
        <f>INDEX('DEFAULT DATA'!$EH$9:$GM$41,AH$21,$E62)</f>
        <v>-</v>
      </c>
      <c r="AI62" s="1030" t="str">
        <f>INDEX('DEFAULT DATA'!$EH$9:$GM$41,AI$21,$E62)</f>
        <v>-</v>
      </c>
      <c r="AJ62" s="1030" t="str">
        <f>INDEX('DEFAULT DATA'!$EH$9:$GM$41,AJ$21,$E62)</f>
        <v>-</v>
      </c>
      <c r="AK62" s="1030" t="str">
        <f>INDEX('DEFAULT DATA'!$EH$9:$GM$41,AK$21,$E62)</f>
        <v>-</v>
      </c>
    </row>
    <row r="63" spans="5:37">
      <c r="E63" s="193">
        <f t="shared" si="4"/>
        <v>41</v>
      </c>
      <c r="F63" s="1030" t="str">
        <f>INDEX('DEFAULT DATA'!$EH$9:$GM$41,F$21,$E63)</f>
        <v>-</v>
      </c>
      <c r="G63" s="1030" t="str">
        <f>INDEX('DEFAULT DATA'!$EH$9:$GM$41,G$21,$E63)</f>
        <v>-</v>
      </c>
      <c r="H63" s="1030" t="str">
        <f>INDEX('DEFAULT DATA'!$EH$9:$GM$41,H$21,$E63)</f>
        <v>-</v>
      </c>
      <c r="I63" s="1030" t="str">
        <f>INDEX('DEFAULT DATA'!$EH$9:$GM$41,I$21,$E63)</f>
        <v>-</v>
      </c>
      <c r="J63" s="1030" t="str">
        <f>INDEX('DEFAULT DATA'!$EH$9:$GM$41,J$21,$E63)</f>
        <v>-</v>
      </c>
      <c r="K63" s="1030" t="str">
        <f>INDEX('DEFAULT DATA'!$EH$9:$GM$41,K$21,$E63)</f>
        <v>-</v>
      </c>
      <c r="L63" s="1030" t="str">
        <f>INDEX('DEFAULT DATA'!$EH$9:$GM$41,L$21,$E63)</f>
        <v>-</v>
      </c>
      <c r="M63" s="1030" t="str">
        <f>INDEX('DEFAULT DATA'!$EH$9:$GM$41,M$21,$E63)</f>
        <v>-</v>
      </c>
      <c r="N63" s="1030" t="str">
        <f>INDEX('DEFAULT DATA'!$EH$9:$GM$41,N$21,$E63)</f>
        <v>-</v>
      </c>
      <c r="O63" s="1030" t="str">
        <f>INDEX('DEFAULT DATA'!$EH$9:$GM$41,O$21,$E63)</f>
        <v>-</v>
      </c>
      <c r="P63" s="1030" t="str">
        <f>INDEX('DEFAULT DATA'!$EH$9:$GM$41,P$21,$E63)</f>
        <v>Krefeld</v>
      </c>
      <c r="Q63" s="1030" t="str">
        <f>INDEX('DEFAULT DATA'!$EH$9:$GM$41,Q$21,$E63)</f>
        <v>-</v>
      </c>
      <c r="R63" s="1030" t="str">
        <f>INDEX('DEFAULT DATA'!$EH$9:$GM$41,R$21,$E63)</f>
        <v>-</v>
      </c>
      <c r="S63" s="1030" t="str">
        <f>INDEX('DEFAULT DATA'!$EH$9:$GM$41,S$21,$E63)</f>
        <v>-</v>
      </c>
      <c r="T63" s="1030" t="str">
        <f>INDEX('DEFAULT DATA'!$EH$9:$GM$41,T$21,$E63)</f>
        <v>-</v>
      </c>
      <c r="U63" s="1030" t="str">
        <f>INDEX('DEFAULT DATA'!$EH$9:$GM$41,U$21,$E63)</f>
        <v>-</v>
      </c>
      <c r="V63" s="1030" t="str">
        <f>INDEX('DEFAULT DATA'!$EH$9:$GM$41,V$21,$E63)</f>
        <v>-</v>
      </c>
      <c r="W63" s="1030" t="str">
        <f>INDEX('DEFAULT DATA'!$EH$9:$GM$41,W$21,$E63)</f>
        <v>-</v>
      </c>
      <c r="X63" s="1030" t="str">
        <f>INDEX('DEFAULT DATA'!$EH$9:$GM$41,X$21,$E63)</f>
        <v>-</v>
      </c>
      <c r="Y63" s="1030" t="str">
        <f>INDEX('DEFAULT DATA'!$EH$9:$GM$41,Y$21,$E63)</f>
        <v>-</v>
      </c>
      <c r="Z63" s="1030" t="str">
        <f>INDEX('DEFAULT DATA'!$EH$9:$GM$41,Z$21,$E63)</f>
        <v>-</v>
      </c>
      <c r="AA63" s="1030" t="str">
        <f>INDEX('DEFAULT DATA'!$EH$9:$GM$41,AA$21,$E63)</f>
        <v>-</v>
      </c>
      <c r="AB63" s="1030" t="str">
        <f>INDEX('DEFAULT DATA'!$EH$9:$GM$41,AB$21,$E63)</f>
        <v>-</v>
      </c>
      <c r="AC63" s="1030" t="str">
        <f>INDEX('DEFAULT DATA'!$EH$9:$GM$41,AC$21,$E63)</f>
        <v>-</v>
      </c>
      <c r="AD63" s="1030" t="str">
        <f>INDEX('DEFAULT DATA'!$EH$9:$GM$41,AD$21,$E63)</f>
        <v>-</v>
      </c>
      <c r="AE63" s="1030" t="str">
        <f>INDEX('DEFAULT DATA'!$EH$9:$GM$41,AE$21,$E63)</f>
        <v>-</v>
      </c>
      <c r="AF63" s="1030" t="str">
        <f>INDEX('DEFAULT DATA'!$EH$9:$GM$41,AF$21,$E63)</f>
        <v>-</v>
      </c>
      <c r="AG63" s="1030" t="str">
        <f>INDEX('DEFAULT DATA'!$EH$9:$GM$41,AG$21,$E63)</f>
        <v>-</v>
      </c>
      <c r="AH63" s="1030" t="str">
        <f>INDEX('DEFAULT DATA'!$EH$9:$GM$41,AH$21,$E63)</f>
        <v>-</v>
      </c>
      <c r="AI63" s="1030" t="str">
        <f>INDEX('DEFAULT DATA'!$EH$9:$GM$41,AI$21,$E63)</f>
        <v>-</v>
      </c>
      <c r="AJ63" s="1030" t="str">
        <f>INDEX('DEFAULT DATA'!$EH$9:$GM$41,AJ$21,$E63)</f>
        <v>-</v>
      </c>
      <c r="AK63" s="1030" t="str">
        <f>INDEX('DEFAULT DATA'!$EH$9:$GM$41,AK$21,$E63)</f>
        <v>-</v>
      </c>
    </row>
    <row r="64" spans="5:37">
      <c r="E64" s="193">
        <f t="shared" si="4"/>
        <v>42</v>
      </c>
      <c r="F64" s="1030" t="str">
        <f>INDEX('DEFAULT DATA'!$EH$9:$GM$41,F$21,$E64)</f>
        <v>-</v>
      </c>
      <c r="G64" s="1030" t="str">
        <f>INDEX('DEFAULT DATA'!$EH$9:$GM$41,G$21,$E64)</f>
        <v>-</v>
      </c>
      <c r="H64" s="1030" t="str">
        <f>INDEX('DEFAULT DATA'!$EH$9:$GM$41,H$21,$E64)</f>
        <v>-</v>
      </c>
      <c r="I64" s="1030" t="str">
        <f>INDEX('DEFAULT DATA'!$EH$9:$GM$41,I$21,$E64)</f>
        <v>-</v>
      </c>
      <c r="J64" s="1030" t="str">
        <f>INDEX('DEFAULT DATA'!$EH$9:$GM$41,J$21,$E64)</f>
        <v>-</v>
      </c>
      <c r="K64" s="1030" t="str">
        <f>INDEX('DEFAULT DATA'!$EH$9:$GM$41,K$21,$E64)</f>
        <v>-</v>
      </c>
      <c r="L64" s="1030" t="str">
        <f>INDEX('DEFAULT DATA'!$EH$9:$GM$41,L$21,$E64)</f>
        <v>-</v>
      </c>
      <c r="M64" s="1030" t="str">
        <f>INDEX('DEFAULT DATA'!$EH$9:$GM$41,M$21,$E64)</f>
        <v>-</v>
      </c>
      <c r="N64" s="1030" t="str">
        <f>INDEX('DEFAULT DATA'!$EH$9:$GM$41,N$21,$E64)</f>
        <v>-</v>
      </c>
      <c r="O64" s="1030" t="str">
        <f>INDEX('DEFAULT DATA'!$EH$9:$GM$41,O$21,$E64)</f>
        <v>-</v>
      </c>
      <c r="P64" s="1030" t="str">
        <f>INDEX('DEFAULT DATA'!$EH$9:$GM$41,P$21,$E64)</f>
        <v>Leipzig</v>
      </c>
      <c r="Q64" s="1030" t="str">
        <f>INDEX('DEFAULT DATA'!$EH$9:$GM$41,Q$21,$E64)</f>
        <v>-</v>
      </c>
      <c r="R64" s="1030" t="str">
        <f>INDEX('DEFAULT DATA'!$EH$9:$GM$41,R$21,$E64)</f>
        <v>-</v>
      </c>
      <c r="S64" s="1030" t="str">
        <f>INDEX('DEFAULT DATA'!$EH$9:$GM$41,S$21,$E64)</f>
        <v>-</v>
      </c>
      <c r="T64" s="1030" t="str">
        <f>INDEX('DEFAULT DATA'!$EH$9:$GM$41,T$21,$E64)</f>
        <v>-</v>
      </c>
      <c r="U64" s="1030" t="str">
        <f>INDEX('DEFAULT DATA'!$EH$9:$GM$41,U$21,$E64)</f>
        <v>-</v>
      </c>
      <c r="V64" s="1030" t="str">
        <f>INDEX('DEFAULT DATA'!$EH$9:$GM$41,V$21,$E64)</f>
        <v>-</v>
      </c>
      <c r="W64" s="1030" t="str">
        <f>INDEX('DEFAULT DATA'!$EH$9:$GM$41,W$21,$E64)</f>
        <v>-</v>
      </c>
      <c r="X64" s="1030" t="str">
        <f>INDEX('DEFAULT DATA'!$EH$9:$GM$41,X$21,$E64)</f>
        <v>-</v>
      </c>
      <c r="Y64" s="1030" t="str">
        <f>INDEX('DEFAULT DATA'!$EH$9:$GM$41,Y$21,$E64)</f>
        <v>-</v>
      </c>
      <c r="Z64" s="1030" t="str">
        <f>INDEX('DEFAULT DATA'!$EH$9:$GM$41,Z$21,$E64)</f>
        <v>-</v>
      </c>
      <c r="AA64" s="1030" t="str">
        <f>INDEX('DEFAULT DATA'!$EH$9:$GM$41,AA$21,$E64)</f>
        <v>-</v>
      </c>
      <c r="AB64" s="1030" t="str">
        <f>INDEX('DEFAULT DATA'!$EH$9:$GM$41,AB$21,$E64)</f>
        <v>-</v>
      </c>
      <c r="AC64" s="1030" t="str">
        <f>INDEX('DEFAULT DATA'!$EH$9:$GM$41,AC$21,$E64)</f>
        <v>-</v>
      </c>
      <c r="AD64" s="1030" t="str">
        <f>INDEX('DEFAULT DATA'!$EH$9:$GM$41,AD$21,$E64)</f>
        <v>-</v>
      </c>
      <c r="AE64" s="1030" t="str">
        <f>INDEX('DEFAULT DATA'!$EH$9:$GM$41,AE$21,$E64)</f>
        <v>-</v>
      </c>
      <c r="AF64" s="1030" t="str">
        <f>INDEX('DEFAULT DATA'!$EH$9:$GM$41,AF$21,$E64)</f>
        <v>-</v>
      </c>
      <c r="AG64" s="1030" t="str">
        <f>INDEX('DEFAULT DATA'!$EH$9:$GM$41,AG$21,$E64)</f>
        <v>-</v>
      </c>
      <c r="AH64" s="1030" t="str">
        <f>INDEX('DEFAULT DATA'!$EH$9:$GM$41,AH$21,$E64)</f>
        <v>-</v>
      </c>
      <c r="AI64" s="1030" t="str">
        <f>INDEX('DEFAULT DATA'!$EH$9:$GM$41,AI$21,$E64)</f>
        <v>-</v>
      </c>
      <c r="AJ64" s="1030" t="str">
        <f>INDEX('DEFAULT DATA'!$EH$9:$GM$41,AJ$21,$E64)</f>
        <v>-</v>
      </c>
      <c r="AK64" s="1030" t="str">
        <f>INDEX('DEFAULT DATA'!$EH$9:$GM$41,AK$21,$E64)</f>
        <v>-</v>
      </c>
    </row>
    <row r="65" spans="5:37">
      <c r="E65" s="193">
        <f t="shared" si="4"/>
        <v>43</v>
      </c>
      <c r="F65" s="1030" t="str">
        <f>INDEX('DEFAULT DATA'!$EH$9:$GM$41,F$21,$E65)</f>
        <v>-</v>
      </c>
      <c r="G65" s="1030" t="str">
        <f>INDEX('DEFAULT DATA'!$EH$9:$GM$41,G$21,$E65)</f>
        <v>-</v>
      </c>
      <c r="H65" s="1030" t="str">
        <f>INDEX('DEFAULT DATA'!$EH$9:$GM$41,H$21,$E65)</f>
        <v>-</v>
      </c>
      <c r="I65" s="1030" t="str">
        <f>INDEX('DEFAULT DATA'!$EH$9:$GM$41,I$21,$E65)</f>
        <v>-</v>
      </c>
      <c r="J65" s="1030" t="str">
        <f>INDEX('DEFAULT DATA'!$EH$9:$GM$41,J$21,$E65)</f>
        <v>-</v>
      </c>
      <c r="K65" s="1030" t="str">
        <f>INDEX('DEFAULT DATA'!$EH$9:$GM$41,K$21,$E65)</f>
        <v>-</v>
      </c>
      <c r="L65" s="1030" t="str">
        <f>INDEX('DEFAULT DATA'!$EH$9:$GM$41,L$21,$E65)</f>
        <v>-</v>
      </c>
      <c r="M65" s="1030" t="str">
        <f>INDEX('DEFAULT DATA'!$EH$9:$GM$41,M$21,$E65)</f>
        <v>-</v>
      </c>
      <c r="N65" s="1030" t="str">
        <f>INDEX('DEFAULT DATA'!$EH$9:$GM$41,N$21,$E65)</f>
        <v>-</v>
      </c>
      <c r="O65" s="1030" t="str">
        <f>INDEX('DEFAULT DATA'!$EH$9:$GM$41,O$21,$E65)</f>
        <v>-</v>
      </c>
      <c r="P65" s="1030" t="str">
        <f>INDEX('DEFAULT DATA'!$EH$9:$GM$41,P$21,$E65)</f>
        <v>Magdeburg</v>
      </c>
      <c r="Q65" s="1030" t="str">
        <f>INDEX('DEFAULT DATA'!$EH$9:$GM$41,Q$21,$E65)</f>
        <v>-</v>
      </c>
      <c r="R65" s="1030" t="str">
        <f>INDEX('DEFAULT DATA'!$EH$9:$GM$41,R$21,$E65)</f>
        <v>-</v>
      </c>
      <c r="S65" s="1030" t="str">
        <f>INDEX('DEFAULT DATA'!$EH$9:$GM$41,S$21,$E65)</f>
        <v>-</v>
      </c>
      <c r="T65" s="1030" t="str">
        <f>INDEX('DEFAULT DATA'!$EH$9:$GM$41,T$21,$E65)</f>
        <v>-</v>
      </c>
      <c r="U65" s="1030" t="str">
        <f>INDEX('DEFAULT DATA'!$EH$9:$GM$41,U$21,$E65)</f>
        <v>-</v>
      </c>
      <c r="V65" s="1030" t="str">
        <f>INDEX('DEFAULT DATA'!$EH$9:$GM$41,V$21,$E65)</f>
        <v>-</v>
      </c>
      <c r="W65" s="1030" t="str">
        <f>INDEX('DEFAULT DATA'!$EH$9:$GM$41,W$21,$E65)</f>
        <v>-</v>
      </c>
      <c r="X65" s="1030" t="str">
        <f>INDEX('DEFAULT DATA'!$EH$9:$GM$41,X$21,$E65)</f>
        <v>-</v>
      </c>
      <c r="Y65" s="1030" t="str">
        <f>INDEX('DEFAULT DATA'!$EH$9:$GM$41,Y$21,$E65)</f>
        <v>-</v>
      </c>
      <c r="Z65" s="1030" t="str">
        <f>INDEX('DEFAULT DATA'!$EH$9:$GM$41,Z$21,$E65)</f>
        <v>-</v>
      </c>
      <c r="AA65" s="1030" t="str">
        <f>INDEX('DEFAULT DATA'!$EH$9:$GM$41,AA$21,$E65)</f>
        <v>-</v>
      </c>
      <c r="AB65" s="1030" t="str">
        <f>INDEX('DEFAULT DATA'!$EH$9:$GM$41,AB$21,$E65)</f>
        <v>-</v>
      </c>
      <c r="AC65" s="1030" t="str">
        <f>INDEX('DEFAULT DATA'!$EH$9:$GM$41,AC$21,$E65)</f>
        <v>-</v>
      </c>
      <c r="AD65" s="1030" t="str">
        <f>INDEX('DEFAULT DATA'!$EH$9:$GM$41,AD$21,$E65)</f>
        <v>-</v>
      </c>
      <c r="AE65" s="1030" t="str">
        <f>INDEX('DEFAULT DATA'!$EH$9:$GM$41,AE$21,$E65)</f>
        <v>-</v>
      </c>
      <c r="AF65" s="1030" t="str">
        <f>INDEX('DEFAULT DATA'!$EH$9:$GM$41,AF$21,$E65)</f>
        <v>-</v>
      </c>
      <c r="AG65" s="1030" t="str">
        <f>INDEX('DEFAULT DATA'!$EH$9:$GM$41,AG$21,$E65)</f>
        <v>-</v>
      </c>
      <c r="AH65" s="1030" t="str">
        <f>INDEX('DEFAULT DATA'!$EH$9:$GM$41,AH$21,$E65)</f>
        <v>-</v>
      </c>
      <c r="AI65" s="1030" t="str">
        <f>INDEX('DEFAULT DATA'!$EH$9:$GM$41,AI$21,$E65)</f>
        <v>-</v>
      </c>
      <c r="AJ65" s="1030" t="str">
        <f>INDEX('DEFAULT DATA'!$EH$9:$GM$41,AJ$21,$E65)</f>
        <v>-</v>
      </c>
      <c r="AK65" s="1030" t="str">
        <f>INDEX('DEFAULT DATA'!$EH$9:$GM$41,AK$21,$E65)</f>
        <v>-</v>
      </c>
    </row>
    <row r="66" spans="5:37">
      <c r="E66" s="193">
        <f t="shared" si="4"/>
        <v>44</v>
      </c>
      <c r="F66" s="1030" t="str">
        <f>INDEX('DEFAULT DATA'!$EH$9:$GM$41,F$21,$E66)</f>
        <v>-</v>
      </c>
      <c r="G66" s="1030" t="str">
        <f>INDEX('DEFAULT DATA'!$EH$9:$GM$41,G$21,$E66)</f>
        <v>-</v>
      </c>
      <c r="H66" s="1030" t="str">
        <f>INDEX('DEFAULT DATA'!$EH$9:$GM$41,H$21,$E66)</f>
        <v>-</v>
      </c>
      <c r="I66" s="1030" t="str">
        <f>INDEX('DEFAULT DATA'!$EH$9:$GM$41,I$21,$E66)</f>
        <v>-</v>
      </c>
      <c r="J66" s="1030" t="str">
        <f>INDEX('DEFAULT DATA'!$EH$9:$GM$41,J$21,$E66)</f>
        <v>-</v>
      </c>
      <c r="K66" s="1030" t="str">
        <f>INDEX('DEFAULT DATA'!$EH$9:$GM$41,K$21,$E66)</f>
        <v>-</v>
      </c>
      <c r="L66" s="1030" t="str">
        <f>INDEX('DEFAULT DATA'!$EH$9:$GM$41,L$21,$E66)</f>
        <v>-</v>
      </c>
      <c r="M66" s="1030" t="str">
        <f>INDEX('DEFAULT DATA'!$EH$9:$GM$41,M$21,$E66)</f>
        <v>-</v>
      </c>
      <c r="N66" s="1030" t="str">
        <f>INDEX('DEFAULT DATA'!$EH$9:$GM$41,N$21,$E66)</f>
        <v>-</v>
      </c>
      <c r="O66" s="1030" t="str">
        <f>INDEX('DEFAULT DATA'!$EH$9:$GM$41,O$21,$E66)</f>
        <v>-</v>
      </c>
      <c r="P66" s="1030" t="str">
        <f>INDEX('DEFAULT DATA'!$EH$9:$GM$41,P$21,$E66)</f>
        <v>Mainz</v>
      </c>
      <c r="Q66" s="1030" t="str">
        <f>INDEX('DEFAULT DATA'!$EH$9:$GM$41,Q$21,$E66)</f>
        <v>-</v>
      </c>
      <c r="R66" s="1030" t="str">
        <f>INDEX('DEFAULT DATA'!$EH$9:$GM$41,R$21,$E66)</f>
        <v>-</v>
      </c>
      <c r="S66" s="1030" t="str">
        <f>INDEX('DEFAULT DATA'!$EH$9:$GM$41,S$21,$E66)</f>
        <v>-</v>
      </c>
      <c r="T66" s="1030" t="str">
        <f>INDEX('DEFAULT DATA'!$EH$9:$GM$41,T$21,$E66)</f>
        <v>-</v>
      </c>
      <c r="U66" s="1030" t="str">
        <f>INDEX('DEFAULT DATA'!$EH$9:$GM$41,U$21,$E66)</f>
        <v>-</v>
      </c>
      <c r="V66" s="1030" t="str">
        <f>INDEX('DEFAULT DATA'!$EH$9:$GM$41,V$21,$E66)</f>
        <v>-</v>
      </c>
      <c r="W66" s="1030" t="str">
        <f>INDEX('DEFAULT DATA'!$EH$9:$GM$41,W$21,$E66)</f>
        <v>-</v>
      </c>
      <c r="X66" s="1030" t="str">
        <f>INDEX('DEFAULT DATA'!$EH$9:$GM$41,X$21,$E66)</f>
        <v>-</v>
      </c>
      <c r="Y66" s="1030" t="str">
        <f>INDEX('DEFAULT DATA'!$EH$9:$GM$41,Y$21,$E66)</f>
        <v>-</v>
      </c>
      <c r="Z66" s="1030" t="str">
        <f>INDEX('DEFAULT DATA'!$EH$9:$GM$41,Z$21,$E66)</f>
        <v>-</v>
      </c>
      <c r="AA66" s="1030" t="str">
        <f>INDEX('DEFAULT DATA'!$EH$9:$GM$41,AA$21,$E66)</f>
        <v>-</v>
      </c>
      <c r="AB66" s="1030" t="str">
        <f>INDEX('DEFAULT DATA'!$EH$9:$GM$41,AB$21,$E66)</f>
        <v>-</v>
      </c>
      <c r="AC66" s="1030" t="str">
        <f>INDEX('DEFAULT DATA'!$EH$9:$GM$41,AC$21,$E66)</f>
        <v>-</v>
      </c>
      <c r="AD66" s="1030" t="str">
        <f>INDEX('DEFAULT DATA'!$EH$9:$GM$41,AD$21,$E66)</f>
        <v>-</v>
      </c>
      <c r="AE66" s="1030" t="str">
        <f>INDEX('DEFAULT DATA'!$EH$9:$GM$41,AE$21,$E66)</f>
        <v>-</v>
      </c>
      <c r="AF66" s="1030" t="str">
        <f>INDEX('DEFAULT DATA'!$EH$9:$GM$41,AF$21,$E66)</f>
        <v>-</v>
      </c>
      <c r="AG66" s="1030" t="str">
        <f>INDEX('DEFAULT DATA'!$EH$9:$GM$41,AG$21,$E66)</f>
        <v>-</v>
      </c>
      <c r="AH66" s="1030" t="str">
        <f>INDEX('DEFAULT DATA'!$EH$9:$GM$41,AH$21,$E66)</f>
        <v>-</v>
      </c>
      <c r="AI66" s="1030" t="str">
        <f>INDEX('DEFAULT DATA'!$EH$9:$GM$41,AI$21,$E66)</f>
        <v>-</v>
      </c>
      <c r="AJ66" s="1030" t="str">
        <f>INDEX('DEFAULT DATA'!$EH$9:$GM$41,AJ$21,$E66)</f>
        <v>-</v>
      </c>
      <c r="AK66" s="1030" t="str">
        <f>INDEX('DEFAULT DATA'!$EH$9:$GM$41,AK$21,$E66)</f>
        <v>-</v>
      </c>
    </row>
    <row r="67" spans="5:37">
      <c r="E67" s="193">
        <f t="shared" si="4"/>
        <v>45</v>
      </c>
      <c r="F67" s="1030" t="str">
        <f>INDEX('DEFAULT DATA'!$EH$9:$GM$41,F$21,$E67)</f>
        <v>-</v>
      </c>
      <c r="G67" s="1030" t="str">
        <f>INDEX('DEFAULT DATA'!$EH$9:$GM$41,G$21,$E67)</f>
        <v>-</v>
      </c>
      <c r="H67" s="1030" t="str">
        <f>INDEX('DEFAULT DATA'!$EH$9:$GM$41,H$21,$E67)</f>
        <v>-</v>
      </c>
      <c r="I67" s="1030" t="str">
        <f>INDEX('DEFAULT DATA'!$EH$9:$GM$41,I$21,$E67)</f>
        <v>-</v>
      </c>
      <c r="J67" s="1030" t="str">
        <f>INDEX('DEFAULT DATA'!$EH$9:$GM$41,J$21,$E67)</f>
        <v>-</v>
      </c>
      <c r="K67" s="1030" t="str">
        <f>INDEX('DEFAULT DATA'!$EH$9:$GM$41,K$21,$E67)</f>
        <v>-</v>
      </c>
      <c r="L67" s="1030" t="str">
        <f>INDEX('DEFAULT DATA'!$EH$9:$GM$41,L$21,$E67)</f>
        <v>-</v>
      </c>
      <c r="M67" s="1030" t="str">
        <f>INDEX('DEFAULT DATA'!$EH$9:$GM$41,M$21,$E67)</f>
        <v>-</v>
      </c>
      <c r="N67" s="1030" t="str">
        <f>INDEX('DEFAULT DATA'!$EH$9:$GM$41,N$21,$E67)</f>
        <v>-</v>
      </c>
      <c r="O67" s="1030" t="str">
        <f>INDEX('DEFAULT DATA'!$EH$9:$GM$41,O$21,$E67)</f>
        <v>-</v>
      </c>
      <c r="P67" s="1030" t="str">
        <f>INDEX('DEFAULT DATA'!$EH$9:$GM$41,P$21,$E67)</f>
        <v>Mannheim/Ludwigshafen</v>
      </c>
      <c r="Q67" s="1030" t="str">
        <f>INDEX('DEFAULT DATA'!$EH$9:$GM$41,Q$21,$E67)</f>
        <v>-</v>
      </c>
      <c r="R67" s="1030" t="str">
        <f>INDEX('DEFAULT DATA'!$EH$9:$GM$41,R$21,$E67)</f>
        <v>-</v>
      </c>
      <c r="S67" s="1030" t="str">
        <f>INDEX('DEFAULT DATA'!$EH$9:$GM$41,S$21,$E67)</f>
        <v>-</v>
      </c>
      <c r="T67" s="1030" t="str">
        <f>INDEX('DEFAULT DATA'!$EH$9:$GM$41,T$21,$E67)</f>
        <v>-</v>
      </c>
      <c r="U67" s="1030" t="str">
        <f>INDEX('DEFAULT DATA'!$EH$9:$GM$41,U$21,$E67)</f>
        <v>-</v>
      </c>
      <c r="V67" s="1030" t="str">
        <f>INDEX('DEFAULT DATA'!$EH$9:$GM$41,V$21,$E67)</f>
        <v>-</v>
      </c>
      <c r="W67" s="1030" t="str">
        <f>INDEX('DEFAULT DATA'!$EH$9:$GM$41,W$21,$E67)</f>
        <v>-</v>
      </c>
      <c r="X67" s="1030" t="str">
        <f>INDEX('DEFAULT DATA'!$EH$9:$GM$41,X$21,$E67)</f>
        <v>-</v>
      </c>
      <c r="Y67" s="1030" t="str">
        <f>INDEX('DEFAULT DATA'!$EH$9:$GM$41,Y$21,$E67)</f>
        <v>-</v>
      </c>
      <c r="Z67" s="1030" t="str">
        <f>INDEX('DEFAULT DATA'!$EH$9:$GM$41,Z$21,$E67)</f>
        <v>-</v>
      </c>
      <c r="AA67" s="1030" t="str">
        <f>INDEX('DEFAULT DATA'!$EH$9:$GM$41,AA$21,$E67)</f>
        <v>-</v>
      </c>
      <c r="AB67" s="1030" t="str">
        <f>INDEX('DEFAULT DATA'!$EH$9:$GM$41,AB$21,$E67)</f>
        <v>-</v>
      </c>
      <c r="AC67" s="1030" t="str">
        <f>INDEX('DEFAULT DATA'!$EH$9:$GM$41,AC$21,$E67)</f>
        <v>-</v>
      </c>
      <c r="AD67" s="1030" t="str">
        <f>INDEX('DEFAULT DATA'!$EH$9:$GM$41,AD$21,$E67)</f>
        <v>-</v>
      </c>
      <c r="AE67" s="1030" t="str">
        <f>INDEX('DEFAULT DATA'!$EH$9:$GM$41,AE$21,$E67)</f>
        <v>-</v>
      </c>
      <c r="AF67" s="1030" t="str">
        <f>INDEX('DEFAULT DATA'!$EH$9:$GM$41,AF$21,$E67)</f>
        <v>-</v>
      </c>
      <c r="AG67" s="1030" t="str">
        <f>INDEX('DEFAULT DATA'!$EH$9:$GM$41,AG$21,$E67)</f>
        <v>-</v>
      </c>
      <c r="AH67" s="1030" t="str">
        <f>INDEX('DEFAULT DATA'!$EH$9:$GM$41,AH$21,$E67)</f>
        <v>-</v>
      </c>
      <c r="AI67" s="1030" t="str">
        <f>INDEX('DEFAULT DATA'!$EH$9:$GM$41,AI$21,$E67)</f>
        <v>-</v>
      </c>
      <c r="AJ67" s="1030" t="str">
        <f>INDEX('DEFAULT DATA'!$EH$9:$GM$41,AJ$21,$E67)</f>
        <v>-</v>
      </c>
      <c r="AK67" s="1030" t="str">
        <f>INDEX('DEFAULT DATA'!$EH$9:$GM$41,AK$21,$E67)</f>
        <v>-</v>
      </c>
    </row>
    <row r="68" spans="5:37">
      <c r="E68" s="193">
        <f t="shared" si="4"/>
        <v>46</v>
      </c>
      <c r="F68" s="1030" t="str">
        <f>INDEX('DEFAULT DATA'!$EH$9:$GM$41,F$21,$E68)</f>
        <v>-</v>
      </c>
      <c r="G68" s="1030" t="str">
        <f>INDEX('DEFAULT DATA'!$EH$9:$GM$41,G$21,$E68)</f>
        <v>-</v>
      </c>
      <c r="H68" s="1030" t="str">
        <f>INDEX('DEFAULT DATA'!$EH$9:$GM$41,H$21,$E68)</f>
        <v>-</v>
      </c>
      <c r="I68" s="1030" t="str">
        <f>INDEX('DEFAULT DATA'!$EH$9:$GM$41,I$21,$E68)</f>
        <v>-</v>
      </c>
      <c r="J68" s="1030" t="str">
        <f>INDEX('DEFAULT DATA'!$EH$9:$GM$41,J$21,$E68)</f>
        <v>-</v>
      </c>
      <c r="K68" s="1030" t="str">
        <f>INDEX('DEFAULT DATA'!$EH$9:$GM$41,K$21,$E68)</f>
        <v>-</v>
      </c>
      <c r="L68" s="1030" t="str">
        <f>INDEX('DEFAULT DATA'!$EH$9:$GM$41,L$21,$E68)</f>
        <v>-</v>
      </c>
      <c r="M68" s="1030" t="str">
        <f>INDEX('DEFAULT DATA'!$EH$9:$GM$41,M$21,$E68)</f>
        <v>-</v>
      </c>
      <c r="N68" s="1030" t="str">
        <f>INDEX('DEFAULT DATA'!$EH$9:$GM$41,N$21,$E68)</f>
        <v>-</v>
      </c>
      <c r="O68" s="1030" t="str">
        <f>INDEX('DEFAULT DATA'!$EH$9:$GM$41,O$21,$E68)</f>
        <v>-</v>
      </c>
      <c r="P68" s="1030" t="str">
        <f>INDEX('DEFAULT DATA'!$EH$9:$GM$41,P$21,$E68)</f>
        <v>Mülheim/Oberhausen</v>
      </c>
      <c r="Q68" s="1030" t="str">
        <f>INDEX('DEFAULT DATA'!$EH$9:$GM$41,Q$21,$E68)</f>
        <v>-</v>
      </c>
      <c r="R68" s="1030" t="str">
        <f>INDEX('DEFAULT DATA'!$EH$9:$GM$41,R$21,$E68)</f>
        <v>-</v>
      </c>
      <c r="S68" s="1030" t="str">
        <f>INDEX('DEFAULT DATA'!$EH$9:$GM$41,S$21,$E68)</f>
        <v>-</v>
      </c>
      <c r="T68" s="1030" t="str">
        <f>INDEX('DEFAULT DATA'!$EH$9:$GM$41,T$21,$E68)</f>
        <v>-</v>
      </c>
      <c r="U68" s="1030" t="str">
        <f>INDEX('DEFAULT DATA'!$EH$9:$GM$41,U$21,$E68)</f>
        <v>-</v>
      </c>
      <c r="V68" s="1030" t="str">
        <f>INDEX('DEFAULT DATA'!$EH$9:$GM$41,V$21,$E68)</f>
        <v>-</v>
      </c>
      <c r="W68" s="1030" t="str">
        <f>INDEX('DEFAULT DATA'!$EH$9:$GM$41,W$21,$E68)</f>
        <v>-</v>
      </c>
      <c r="X68" s="1030" t="str">
        <f>INDEX('DEFAULT DATA'!$EH$9:$GM$41,X$21,$E68)</f>
        <v>-</v>
      </c>
      <c r="Y68" s="1030" t="str">
        <f>INDEX('DEFAULT DATA'!$EH$9:$GM$41,Y$21,$E68)</f>
        <v>-</v>
      </c>
      <c r="Z68" s="1030" t="str">
        <f>INDEX('DEFAULT DATA'!$EH$9:$GM$41,Z$21,$E68)</f>
        <v>-</v>
      </c>
      <c r="AA68" s="1030" t="str">
        <f>INDEX('DEFAULT DATA'!$EH$9:$GM$41,AA$21,$E68)</f>
        <v>-</v>
      </c>
      <c r="AB68" s="1030" t="str">
        <f>INDEX('DEFAULT DATA'!$EH$9:$GM$41,AB$21,$E68)</f>
        <v>-</v>
      </c>
      <c r="AC68" s="1030" t="str">
        <f>INDEX('DEFAULT DATA'!$EH$9:$GM$41,AC$21,$E68)</f>
        <v>-</v>
      </c>
      <c r="AD68" s="1030" t="str">
        <f>INDEX('DEFAULT DATA'!$EH$9:$GM$41,AD$21,$E68)</f>
        <v>-</v>
      </c>
      <c r="AE68" s="1030" t="str">
        <f>INDEX('DEFAULT DATA'!$EH$9:$GM$41,AE$21,$E68)</f>
        <v>-</v>
      </c>
      <c r="AF68" s="1030" t="str">
        <f>INDEX('DEFAULT DATA'!$EH$9:$GM$41,AF$21,$E68)</f>
        <v>-</v>
      </c>
      <c r="AG68" s="1030" t="str">
        <f>INDEX('DEFAULT DATA'!$EH$9:$GM$41,AG$21,$E68)</f>
        <v>-</v>
      </c>
      <c r="AH68" s="1030" t="str">
        <f>INDEX('DEFAULT DATA'!$EH$9:$GM$41,AH$21,$E68)</f>
        <v>-</v>
      </c>
      <c r="AI68" s="1030" t="str">
        <f>INDEX('DEFAULT DATA'!$EH$9:$GM$41,AI$21,$E68)</f>
        <v>-</v>
      </c>
      <c r="AJ68" s="1030" t="str">
        <f>INDEX('DEFAULT DATA'!$EH$9:$GM$41,AJ$21,$E68)</f>
        <v>-</v>
      </c>
      <c r="AK68" s="1030" t="str">
        <f>INDEX('DEFAULT DATA'!$EH$9:$GM$41,AK$21,$E68)</f>
        <v>-</v>
      </c>
    </row>
    <row r="69" spans="5:37">
      <c r="E69" s="193">
        <f t="shared" si="4"/>
        <v>47</v>
      </c>
      <c r="F69" s="1030" t="str">
        <f>INDEX('DEFAULT DATA'!$EH$9:$GM$41,F$21,$E69)</f>
        <v>-</v>
      </c>
      <c r="G69" s="1030" t="str">
        <f>INDEX('DEFAULT DATA'!$EH$9:$GM$41,G$21,$E69)</f>
        <v>-</v>
      </c>
      <c r="H69" s="1030" t="str">
        <f>INDEX('DEFAULT DATA'!$EH$9:$GM$41,H$21,$E69)</f>
        <v>-</v>
      </c>
      <c r="I69" s="1030" t="str">
        <f>INDEX('DEFAULT DATA'!$EH$9:$GM$41,I$21,$E69)</f>
        <v>-</v>
      </c>
      <c r="J69" s="1030" t="str">
        <f>INDEX('DEFAULT DATA'!$EH$9:$GM$41,J$21,$E69)</f>
        <v>-</v>
      </c>
      <c r="K69" s="1030" t="str">
        <f>INDEX('DEFAULT DATA'!$EH$9:$GM$41,K$21,$E69)</f>
        <v>-</v>
      </c>
      <c r="L69" s="1030" t="str">
        <f>INDEX('DEFAULT DATA'!$EH$9:$GM$41,L$21,$E69)</f>
        <v>-</v>
      </c>
      <c r="M69" s="1030" t="str">
        <f>INDEX('DEFAULT DATA'!$EH$9:$GM$41,M$21,$E69)</f>
        <v>-</v>
      </c>
      <c r="N69" s="1030" t="str">
        <f>INDEX('DEFAULT DATA'!$EH$9:$GM$41,N$21,$E69)</f>
        <v>-</v>
      </c>
      <c r="O69" s="1030" t="str">
        <f>INDEX('DEFAULT DATA'!$EH$9:$GM$41,O$21,$E69)</f>
        <v>-</v>
      </c>
      <c r="P69" s="1030" t="str">
        <f>INDEX('DEFAULT DATA'!$EH$9:$GM$41,P$21,$E69)</f>
        <v>Munich</v>
      </c>
      <c r="Q69" s="1030" t="str">
        <f>INDEX('DEFAULT DATA'!$EH$9:$GM$41,Q$21,$E69)</f>
        <v>-</v>
      </c>
      <c r="R69" s="1030" t="str">
        <f>INDEX('DEFAULT DATA'!$EH$9:$GM$41,R$21,$E69)</f>
        <v>-</v>
      </c>
      <c r="S69" s="1030" t="str">
        <f>INDEX('DEFAULT DATA'!$EH$9:$GM$41,S$21,$E69)</f>
        <v>-</v>
      </c>
      <c r="T69" s="1030" t="str">
        <f>INDEX('DEFAULT DATA'!$EH$9:$GM$41,T$21,$E69)</f>
        <v>-</v>
      </c>
      <c r="U69" s="1030" t="str">
        <f>INDEX('DEFAULT DATA'!$EH$9:$GM$41,U$21,$E69)</f>
        <v>-</v>
      </c>
      <c r="V69" s="1030" t="str">
        <f>INDEX('DEFAULT DATA'!$EH$9:$GM$41,V$21,$E69)</f>
        <v>-</v>
      </c>
      <c r="W69" s="1030" t="str">
        <f>INDEX('DEFAULT DATA'!$EH$9:$GM$41,W$21,$E69)</f>
        <v>-</v>
      </c>
      <c r="X69" s="1030" t="str">
        <f>INDEX('DEFAULT DATA'!$EH$9:$GM$41,X$21,$E69)</f>
        <v>-</v>
      </c>
      <c r="Y69" s="1030" t="str">
        <f>INDEX('DEFAULT DATA'!$EH$9:$GM$41,Y$21,$E69)</f>
        <v>-</v>
      </c>
      <c r="Z69" s="1030" t="str">
        <f>INDEX('DEFAULT DATA'!$EH$9:$GM$41,Z$21,$E69)</f>
        <v>-</v>
      </c>
      <c r="AA69" s="1030" t="str">
        <f>INDEX('DEFAULT DATA'!$EH$9:$GM$41,AA$21,$E69)</f>
        <v>-</v>
      </c>
      <c r="AB69" s="1030" t="str">
        <f>INDEX('DEFAULT DATA'!$EH$9:$GM$41,AB$21,$E69)</f>
        <v>-</v>
      </c>
      <c r="AC69" s="1030" t="str">
        <f>INDEX('DEFAULT DATA'!$EH$9:$GM$41,AC$21,$E69)</f>
        <v>-</v>
      </c>
      <c r="AD69" s="1030" t="str">
        <f>INDEX('DEFAULT DATA'!$EH$9:$GM$41,AD$21,$E69)</f>
        <v>-</v>
      </c>
      <c r="AE69" s="1030" t="str">
        <f>INDEX('DEFAULT DATA'!$EH$9:$GM$41,AE$21,$E69)</f>
        <v>-</v>
      </c>
      <c r="AF69" s="1030" t="str">
        <f>INDEX('DEFAULT DATA'!$EH$9:$GM$41,AF$21,$E69)</f>
        <v>-</v>
      </c>
      <c r="AG69" s="1030" t="str">
        <f>INDEX('DEFAULT DATA'!$EH$9:$GM$41,AG$21,$E69)</f>
        <v>-</v>
      </c>
      <c r="AH69" s="1030" t="str">
        <f>INDEX('DEFAULT DATA'!$EH$9:$GM$41,AH$21,$E69)</f>
        <v>-</v>
      </c>
      <c r="AI69" s="1030" t="str">
        <f>INDEX('DEFAULT DATA'!$EH$9:$GM$41,AI$21,$E69)</f>
        <v>-</v>
      </c>
      <c r="AJ69" s="1030" t="str">
        <f>INDEX('DEFAULT DATA'!$EH$9:$GM$41,AJ$21,$E69)</f>
        <v>-</v>
      </c>
      <c r="AK69" s="1030" t="str">
        <f>INDEX('DEFAULT DATA'!$EH$9:$GM$41,AK$21,$E69)</f>
        <v>-</v>
      </c>
    </row>
    <row r="70" spans="5:37">
      <c r="E70" s="193">
        <f t="shared" si="4"/>
        <v>48</v>
      </c>
      <c r="F70" s="1030" t="str">
        <f>INDEX('DEFAULT DATA'!$EH$9:$GM$41,F$21,$E70)</f>
        <v>-</v>
      </c>
      <c r="G70" s="1030" t="str">
        <f>INDEX('DEFAULT DATA'!$EH$9:$GM$41,G$21,$E70)</f>
        <v>-</v>
      </c>
      <c r="H70" s="1030" t="str">
        <f>INDEX('DEFAULT DATA'!$EH$9:$GM$41,H$21,$E70)</f>
        <v>-</v>
      </c>
      <c r="I70" s="1030" t="str">
        <f>INDEX('DEFAULT DATA'!$EH$9:$GM$41,I$21,$E70)</f>
        <v>-</v>
      </c>
      <c r="J70" s="1030" t="str">
        <f>INDEX('DEFAULT DATA'!$EH$9:$GM$41,J$21,$E70)</f>
        <v>-</v>
      </c>
      <c r="K70" s="1030" t="str">
        <f>INDEX('DEFAULT DATA'!$EH$9:$GM$41,K$21,$E70)</f>
        <v>-</v>
      </c>
      <c r="L70" s="1030" t="str">
        <f>INDEX('DEFAULT DATA'!$EH$9:$GM$41,L$21,$E70)</f>
        <v>-</v>
      </c>
      <c r="M70" s="1030" t="str">
        <f>INDEX('DEFAULT DATA'!$EH$9:$GM$41,M$21,$E70)</f>
        <v>-</v>
      </c>
      <c r="N70" s="1030" t="str">
        <f>INDEX('DEFAULT DATA'!$EH$9:$GM$41,N$21,$E70)</f>
        <v>-</v>
      </c>
      <c r="O70" s="1030" t="str">
        <f>INDEX('DEFAULT DATA'!$EH$9:$GM$41,O$21,$E70)</f>
        <v>-</v>
      </c>
      <c r="P70" s="1030" t="str">
        <f>INDEX('DEFAULT DATA'!$EH$9:$GM$41,P$21,$E70)</f>
        <v>Naumburg (Saale)</v>
      </c>
      <c r="Q70" s="1030" t="str">
        <f>INDEX('DEFAULT DATA'!$EH$9:$GM$41,Q$21,$E70)</f>
        <v>-</v>
      </c>
      <c r="R70" s="1030" t="str">
        <f>INDEX('DEFAULT DATA'!$EH$9:$GM$41,R$21,$E70)</f>
        <v>-</v>
      </c>
      <c r="S70" s="1030" t="str">
        <f>INDEX('DEFAULT DATA'!$EH$9:$GM$41,S$21,$E70)</f>
        <v>-</v>
      </c>
      <c r="T70" s="1030" t="str">
        <f>INDEX('DEFAULT DATA'!$EH$9:$GM$41,T$21,$E70)</f>
        <v>-</v>
      </c>
      <c r="U70" s="1030" t="str">
        <f>INDEX('DEFAULT DATA'!$EH$9:$GM$41,U$21,$E70)</f>
        <v>-</v>
      </c>
      <c r="V70" s="1030" t="str">
        <f>INDEX('DEFAULT DATA'!$EH$9:$GM$41,V$21,$E70)</f>
        <v>-</v>
      </c>
      <c r="W70" s="1030" t="str">
        <f>INDEX('DEFAULT DATA'!$EH$9:$GM$41,W$21,$E70)</f>
        <v>-</v>
      </c>
      <c r="X70" s="1030" t="str">
        <f>INDEX('DEFAULT DATA'!$EH$9:$GM$41,X$21,$E70)</f>
        <v>-</v>
      </c>
      <c r="Y70" s="1030" t="str">
        <f>INDEX('DEFAULT DATA'!$EH$9:$GM$41,Y$21,$E70)</f>
        <v>-</v>
      </c>
      <c r="Z70" s="1030" t="str">
        <f>INDEX('DEFAULT DATA'!$EH$9:$GM$41,Z$21,$E70)</f>
        <v>-</v>
      </c>
      <c r="AA70" s="1030" t="str">
        <f>INDEX('DEFAULT DATA'!$EH$9:$GM$41,AA$21,$E70)</f>
        <v>-</v>
      </c>
      <c r="AB70" s="1030" t="str">
        <f>INDEX('DEFAULT DATA'!$EH$9:$GM$41,AB$21,$E70)</f>
        <v>-</v>
      </c>
      <c r="AC70" s="1030" t="str">
        <f>INDEX('DEFAULT DATA'!$EH$9:$GM$41,AC$21,$E70)</f>
        <v>-</v>
      </c>
      <c r="AD70" s="1030" t="str">
        <f>INDEX('DEFAULT DATA'!$EH$9:$GM$41,AD$21,$E70)</f>
        <v>-</v>
      </c>
      <c r="AE70" s="1030" t="str">
        <f>INDEX('DEFAULT DATA'!$EH$9:$GM$41,AE$21,$E70)</f>
        <v>-</v>
      </c>
      <c r="AF70" s="1030" t="str">
        <f>INDEX('DEFAULT DATA'!$EH$9:$GM$41,AF$21,$E70)</f>
        <v>-</v>
      </c>
      <c r="AG70" s="1030" t="str">
        <f>INDEX('DEFAULT DATA'!$EH$9:$GM$41,AG$21,$E70)</f>
        <v>-</v>
      </c>
      <c r="AH70" s="1030" t="str">
        <f>INDEX('DEFAULT DATA'!$EH$9:$GM$41,AH$21,$E70)</f>
        <v>-</v>
      </c>
      <c r="AI70" s="1030" t="str">
        <f>INDEX('DEFAULT DATA'!$EH$9:$GM$41,AI$21,$E70)</f>
        <v>-</v>
      </c>
      <c r="AJ70" s="1030" t="str">
        <f>INDEX('DEFAULT DATA'!$EH$9:$GM$41,AJ$21,$E70)</f>
        <v>-</v>
      </c>
      <c r="AK70" s="1030" t="str">
        <f>INDEX('DEFAULT DATA'!$EH$9:$GM$41,AK$21,$E70)</f>
        <v>-</v>
      </c>
    </row>
    <row r="71" spans="5:37">
      <c r="E71" s="193">
        <f t="shared" si="4"/>
        <v>49</v>
      </c>
      <c r="F71" s="1030" t="str">
        <f>INDEX('DEFAULT DATA'!$EH$9:$GM$41,F$21,$E71)</f>
        <v>-</v>
      </c>
      <c r="G71" s="1030" t="str">
        <f>INDEX('DEFAULT DATA'!$EH$9:$GM$41,G$21,$E71)</f>
        <v>-</v>
      </c>
      <c r="H71" s="1030" t="str">
        <f>INDEX('DEFAULT DATA'!$EH$9:$GM$41,H$21,$E71)</f>
        <v>-</v>
      </c>
      <c r="I71" s="1030" t="str">
        <f>INDEX('DEFAULT DATA'!$EH$9:$GM$41,I$21,$E71)</f>
        <v>-</v>
      </c>
      <c r="J71" s="1030" t="str">
        <f>INDEX('DEFAULT DATA'!$EH$9:$GM$41,J$21,$E71)</f>
        <v>-</v>
      </c>
      <c r="K71" s="1030" t="str">
        <f>INDEX('DEFAULT DATA'!$EH$9:$GM$41,K$21,$E71)</f>
        <v>-</v>
      </c>
      <c r="L71" s="1030" t="str">
        <f>INDEX('DEFAULT DATA'!$EH$9:$GM$41,L$21,$E71)</f>
        <v>-</v>
      </c>
      <c r="M71" s="1030" t="str">
        <f>INDEX('DEFAULT DATA'!$EH$9:$GM$41,M$21,$E71)</f>
        <v>-</v>
      </c>
      <c r="N71" s="1030" t="str">
        <f>INDEX('DEFAULT DATA'!$EH$9:$GM$41,N$21,$E71)</f>
        <v>-</v>
      </c>
      <c r="O71" s="1030" t="str">
        <f>INDEX('DEFAULT DATA'!$EH$9:$GM$41,O$21,$E71)</f>
        <v>-</v>
      </c>
      <c r="P71" s="1030" t="str">
        <f>INDEX('DEFAULT DATA'!$EH$9:$GM$41,P$21,$E71)</f>
        <v>Nordhausen</v>
      </c>
      <c r="Q71" s="1030" t="str">
        <f>INDEX('DEFAULT DATA'!$EH$9:$GM$41,Q$21,$E71)</f>
        <v>-</v>
      </c>
      <c r="R71" s="1030" t="str">
        <f>INDEX('DEFAULT DATA'!$EH$9:$GM$41,R$21,$E71)</f>
        <v>-</v>
      </c>
      <c r="S71" s="1030" t="str">
        <f>INDEX('DEFAULT DATA'!$EH$9:$GM$41,S$21,$E71)</f>
        <v>-</v>
      </c>
      <c r="T71" s="1030" t="str">
        <f>INDEX('DEFAULT DATA'!$EH$9:$GM$41,T$21,$E71)</f>
        <v>-</v>
      </c>
      <c r="U71" s="1030" t="str">
        <f>INDEX('DEFAULT DATA'!$EH$9:$GM$41,U$21,$E71)</f>
        <v>-</v>
      </c>
      <c r="V71" s="1030" t="str">
        <f>INDEX('DEFAULT DATA'!$EH$9:$GM$41,V$21,$E71)</f>
        <v>-</v>
      </c>
      <c r="W71" s="1030" t="str">
        <f>INDEX('DEFAULT DATA'!$EH$9:$GM$41,W$21,$E71)</f>
        <v>-</v>
      </c>
      <c r="X71" s="1030" t="str">
        <f>INDEX('DEFAULT DATA'!$EH$9:$GM$41,X$21,$E71)</f>
        <v>-</v>
      </c>
      <c r="Y71" s="1030" t="str">
        <f>INDEX('DEFAULT DATA'!$EH$9:$GM$41,Y$21,$E71)</f>
        <v>-</v>
      </c>
      <c r="Z71" s="1030" t="str">
        <f>INDEX('DEFAULT DATA'!$EH$9:$GM$41,Z$21,$E71)</f>
        <v>-</v>
      </c>
      <c r="AA71" s="1030" t="str">
        <f>INDEX('DEFAULT DATA'!$EH$9:$GM$41,AA$21,$E71)</f>
        <v>-</v>
      </c>
      <c r="AB71" s="1030" t="str">
        <f>INDEX('DEFAULT DATA'!$EH$9:$GM$41,AB$21,$E71)</f>
        <v>-</v>
      </c>
      <c r="AC71" s="1030" t="str">
        <f>INDEX('DEFAULT DATA'!$EH$9:$GM$41,AC$21,$E71)</f>
        <v>-</v>
      </c>
      <c r="AD71" s="1030" t="str">
        <f>INDEX('DEFAULT DATA'!$EH$9:$GM$41,AD$21,$E71)</f>
        <v>-</v>
      </c>
      <c r="AE71" s="1030" t="str">
        <f>INDEX('DEFAULT DATA'!$EH$9:$GM$41,AE$21,$E71)</f>
        <v>-</v>
      </c>
      <c r="AF71" s="1030" t="str">
        <f>INDEX('DEFAULT DATA'!$EH$9:$GM$41,AF$21,$E71)</f>
        <v>-</v>
      </c>
      <c r="AG71" s="1030" t="str">
        <f>INDEX('DEFAULT DATA'!$EH$9:$GM$41,AG$21,$E71)</f>
        <v>-</v>
      </c>
      <c r="AH71" s="1030" t="str">
        <f>INDEX('DEFAULT DATA'!$EH$9:$GM$41,AH$21,$E71)</f>
        <v>-</v>
      </c>
      <c r="AI71" s="1030" t="str">
        <f>INDEX('DEFAULT DATA'!$EH$9:$GM$41,AI$21,$E71)</f>
        <v>-</v>
      </c>
      <c r="AJ71" s="1030" t="str">
        <f>INDEX('DEFAULT DATA'!$EH$9:$GM$41,AJ$21,$E71)</f>
        <v>-</v>
      </c>
      <c r="AK71" s="1030" t="str">
        <f>INDEX('DEFAULT DATA'!$EH$9:$GM$41,AK$21,$E71)</f>
        <v>-</v>
      </c>
    </row>
    <row r="72" spans="5:37">
      <c r="E72" s="193">
        <f t="shared" si="4"/>
        <v>50</v>
      </c>
      <c r="F72" s="1030" t="str">
        <f>INDEX('DEFAULT DATA'!$EH$9:$GM$41,F$21,$E72)</f>
        <v>-</v>
      </c>
      <c r="G72" s="1030" t="str">
        <f>INDEX('DEFAULT DATA'!$EH$9:$GM$41,G$21,$E72)</f>
        <v>-</v>
      </c>
      <c r="H72" s="1030" t="str">
        <f>INDEX('DEFAULT DATA'!$EH$9:$GM$41,H$21,$E72)</f>
        <v>-</v>
      </c>
      <c r="I72" s="1030" t="str">
        <f>INDEX('DEFAULT DATA'!$EH$9:$GM$41,I$21,$E72)</f>
        <v>-</v>
      </c>
      <c r="J72" s="1030" t="str">
        <f>INDEX('DEFAULT DATA'!$EH$9:$GM$41,J$21,$E72)</f>
        <v>-</v>
      </c>
      <c r="K72" s="1030" t="str">
        <f>INDEX('DEFAULT DATA'!$EH$9:$GM$41,K$21,$E72)</f>
        <v>-</v>
      </c>
      <c r="L72" s="1030" t="str">
        <f>INDEX('DEFAULT DATA'!$EH$9:$GM$41,L$21,$E72)</f>
        <v>-</v>
      </c>
      <c r="M72" s="1030" t="str">
        <f>INDEX('DEFAULT DATA'!$EH$9:$GM$41,M$21,$E72)</f>
        <v>-</v>
      </c>
      <c r="N72" s="1030" t="str">
        <f>INDEX('DEFAULT DATA'!$EH$9:$GM$41,N$21,$E72)</f>
        <v>-</v>
      </c>
      <c r="O72" s="1030" t="str">
        <f>INDEX('DEFAULT DATA'!$EH$9:$GM$41,O$21,$E72)</f>
        <v>-</v>
      </c>
      <c r="P72" s="1030" t="str">
        <f>INDEX('DEFAULT DATA'!$EH$9:$GM$41,P$21,$E72)</f>
        <v>Nuremberg</v>
      </c>
      <c r="Q72" s="1030" t="str">
        <f>INDEX('DEFAULT DATA'!$EH$9:$GM$41,Q$21,$E72)</f>
        <v>-</v>
      </c>
      <c r="R72" s="1030" t="str">
        <f>INDEX('DEFAULT DATA'!$EH$9:$GM$41,R$21,$E72)</f>
        <v>-</v>
      </c>
      <c r="S72" s="1030" t="str">
        <f>INDEX('DEFAULT DATA'!$EH$9:$GM$41,S$21,$E72)</f>
        <v>-</v>
      </c>
      <c r="T72" s="1030" t="str">
        <f>INDEX('DEFAULT DATA'!$EH$9:$GM$41,T$21,$E72)</f>
        <v>-</v>
      </c>
      <c r="U72" s="1030" t="str">
        <f>INDEX('DEFAULT DATA'!$EH$9:$GM$41,U$21,$E72)</f>
        <v>-</v>
      </c>
      <c r="V72" s="1030" t="str">
        <f>INDEX('DEFAULT DATA'!$EH$9:$GM$41,V$21,$E72)</f>
        <v>-</v>
      </c>
      <c r="W72" s="1030" t="str">
        <f>INDEX('DEFAULT DATA'!$EH$9:$GM$41,W$21,$E72)</f>
        <v>-</v>
      </c>
      <c r="X72" s="1030" t="str">
        <f>INDEX('DEFAULT DATA'!$EH$9:$GM$41,X$21,$E72)</f>
        <v>-</v>
      </c>
      <c r="Y72" s="1030" t="str">
        <f>INDEX('DEFAULT DATA'!$EH$9:$GM$41,Y$21,$E72)</f>
        <v>-</v>
      </c>
      <c r="Z72" s="1030" t="str">
        <f>INDEX('DEFAULT DATA'!$EH$9:$GM$41,Z$21,$E72)</f>
        <v>-</v>
      </c>
      <c r="AA72" s="1030" t="str">
        <f>INDEX('DEFAULT DATA'!$EH$9:$GM$41,AA$21,$E72)</f>
        <v>-</v>
      </c>
      <c r="AB72" s="1030" t="str">
        <f>INDEX('DEFAULT DATA'!$EH$9:$GM$41,AB$21,$E72)</f>
        <v>-</v>
      </c>
      <c r="AC72" s="1030" t="str">
        <f>INDEX('DEFAULT DATA'!$EH$9:$GM$41,AC$21,$E72)</f>
        <v>-</v>
      </c>
      <c r="AD72" s="1030" t="str">
        <f>INDEX('DEFAULT DATA'!$EH$9:$GM$41,AD$21,$E72)</f>
        <v>-</v>
      </c>
      <c r="AE72" s="1030" t="str">
        <f>INDEX('DEFAULT DATA'!$EH$9:$GM$41,AE$21,$E72)</f>
        <v>-</v>
      </c>
      <c r="AF72" s="1030" t="str">
        <f>INDEX('DEFAULT DATA'!$EH$9:$GM$41,AF$21,$E72)</f>
        <v>-</v>
      </c>
      <c r="AG72" s="1030" t="str">
        <f>INDEX('DEFAULT DATA'!$EH$9:$GM$41,AG$21,$E72)</f>
        <v>-</v>
      </c>
      <c r="AH72" s="1030" t="str">
        <f>INDEX('DEFAULT DATA'!$EH$9:$GM$41,AH$21,$E72)</f>
        <v>-</v>
      </c>
      <c r="AI72" s="1030" t="str">
        <f>INDEX('DEFAULT DATA'!$EH$9:$GM$41,AI$21,$E72)</f>
        <v>-</v>
      </c>
      <c r="AJ72" s="1030" t="str">
        <f>INDEX('DEFAULT DATA'!$EH$9:$GM$41,AJ$21,$E72)</f>
        <v>-</v>
      </c>
      <c r="AK72" s="1030" t="str">
        <f>INDEX('DEFAULT DATA'!$EH$9:$GM$41,AK$21,$E72)</f>
        <v>-</v>
      </c>
    </row>
    <row r="73" spans="5:37">
      <c r="E73" s="193">
        <f t="shared" si="4"/>
        <v>51</v>
      </c>
      <c r="F73" s="1030" t="str">
        <f>INDEX('DEFAULT DATA'!$EH$9:$GM$41,F$21,$E73)</f>
        <v>-</v>
      </c>
      <c r="G73" s="1030" t="str">
        <f>INDEX('DEFAULT DATA'!$EH$9:$GM$41,G$21,$E73)</f>
        <v>-</v>
      </c>
      <c r="H73" s="1030" t="str">
        <f>INDEX('DEFAULT DATA'!$EH$9:$GM$41,H$21,$E73)</f>
        <v>-</v>
      </c>
      <c r="I73" s="1030" t="str">
        <f>INDEX('DEFAULT DATA'!$EH$9:$GM$41,I$21,$E73)</f>
        <v>-</v>
      </c>
      <c r="J73" s="1030" t="str">
        <f>INDEX('DEFAULT DATA'!$EH$9:$GM$41,J$21,$E73)</f>
        <v>-</v>
      </c>
      <c r="K73" s="1030" t="str">
        <f>INDEX('DEFAULT DATA'!$EH$9:$GM$41,K$21,$E73)</f>
        <v>-</v>
      </c>
      <c r="L73" s="1030" t="str">
        <f>INDEX('DEFAULT DATA'!$EH$9:$GM$41,L$21,$E73)</f>
        <v>-</v>
      </c>
      <c r="M73" s="1030" t="str">
        <f>INDEX('DEFAULT DATA'!$EH$9:$GM$41,M$21,$E73)</f>
        <v>-</v>
      </c>
      <c r="N73" s="1030" t="str">
        <f>INDEX('DEFAULT DATA'!$EH$9:$GM$41,N$21,$E73)</f>
        <v>-</v>
      </c>
      <c r="O73" s="1030" t="str">
        <f>INDEX('DEFAULT DATA'!$EH$9:$GM$41,O$21,$E73)</f>
        <v>-</v>
      </c>
      <c r="P73" s="1030" t="str">
        <f>INDEX('DEFAULT DATA'!$EH$9:$GM$41,P$21,$E73)</f>
        <v>Plauen</v>
      </c>
      <c r="Q73" s="1030" t="str">
        <f>INDEX('DEFAULT DATA'!$EH$9:$GM$41,Q$21,$E73)</f>
        <v>-</v>
      </c>
      <c r="R73" s="1030" t="str">
        <f>INDEX('DEFAULT DATA'!$EH$9:$GM$41,R$21,$E73)</f>
        <v>-</v>
      </c>
      <c r="S73" s="1030" t="str">
        <f>INDEX('DEFAULT DATA'!$EH$9:$GM$41,S$21,$E73)</f>
        <v>-</v>
      </c>
      <c r="T73" s="1030" t="str">
        <f>INDEX('DEFAULT DATA'!$EH$9:$GM$41,T$21,$E73)</f>
        <v>-</v>
      </c>
      <c r="U73" s="1030" t="str">
        <f>INDEX('DEFAULT DATA'!$EH$9:$GM$41,U$21,$E73)</f>
        <v>-</v>
      </c>
      <c r="V73" s="1030" t="str">
        <f>INDEX('DEFAULT DATA'!$EH$9:$GM$41,V$21,$E73)</f>
        <v>-</v>
      </c>
      <c r="W73" s="1030" t="str">
        <f>INDEX('DEFAULT DATA'!$EH$9:$GM$41,W$21,$E73)</f>
        <v>-</v>
      </c>
      <c r="X73" s="1030" t="str">
        <f>INDEX('DEFAULT DATA'!$EH$9:$GM$41,X$21,$E73)</f>
        <v>-</v>
      </c>
      <c r="Y73" s="1030" t="str">
        <f>INDEX('DEFAULT DATA'!$EH$9:$GM$41,Y$21,$E73)</f>
        <v>-</v>
      </c>
      <c r="Z73" s="1030" t="str">
        <f>INDEX('DEFAULT DATA'!$EH$9:$GM$41,Z$21,$E73)</f>
        <v>-</v>
      </c>
      <c r="AA73" s="1030" t="str">
        <f>INDEX('DEFAULT DATA'!$EH$9:$GM$41,AA$21,$E73)</f>
        <v>-</v>
      </c>
      <c r="AB73" s="1030" t="str">
        <f>INDEX('DEFAULT DATA'!$EH$9:$GM$41,AB$21,$E73)</f>
        <v>-</v>
      </c>
      <c r="AC73" s="1030" t="str">
        <f>INDEX('DEFAULT DATA'!$EH$9:$GM$41,AC$21,$E73)</f>
        <v>-</v>
      </c>
      <c r="AD73" s="1030" t="str">
        <f>INDEX('DEFAULT DATA'!$EH$9:$GM$41,AD$21,$E73)</f>
        <v>-</v>
      </c>
      <c r="AE73" s="1030" t="str">
        <f>INDEX('DEFAULT DATA'!$EH$9:$GM$41,AE$21,$E73)</f>
        <v>-</v>
      </c>
      <c r="AF73" s="1030" t="str">
        <f>INDEX('DEFAULT DATA'!$EH$9:$GM$41,AF$21,$E73)</f>
        <v>-</v>
      </c>
      <c r="AG73" s="1030" t="str">
        <f>INDEX('DEFAULT DATA'!$EH$9:$GM$41,AG$21,$E73)</f>
        <v>-</v>
      </c>
      <c r="AH73" s="1030" t="str">
        <f>INDEX('DEFAULT DATA'!$EH$9:$GM$41,AH$21,$E73)</f>
        <v>-</v>
      </c>
      <c r="AI73" s="1030" t="str">
        <f>INDEX('DEFAULT DATA'!$EH$9:$GM$41,AI$21,$E73)</f>
        <v>-</v>
      </c>
      <c r="AJ73" s="1030" t="str">
        <f>INDEX('DEFAULT DATA'!$EH$9:$GM$41,AJ$21,$E73)</f>
        <v>-</v>
      </c>
      <c r="AK73" s="1030" t="str">
        <f>INDEX('DEFAULT DATA'!$EH$9:$GM$41,AK$21,$E73)</f>
        <v>-</v>
      </c>
    </row>
    <row r="74" spans="5:37">
      <c r="E74" s="193">
        <f t="shared" si="4"/>
        <v>52</v>
      </c>
      <c r="F74" s="1030" t="str">
        <f>INDEX('DEFAULT DATA'!$EH$9:$GM$41,F$21,$E74)</f>
        <v>-</v>
      </c>
      <c r="G74" s="1030" t="str">
        <f>INDEX('DEFAULT DATA'!$EH$9:$GM$41,G$21,$E74)</f>
        <v>-</v>
      </c>
      <c r="H74" s="1030" t="str">
        <f>INDEX('DEFAULT DATA'!$EH$9:$GM$41,H$21,$E74)</f>
        <v>-</v>
      </c>
      <c r="I74" s="1030" t="str">
        <f>INDEX('DEFAULT DATA'!$EH$9:$GM$41,I$21,$E74)</f>
        <v>-</v>
      </c>
      <c r="J74" s="1030" t="str">
        <f>INDEX('DEFAULT DATA'!$EH$9:$GM$41,J$21,$E74)</f>
        <v>-</v>
      </c>
      <c r="K74" s="1030" t="str">
        <f>INDEX('DEFAULT DATA'!$EH$9:$GM$41,K$21,$E74)</f>
        <v>-</v>
      </c>
      <c r="L74" s="1030" t="str">
        <f>INDEX('DEFAULT DATA'!$EH$9:$GM$41,L$21,$E74)</f>
        <v>-</v>
      </c>
      <c r="M74" s="1030" t="str">
        <f>INDEX('DEFAULT DATA'!$EH$9:$GM$41,M$21,$E74)</f>
        <v>-</v>
      </c>
      <c r="N74" s="1030" t="str">
        <f>INDEX('DEFAULT DATA'!$EH$9:$GM$41,N$21,$E74)</f>
        <v>-</v>
      </c>
      <c r="O74" s="1030" t="str">
        <f>INDEX('DEFAULT DATA'!$EH$9:$GM$41,O$21,$E74)</f>
        <v>-</v>
      </c>
      <c r="P74" s="1030" t="str">
        <f>INDEX('DEFAULT DATA'!$EH$9:$GM$41,P$21,$E74)</f>
        <v>Potsdam</v>
      </c>
      <c r="Q74" s="1030" t="str">
        <f>INDEX('DEFAULT DATA'!$EH$9:$GM$41,Q$21,$E74)</f>
        <v>-</v>
      </c>
      <c r="R74" s="1030" t="str">
        <f>INDEX('DEFAULT DATA'!$EH$9:$GM$41,R$21,$E74)</f>
        <v>-</v>
      </c>
      <c r="S74" s="1030" t="str">
        <f>INDEX('DEFAULT DATA'!$EH$9:$GM$41,S$21,$E74)</f>
        <v>-</v>
      </c>
      <c r="T74" s="1030" t="str">
        <f>INDEX('DEFAULT DATA'!$EH$9:$GM$41,T$21,$E74)</f>
        <v>-</v>
      </c>
      <c r="U74" s="1030" t="str">
        <f>INDEX('DEFAULT DATA'!$EH$9:$GM$41,U$21,$E74)</f>
        <v>-</v>
      </c>
      <c r="V74" s="1030" t="str">
        <f>INDEX('DEFAULT DATA'!$EH$9:$GM$41,V$21,$E74)</f>
        <v>-</v>
      </c>
      <c r="W74" s="1030" t="str">
        <f>INDEX('DEFAULT DATA'!$EH$9:$GM$41,W$21,$E74)</f>
        <v>-</v>
      </c>
      <c r="X74" s="1030" t="str">
        <f>INDEX('DEFAULT DATA'!$EH$9:$GM$41,X$21,$E74)</f>
        <v>-</v>
      </c>
      <c r="Y74" s="1030" t="str">
        <f>INDEX('DEFAULT DATA'!$EH$9:$GM$41,Y$21,$E74)</f>
        <v>-</v>
      </c>
      <c r="Z74" s="1030" t="str">
        <f>INDEX('DEFAULT DATA'!$EH$9:$GM$41,Z$21,$E74)</f>
        <v>-</v>
      </c>
      <c r="AA74" s="1030" t="str">
        <f>INDEX('DEFAULT DATA'!$EH$9:$GM$41,AA$21,$E74)</f>
        <v>-</v>
      </c>
      <c r="AB74" s="1030" t="str">
        <f>INDEX('DEFAULT DATA'!$EH$9:$GM$41,AB$21,$E74)</f>
        <v>-</v>
      </c>
      <c r="AC74" s="1030" t="str">
        <f>INDEX('DEFAULT DATA'!$EH$9:$GM$41,AC$21,$E74)</f>
        <v>-</v>
      </c>
      <c r="AD74" s="1030" t="str">
        <f>INDEX('DEFAULT DATA'!$EH$9:$GM$41,AD$21,$E74)</f>
        <v>-</v>
      </c>
      <c r="AE74" s="1030" t="str">
        <f>INDEX('DEFAULT DATA'!$EH$9:$GM$41,AE$21,$E74)</f>
        <v>-</v>
      </c>
      <c r="AF74" s="1030" t="str">
        <f>INDEX('DEFAULT DATA'!$EH$9:$GM$41,AF$21,$E74)</f>
        <v>-</v>
      </c>
      <c r="AG74" s="1030" t="str">
        <f>INDEX('DEFAULT DATA'!$EH$9:$GM$41,AG$21,$E74)</f>
        <v>-</v>
      </c>
      <c r="AH74" s="1030" t="str">
        <f>INDEX('DEFAULT DATA'!$EH$9:$GM$41,AH$21,$E74)</f>
        <v>-</v>
      </c>
      <c r="AI74" s="1030" t="str">
        <f>INDEX('DEFAULT DATA'!$EH$9:$GM$41,AI$21,$E74)</f>
        <v>-</v>
      </c>
      <c r="AJ74" s="1030" t="str">
        <f>INDEX('DEFAULT DATA'!$EH$9:$GM$41,AJ$21,$E74)</f>
        <v>-</v>
      </c>
      <c r="AK74" s="1030" t="str">
        <f>INDEX('DEFAULT DATA'!$EH$9:$GM$41,AK$21,$E74)</f>
        <v>-</v>
      </c>
    </row>
    <row r="75" spans="5:37">
      <c r="E75" s="193">
        <f t="shared" si="4"/>
        <v>53</v>
      </c>
      <c r="F75" s="1030" t="str">
        <f>INDEX('DEFAULT DATA'!$EH$9:$GM$41,F$21,$E75)</f>
        <v>-</v>
      </c>
      <c r="G75" s="1030" t="str">
        <f>INDEX('DEFAULT DATA'!$EH$9:$GM$41,G$21,$E75)</f>
        <v>-</v>
      </c>
      <c r="H75" s="1030" t="str">
        <f>INDEX('DEFAULT DATA'!$EH$9:$GM$41,H$21,$E75)</f>
        <v>-</v>
      </c>
      <c r="I75" s="1030" t="str">
        <f>INDEX('DEFAULT DATA'!$EH$9:$GM$41,I$21,$E75)</f>
        <v>-</v>
      </c>
      <c r="J75" s="1030" t="str">
        <f>INDEX('DEFAULT DATA'!$EH$9:$GM$41,J$21,$E75)</f>
        <v>-</v>
      </c>
      <c r="K75" s="1030" t="str">
        <f>INDEX('DEFAULT DATA'!$EH$9:$GM$41,K$21,$E75)</f>
        <v>-</v>
      </c>
      <c r="L75" s="1030" t="str">
        <f>INDEX('DEFAULT DATA'!$EH$9:$GM$41,L$21,$E75)</f>
        <v>-</v>
      </c>
      <c r="M75" s="1030" t="str">
        <f>INDEX('DEFAULT DATA'!$EH$9:$GM$41,M$21,$E75)</f>
        <v>-</v>
      </c>
      <c r="N75" s="1030" t="str">
        <f>INDEX('DEFAULT DATA'!$EH$9:$GM$41,N$21,$E75)</f>
        <v>-</v>
      </c>
      <c r="O75" s="1030" t="str">
        <f>INDEX('DEFAULT DATA'!$EH$9:$GM$41,O$21,$E75)</f>
        <v>-</v>
      </c>
      <c r="P75" s="1030" t="str">
        <f>INDEX('DEFAULT DATA'!$EH$9:$GM$41,P$21,$E75)</f>
        <v>Rostock</v>
      </c>
      <c r="Q75" s="1030" t="str">
        <f>INDEX('DEFAULT DATA'!$EH$9:$GM$41,Q$21,$E75)</f>
        <v>-</v>
      </c>
      <c r="R75" s="1030" t="str">
        <f>INDEX('DEFAULT DATA'!$EH$9:$GM$41,R$21,$E75)</f>
        <v>-</v>
      </c>
      <c r="S75" s="1030" t="str">
        <f>INDEX('DEFAULT DATA'!$EH$9:$GM$41,S$21,$E75)</f>
        <v>-</v>
      </c>
      <c r="T75" s="1030" t="str">
        <f>INDEX('DEFAULT DATA'!$EH$9:$GM$41,T$21,$E75)</f>
        <v>-</v>
      </c>
      <c r="U75" s="1030" t="str">
        <f>INDEX('DEFAULT DATA'!$EH$9:$GM$41,U$21,$E75)</f>
        <v>-</v>
      </c>
      <c r="V75" s="1030" t="str">
        <f>INDEX('DEFAULT DATA'!$EH$9:$GM$41,V$21,$E75)</f>
        <v>-</v>
      </c>
      <c r="W75" s="1030" t="str">
        <f>INDEX('DEFAULT DATA'!$EH$9:$GM$41,W$21,$E75)</f>
        <v>-</v>
      </c>
      <c r="X75" s="1030" t="str">
        <f>INDEX('DEFAULT DATA'!$EH$9:$GM$41,X$21,$E75)</f>
        <v>-</v>
      </c>
      <c r="Y75" s="1030" t="str">
        <f>INDEX('DEFAULT DATA'!$EH$9:$GM$41,Y$21,$E75)</f>
        <v>-</v>
      </c>
      <c r="Z75" s="1030" t="str">
        <f>INDEX('DEFAULT DATA'!$EH$9:$GM$41,Z$21,$E75)</f>
        <v>-</v>
      </c>
      <c r="AA75" s="1030" t="str">
        <f>INDEX('DEFAULT DATA'!$EH$9:$GM$41,AA$21,$E75)</f>
        <v>-</v>
      </c>
      <c r="AB75" s="1030" t="str">
        <f>INDEX('DEFAULT DATA'!$EH$9:$GM$41,AB$21,$E75)</f>
        <v>-</v>
      </c>
      <c r="AC75" s="1030" t="str">
        <f>INDEX('DEFAULT DATA'!$EH$9:$GM$41,AC$21,$E75)</f>
        <v>-</v>
      </c>
      <c r="AD75" s="1030" t="str">
        <f>INDEX('DEFAULT DATA'!$EH$9:$GM$41,AD$21,$E75)</f>
        <v>-</v>
      </c>
      <c r="AE75" s="1030" t="str">
        <f>INDEX('DEFAULT DATA'!$EH$9:$GM$41,AE$21,$E75)</f>
        <v>-</v>
      </c>
      <c r="AF75" s="1030" t="str">
        <f>INDEX('DEFAULT DATA'!$EH$9:$GM$41,AF$21,$E75)</f>
        <v>-</v>
      </c>
      <c r="AG75" s="1030" t="str">
        <f>INDEX('DEFAULT DATA'!$EH$9:$GM$41,AG$21,$E75)</f>
        <v>-</v>
      </c>
      <c r="AH75" s="1030" t="str">
        <f>INDEX('DEFAULT DATA'!$EH$9:$GM$41,AH$21,$E75)</f>
        <v>-</v>
      </c>
      <c r="AI75" s="1030" t="str">
        <f>INDEX('DEFAULT DATA'!$EH$9:$GM$41,AI$21,$E75)</f>
        <v>-</v>
      </c>
      <c r="AJ75" s="1030" t="str">
        <f>INDEX('DEFAULT DATA'!$EH$9:$GM$41,AJ$21,$E75)</f>
        <v>-</v>
      </c>
      <c r="AK75" s="1030" t="str">
        <f>INDEX('DEFAULT DATA'!$EH$9:$GM$41,AK$21,$E75)</f>
        <v>-</v>
      </c>
    </row>
    <row r="76" spans="5:37">
      <c r="E76" s="193">
        <f t="shared" si="4"/>
        <v>54</v>
      </c>
      <c r="F76" s="1030" t="str">
        <f>INDEX('DEFAULT DATA'!$EH$9:$GM$41,F$21,$E76)</f>
        <v>-</v>
      </c>
      <c r="G76" s="1030" t="str">
        <f>INDEX('DEFAULT DATA'!$EH$9:$GM$41,G$21,$E76)</f>
        <v>-</v>
      </c>
      <c r="H76" s="1030" t="str">
        <f>INDEX('DEFAULT DATA'!$EH$9:$GM$41,H$21,$E76)</f>
        <v>-</v>
      </c>
      <c r="I76" s="1030" t="str">
        <f>INDEX('DEFAULT DATA'!$EH$9:$GM$41,I$21,$E76)</f>
        <v>-</v>
      </c>
      <c r="J76" s="1030" t="str">
        <f>INDEX('DEFAULT DATA'!$EH$9:$GM$41,J$21,$E76)</f>
        <v>-</v>
      </c>
      <c r="K76" s="1030" t="str">
        <f>INDEX('DEFAULT DATA'!$EH$9:$GM$41,K$21,$E76)</f>
        <v>-</v>
      </c>
      <c r="L76" s="1030" t="str">
        <f>INDEX('DEFAULT DATA'!$EH$9:$GM$41,L$21,$E76)</f>
        <v>-</v>
      </c>
      <c r="M76" s="1030" t="str">
        <f>INDEX('DEFAULT DATA'!$EH$9:$GM$41,M$21,$E76)</f>
        <v>-</v>
      </c>
      <c r="N76" s="1030" t="str">
        <f>INDEX('DEFAULT DATA'!$EH$9:$GM$41,N$21,$E76)</f>
        <v>-</v>
      </c>
      <c r="O76" s="1030" t="str">
        <f>INDEX('DEFAULT DATA'!$EH$9:$GM$41,O$21,$E76)</f>
        <v>-</v>
      </c>
      <c r="P76" s="1030" t="str">
        <f>INDEX('DEFAULT DATA'!$EH$9:$GM$41,P$21,$E76)</f>
        <v>Saarbahn</v>
      </c>
      <c r="Q76" s="1030" t="str">
        <f>INDEX('DEFAULT DATA'!$EH$9:$GM$41,Q$21,$E76)</f>
        <v>-</v>
      </c>
      <c r="R76" s="1030" t="str">
        <f>INDEX('DEFAULT DATA'!$EH$9:$GM$41,R$21,$E76)</f>
        <v>-</v>
      </c>
      <c r="S76" s="1030" t="str">
        <f>INDEX('DEFAULT DATA'!$EH$9:$GM$41,S$21,$E76)</f>
        <v>-</v>
      </c>
      <c r="T76" s="1030" t="str">
        <f>INDEX('DEFAULT DATA'!$EH$9:$GM$41,T$21,$E76)</f>
        <v>-</v>
      </c>
      <c r="U76" s="1030" t="str">
        <f>INDEX('DEFAULT DATA'!$EH$9:$GM$41,U$21,$E76)</f>
        <v>-</v>
      </c>
      <c r="V76" s="1030" t="str">
        <f>INDEX('DEFAULT DATA'!$EH$9:$GM$41,V$21,$E76)</f>
        <v>-</v>
      </c>
      <c r="W76" s="1030" t="str">
        <f>INDEX('DEFAULT DATA'!$EH$9:$GM$41,W$21,$E76)</f>
        <v>-</v>
      </c>
      <c r="X76" s="1030" t="str">
        <f>INDEX('DEFAULT DATA'!$EH$9:$GM$41,X$21,$E76)</f>
        <v>-</v>
      </c>
      <c r="Y76" s="1030" t="str">
        <f>INDEX('DEFAULT DATA'!$EH$9:$GM$41,Y$21,$E76)</f>
        <v>-</v>
      </c>
      <c r="Z76" s="1030" t="str">
        <f>INDEX('DEFAULT DATA'!$EH$9:$GM$41,Z$21,$E76)</f>
        <v>-</v>
      </c>
      <c r="AA76" s="1030" t="str">
        <f>INDEX('DEFAULT DATA'!$EH$9:$GM$41,AA$21,$E76)</f>
        <v>-</v>
      </c>
      <c r="AB76" s="1030" t="str">
        <f>INDEX('DEFAULT DATA'!$EH$9:$GM$41,AB$21,$E76)</f>
        <v>-</v>
      </c>
      <c r="AC76" s="1030" t="str">
        <f>INDEX('DEFAULT DATA'!$EH$9:$GM$41,AC$21,$E76)</f>
        <v>-</v>
      </c>
      <c r="AD76" s="1030" t="str">
        <f>INDEX('DEFAULT DATA'!$EH$9:$GM$41,AD$21,$E76)</f>
        <v>-</v>
      </c>
      <c r="AE76" s="1030" t="str">
        <f>INDEX('DEFAULT DATA'!$EH$9:$GM$41,AE$21,$E76)</f>
        <v>-</v>
      </c>
      <c r="AF76" s="1030" t="str">
        <f>INDEX('DEFAULT DATA'!$EH$9:$GM$41,AF$21,$E76)</f>
        <v>-</v>
      </c>
      <c r="AG76" s="1030" t="str">
        <f>INDEX('DEFAULT DATA'!$EH$9:$GM$41,AG$21,$E76)</f>
        <v>-</v>
      </c>
      <c r="AH76" s="1030" t="str">
        <f>INDEX('DEFAULT DATA'!$EH$9:$GM$41,AH$21,$E76)</f>
        <v>-</v>
      </c>
      <c r="AI76" s="1030" t="str">
        <f>INDEX('DEFAULT DATA'!$EH$9:$GM$41,AI$21,$E76)</f>
        <v>-</v>
      </c>
      <c r="AJ76" s="1030" t="str">
        <f>INDEX('DEFAULT DATA'!$EH$9:$GM$41,AJ$21,$E76)</f>
        <v>-</v>
      </c>
      <c r="AK76" s="1030" t="str">
        <f>INDEX('DEFAULT DATA'!$EH$9:$GM$41,AK$21,$E76)</f>
        <v>-</v>
      </c>
    </row>
    <row r="77" spans="5:37">
      <c r="E77" s="193">
        <f t="shared" si="4"/>
        <v>55</v>
      </c>
      <c r="F77" s="1030" t="str">
        <f>INDEX('DEFAULT DATA'!$EH$9:$GM$41,F$21,$E77)</f>
        <v>-</v>
      </c>
      <c r="G77" s="1030" t="str">
        <f>INDEX('DEFAULT DATA'!$EH$9:$GM$41,G$21,$E77)</f>
        <v>-</v>
      </c>
      <c r="H77" s="1030" t="str">
        <f>INDEX('DEFAULT DATA'!$EH$9:$GM$41,H$21,$E77)</f>
        <v>-</v>
      </c>
      <c r="I77" s="1030" t="str">
        <f>INDEX('DEFAULT DATA'!$EH$9:$GM$41,I$21,$E77)</f>
        <v>-</v>
      </c>
      <c r="J77" s="1030" t="str">
        <f>INDEX('DEFAULT DATA'!$EH$9:$GM$41,J$21,$E77)</f>
        <v>-</v>
      </c>
      <c r="K77" s="1030" t="str">
        <f>INDEX('DEFAULT DATA'!$EH$9:$GM$41,K$21,$E77)</f>
        <v>-</v>
      </c>
      <c r="L77" s="1030" t="str">
        <f>INDEX('DEFAULT DATA'!$EH$9:$GM$41,L$21,$E77)</f>
        <v>-</v>
      </c>
      <c r="M77" s="1030" t="str">
        <f>INDEX('DEFAULT DATA'!$EH$9:$GM$41,M$21,$E77)</f>
        <v>-</v>
      </c>
      <c r="N77" s="1030" t="str">
        <f>INDEX('DEFAULT DATA'!$EH$9:$GM$41,N$21,$E77)</f>
        <v>-</v>
      </c>
      <c r="O77" s="1030" t="str">
        <f>INDEX('DEFAULT DATA'!$EH$9:$GM$41,O$21,$E77)</f>
        <v>-</v>
      </c>
      <c r="P77" s="1030" t="str">
        <f>INDEX('DEFAULT DATA'!$EH$9:$GM$41,P$21,$E77)</f>
        <v>Schwerin</v>
      </c>
      <c r="Q77" s="1030" t="str">
        <f>INDEX('DEFAULT DATA'!$EH$9:$GM$41,Q$21,$E77)</f>
        <v>-</v>
      </c>
      <c r="R77" s="1030" t="str">
        <f>INDEX('DEFAULT DATA'!$EH$9:$GM$41,R$21,$E77)</f>
        <v>-</v>
      </c>
      <c r="S77" s="1030" t="str">
        <f>INDEX('DEFAULT DATA'!$EH$9:$GM$41,S$21,$E77)</f>
        <v>-</v>
      </c>
      <c r="T77" s="1030" t="str">
        <f>INDEX('DEFAULT DATA'!$EH$9:$GM$41,T$21,$E77)</f>
        <v>-</v>
      </c>
      <c r="U77" s="1030" t="str">
        <f>INDEX('DEFAULT DATA'!$EH$9:$GM$41,U$21,$E77)</f>
        <v>-</v>
      </c>
      <c r="V77" s="1030" t="str">
        <f>INDEX('DEFAULT DATA'!$EH$9:$GM$41,V$21,$E77)</f>
        <v>-</v>
      </c>
      <c r="W77" s="1030" t="str">
        <f>INDEX('DEFAULT DATA'!$EH$9:$GM$41,W$21,$E77)</f>
        <v>-</v>
      </c>
      <c r="X77" s="1030" t="str">
        <f>INDEX('DEFAULT DATA'!$EH$9:$GM$41,X$21,$E77)</f>
        <v>-</v>
      </c>
      <c r="Y77" s="1030" t="str">
        <f>INDEX('DEFAULT DATA'!$EH$9:$GM$41,Y$21,$E77)</f>
        <v>-</v>
      </c>
      <c r="Z77" s="1030" t="str">
        <f>INDEX('DEFAULT DATA'!$EH$9:$GM$41,Z$21,$E77)</f>
        <v>-</v>
      </c>
      <c r="AA77" s="1030" t="str">
        <f>INDEX('DEFAULT DATA'!$EH$9:$GM$41,AA$21,$E77)</f>
        <v>-</v>
      </c>
      <c r="AB77" s="1030" t="str">
        <f>INDEX('DEFAULT DATA'!$EH$9:$GM$41,AB$21,$E77)</f>
        <v>-</v>
      </c>
      <c r="AC77" s="1030" t="str">
        <f>INDEX('DEFAULT DATA'!$EH$9:$GM$41,AC$21,$E77)</f>
        <v>-</v>
      </c>
      <c r="AD77" s="1030" t="str">
        <f>INDEX('DEFAULT DATA'!$EH$9:$GM$41,AD$21,$E77)</f>
        <v>-</v>
      </c>
      <c r="AE77" s="1030" t="str">
        <f>INDEX('DEFAULT DATA'!$EH$9:$GM$41,AE$21,$E77)</f>
        <v>-</v>
      </c>
      <c r="AF77" s="1030" t="str">
        <f>INDEX('DEFAULT DATA'!$EH$9:$GM$41,AF$21,$E77)</f>
        <v>-</v>
      </c>
      <c r="AG77" s="1030" t="str">
        <f>INDEX('DEFAULT DATA'!$EH$9:$GM$41,AG$21,$E77)</f>
        <v>-</v>
      </c>
      <c r="AH77" s="1030" t="str">
        <f>INDEX('DEFAULT DATA'!$EH$9:$GM$41,AH$21,$E77)</f>
        <v>-</v>
      </c>
      <c r="AI77" s="1030" t="str">
        <f>INDEX('DEFAULT DATA'!$EH$9:$GM$41,AI$21,$E77)</f>
        <v>-</v>
      </c>
      <c r="AJ77" s="1030" t="str">
        <f>INDEX('DEFAULT DATA'!$EH$9:$GM$41,AJ$21,$E77)</f>
        <v>-</v>
      </c>
      <c r="AK77" s="1030" t="str">
        <f>INDEX('DEFAULT DATA'!$EH$9:$GM$41,AK$21,$E77)</f>
        <v>-</v>
      </c>
    </row>
    <row r="78" spans="5:37">
      <c r="E78" s="193">
        <f t="shared" si="4"/>
        <v>56</v>
      </c>
      <c r="F78" s="1030" t="str">
        <f>INDEX('DEFAULT DATA'!$EH$9:$GM$41,F$21,$E78)</f>
        <v>-</v>
      </c>
      <c r="G78" s="1030" t="str">
        <f>INDEX('DEFAULT DATA'!$EH$9:$GM$41,G$21,$E78)</f>
        <v>-</v>
      </c>
      <c r="H78" s="1030" t="str">
        <f>INDEX('DEFAULT DATA'!$EH$9:$GM$41,H$21,$E78)</f>
        <v>-</v>
      </c>
      <c r="I78" s="1030" t="str">
        <f>INDEX('DEFAULT DATA'!$EH$9:$GM$41,I$21,$E78)</f>
        <v>-</v>
      </c>
      <c r="J78" s="1030" t="str">
        <f>INDEX('DEFAULT DATA'!$EH$9:$GM$41,J$21,$E78)</f>
        <v>-</v>
      </c>
      <c r="K78" s="1030" t="str">
        <f>INDEX('DEFAULT DATA'!$EH$9:$GM$41,K$21,$E78)</f>
        <v>-</v>
      </c>
      <c r="L78" s="1030" t="str">
        <f>INDEX('DEFAULT DATA'!$EH$9:$GM$41,L$21,$E78)</f>
        <v>-</v>
      </c>
      <c r="M78" s="1030" t="str">
        <f>INDEX('DEFAULT DATA'!$EH$9:$GM$41,M$21,$E78)</f>
        <v>-</v>
      </c>
      <c r="N78" s="1030" t="str">
        <f>INDEX('DEFAULT DATA'!$EH$9:$GM$41,N$21,$E78)</f>
        <v>-</v>
      </c>
      <c r="O78" s="1030" t="str">
        <f>INDEX('DEFAULT DATA'!$EH$9:$GM$41,O$21,$E78)</f>
        <v>-</v>
      </c>
      <c r="P78" s="1030" t="str">
        <f>INDEX('DEFAULT DATA'!$EH$9:$GM$41,P$21,$E78)</f>
        <v>Strausberg</v>
      </c>
      <c r="Q78" s="1030" t="str">
        <f>INDEX('DEFAULT DATA'!$EH$9:$GM$41,Q$21,$E78)</f>
        <v>-</v>
      </c>
      <c r="R78" s="1030" t="str">
        <f>INDEX('DEFAULT DATA'!$EH$9:$GM$41,R$21,$E78)</f>
        <v>-</v>
      </c>
      <c r="S78" s="1030" t="str">
        <f>INDEX('DEFAULT DATA'!$EH$9:$GM$41,S$21,$E78)</f>
        <v>-</v>
      </c>
      <c r="T78" s="1030" t="str">
        <f>INDEX('DEFAULT DATA'!$EH$9:$GM$41,T$21,$E78)</f>
        <v>-</v>
      </c>
      <c r="U78" s="1030" t="str">
        <f>INDEX('DEFAULT DATA'!$EH$9:$GM$41,U$21,$E78)</f>
        <v>-</v>
      </c>
      <c r="V78" s="1030" t="str">
        <f>INDEX('DEFAULT DATA'!$EH$9:$GM$41,V$21,$E78)</f>
        <v>-</v>
      </c>
      <c r="W78" s="1030" t="str">
        <f>INDEX('DEFAULT DATA'!$EH$9:$GM$41,W$21,$E78)</f>
        <v>-</v>
      </c>
      <c r="X78" s="1030" t="str">
        <f>INDEX('DEFAULT DATA'!$EH$9:$GM$41,X$21,$E78)</f>
        <v>-</v>
      </c>
      <c r="Y78" s="1030" t="str">
        <f>INDEX('DEFAULT DATA'!$EH$9:$GM$41,Y$21,$E78)</f>
        <v>-</v>
      </c>
      <c r="Z78" s="1030" t="str">
        <f>INDEX('DEFAULT DATA'!$EH$9:$GM$41,Z$21,$E78)</f>
        <v>-</v>
      </c>
      <c r="AA78" s="1030" t="str">
        <f>INDEX('DEFAULT DATA'!$EH$9:$GM$41,AA$21,$E78)</f>
        <v>-</v>
      </c>
      <c r="AB78" s="1030" t="str">
        <f>INDEX('DEFAULT DATA'!$EH$9:$GM$41,AB$21,$E78)</f>
        <v>-</v>
      </c>
      <c r="AC78" s="1030" t="str">
        <f>INDEX('DEFAULT DATA'!$EH$9:$GM$41,AC$21,$E78)</f>
        <v>-</v>
      </c>
      <c r="AD78" s="1030" t="str">
        <f>INDEX('DEFAULT DATA'!$EH$9:$GM$41,AD$21,$E78)</f>
        <v>-</v>
      </c>
      <c r="AE78" s="1030" t="str">
        <f>INDEX('DEFAULT DATA'!$EH$9:$GM$41,AE$21,$E78)</f>
        <v>-</v>
      </c>
      <c r="AF78" s="1030" t="str">
        <f>INDEX('DEFAULT DATA'!$EH$9:$GM$41,AF$21,$E78)</f>
        <v>-</v>
      </c>
      <c r="AG78" s="1030" t="str">
        <f>INDEX('DEFAULT DATA'!$EH$9:$GM$41,AG$21,$E78)</f>
        <v>-</v>
      </c>
      <c r="AH78" s="1030" t="str">
        <f>INDEX('DEFAULT DATA'!$EH$9:$GM$41,AH$21,$E78)</f>
        <v>-</v>
      </c>
      <c r="AI78" s="1030" t="str">
        <f>INDEX('DEFAULT DATA'!$EH$9:$GM$41,AI$21,$E78)</f>
        <v>-</v>
      </c>
      <c r="AJ78" s="1030" t="str">
        <f>INDEX('DEFAULT DATA'!$EH$9:$GM$41,AJ$21,$E78)</f>
        <v>-</v>
      </c>
      <c r="AK78" s="1030" t="str">
        <f>INDEX('DEFAULT DATA'!$EH$9:$GM$41,AK$21,$E78)</f>
        <v>-</v>
      </c>
    </row>
    <row r="79" spans="5:37">
      <c r="E79" s="193">
        <f t="shared" si="4"/>
        <v>57</v>
      </c>
      <c r="F79" s="1030" t="str">
        <f>INDEX('DEFAULT DATA'!$EH$9:$GM$41,F$21,$E79)</f>
        <v>-</v>
      </c>
      <c r="G79" s="1030" t="str">
        <f>INDEX('DEFAULT DATA'!$EH$9:$GM$41,G$21,$E79)</f>
        <v>-</v>
      </c>
      <c r="H79" s="1030" t="str">
        <f>INDEX('DEFAULT DATA'!$EH$9:$GM$41,H$21,$E79)</f>
        <v>-</v>
      </c>
      <c r="I79" s="1030" t="str">
        <f>INDEX('DEFAULT DATA'!$EH$9:$GM$41,I$21,$E79)</f>
        <v>-</v>
      </c>
      <c r="J79" s="1030" t="str">
        <f>INDEX('DEFAULT DATA'!$EH$9:$GM$41,J$21,$E79)</f>
        <v>-</v>
      </c>
      <c r="K79" s="1030" t="str">
        <f>INDEX('DEFAULT DATA'!$EH$9:$GM$41,K$21,$E79)</f>
        <v>-</v>
      </c>
      <c r="L79" s="1030" t="str">
        <f>INDEX('DEFAULT DATA'!$EH$9:$GM$41,L$21,$E79)</f>
        <v>-</v>
      </c>
      <c r="M79" s="1030" t="str">
        <f>INDEX('DEFAULT DATA'!$EH$9:$GM$41,M$21,$E79)</f>
        <v>-</v>
      </c>
      <c r="N79" s="1030" t="str">
        <f>INDEX('DEFAULT DATA'!$EH$9:$GM$41,N$21,$E79)</f>
        <v>-</v>
      </c>
      <c r="O79" s="1030" t="str">
        <f>INDEX('DEFAULT DATA'!$EH$9:$GM$41,O$21,$E79)</f>
        <v>-</v>
      </c>
      <c r="P79" s="1030" t="str">
        <f>INDEX('DEFAULT DATA'!$EH$9:$GM$41,P$21,$E79)</f>
        <v>Stuttgart</v>
      </c>
      <c r="Q79" s="1030" t="str">
        <f>INDEX('DEFAULT DATA'!$EH$9:$GM$41,Q$21,$E79)</f>
        <v>-</v>
      </c>
      <c r="R79" s="1030" t="str">
        <f>INDEX('DEFAULT DATA'!$EH$9:$GM$41,R$21,$E79)</f>
        <v>-</v>
      </c>
      <c r="S79" s="1030" t="str">
        <f>INDEX('DEFAULT DATA'!$EH$9:$GM$41,S$21,$E79)</f>
        <v>-</v>
      </c>
      <c r="T79" s="1030" t="str">
        <f>INDEX('DEFAULT DATA'!$EH$9:$GM$41,T$21,$E79)</f>
        <v>-</v>
      </c>
      <c r="U79" s="1030" t="str">
        <f>INDEX('DEFAULT DATA'!$EH$9:$GM$41,U$21,$E79)</f>
        <v>-</v>
      </c>
      <c r="V79" s="1030" t="str">
        <f>INDEX('DEFAULT DATA'!$EH$9:$GM$41,V$21,$E79)</f>
        <v>-</v>
      </c>
      <c r="W79" s="1030" t="str">
        <f>INDEX('DEFAULT DATA'!$EH$9:$GM$41,W$21,$E79)</f>
        <v>-</v>
      </c>
      <c r="X79" s="1030" t="str">
        <f>INDEX('DEFAULT DATA'!$EH$9:$GM$41,X$21,$E79)</f>
        <v>-</v>
      </c>
      <c r="Y79" s="1030" t="str">
        <f>INDEX('DEFAULT DATA'!$EH$9:$GM$41,Y$21,$E79)</f>
        <v>-</v>
      </c>
      <c r="Z79" s="1030" t="str">
        <f>INDEX('DEFAULT DATA'!$EH$9:$GM$41,Z$21,$E79)</f>
        <v>-</v>
      </c>
      <c r="AA79" s="1030" t="str">
        <f>INDEX('DEFAULT DATA'!$EH$9:$GM$41,AA$21,$E79)</f>
        <v>-</v>
      </c>
      <c r="AB79" s="1030" t="str">
        <f>INDEX('DEFAULT DATA'!$EH$9:$GM$41,AB$21,$E79)</f>
        <v>-</v>
      </c>
      <c r="AC79" s="1030" t="str">
        <f>INDEX('DEFAULT DATA'!$EH$9:$GM$41,AC$21,$E79)</f>
        <v>-</v>
      </c>
      <c r="AD79" s="1030" t="str">
        <f>INDEX('DEFAULT DATA'!$EH$9:$GM$41,AD$21,$E79)</f>
        <v>-</v>
      </c>
      <c r="AE79" s="1030" t="str">
        <f>INDEX('DEFAULT DATA'!$EH$9:$GM$41,AE$21,$E79)</f>
        <v>-</v>
      </c>
      <c r="AF79" s="1030" t="str">
        <f>INDEX('DEFAULT DATA'!$EH$9:$GM$41,AF$21,$E79)</f>
        <v>-</v>
      </c>
      <c r="AG79" s="1030" t="str">
        <f>INDEX('DEFAULT DATA'!$EH$9:$GM$41,AG$21,$E79)</f>
        <v>-</v>
      </c>
      <c r="AH79" s="1030" t="str">
        <f>INDEX('DEFAULT DATA'!$EH$9:$GM$41,AH$21,$E79)</f>
        <v>-</v>
      </c>
      <c r="AI79" s="1030" t="str">
        <f>INDEX('DEFAULT DATA'!$EH$9:$GM$41,AI$21,$E79)</f>
        <v>-</v>
      </c>
      <c r="AJ79" s="1030" t="str">
        <f>INDEX('DEFAULT DATA'!$EH$9:$GM$41,AJ$21,$E79)</f>
        <v>-</v>
      </c>
      <c r="AK79" s="1030" t="str">
        <f>INDEX('DEFAULT DATA'!$EH$9:$GM$41,AK$21,$E79)</f>
        <v>-</v>
      </c>
    </row>
    <row r="80" spans="5:37">
      <c r="E80" s="193">
        <f t="shared" si="4"/>
        <v>58</v>
      </c>
      <c r="F80" s="1030" t="str">
        <f>INDEX('DEFAULT DATA'!$EH$9:$GM$41,F$21,$E80)</f>
        <v>-</v>
      </c>
      <c r="G80" s="1030" t="str">
        <f>INDEX('DEFAULT DATA'!$EH$9:$GM$41,G$21,$E80)</f>
        <v>-</v>
      </c>
      <c r="H80" s="1030" t="str">
        <f>INDEX('DEFAULT DATA'!$EH$9:$GM$41,H$21,$E80)</f>
        <v>-</v>
      </c>
      <c r="I80" s="1030" t="str">
        <f>INDEX('DEFAULT DATA'!$EH$9:$GM$41,I$21,$E80)</f>
        <v>-</v>
      </c>
      <c r="J80" s="1030" t="str">
        <f>INDEX('DEFAULT DATA'!$EH$9:$GM$41,J$21,$E80)</f>
        <v>-</v>
      </c>
      <c r="K80" s="1030" t="str">
        <f>INDEX('DEFAULT DATA'!$EH$9:$GM$41,K$21,$E80)</f>
        <v>-</v>
      </c>
      <c r="L80" s="1030" t="str">
        <f>INDEX('DEFAULT DATA'!$EH$9:$GM$41,L$21,$E80)</f>
        <v>-</v>
      </c>
      <c r="M80" s="1030" t="str">
        <f>INDEX('DEFAULT DATA'!$EH$9:$GM$41,M$21,$E80)</f>
        <v>-</v>
      </c>
      <c r="N80" s="1030" t="str">
        <f>INDEX('DEFAULT DATA'!$EH$9:$GM$41,N$21,$E80)</f>
        <v>-</v>
      </c>
      <c r="O80" s="1030" t="str">
        <f>INDEX('DEFAULT DATA'!$EH$9:$GM$41,O$21,$E80)</f>
        <v>-</v>
      </c>
      <c r="P80" s="1030" t="str">
        <f>INDEX('DEFAULT DATA'!$EH$9:$GM$41,P$21,$E80)</f>
        <v>Ulm</v>
      </c>
      <c r="Q80" s="1030" t="str">
        <f>INDEX('DEFAULT DATA'!$EH$9:$GM$41,Q$21,$E80)</f>
        <v>-</v>
      </c>
      <c r="R80" s="1030" t="str">
        <f>INDEX('DEFAULT DATA'!$EH$9:$GM$41,R$21,$E80)</f>
        <v>-</v>
      </c>
      <c r="S80" s="1030" t="str">
        <f>INDEX('DEFAULT DATA'!$EH$9:$GM$41,S$21,$E80)</f>
        <v>-</v>
      </c>
      <c r="T80" s="1030" t="str">
        <f>INDEX('DEFAULT DATA'!$EH$9:$GM$41,T$21,$E80)</f>
        <v>-</v>
      </c>
      <c r="U80" s="1030" t="str">
        <f>INDEX('DEFAULT DATA'!$EH$9:$GM$41,U$21,$E80)</f>
        <v>-</v>
      </c>
      <c r="V80" s="1030" t="str">
        <f>INDEX('DEFAULT DATA'!$EH$9:$GM$41,V$21,$E80)</f>
        <v>-</v>
      </c>
      <c r="W80" s="1030" t="str">
        <f>INDEX('DEFAULT DATA'!$EH$9:$GM$41,W$21,$E80)</f>
        <v>-</v>
      </c>
      <c r="X80" s="1030" t="str">
        <f>INDEX('DEFAULT DATA'!$EH$9:$GM$41,X$21,$E80)</f>
        <v>-</v>
      </c>
      <c r="Y80" s="1030" t="str">
        <f>INDEX('DEFAULT DATA'!$EH$9:$GM$41,Y$21,$E80)</f>
        <v>-</v>
      </c>
      <c r="Z80" s="1030" t="str">
        <f>INDEX('DEFAULT DATA'!$EH$9:$GM$41,Z$21,$E80)</f>
        <v>-</v>
      </c>
      <c r="AA80" s="1030" t="str">
        <f>INDEX('DEFAULT DATA'!$EH$9:$GM$41,AA$21,$E80)</f>
        <v>-</v>
      </c>
      <c r="AB80" s="1030" t="str">
        <f>INDEX('DEFAULT DATA'!$EH$9:$GM$41,AB$21,$E80)</f>
        <v>-</v>
      </c>
      <c r="AC80" s="1030" t="str">
        <f>INDEX('DEFAULT DATA'!$EH$9:$GM$41,AC$21,$E80)</f>
        <v>-</v>
      </c>
      <c r="AD80" s="1030" t="str">
        <f>INDEX('DEFAULT DATA'!$EH$9:$GM$41,AD$21,$E80)</f>
        <v>-</v>
      </c>
      <c r="AE80" s="1030" t="str">
        <f>INDEX('DEFAULT DATA'!$EH$9:$GM$41,AE$21,$E80)</f>
        <v>-</v>
      </c>
      <c r="AF80" s="1030" t="str">
        <f>INDEX('DEFAULT DATA'!$EH$9:$GM$41,AF$21,$E80)</f>
        <v>-</v>
      </c>
      <c r="AG80" s="1030" t="str">
        <f>INDEX('DEFAULT DATA'!$EH$9:$GM$41,AG$21,$E80)</f>
        <v>-</v>
      </c>
      <c r="AH80" s="1030" t="str">
        <f>INDEX('DEFAULT DATA'!$EH$9:$GM$41,AH$21,$E80)</f>
        <v>-</v>
      </c>
      <c r="AI80" s="1030" t="str">
        <f>INDEX('DEFAULT DATA'!$EH$9:$GM$41,AI$21,$E80)</f>
        <v>-</v>
      </c>
      <c r="AJ80" s="1030" t="str">
        <f>INDEX('DEFAULT DATA'!$EH$9:$GM$41,AJ$21,$E80)</f>
        <v>-</v>
      </c>
      <c r="AK80" s="1030" t="str">
        <f>INDEX('DEFAULT DATA'!$EH$9:$GM$41,AK$21,$E80)</f>
        <v>-</v>
      </c>
    </row>
    <row r="82" spans="5:37">
      <c r="F82" s="256">
        <v>1</v>
      </c>
      <c r="G82" s="256">
        <f>F82+1</f>
        <v>2</v>
      </c>
      <c r="H82" s="256">
        <f t="shared" ref="H82:AK82" si="5">G82+1</f>
        <v>3</v>
      </c>
      <c r="I82" s="256">
        <f t="shared" si="5"/>
        <v>4</v>
      </c>
      <c r="J82" s="256">
        <f t="shared" si="5"/>
        <v>5</v>
      </c>
      <c r="K82" s="256">
        <f t="shared" si="5"/>
        <v>6</v>
      </c>
      <c r="L82" s="256">
        <f t="shared" si="5"/>
        <v>7</v>
      </c>
      <c r="M82" s="256">
        <f t="shared" si="5"/>
        <v>8</v>
      </c>
      <c r="N82" s="256">
        <f t="shared" si="5"/>
        <v>9</v>
      </c>
      <c r="O82" s="256">
        <f t="shared" si="5"/>
        <v>10</v>
      </c>
      <c r="P82" s="256">
        <f t="shared" si="5"/>
        <v>11</v>
      </c>
      <c r="Q82" s="256">
        <f t="shared" si="5"/>
        <v>12</v>
      </c>
      <c r="R82" s="256">
        <f t="shared" si="5"/>
        <v>13</v>
      </c>
      <c r="S82" s="256">
        <f t="shared" si="5"/>
        <v>14</v>
      </c>
      <c r="T82" s="256">
        <f t="shared" si="5"/>
        <v>15</v>
      </c>
      <c r="U82" s="256">
        <f t="shared" si="5"/>
        <v>16</v>
      </c>
      <c r="V82" s="256">
        <f t="shared" si="5"/>
        <v>17</v>
      </c>
      <c r="W82" s="256">
        <f t="shared" si="5"/>
        <v>18</v>
      </c>
      <c r="X82" s="256">
        <f t="shared" si="5"/>
        <v>19</v>
      </c>
      <c r="Y82" s="256">
        <f t="shared" si="5"/>
        <v>20</v>
      </c>
      <c r="Z82" s="256">
        <f t="shared" si="5"/>
        <v>21</v>
      </c>
      <c r="AA82" s="256">
        <f t="shared" si="5"/>
        <v>22</v>
      </c>
      <c r="AB82" s="256">
        <f t="shared" si="5"/>
        <v>23</v>
      </c>
      <c r="AC82" s="256">
        <f t="shared" si="5"/>
        <v>24</v>
      </c>
      <c r="AD82" s="256">
        <f t="shared" si="5"/>
        <v>25</v>
      </c>
      <c r="AE82" s="256">
        <f t="shared" si="5"/>
        <v>26</v>
      </c>
      <c r="AF82" s="256">
        <f t="shared" si="5"/>
        <v>27</v>
      </c>
      <c r="AG82" s="256">
        <f t="shared" si="5"/>
        <v>28</v>
      </c>
      <c r="AH82" s="256">
        <f t="shared" si="5"/>
        <v>29</v>
      </c>
      <c r="AI82" s="256">
        <f t="shared" si="5"/>
        <v>30</v>
      </c>
      <c r="AJ82" s="256">
        <f t="shared" si="5"/>
        <v>31</v>
      </c>
      <c r="AK82" s="256">
        <f t="shared" si="5"/>
        <v>32</v>
      </c>
    </row>
    <row r="83" spans="5:37">
      <c r="F83" s="204" t="s">
        <v>1</v>
      </c>
      <c r="G83" s="204" t="s">
        <v>2</v>
      </c>
      <c r="H83" s="204" t="s">
        <v>3</v>
      </c>
      <c r="I83" s="204" t="s">
        <v>12</v>
      </c>
      <c r="J83" s="204" t="s">
        <v>4</v>
      </c>
      <c r="K83" s="204" t="s">
        <v>5</v>
      </c>
      <c r="L83" s="204" t="s">
        <v>6</v>
      </c>
      <c r="M83" s="204" t="s">
        <v>7</v>
      </c>
      <c r="N83" s="204" t="s">
        <v>0</v>
      </c>
      <c r="O83" s="204" t="s">
        <v>9</v>
      </c>
      <c r="P83" s="204" t="s">
        <v>27</v>
      </c>
      <c r="Q83" s="204" t="s">
        <v>10</v>
      </c>
      <c r="R83" s="204" t="s">
        <v>11</v>
      </c>
      <c r="S83" s="204" t="s">
        <v>29</v>
      </c>
      <c r="T83" s="204" t="s">
        <v>13</v>
      </c>
      <c r="U83" s="204" t="s">
        <v>14</v>
      </c>
      <c r="V83" s="204" t="s">
        <v>17</v>
      </c>
      <c r="W83" s="204" t="s">
        <v>32</v>
      </c>
      <c r="X83" s="204" t="s">
        <v>15</v>
      </c>
      <c r="Y83" s="204" t="s">
        <v>16</v>
      </c>
      <c r="Z83" s="204" t="s">
        <v>18</v>
      </c>
      <c r="AA83" s="204" t="s">
        <v>19</v>
      </c>
      <c r="AB83" s="204" t="s">
        <v>26</v>
      </c>
      <c r="AC83" s="204" t="s">
        <v>20</v>
      </c>
      <c r="AD83" s="204" t="s">
        <v>21</v>
      </c>
      <c r="AE83" s="204" t="s">
        <v>22</v>
      </c>
      <c r="AF83" s="204" t="s">
        <v>25</v>
      </c>
      <c r="AG83" s="204" t="s">
        <v>24</v>
      </c>
      <c r="AH83" s="204" t="s">
        <v>8</v>
      </c>
      <c r="AI83" s="204" t="s">
        <v>23</v>
      </c>
      <c r="AJ83" s="204" t="s">
        <v>30</v>
      </c>
      <c r="AK83" s="204" t="s">
        <v>28</v>
      </c>
    </row>
    <row r="84" spans="5:37">
      <c r="E84" s="193">
        <v>1</v>
      </c>
      <c r="F84" s="1030">
        <f>INDEX('DEFAULT DATA'!$GN$9:$IS$41,F$82,$E84)</f>
        <v>26.198123022348792</v>
      </c>
      <c r="G84" s="1030">
        <f>INDEX('DEFAULT DATA'!$GN$9:$IS$41,G$82,$E84)</f>
        <v>147.0363339712986</v>
      </c>
      <c r="H84" s="1030">
        <f>INDEX('DEFAULT DATA'!$GN$9:$IS$41,H$82,$E84)</f>
        <v>542.5</v>
      </c>
      <c r="I84" s="1030">
        <f>INDEX('DEFAULT DATA'!$GN$9:$IS$41,I$82,$E84)</f>
        <v>27.007734375000002</v>
      </c>
      <c r="J84" s="1030">
        <f>INDEX('DEFAULT DATA'!$GN$9:$IS$41,J$82,$E84)</f>
        <v>0</v>
      </c>
      <c r="K84" s="1030">
        <f>INDEX('DEFAULT DATA'!$GN$9:$IS$41,K$82,$E84)</f>
        <v>1790.8388941849378</v>
      </c>
      <c r="L84" s="1030">
        <f>INDEX('DEFAULT DATA'!$GN$9:$IS$41,L$82,$E84)</f>
        <v>176</v>
      </c>
      <c r="M84" s="1030">
        <f>INDEX('DEFAULT DATA'!$GN$9:$IS$41,M$82,$E84)</f>
        <v>68.468100000000035</v>
      </c>
      <c r="N84" s="1030">
        <f>INDEX('DEFAULT DATA'!$GN$9:$IS$41,N$82,$E84)</f>
        <v>280.59484193011644</v>
      </c>
      <c r="O84" s="1030">
        <f>INDEX('DEFAULT DATA'!$GN$9:$IS$41,O$82,$E84)</f>
        <v>89.018083837642934</v>
      </c>
      <c r="P84" s="1030">
        <f>INDEX('DEFAULT DATA'!$GN$9:$IS$41,P$82,$E84)</f>
        <v>114.54949465988102</v>
      </c>
      <c r="Q84" s="1030">
        <f>INDEX('DEFAULT DATA'!$GN$9:$IS$41,Q$82,$E84)</f>
        <v>844.27409026493683</v>
      </c>
      <c r="R84" s="1030">
        <f>INDEX('DEFAULT DATA'!$GN$9:$IS$41,R$82,$E84)</f>
        <v>1124.0713724463067</v>
      </c>
      <c r="S84" s="1030">
        <f>INDEX('DEFAULT DATA'!$GN$9:$IS$41,S$82,$E84)</f>
        <v>0</v>
      </c>
      <c r="T84" s="1030">
        <f>INDEX('DEFAULT DATA'!$GN$9:$IS$41,T$82,$E84)</f>
        <v>158.5</v>
      </c>
      <c r="U84" s="1030">
        <f>INDEX('DEFAULT DATA'!$GN$9:$IS$41,U$82,$E84)</f>
        <v>114.63064386855464</v>
      </c>
      <c r="V84" s="1030">
        <f>INDEX('DEFAULT DATA'!$GN$9:$IS$41,V$82,$E84)</f>
        <v>7.4067321178120622</v>
      </c>
      <c r="W84" s="1030">
        <f>INDEX('DEFAULT DATA'!$GN$9:$IS$41,W$82,$E84)</f>
        <v>0</v>
      </c>
      <c r="X84" s="1030">
        <f>INDEX('DEFAULT DATA'!$GN$9:$IS$41,X$82,$E84)</f>
        <v>0</v>
      </c>
      <c r="Y84" s="1030">
        <f>INDEX('DEFAULT DATA'!$GN$9:$IS$41,Y$82,$E84)</f>
        <v>96</v>
      </c>
      <c r="Z84" s="1030">
        <f>INDEX('DEFAULT DATA'!$GN$9:$IS$41,Z$82,$E84)</f>
        <v>0</v>
      </c>
      <c r="AA84" s="1030">
        <f>INDEX('DEFAULT DATA'!$GN$9:$IS$41,AA$82,$E84)</f>
        <v>154.61346863468634</v>
      </c>
      <c r="AB84" s="1030">
        <f>INDEX('DEFAULT DATA'!$GN$9:$IS$41,AB$82,$E84)</f>
        <v>61.900062460961898</v>
      </c>
      <c r="AC84" s="1030">
        <f>INDEX('DEFAULT DATA'!$GN$9:$IS$41,AC$82,$E84)</f>
        <v>66.792107790463731</v>
      </c>
      <c r="AD84" s="1030">
        <f>INDEX('DEFAULT DATA'!$GN$9:$IS$41,AD$82,$E84)</f>
        <v>50.176991150442475</v>
      </c>
      <c r="AE84" s="1030">
        <f>INDEX('DEFAULT DATA'!$GN$9:$IS$41,AE$82,$E84)</f>
        <v>564.18105823472854</v>
      </c>
      <c r="AF84" s="1030">
        <f>INDEX('DEFAULT DATA'!$GN$9:$IS$41,AF$82,$E84)</f>
        <v>60.752242622950831</v>
      </c>
      <c r="AG84" s="1030">
        <f>INDEX('DEFAULT DATA'!$GN$9:$IS$41,AG$82,$E84)</f>
        <v>0</v>
      </c>
      <c r="AH84" s="1030">
        <f>INDEX('DEFAULT DATA'!$GN$9:$IS$41,AH$82,$E84)</f>
        <v>1249.9647037307973</v>
      </c>
      <c r="AI84" s="1030">
        <f>INDEX('DEFAULT DATA'!$GN$9:$IS$41,AI$82,$E84)</f>
        <v>970.6101321585902</v>
      </c>
      <c r="AJ84" s="1030">
        <f>INDEX('DEFAULT DATA'!$GN$9:$IS$41,AJ$82,$E84)</f>
        <v>171.81727131092811</v>
      </c>
      <c r="AK84" s="1030">
        <f>INDEX('DEFAULT DATA'!$GN$9:$IS$41,AK$82,$E84)</f>
        <v>388.23957055214743</v>
      </c>
    </row>
    <row r="85" spans="5:37">
      <c r="E85" s="193">
        <f>E84+1</f>
        <v>2</v>
      </c>
      <c r="F85" s="1030">
        <f>INDEX('DEFAULT DATA'!$GN$9:$IS$41,F$82,$E85)</f>
        <v>681.15119858106868</v>
      </c>
      <c r="G85" s="1030">
        <f>INDEX('DEFAULT DATA'!$GN$9:$IS$41,G$82,$E85)</f>
        <v>138.86764875067092</v>
      </c>
      <c r="H85" s="1030">
        <f>INDEX('DEFAULT DATA'!$GN$9:$IS$41,H$82,$E85)</f>
        <v>0</v>
      </c>
      <c r="I85" s="1030">
        <f>INDEX('DEFAULT DATA'!$GN$9:$IS$41,I$82,$E85)</f>
        <v>261.074765625</v>
      </c>
      <c r="J85" s="1030">
        <f>INDEX('DEFAULT DATA'!$GN$9:$IS$41,J$82,$E85)</f>
        <v>0</v>
      </c>
      <c r="K85" s="1030">
        <f>INDEX('DEFAULT DATA'!$GN$9:$IS$41,K$82,$E85)</f>
        <v>550.04337464251671</v>
      </c>
      <c r="L85" s="1030">
        <f>INDEX('DEFAULT DATA'!$GN$9:$IS$41,L$82,$E85)</f>
        <v>0</v>
      </c>
      <c r="M85" s="1030">
        <f>INDEX('DEFAULT DATA'!$GN$9:$IS$41,M$82,$E85)</f>
        <v>0</v>
      </c>
      <c r="N85" s="1030">
        <f>INDEX('DEFAULT DATA'!$GN$9:$IS$41,N$82,$E85)</f>
        <v>46.76580698835275</v>
      </c>
      <c r="O85" s="1030">
        <f>INDEX('DEFAULT DATA'!$GN$9:$IS$41,O$82,$E85)</f>
        <v>19.540554988750891</v>
      </c>
      <c r="P85" s="1030">
        <f>INDEX('DEFAULT DATA'!$GN$9:$IS$41,P$82,$E85)</f>
        <v>19.932621317468286</v>
      </c>
      <c r="Q85" s="1030">
        <f>INDEX('DEFAULT DATA'!$GN$9:$IS$41,Q$82,$E85)</f>
        <v>0</v>
      </c>
      <c r="R85" s="1030">
        <f>INDEX('DEFAULT DATA'!$GN$9:$IS$41,R$82,$E85)</f>
        <v>31.204504976427451</v>
      </c>
      <c r="S85" s="1030">
        <f>INDEX('DEFAULT DATA'!$GN$9:$IS$41,S$82,$E85)</f>
        <v>0</v>
      </c>
      <c r="T85" s="1030">
        <f>INDEX('DEFAULT DATA'!$GN$9:$IS$41,T$82,$E85)</f>
        <v>0</v>
      </c>
      <c r="U85" s="1030">
        <f>INDEX('DEFAULT DATA'!$GN$9:$IS$41,U$82,$E85)</f>
        <v>110.04541811381245</v>
      </c>
      <c r="V85" s="1030">
        <f>INDEX('DEFAULT DATA'!$GN$9:$IS$41,V$82,$E85)</f>
        <v>2.044258064516129</v>
      </c>
      <c r="W85" s="1030">
        <f>INDEX('DEFAULT DATA'!$GN$9:$IS$41,W$82,$E85)</f>
        <v>0</v>
      </c>
      <c r="X85" s="1030">
        <f>INDEX('DEFAULT DATA'!$GN$9:$IS$41,X$82,$E85)</f>
        <v>0</v>
      </c>
      <c r="Y85" s="1030">
        <f>INDEX('DEFAULT DATA'!$GN$9:$IS$41,Y$82,$E85)</f>
        <v>0</v>
      </c>
      <c r="Z85" s="1030">
        <f>INDEX('DEFAULT DATA'!$GN$9:$IS$41,Z$82,$E85)</f>
        <v>0</v>
      </c>
      <c r="AA85" s="1030">
        <f>INDEX('DEFAULT DATA'!$GN$9:$IS$41,AA$82,$E85)</f>
        <v>144.049815498155</v>
      </c>
      <c r="AB85" s="1030">
        <f>INDEX('DEFAULT DATA'!$GN$9:$IS$41,AB$82,$E85)</f>
        <v>408.72704559650225</v>
      </c>
      <c r="AC85" s="1030">
        <f>INDEX('DEFAULT DATA'!$GN$9:$IS$41,AC$82,$E85)</f>
        <v>33.74034311064662</v>
      </c>
      <c r="AD85" s="1030">
        <f>INDEX('DEFAULT DATA'!$GN$9:$IS$41,AD$82,$E85)</f>
        <v>178.40707964601768</v>
      </c>
      <c r="AE85" s="1030">
        <f>INDEX('DEFAULT DATA'!$GN$9:$IS$41,AE$82,$E85)</f>
        <v>94.030176372454747</v>
      </c>
      <c r="AF85" s="1030">
        <f>INDEX('DEFAULT DATA'!$GN$9:$IS$41,AF$82,$E85)</f>
        <v>70.570786885245909</v>
      </c>
      <c r="AG85" s="1030">
        <f>INDEX('DEFAULT DATA'!$GN$9:$IS$41,AG$82,$E85)</f>
        <v>0</v>
      </c>
      <c r="AH85" s="1030">
        <f>INDEX('DEFAULT DATA'!$GN$9:$IS$41,AH$82,$E85)</f>
        <v>485.29919531821508</v>
      </c>
      <c r="AI85" s="1030">
        <f>INDEX('DEFAULT DATA'!$GN$9:$IS$41,AI$82,$E85)</f>
        <v>33.157488986784145</v>
      </c>
      <c r="AJ85" s="1030">
        <f>INDEX('DEFAULT DATA'!$GN$9:$IS$41,AJ$82,$E85)</f>
        <v>87.346984197640779</v>
      </c>
      <c r="AK85" s="1030">
        <f>INDEX('DEFAULT DATA'!$GN$9:$IS$41,AK$82,$E85)</f>
        <v>86.2754601226994</v>
      </c>
    </row>
    <row r="86" spans="5:37">
      <c r="E86" s="193">
        <f t="shared" ref="E86:E141" si="6">E85+1</f>
        <v>3</v>
      </c>
      <c r="F86" s="1030">
        <f>INDEX('DEFAULT DATA'!$GN$9:$IS$41,F$82,$E86)</f>
        <v>222.11452127643543</v>
      </c>
      <c r="G86" s="1030">
        <f>INDEX('DEFAULT DATA'!$GN$9:$IS$41,G$82,$E86)</f>
        <v>283.65759428629696</v>
      </c>
      <c r="H86" s="1030">
        <f>INDEX('DEFAULT DATA'!$GN$9:$IS$41,H$82,$E86)</f>
        <v>0</v>
      </c>
      <c r="I86" s="1030">
        <f>INDEX('DEFAULT DATA'!$GN$9:$IS$41,I$82,$E86)</f>
        <v>0</v>
      </c>
      <c r="J86" s="1030">
        <f>INDEX('DEFAULT DATA'!$GN$9:$IS$41,J$82,$E86)</f>
        <v>0</v>
      </c>
      <c r="K86" s="1030">
        <f>INDEX('DEFAULT DATA'!$GN$9:$IS$41,K$82,$E86)</f>
        <v>475.85147759771218</v>
      </c>
      <c r="L86" s="1030">
        <f>INDEX('DEFAULT DATA'!$GN$9:$IS$41,L$82,$E86)</f>
        <v>0</v>
      </c>
      <c r="M86" s="1030">
        <f>INDEX('DEFAULT DATA'!$GN$9:$IS$41,M$82,$E86)</f>
        <v>0</v>
      </c>
      <c r="N86" s="1030">
        <f>INDEX('DEFAULT DATA'!$GN$9:$IS$41,N$82,$E86)</f>
        <v>0</v>
      </c>
      <c r="O86" s="1030">
        <f>INDEX('DEFAULT DATA'!$GN$9:$IS$41,O$82,$E86)</f>
        <v>37.633661459816523</v>
      </c>
      <c r="P86" s="1030">
        <f>INDEX('DEFAULT DATA'!$GN$9:$IS$41,P$82,$E86)</f>
        <v>479.39215826822448</v>
      </c>
      <c r="Q86" s="1030">
        <f>INDEX('DEFAULT DATA'!$GN$9:$IS$41,Q$82,$E86)</f>
        <v>0</v>
      </c>
      <c r="R86" s="1030">
        <f>INDEX('DEFAULT DATA'!$GN$9:$IS$41,R$82,$E86)</f>
        <v>81.557228915662648</v>
      </c>
      <c r="S86" s="1030">
        <f>INDEX('DEFAULT DATA'!$GN$9:$IS$41,S$82,$E86)</f>
        <v>0</v>
      </c>
      <c r="T86" s="1030">
        <f>INDEX('DEFAULT DATA'!$GN$9:$IS$41,T$82,$E86)</f>
        <v>0</v>
      </c>
      <c r="U86" s="1030">
        <f>INDEX('DEFAULT DATA'!$GN$9:$IS$41,U$82,$E86)</f>
        <v>69.695431472081225</v>
      </c>
      <c r="V86" s="1030">
        <f>INDEX('DEFAULT DATA'!$GN$9:$IS$41,V$82,$E86)</f>
        <v>53.921009817671809</v>
      </c>
      <c r="W86" s="1030">
        <f>INDEX('DEFAULT DATA'!$GN$9:$IS$41,W$82,$E86)</f>
        <v>0</v>
      </c>
      <c r="X86" s="1030">
        <f>INDEX('DEFAULT DATA'!$GN$9:$IS$41,X$82,$E86)</f>
        <v>0</v>
      </c>
      <c r="Y86" s="1030">
        <f>INDEX('DEFAULT DATA'!$GN$9:$IS$41,Y$82,$E86)</f>
        <v>0</v>
      </c>
      <c r="Z86" s="1030">
        <f>INDEX('DEFAULT DATA'!$GN$9:$IS$41,Z$82,$E86)</f>
        <v>0</v>
      </c>
      <c r="AA86" s="1030">
        <f>INDEX('DEFAULT DATA'!$GN$9:$IS$41,AA$82,$E86)</f>
        <v>201.66974169741701</v>
      </c>
      <c r="AB86" s="1030">
        <f>INDEX('DEFAULT DATA'!$GN$9:$IS$41,AB$82,$E86)</f>
        <v>27.372891942535922</v>
      </c>
      <c r="AC86" s="1030">
        <f>INDEX('DEFAULT DATA'!$GN$9:$IS$41,AC$82,$E86)</f>
        <v>34.428921541476143</v>
      </c>
      <c r="AD86" s="1030">
        <f>INDEX('DEFAULT DATA'!$GN$9:$IS$41,AD$82,$E86)</f>
        <v>260.17699115044246</v>
      </c>
      <c r="AE86" s="1030">
        <f>INDEX('DEFAULT DATA'!$GN$9:$IS$41,AE$82,$E86)</f>
        <v>266.81062545684028</v>
      </c>
      <c r="AF86" s="1030">
        <f>INDEX('DEFAULT DATA'!$GN$9:$IS$41,AF$82,$E86)</f>
        <v>9.0514704918032809</v>
      </c>
      <c r="AG86" s="1030">
        <f>INDEX('DEFAULT DATA'!$GN$9:$IS$41,AG$82,$E86)</f>
        <v>0</v>
      </c>
      <c r="AH86" s="1030">
        <f>INDEX('DEFAULT DATA'!$GN$9:$IS$41,AH$82,$E86)</f>
        <v>89.397220190197501</v>
      </c>
      <c r="AI86" s="1030">
        <f>INDEX('DEFAULT DATA'!$GN$9:$IS$41,AI$82,$E86)</f>
        <v>126.60132158590309</v>
      </c>
      <c r="AJ86" s="1030">
        <f>INDEX('DEFAULT DATA'!$GN$9:$IS$41,AJ$82,$E86)</f>
        <v>94.146450033385278</v>
      </c>
      <c r="AK86" s="1030">
        <f>INDEX('DEFAULT DATA'!$GN$9:$IS$41,AK$82,$E86)</f>
        <v>301.96411042944789</v>
      </c>
    </row>
    <row r="87" spans="5:37">
      <c r="E87" s="193">
        <f t="shared" si="6"/>
        <v>4</v>
      </c>
      <c r="F87" s="1030">
        <f>INDEX('DEFAULT DATA'!$GN$9:$IS$41,F$82,$E87)</f>
        <v>305.26508565171645</v>
      </c>
      <c r="G87" s="1030">
        <f>INDEX('DEFAULT DATA'!$GN$9:$IS$41,G$82,$E87)</f>
        <v>67.391653070178521</v>
      </c>
      <c r="H87" s="1030">
        <f>INDEX('DEFAULT DATA'!$GN$9:$IS$41,H$82,$E87)</f>
        <v>0</v>
      </c>
      <c r="I87" s="1030">
        <f>INDEX('DEFAULT DATA'!$GN$9:$IS$41,I$82,$E87)</f>
        <v>0</v>
      </c>
      <c r="J87" s="1030">
        <f>INDEX('DEFAULT DATA'!$GN$9:$IS$41,J$82,$E87)</f>
        <v>0</v>
      </c>
      <c r="K87" s="1030">
        <f>INDEX('DEFAULT DATA'!$GN$9:$IS$41,K$82,$E87)</f>
        <v>347.93441372735936</v>
      </c>
      <c r="L87" s="1030">
        <f>INDEX('DEFAULT DATA'!$GN$9:$IS$41,L$82,$E87)</f>
        <v>0</v>
      </c>
      <c r="M87" s="1030">
        <f>INDEX('DEFAULT DATA'!$GN$9:$IS$41,M$82,$E87)</f>
        <v>0</v>
      </c>
      <c r="N87" s="1030">
        <f>INDEX('DEFAULT DATA'!$GN$9:$IS$41,N$82,$E87)</f>
        <v>0</v>
      </c>
      <c r="O87" s="1030">
        <f>INDEX('DEFAULT DATA'!$GN$9:$IS$41,O$82,$E87)</f>
        <v>104.9400175321807</v>
      </c>
      <c r="P87" s="1030">
        <f>INDEX('DEFAULT DATA'!$GN$9:$IS$41,P$82,$E87)</f>
        <v>93.103003368934125</v>
      </c>
      <c r="Q87" s="1030">
        <f>INDEX('DEFAULT DATA'!$GN$9:$IS$41,Q$82,$E87)</f>
        <v>0</v>
      </c>
      <c r="R87" s="1030">
        <f>INDEX('DEFAULT DATA'!$GN$9:$IS$41,R$82,$E87)</f>
        <v>117.01689366160291</v>
      </c>
      <c r="S87" s="1030">
        <f>INDEX('DEFAULT DATA'!$GN$9:$IS$41,S$82,$E87)</f>
        <v>0</v>
      </c>
      <c r="T87" s="1030">
        <f>INDEX('DEFAULT DATA'!$GN$9:$IS$41,T$82,$E87)</f>
        <v>0</v>
      </c>
      <c r="U87" s="1030">
        <f>INDEX('DEFAULT DATA'!$GN$9:$IS$41,U$82,$E87)</f>
        <v>70.612476623029664</v>
      </c>
      <c r="V87" s="1030">
        <f>INDEX('DEFAULT DATA'!$GN$9:$IS$41,V$82,$E87)</f>
        <v>0</v>
      </c>
      <c r="W87" s="1030">
        <f>INDEX('DEFAULT DATA'!$GN$9:$IS$41,W$82,$E87)</f>
        <v>0</v>
      </c>
      <c r="X87" s="1030">
        <f>INDEX('DEFAULT DATA'!$GN$9:$IS$41,X$82,$E87)</f>
        <v>0</v>
      </c>
      <c r="Y87" s="1030">
        <f>INDEX('DEFAULT DATA'!$GN$9:$IS$41,Y$82,$E87)</f>
        <v>0</v>
      </c>
      <c r="Z87" s="1030">
        <f>INDEX('DEFAULT DATA'!$GN$9:$IS$41,Z$82,$E87)</f>
        <v>0</v>
      </c>
      <c r="AA87" s="1030">
        <f>INDEX('DEFAULT DATA'!$GN$9:$IS$41,AA$82,$E87)</f>
        <v>20.166974169741696</v>
      </c>
      <c r="AB87" s="1030">
        <f>INDEX('DEFAULT DATA'!$GN$9:$IS$41,AB$82,$E87)</f>
        <v>0</v>
      </c>
      <c r="AC87" s="1030">
        <f>INDEX('DEFAULT DATA'!$GN$9:$IS$41,AC$82,$E87)</f>
        <v>119.81264696433699</v>
      </c>
      <c r="AD87" s="1030">
        <f>INDEX('DEFAULT DATA'!$GN$9:$IS$41,AD$82,$E87)</f>
        <v>52.035398230088497</v>
      </c>
      <c r="AE87" s="1030">
        <f>INDEX('DEFAULT DATA'!$GN$9:$IS$41,AE$82,$E87)</f>
        <v>1680.7894026576284</v>
      </c>
      <c r="AF87" s="1030">
        <f>INDEX('DEFAULT DATA'!$GN$9:$IS$41,AF$82,$E87)</f>
        <v>0</v>
      </c>
      <c r="AG87" s="1030">
        <f>INDEX('DEFAULT DATA'!$GN$9:$IS$41,AG$82,$E87)</f>
        <v>0</v>
      </c>
      <c r="AH87" s="1030">
        <f>INDEX('DEFAULT DATA'!$GN$9:$IS$41,AH$82,$E87)</f>
        <v>253.82425018288222</v>
      </c>
      <c r="AI87" s="1030">
        <f>INDEX('DEFAULT DATA'!$GN$9:$IS$41,AI$82,$E87)</f>
        <v>238.13105726872246</v>
      </c>
      <c r="AJ87" s="1030">
        <f>INDEX('DEFAULT DATA'!$GN$9:$IS$41,AJ$82,$E87)</f>
        <v>20.398397507233476</v>
      </c>
      <c r="AK87" s="1030">
        <f>INDEX('DEFAULT DATA'!$GN$9:$IS$41,AK$82,$E87)</f>
        <v>647.06595092024543</v>
      </c>
    </row>
    <row r="88" spans="5:37">
      <c r="E88" s="193">
        <f t="shared" si="6"/>
        <v>5</v>
      </c>
      <c r="F88" s="1030">
        <f>INDEX('DEFAULT DATA'!$GN$9:$IS$41,F$82,$E88)</f>
        <v>2014.9773750667403</v>
      </c>
      <c r="G88" s="1030">
        <f>INDEX('DEFAULT DATA'!$GN$9:$IS$41,G$82,$E88)</f>
        <v>61.265139154707754</v>
      </c>
      <c r="H88" s="1030">
        <f>INDEX('DEFAULT DATA'!$GN$9:$IS$41,H$82,$E88)</f>
        <v>0</v>
      </c>
      <c r="I88" s="1030">
        <f>INDEX('DEFAULT DATA'!$GN$9:$IS$41,I$82,$E88)</f>
        <v>0</v>
      </c>
      <c r="J88" s="1030">
        <f>INDEX('DEFAULT DATA'!$GN$9:$IS$41,J$82,$E88)</f>
        <v>0</v>
      </c>
      <c r="K88" s="1030">
        <f>INDEX('DEFAULT DATA'!$GN$9:$IS$41,K$82,$E88)</f>
        <v>1680.8302192564347</v>
      </c>
      <c r="L88" s="1030">
        <f>INDEX('DEFAULT DATA'!$GN$9:$IS$41,L$82,$E88)</f>
        <v>0</v>
      </c>
      <c r="M88" s="1030">
        <f>INDEX('DEFAULT DATA'!$GN$9:$IS$41,M$82,$E88)</f>
        <v>0</v>
      </c>
      <c r="N88" s="1030">
        <f>INDEX('DEFAULT DATA'!$GN$9:$IS$41,N$82,$E88)</f>
        <v>0</v>
      </c>
      <c r="O88" s="1030">
        <f>INDEX('DEFAULT DATA'!$GN$9:$IS$41,O$82,$E88)</f>
        <v>478.3817350949754</v>
      </c>
      <c r="P88" s="1030">
        <f>INDEX('DEFAULT DATA'!$GN$9:$IS$41,P$82,$E88)</f>
        <v>37.846749336965097</v>
      </c>
      <c r="Q88" s="1030">
        <f>INDEX('DEFAULT DATA'!$GN$9:$IS$41,Q$82,$E88)</f>
        <v>0</v>
      </c>
      <c r="R88" s="1030">
        <f>INDEX('DEFAULT DATA'!$GN$9:$IS$41,R$82,$E88)</f>
        <v>0</v>
      </c>
      <c r="S88" s="1030">
        <f>INDEX('DEFAULT DATA'!$GN$9:$IS$41,S$82,$E88)</f>
        <v>0</v>
      </c>
      <c r="T88" s="1030">
        <f>INDEX('DEFAULT DATA'!$GN$9:$IS$41,T$82,$E88)</f>
        <v>0</v>
      </c>
      <c r="U88" s="1030">
        <f>INDEX('DEFAULT DATA'!$GN$9:$IS$41,U$82,$E88)</f>
        <v>57.773844509751541</v>
      </c>
      <c r="V88" s="1030">
        <f>INDEX('DEFAULT DATA'!$GN$9:$IS$41,V$82,$E88)</f>
        <v>0</v>
      </c>
      <c r="W88" s="1030">
        <f>INDEX('DEFAULT DATA'!$GN$9:$IS$41,W$82,$E88)</f>
        <v>0</v>
      </c>
      <c r="X88" s="1030">
        <f>INDEX('DEFAULT DATA'!$GN$9:$IS$41,X$82,$E88)</f>
        <v>0</v>
      </c>
      <c r="Y88" s="1030">
        <f>INDEX('DEFAULT DATA'!$GN$9:$IS$41,Y$82,$E88)</f>
        <v>0</v>
      </c>
      <c r="Z88" s="1030">
        <f>INDEX('DEFAULT DATA'!$GN$9:$IS$41,Z$82,$E88)</f>
        <v>0</v>
      </c>
      <c r="AA88" s="1030">
        <f>INDEX('DEFAULT DATA'!$GN$9:$IS$41,AA$82,$E88)</f>
        <v>0</v>
      </c>
      <c r="AB88" s="1030">
        <f>INDEX('DEFAULT DATA'!$GN$9:$IS$41,AB$82,$E88)</f>
        <v>0</v>
      </c>
      <c r="AC88" s="1030">
        <f>INDEX('DEFAULT DATA'!$GN$9:$IS$41,AC$82,$E88)</f>
        <v>57.381535902460243</v>
      </c>
      <c r="AD88" s="1030">
        <f>INDEX('DEFAULT DATA'!$GN$9:$IS$41,AD$82,$E88)</f>
        <v>47.203539823008846</v>
      </c>
      <c r="AE88" s="1030">
        <f>INDEX('DEFAULT DATA'!$GN$9:$IS$41,AE$82,$E88)</f>
        <v>141.04526455868213</v>
      </c>
      <c r="AF88" s="1030">
        <f>INDEX('DEFAULT DATA'!$GN$9:$IS$41,AF$82,$E88)</f>
        <v>0</v>
      </c>
      <c r="AG88" s="1030">
        <f>INDEX('DEFAULT DATA'!$GN$9:$IS$41,AG$82,$E88)</f>
        <v>0</v>
      </c>
      <c r="AH88" s="1030">
        <f>INDEX('DEFAULT DATA'!$GN$9:$IS$41,AH$82,$E88)</f>
        <v>443.79334308705199</v>
      </c>
      <c r="AI88" s="1030">
        <f>INDEX('DEFAULT DATA'!$GN$9:$IS$41,AI$82,$E88)</f>
        <v>0</v>
      </c>
      <c r="AJ88" s="1030">
        <f>INDEX('DEFAULT DATA'!$GN$9:$IS$41,AJ$82,$E88)</f>
        <v>23.144335633207209</v>
      </c>
      <c r="AK88" s="1030">
        <f>INDEX('DEFAULT DATA'!$GN$9:$IS$41,AK$82,$E88)</f>
        <v>2609.8326687116569</v>
      </c>
    </row>
    <row r="89" spans="5:37">
      <c r="E89" s="193">
        <f t="shared" si="6"/>
        <v>6</v>
      </c>
      <c r="F89" s="1030">
        <f>INDEX('DEFAULT DATA'!$GN$9:$IS$41,F$82,$E89)</f>
        <v>346.27084342582765</v>
      </c>
      <c r="G89" s="1030">
        <f>INDEX('DEFAULT DATA'!$GN$9:$IS$41,G$82,$E89)</f>
        <v>0</v>
      </c>
      <c r="H89" s="1030">
        <f>INDEX('DEFAULT DATA'!$GN$9:$IS$41,H$82,$E89)</f>
        <v>0</v>
      </c>
      <c r="I89" s="1030">
        <f>INDEX('DEFAULT DATA'!$GN$9:$IS$41,I$82,$E89)</f>
        <v>0</v>
      </c>
      <c r="J89" s="1030">
        <f>INDEX('DEFAULT DATA'!$GN$9:$IS$41,J$82,$E89)</f>
        <v>0</v>
      </c>
      <c r="K89" s="1030">
        <f>INDEX('DEFAULT DATA'!$GN$9:$IS$41,K$82,$E89)</f>
        <v>521.90162059103898</v>
      </c>
      <c r="L89" s="1030">
        <f>INDEX('DEFAULT DATA'!$GN$9:$IS$41,L$82,$E89)</f>
        <v>0</v>
      </c>
      <c r="M89" s="1030">
        <f>INDEX('DEFAULT DATA'!$GN$9:$IS$41,M$82,$E89)</f>
        <v>0</v>
      </c>
      <c r="N89" s="1030">
        <f>INDEX('DEFAULT DATA'!$GN$9:$IS$41,N$82,$E89)</f>
        <v>0</v>
      </c>
      <c r="O89" s="1030">
        <f>INDEX('DEFAULT DATA'!$GN$9:$IS$41,O$82,$E89)</f>
        <v>103.49256901449546</v>
      </c>
      <c r="P89" s="1030">
        <f>INDEX('DEFAULT DATA'!$GN$9:$IS$41,P$82,$E89)</f>
        <v>211.94179628700454</v>
      </c>
      <c r="Q89" s="1030">
        <f>INDEX('DEFAULT DATA'!$GN$9:$IS$41,Q$82,$E89)</f>
        <v>0</v>
      </c>
      <c r="R89" s="1030">
        <f>INDEX('DEFAULT DATA'!$GN$9:$IS$41,R$82,$E89)</f>
        <v>0</v>
      </c>
      <c r="S89" s="1030">
        <f>INDEX('DEFAULT DATA'!$GN$9:$IS$41,S$82,$E89)</f>
        <v>0</v>
      </c>
      <c r="T89" s="1030">
        <f>INDEX('DEFAULT DATA'!$GN$9:$IS$41,T$82,$E89)</f>
        <v>0</v>
      </c>
      <c r="U89" s="1030">
        <f>INDEX('DEFAULT DATA'!$GN$9:$IS$41,U$82,$E89)</f>
        <v>1667.1880844242587</v>
      </c>
      <c r="V89" s="1030">
        <f>INDEX('DEFAULT DATA'!$GN$9:$IS$41,V$82,$E89)</f>
        <v>0</v>
      </c>
      <c r="W89" s="1030">
        <f>INDEX('DEFAULT DATA'!$GN$9:$IS$41,W$82,$E89)</f>
        <v>0</v>
      </c>
      <c r="X89" s="1030">
        <f>INDEX('DEFAULT DATA'!$GN$9:$IS$41,X$82,$E89)</f>
        <v>0</v>
      </c>
      <c r="Y89" s="1030">
        <f>INDEX('DEFAULT DATA'!$GN$9:$IS$41,Y$82,$E89)</f>
        <v>0</v>
      </c>
      <c r="Z89" s="1030">
        <f>INDEX('DEFAULT DATA'!$GN$9:$IS$41,Z$82,$E89)</f>
        <v>0</v>
      </c>
      <c r="AA89" s="1030">
        <f>INDEX('DEFAULT DATA'!$GN$9:$IS$41,AA$82,$E89)</f>
        <v>0</v>
      </c>
      <c r="AB89" s="1030">
        <f>INDEX('DEFAULT DATA'!$GN$9:$IS$41,AB$82,$E89)</f>
        <v>0</v>
      </c>
      <c r="AC89" s="1030">
        <f>INDEX('DEFAULT DATA'!$GN$9:$IS$41,AC$82,$E89)</f>
        <v>20.657352924885686</v>
      </c>
      <c r="AD89" s="1030">
        <f>INDEX('DEFAULT DATA'!$GN$9:$IS$41,AD$82,$E89)</f>
        <v>0</v>
      </c>
      <c r="AE89" s="1030">
        <f>INDEX('DEFAULT DATA'!$GN$9:$IS$41,AE$82,$E89)</f>
        <v>196.28799317749932</v>
      </c>
      <c r="AF89" s="1030">
        <f>INDEX('DEFAULT DATA'!$GN$9:$IS$41,AF$82,$E89)</f>
        <v>0</v>
      </c>
      <c r="AG89" s="1030">
        <f>INDEX('DEFAULT DATA'!$GN$9:$IS$41,AG$82,$E89)</f>
        <v>0</v>
      </c>
      <c r="AH89" s="1030">
        <f>INDEX('DEFAULT DATA'!$GN$9:$IS$41,AH$82,$E89)</f>
        <v>279.36631309436723</v>
      </c>
      <c r="AI89" s="1030">
        <f>INDEX('DEFAULT DATA'!$GN$9:$IS$41,AI$82,$E89)</f>
        <v>0</v>
      </c>
      <c r="AJ89" s="1030">
        <f>INDEX('DEFAULT DATA'!$GN$9:$IS$41,AJ$82,$E89)</f>
        <v>190.64656131760518</v>
      </c>
      <c r="AK89" s="1030">
        <f>INDEX('DEFAULT DATA'!$GN$9:$IS$41,AK$82,$E89)</f>
        <v>905.89233128834394</v>
      </c>
    </row>
    <row r="90" spans="5:37">
      <c r="E90" s="193">
        <f t="shared" si="6"/>
        <v>7</v>
      </c>
      <c r="F90" s="1030">
        <f>INDEX('DEFAULT DATA'!$GN$9:$IS$41,F$82,$E90)</f>
        <v>0</v>
      </c>
      <c r="G90" s="1030">
        <f>INDEX('DEFAULT DATA'!$GN$9:$IS$41,G$82,$E90)</f>
        <v>0</v>
      </c>
      <c r="H90" s="1030">
        <f>INDEX('DEFAULT DATA'!$GN$9:$IS$41,H$82,$E90)</f>
        <v>0</v>
      </c>
      <c r="I90" s="1030">
        <f>INDEX('DEFAULT DATA'!$GN$9:$IS$41,I$82,$E90)</f>
        <v>0</v>
      </c>
      <c r="J90" s="1030">
        <f>INDEX('DEFAULT DATA'!$GN$9:$IS$41,J$82,$E90)</f>
        <v>0</v>
      </c>
      <c r="K90" s="1030">
        <f>INDEX('DEFAULT DATA'!$GN$9:$IS$41,K$82,$E90)</f>
        <v>0</v>
      </c>
      <c r="L90" s="1030">
        <f>INDEX('DEFAULT DATA'!$GN$9:$IS$41,L$82,$E90)</f>
        <v>0</v>
      </c>
      <c r="M90" s="1030">
        <f>INDEX('DEFAULT DATA'!$GN$9:$IS$41,M$82,$E90)</f>
        <v>0</v>
      </c>
      <c r="N90" s="1030">
        <f>INDEX('DEFAULT DATA'!$GN$9:$IS$41,N$82,$E90)</f>
        <v>0</v>
      </c>
      <c r="O90" s="1030">
        <f>INDEX('DEFAULT DATA'!$GN$9:$IS$41,O$82,$E90)</f>
        <v>117.24332993250532</v>
      </c>
      <c r="P90" s="1030">
        <f>INDEX('DEFAULT DATA'!$GN$9:$IS$41,P$82,$E90)</f>
        <v>241.71457243208371</v>
      </c>
      <c r="Q90" s="1030">
        <f>INDEX('DEFAULT DATA'!$GN$9:$IS$41,Q$82,$E90)</f>
        <v>0</v>
      </c>
      <c r="R90" s="1030">
        <f>INDEX('DEFAULT DATA'!$GN$9:$IS$41,R$82,$E90)</f>
        <v>0</v>
      </c>
      <c r="S90" s="1030">
        <f>INDEX('DEFAULT DATA'!$GN$9:$IS$41,S$82,$E90)</f>
        <v>0</v>
      </c>
      <c r="T90" s="1030">
        <f>INDEX('DEFAULT DATA'!$GN$9:$IS$41,T$82,$E90)</f>
        <v>0</v>
      </c>
      <c r="U90" s="1030">
        <f>INDEX('DEFAULT DATA'!$GN$9:$IS$41,U$82,$E90)</f>
        <v>108.21132781191555</v>
      </c>
      <c r="V90" s="1030">
        <f>INDEX('DEFAULT DATA'!$GN$9:$IS$41,V$82,$E90)</f>
        <v>0</v>
      </c>
      <c r="W90" s="1030">
        <f>INDEX('DEFAULT DATA'!$GN$9:$IS$41,W$82,$E90)</f>
        <v>0</v>
      </c>
      <c r="X90" s="1030">
        <f>INDEX('DEFAULT DATA'!$GN$9:$IS$41,X$82,$E90)</f>
        <v>0</v>
      </c>
      <c r="Y90" s="1030">
        <f>INDEX('DEFAULT DATA'!$GN$9:$IS$41,Y$82,$E90)</f>
        <v>0</v>
      </c>
      <c r="Z90" s="1030">
        <f>INDEX('DEFAULT DATA'!$GN$9:$IS$41,Z$82,$E90)</f>
        <v>0</v>
      </c>
      <c r="AA90" s="1030">
        <f>INDEX('DEFAULT DATA'!$GN$9:$IS$41,AA$82,$E90)</f>
        <v>0</v>
      </c>
      <c r="AB90" s="1030">
        <f>INDEX('DEFAULT DATA'!$GN$9:$IS$41,AB$82,$E90)</f>
        <v>0</v>
      </c>
      <c r="AC90" s="1030">
        <f>INDEX('DEFAULT DATA'!$GN$9:$IS$41,AC$82,$E90)</f>
        <v>409.47464019995635</v>
      </c>
      <c r="AD90" s="1030">
        <f>INDEX('DEFAULT DATA'!$GN$9:$IS$41,AD$82,$E90)</f>
        <v>0</v>
      </c>
      <c r="AE90" s="1030">
        <f>INDEX('DEFAULT DATA'!$GN$9:$IS$41,AE$82,$E90)</f>
        <v>239.77694974975961</v>
      </c>
      <c r="AF90" s="1030">
        <f>INDEX('DEFAULT DATA'!$GN$9:$IS$41,AF$82,$E90)</f>
        <v>0</v>
      </c>
      <c r="AG90" s="1030">
        <f>INDEX('DEFAULT DATA'!$GN$9:$IS$41,AG$82,$E90)</f>
        <v>0</v>
      </c>
      <c r="AH90" s="1030">
        <f>INDEX('DEFAULT DATA'!$GN$9:$IS$41,AH$82,$E90)</f>
        <v>132.49945135332848</v>
      </c>
      <c r="AI90" s="1030">
        <f>INDEX('DEFAULT DATA'!$GN$9:$IS$41,AI$82,$E90)</f>
        <v>0</v>
      </c>
      <c r="AJ90" s="1030">
        <f>INDEX('DEFAULT DATA'!$GN$9:$IS$41,AJ$82,$E90)</f>
        <v>0</v>
      </c>
      <c r="AK90" s="1030">
        <f>INDEX('DEFAULT DATA'!$GN$9:$IS$41,AK$82,$E90)</f>
        <v>625.4970858895706</v>
      </c>
    </row>
    <row r="91" spans="5:37">
      <c r="E91" s="193">
        <f t="shared" si="6"/>
        <v>8</v>
      </c>
      <c r="F91" s="1030">
        <f>INDEX('DEFAULT DATA'!$GN$9:$IS$41,F$82,$E91)</f>
        <v>0</v>
      </c>
      <c r="G91" s="1030">
        <f>INDEX('DEFAULT DATA'!$GN$9:$IS$41,G$82,$E91)</f>
        <v>0</v>
      </c>
      <c r="H91" s="1030">
        <f>INDEX('DEFAULT DATA'!$GN$9:$IS$41,H$82,$E91)</f>
        <v>0</v>
      </c>
      <c r="I91" s="1030">
        <f>INDEX('DEFAULT DATA'!$GN$9:$IS$41,I$82,$E91)</f>
        <v>0</v>
      </c>
      <c r="J91" s="1030">
        <f>INDEX('DEFAULT DATA'!$GN$9:$IS$41,J$82,$E91)</f>
        <v>0</v>
      </c>
      <c r="K91" s="1030">
        <f>INDEX('DEFAULT DATA'!$GN$9:$IS$41,K$82,$E91)</f>
        <v>0</v>
      </c>
      <c r="L91" s="1030">
        <f>INDEX('DEFAULT DATA'!$GN$9:$IS$41,L$82,$E91)</f>
        <v>0</v>
      </c>
      <c r="M91" s="1030">
        <f>INDEX('DEFAULT DATA'!$GN$9:$IS$41,M$82,$E91)</f>
        <v>0</v>
      </c>
      <c r="N91" s="1030">
        <f>INDEX('DEFAULT DATA'!$GN$9:$IS$41,N$82,$E91)</f>
        <v>0</v>
      </c>
      <c r="O91" s="1030">
        <f>INDEX('DEFAULT DATA'!$GN$9:$IS$41,O$82,$E91)</f>
        <v>102.76884475565281</v>
      </c>
      <c r="P91" s="1030">
        <f>INDEX('DEFAULT DATA'!$GN$9:$IS$41,P$82,$E91)</f>
        <v>74.431940362698029</v>
      </c>
      <c r="Q91" s="1030">
        <f>INDEX('DEFAULT DATA'!$GN$9:$IS$41,Q$82,$E91)</f>
        <v>0</v>
      </c>
      <c r="R91" s="1030">
        <f>INDEX('DEFAULT DATA'!$GN$9:$IS$41,R$82,$E91)</f>
        <v>0</v>
      </c>
      <c r="S91" s="1030">
        <f>INDEX('DEFAULT DATA'!$GN$9:$IS$41,S$82,$E91)</f>
        <v>0</v>
      </c>
      <c r="T91" s="1030">
        <f>INDEX('DEFAULT DATA'!$GN$9:$IS$41,T$82,$E91)</f>
        <v>0</v>
      </c>
      <c r="U91" s="1030">
        <f>INDEX('DEFAULT DATA'!$GN$9:$IS$41,U$82,$E91)</f>
        <v>95.372695698637457</v>
      </c>
      <c r="V91" s="1030">
        <f>INDEX('DEFAULT DATA'!$GN$9:$IS$41,V$82,$E91)</f>
        <v>0</v>
      </c>
      <c r="W91" s="1030">
        <f>INDEX('DEFAULT DATA'!$GN$9:$IS$41,W$82,$E91)</f>
        <v>0</v>
      </c>
      <c r="X91" s="1030">
        <f>INDEX('DEFAULT DATA'!$GN$9:$IS$41,X$82,$E91)</f>
        <v>0</v>
      </c>
      <c r="Y91" s="1030">
        <f>INDEX('DEFAULT DATA'!$GN$9:$IS$41,Y$82,$E91)</f>
        <v>0</v>
      </c>
      <c r="Z91" s="1030">
        <f>INDEX('DEFAULT DATA'!$GN$9:$IS$41,Z$82,$E91)</f>
        <v>0</v>
      </c>
      <c r="AA91" s="1030">
        <f>INDEX('DEFAULT DATA'!$GN$9:$IS$41,AA$82,$E91)</f>
        <v>0</v>
      </c>
      <c r="AB91" s="1030">
        <f>INDEX('DEFAULT DATA'!$GN$9:$IS$41,AB$82,$E91)</f>
        <v>0</v>
      </c>
      <c r="AC91" s="1030">
        <f>INDEX('DEFAULT DATA'!$GN$9:$IS$41,AC$82,$E91)</f>
        <v>195.09722206836483</v>
      </c>
      <c r="AD91" s="1030">
        <f>INDEX('DEFAULT DATA'!$GN$9:$IS$41,AD$82,$E91)</f>
        <v>0</v>
      </c>
      <c r="AE91" s="1030">
        <f>INDEX('DEFAULT DATA'!$GN$9:$IS$41,AE$82,$E91)</f>
        <v>411.38202162948949</v>
      </c>
      <c r="AF91" s="1030">
        <f>INDEX('DEFAULT DATA'!$GN$9:$IS$41,AF$82,$E91)</f>
        <v>0</v>
      </c>
      <c r="AG91" s="1030">
        <f>INDEX('DEFAULT DATA'!$GN$9:$IS$41,AG$82,$E91)</f>
        <v>0</v>
      </c>
      <c r="AH91" s="1030">
        <f>INDEX('DEFAULT DATA'!$GN$9:$IS$41,AH$82,$E91)</f>
        <v>241.05321872713972</v>
      </c>
      <c r="AI91" s="1030">
        <f>INDEX('DEFAULT DATA'!$GN$9:$IS$41,AI$82,$E91)</f>
        <v>0</v>
      </c>
      <c r="AJ91" s="1030">
        <f>INDEX('DEFAULT DATA'!$GN$9:$IS$41,AJ$82,$E91)</f>
        <v>0</v>
      </c>
      <c r="AK91" s="1030">
        <f>INDEX('DEFAULT DATA'!$GN$9:$IS$41,AK$82,$E91)</f>
        <v>366.67070552147254</v>
      </c>
    </row>
    <row r="92" spans="5:37">
      <c r="E92" s="193">
        <f t="shared" si="6"/>
        <v>9</v>
      </c>
      <c r="F92" s="1030">
        <f>INDEX('DEFAULT DATA'!$GN$9:$IS$41,F$82,$E92)</f>
        <v>0</v>
      </c>
      <c r="G92" s="1030">
        <f>INDEX('DEFAULT DATA'!$GN$9:$IS$41,G$82,$E92)</f>
        <v>0</v>
      </c>
      <c r="H92" s="1030">
        <f>INDEX('DEFAULT DATA'!$GN$9:$IS$41,H$82,$E92)</f>
        <v>0</v>
      </c>
      <c r="I92" s="1030">
        <f>INDEX('DEFAULT DATA'!$GN$9:$IS$41,I$82,$E92)</f>
        <v>0</v>
      </c>
      <c r="J92" s="1030">
        <f>INDEX('DEFAULT DATA'!$GN$9:$IS$41,J$82,$E92)</f>
        <v>0</v>
      </c>
      <c r="K92" s="1030">
        <f>INDEX('DEFAULT DATA'!$GN$9:$IS$41,K$82,$E92)</f>
        <v>0</v>
      </c>
      <c r="L92" s="1030">
        <f>INDEX('DEFAULT DATA'!$GN$9:$IS$41,L$82,$E92)</f>
        <v>0</v>
      </c>
      <c r="M92" s="1030">
        <f>INDEX('DEFAULT DATA'!$GN$9:$IS$41,M$82,$E92)</f>
        <v>0</v>
      </c>
      <c r="N92" s="1030">
        <f>INDEX('DEFAULT DATA'!$GN$9:$IS$41,N$82,$E92)</f>
        <v>0</v>
      </c>
      <c r="O92" s="1030">
        <f>INDEX('DEFAULT DATA'!$GN$9:$IS$41,O$82,$E92)</f>
        <v>137.50760918009883</v>
      </c>
      <c r="P92" s="1030">
        <f>INDEX('DEFAULT DATA'!$GN$9:$IS$41,P$82,$E92)</f>
        <v>44.533008386495588</v>
      </c>
      <c r="Q92" s="1030">
        <f>INDEX('DEFAULT DATA'!$GN$9:$IS$41,Q$82,$E92)</f>
        <v>0</v>
      </c>
      <c r="R92" s="1030">
        <f>INDEX('DEFAULT DATA'!$GN$9:$IS$41,R$82,$E92)</f>
        <v>0</v>
      </c>
      <c r="S92" s="1030">
        <f>INDEX('DEFAULT DATA'!$GN$9:$IS$41,S$82,$E92)</f>
        <v>0</v>
      </c>
      <c r="T92" s="1030">
        <f>INDEX('DEFAULT DATA'!$GN$9:$IS$41,T$82,$E92)</f>
        <v>0</v>
      </c>
      <c r="U92" s="1030">
        <f>INDEX('DEFAULT DATA'!$GN$9:$IS$41,U$82,$E92)</f>
        <v>162.31699171787338</v>
      </c>
      <c r="V92" s="1030">
        <f>INDEX('DEFAULT DATA'!$GN$9:$IS$41,V$82,$E92)</f>
        <v>0</v>
      </c>
      <c r="W92" s="1030">
        <f>INDEX('DEFAULT DATA'!$GN$9:$IS$41,W$82,$E92)</f>
        <v>0</v>
      </c>
      <c r="X92" s="1030">
        <f>INDEX('DEFAULT DATA'!$GN$9:$IS$41,X$82,$E92)</f>
        <v>0</v>
      </c>
      <c r="Y92" s="1030">
        <f>INDEX('DEFAULT DATA'!$GN$9:$IS$41,Y$82,$E92)</f>
        <v>0</v>
      </c>
      <c r="Z92" s="1030">
        <f>INDEX('DEFAULT DATA'!$GN$9:$IS$41,Z$82,$E92)</f>
        <v>0</v>
      </c>
      <c r="AA92" s="1030">
        <f>INDEX('DEFAULT DATA'!$GN$9:$IS$41,AA$82,$E92)</f>
        <v>0</v>
      </c>
      <c r="AB92" s="1030">
        <f>INDEX('DEFAULT DATA'!$GN$9:$IS$41,AB$82,$E92)</f>
        <v>0</v>
      </c>
      <c r="AC92" s="1030">
        <f>INDEX('DEFAULT DATA'!$GN$9:$IS$41,AC$82,$E92)</f>
        <v>32.133660105377736</v>
      </c>
      <c r="AD92" s="1030">
        <f>INDEX('DEFAULT DATA'!$GN$9:$IS$41,AD$82,$E92)</f>
        <v>0</v>
      </c>
      <c r="AE92" s="1030">
        <f>INDEX('DEFAULT DATA'!$GN$9:$IS$41,AE$82,$E92)</f>
        <v>196.28799317749932</v>
      </c>
      <c r="AF92" s="1030">
        <f>INDEX('DEFAULT DATA'!$GN$9:$IS$41,AF$82,$E92)</f>
        <v>0</v>
      </c>
      <c r="AG92" s="1030">
        <f>INDEX('DEFAULT DATA'!$GN$9:$IS$41,AG$82,$E92)</f>
        <v>0</v>
      </c>
      <c r="AH92" s="1030">
        <f>INDEX('DEFAULT DATA'!$GN$9:$IS$41,AH$82,$E92)</f>
        <v>35.120336503291881</v>
      </c>
      <c r="AI92" s="1030">
        <f>INDEX('DEFAULT DATA'!$GN$9:$IS$41,AI$82,$E92)</f>
        <v>0</v>
      </c>
      <c r="AJ92" s="1030">
        <f>INDEX('DEFAULT DATA'!$GN$9:$IS$41,AJ$82,$E92)</f>
        <v>0</v>
      </c>
      <c r="AK92" s="1030">
        <f>INDEX('DEFAULT DATA'!$GN$9:$IS$41,AK$82,$E92)</f>
        <v>1100.0121165644173</v>
      </c>
    </row>
    <row r="93" spans="5:37">
      <c r="E93" s="193">
        <f t="shared" si="6"/>
        <v>10</v>
      </c>
      <c r="F93" s="1030">
        <f>INDEX('DEFAULT DATA'!$GN$9:$IS$41,F$82,$E93)</f>
        <v>0</v>
      </c>
      <c r="G93" s="1030">
        <f>INDEX('DEFAULT DATA'!$GN$9:$IS$41,G$82,$E93)</f>
        <v>0</v>
      </c>
      <c r="H93" s="1030">
        <f>INDEX('DEFAULT DATA'!$GN$9:$IS$41,H$82,$E93)</f>
        <v>0</v>
      </c>
      <c r="I93" s="1030">
        <f>INDEX('DEFAULT DATA'!$GN$9:$IS$41,I$82,$E93)</f>
        <v>0</v>
      </c>
      <c r="J93" s="1030">
        <f>INDEX('DEFAULT DATA'!$GN$9:$IS$41,J$82,$E93)</f>
        <v>0</v>
      </c>
      <c r="K93" s="1030">
        <f>INDEX('DEFAULT DATA'!$GN$9:$IS$41,K$82,$E93)</f>
        <v>0</v>
      </c>
      <c r="L93" s="1030">
        <f>INDEX('DEFAULT DATA'!$GN$9:$IS$41,L$82,$E93)</f>
        <v>0</v>
      </c>
      <c r="M93" s="1030">
        <f>INDEX('DEFAULT DATA'!$GN$9:$IS$41,M$82,$E93)</f>
        <v>0</v>
      </c>
      <c r="N93" s="1030">
        <f>INDEX('DEFAULT DATA'!$GN$9:$IS$41,N$82,$E93)</f>
        <v>0</v>
      </c>
      <c r="O93" s="1030">
        <f>INDEX('DEFAULT DATA'!$GN$9:$IS$41,O$82,$E93)</f>
        <v>214.22238061741717</v>
      </c>
      <c r="P93" s="1030">
        <f>INDEX('DEFAULT DATA'!$GN$9:$IS$41,P$82,$E93)</f>
        <v>99.663106587341431</v>
      </c>
      <c r="Q93" s="1030">
        <f>INDEX('DEFAULT DATA'!$GN$9:$IS$41,Q$82,$E93)</f>
        <v>0</v>
      </c>
      <c r="R93" s="1030">
        <f>INDEX('DEFAULT DATA'!$GN$9:$IS$41,R$82,$E93)</f>
        <v>0</v>
      </c>
      <c r="S93" s="1030">
        <f>INDEX('DEFAULT DATA'!$GN$9:$IS$41,S$82,$E93)</f>
        <v>0</v>
      </c>
      <c r="T93" s="1030">
        <f>INDEX('DEFAULT DATA'!$GN$9:$IS$41,T$82,$E93)</f>
        <v>0</v>
      </c>
      <c r="U93" s="1030">
        <f>INDEX('DEFAULT DATA'!$GN$9:$IS$41,U$82,$E93)</f>
        <v>357.64760886989046</v>
      </c>
      <c r="V93" s="1030">
        <f>INDEX('DEFAULT DATA'!$GN$9:$IS$41,V$82,$E93)</f>
        <v>0</v>
      </c>
      <c r="W93" s="1030">
        <f>INDEX('DEFAULT DATA'!$GN$9:$IS$41,W$82,$E93)</f>
        <v>0</v>
      </c>
      <c r="X93" s="1030">
        <f>INDEX('DEFAULT DATA'!$GN$9:$IS$41,X$82,$E93)</f>
        <v>0</v>
      </c>
      <c r="Y93" s="1030">
        <f>INDEX('DEFAULT DATA'!$GN$9:$IS$41,Y$82,$E93)</f>
        <v>0</v>
      </c>
      <c r="Z93" s="1030">
        <f>INDEX('DEFAULT DATA'!$GN$9:$IS$41,Z$82,$E93)</f>
        <v>0</v>
      </c>
      <c r="AA93" s="1030">
        <f>INDEX('DEFAULT DATA'!$GN$9:$IS$41,AA$82,$E93)</f>
        <v>0</v>
      </c>
      <c r="AB93" s="1030">
        <f>INDEX('DEFAULT DATA'!$GN$9:$IS$41,AB$82,$E93)</f>
        <v>0</v>
      </c>
      <c r="AC93" s="1030">
        <f>INDEX('DEFAULT DATA'!$GN$9:$IS$41,AC$82,$E93)</f>
        <v>323.6318624898758</v>
      </c>
      <c r="AD93" s="1030">
        <f>INDEX('DEFAULT DATA'!$GN$9:$IS$41,AD$82,$E93)</f>
        <v>0</v>
      </c>
      <c r="AE93" s="1030">
        <f>INDEX('DEFAULT DATA'!$GN$9:$IS$41,AE$82,$E93)</f>
        <v>121.06385207953551</v>
      </c>
      <c r="AF93" s="1030">
        <f>INDEX('DEFAULT DATA'!$GN$9:$IS$41,AF$82,$E93)</f>
        <v>0</v>
      </c>
      <c r="AG93" s="1030">
        <f>INDEX('DEFAULT DATA'!$GN$9:$IS$41,AG$82,$E93)</f>
        <v>0</v>
      </c>
      <c r="AH93" s="1030">
        <f>INDEX('DEFAULT DATA'!$GN$9:$IS$41,AH$82,$E93)</f>
        <v>78.222567666422833</v>
      </c>
      <c r="AI93" s="1030">
        <f>INDEX('DEFAULT DATA'!$GN$9:$IS$41,AI$82,$E93)</f>
        <v>0</v>
      </c>
      <c r="AJ93" s="1030">
        <f>INDEX('DEFAULT DATA'!$GN$9:$IS$41,AJ$82,$E93)</f>
        <v>0</v>
      </c>
      <c r="AK93" s="1030">
        <f>INDEX('DEFAULT DATA'!$GN$9:$IS$41,AK$82,$E93)</f>
        <v>0</v>
      </c>
    </row>
    <row r="94" spans="5:37">
      <c r="E94" s="193">
        <f t="shared" si="6"/>
        <v>11</v>
      </c>
      <c r="F94" s="1030">
        <f>INDEX('DEFAULT DATA'!$GN$9:$IS$41,F$82,$E94)</f>
        <v>0</v>
      </c>
      <c r="G94" s="1030">
        <f>INDEX('DEFAULT DATA'!$GN$9:$IS$41,G$82,$E94)</f>
        <v>0</v>
      </c>
      <c r="H94" s="1030">
        <f>INDEX('DEFAULT DATA'!$GN$9:$IS$41,H$82,$E94)</f>
        <v>0</v>
      </c>
      <c r="I94" s="1030">
        <f>INDEX('DEFAULT DATA'!$GN$9:$IS$41,I$82,$E94)</f>
        <v>0</v>
      </c>
      <c r="J94" s="1030">
        <f>INDEX('DEFAULT DATA'!$GN$9:$IS$41,J$82,$E94)</f>
        <v>0</v>
      </c>
      <c r="K94" s="1030">
        <f>INDEX('DEFAULT DATA'!$GN$9:$IS$41,K$82,$E94)</f>
        <v>0</v>
      </c>
      <c r="L94" s="1030">
        <f>INDEX('DEFAULT DATA'!$GN$9:$IS$41,L$82,$E94)</f>
        <v>0</v>
      </c>
      <c r="M94" s="1030">
        <f>INDEX('DEFAULT DATA'!$GN$9:$IS$41,M$82,$E94)</f>
        <v>0</v>
      </c>
      <c r="N94" s="1030">
        <f>INDEX('DEFAULT DATA'!$GN$9:$IS$41,N$82,$E94)</f>
        <v>0</v>
      </c>
      <c r="O94" s="1030">
        <f>INDEX('DEFAULT DATA'!$GN$9:$IS$41,O$82,$E94)</f>
        <v>94.084153649541307</v>
      </c>
      <c r="P94" s="1030">
        <f>INDEX('DEFAULT DATA'!$GN$9:$IS$41,P$82,$E94)</f>
        <v>289.14916493441336</v>
      </c>
      <c r="Q94" s="1030">
        <f>INDEX('DEFAULT DATA'!$GN$9:$IS$41,Q$82,$E94)</f>
        <v>0</v>
      </c>
      <c r="R94" s="1030">
        <f>INDEX('DEFAULT DATA'!$GN$9:$IS$41,R$82,$E94)</f>
        <v>0</v>
      </c>
      <c r="S94" s="1030">
        <f>INDEX('DEFAULT DATA'!$GN$9:$IS$41,S$82,$E94)</f>
        <v>0</v>
      </c>
      <c r="T94" s="1030">
        <f>INDEX('DEFAULT DATA'!$GN$9:$IS$41,T$82,$E94)</f>
        <v>0</v>
      </c>
      <c r="U94" s="1030">
        <f>INDEX('DEFAULT DATA'!$GN$9:$IS$41,U$82,$E94)</f>
        <v>39.432941490782788</v>
      </c>
      <c r="V94" s="1030">
        <f>INDEX('DEFAULT DATA'!$GN$9:$IS$41,V$82,$E94)</f>
        <v>0</v>
      </c>
      <c r="W94" s="1030">
        <f>INDEX('DEFAULT DATA'!$GN$9:$IS$41,W$82,$E94)</f>
        <v>0</v>
      </c>
      <c r="X94" s="1030">
        <f>INDEX('DEFAULT DATA'!$GN$9:$IS$41,X$82,$E94)</f>
        <v>0</v>
      </c>
      <c r="Y94" s="1030">
        <f>INDEX('DEFAULT DATA'!$GN$9:$IS$41,Y$82,$E94)</f>
        <v>0</v>
      </c>
      <c r="Z94" s="1030">
        <f>INDEX('DEFAULT DATA'!$GN$9:$IS$41,Z$82,$E94)</f>
        <v>0</v>
      </c>
      <c r="AA94" s="1030">
        <f>INDEX('DEFAULT DATA'!$GN$9:$IS$41,AA$82,$E94)</f>
        <v>0</v>
      </c>
      <c r="AB94" s="1030">
        <f>INDEX('DEFAULT DATA'!$GN$9:$IS$41,AB$82,$E94)</f>
        <v>0</v>
      </c>
      <c r="AC94" s="1030">
        <f>INDEX('DEFAULT DATA'!$GN$9:$IS$41,AC$82,$E94)</f>
        <v>25.247875797082507</v>
      </c>
      <c r="AD94" s="1030">
        <f>INDEX('DEFAULT DATA'!$GN$9:$IS$41,AD$82,$E94)</f>
        <v>0</v>
      </c>
      <c r="AE94" s="1030">
        <f>INDEX('DEFAULT DATA'!$GN$9:$IS$41,AE$82,$E94)</f>
        <v>440.76645174588162</v>
      </c>
      <c r="AF94" s="1030">
        <f>INDEX('DEFAULT DATA'!$GN$9:$IS$41,AF$82,$E94)</f>
        <v>0</v>
      </c>
      <c r="AG94" s="1030">
        <f>INDEX('DEFAULT DATA'!$GN$9:$IS$41,AG$82,$E94)</f>
        <v>0</v>
      </c>
      <c r="AH94" s="1030">
        <f>INDEX('DEFAULT DATA'!$GN$9:$IS$41,AH$82,$E94)</f>
        <v>718.37051938551576</v>
      </c>
      <c r="AI94" s="1030">
        <f>INDEX('DEFAULT DATA'!$GN$9:$IS$41,AI$82,$E94)</f>
        <v>0</v>
      </c>
      <c r="AJ94" s="1030">
        <f>INDEX('DEFAULT DATA'!$GN$9:$IS$41,AJ$82,$E94)</f>
        <v>0</v>
      </c>
      <c r="AK94" s="1030">
        <f>INDEX('DEFAULT DATA'!$GN$9:$IS$41,AK$82,$E94)</f>
        <v>0</v>
      </c>
    </row>
    <row r="95" spans="5:37">
      <c r="E95" s="193">
        <f t="shared" si="6"/>
        <v>12</v>
      </c>
      <c r="F95" s="1030">
        <f>INDEX('DEFAULT DATA'!$GN$9:$IS$41,F$82,$E95)</f>
        <v>0</v>
      </c>
      <c r="G95" s="1030">
        <f>INDEX('DEFAULT DATA'!$GN$9:$IS$41,G$82,$E95)</f>
        <v>0</v>
      </c>
      <c r="H95" s="1030">
        <f>INDEX('DEFAULT DATA'!$GN$9:$IS$41,H$82,$E95)</f>
        <v>0</v>
      </c>
      <c r="I95" s="1030">
        <f>INDEX('DEFAULT DATA'!$GN$9:$IS$41,I$82,$E95)</f>
        <v>0</v>
      </c>
      <c r="J95" s="1030">
        <f>INDEX('DEFAULT DATA'!$GN$9:$IS$41,J$82,$E95)</f>
        <v>0</v>
      </c>
      <c r="K95" s="1030">
        <f>INDEX('DEFAULT DATA'!$GN$9:$IS$41,K$82,$E95)</f>
        <v>0</v>
      </c>
      <c r="L95" s="1030">
        <f>INDEX('DEFAULT DATA'!$GN$9:$IS$41,L$82,$E95)</f>
        <v>0</v>
      </c>
      <c r="M95" s="1030">
        <f>INDEX('DEFAULT DATA'!$GN$9:$IS$41,M$82,$E95)</f>
        <v>0</v>
      </c>
      <c r="N95" s="1030">
        <f>INDEX('DEFAULT DATA'!$GN$9:$IS$41,N$82,$E95)</f>
        <v>0</v>
      </c>
      <c r="O95" s="1030">
        <f>INDEX('DEFAULT DATA'!$GN$9:$IS$41,O$82,$E95)</f>
        <v>111.45353586176432</v>
      </c>
      <c r="P95" s="1030">
        <f>INDEX('DEFAULT DATA'!$GN$9:$IS$41,P$82,$E95)</f>
        <v>77.207368647408785</v>
      </c>
      <c r="Q95" s="1030">
        <f>INDEX('DEFAULT DATA'!$GN$9:$IS$41,Q$82,$E95)</f>
        <v>0</v>
      </c>
      <c r="R95" s="1030">
        <f>INDEX('DEFAULT DATA'!$GN$9:$IS$41,R$82,$E95)</f>
        <v>0</v>
      </c>
      <c r="S95" s="1030">
        <f>INDEX('DEFAULT DATA'!$GN$9:$IS$41,S$82,$E95)</f>
        <v>0</v>
      </c>
      <c r="T95" s="1030">
        <f>INDEX('DEFAULT DATA'!$GN$9:$IS$41,T$82,$E95)</f>
        <v>0</v>
      </c>
      <c r="U95" s="1030">
        <f>INDEX('DEFAULT DATA'!$GN$9:$IS$41,U$82,$E95)</f>
        <v>531.8861875500935</v>
      </c>
      <c r="V95" s="1030">
        <f>INDEX('DEFAULT DATA'!$GN$9:$IS$41,V$82,$E95)</f>
        <v>0</v>
      </c>
      <c r="W95" s="1030">
        <f>INDEX('DEFAULT DATA'!$GN$9:$IS$41,W$82,$E95)</f>
        <v>0</v>
      </c>
      <c r="X95" s="1030">
        <f>INDEX('DEFAULT DATA'!$GN$9:$IS$41,X$82,$E95)</f>
        <v>0</v>
      </c>
      <c r="Y95" s="1030">
        <f>INDEX('DEFAULT DATA'!$GN$9:$IS$41,Y$82,$E95)</f>
        <v>0</v>
      </c>
      <c r="Z95" s="1030">
        <f>INDEX('DEFAULT DATA'!$GN$9:$IS$41,Z$82,$E95)</f>
        <v>0</v>
      </c>
      <c r="AA95" s="1030">
        <f>INDEX('DEFAULT DATA'!$GN$9:$IS$41,AA$82,$E95)</f>
        <v>0</v>
      </c>
      <c r="AB95" s="1030">
        <f>INDEX('DEFAULT DATA'!$GN$9:$IS$41,AB$82,$E95)</f>
        <v>0</v>
      </c>
      <c r="AC95" s="1030">
        <f>INDEX('DEFAULT DATA'!$GN$9:$IS$41,AC$82,$E95)</f>
        <v>150.56915020805565</v>
      </c>
      <c r="AD95" s="1030">
        <f>INDEX('DEFAULT DATA'!$GN$9:$IS$41,AD$82,$E95)</f>
        <v>0</v>
      </c>
      <c r="AE95" s="1030">
        <f>INDEX('DEFAULT DATA'!$GN$9:$IS$41,AE$82,$E95)</f>
        <v>0</v>
      </c>
      <c r="AF95" s="1030">
        <f>INDEX('DEFAULT DATA'!$GN$9:$IS$41,AF$82,$E95)</f>
        <v>0</v>
      </c>
      <c r="AG95" s="1030">
        <f>INDEX('DEFAULT DATA'!$GN$9:$IS$41,AG$82,$E95)</f>
        <v>0</v>
      </c>
      <c r="AH95" s="1030">
        <f>INDEX('DEFAULT DATA'!$GN$9:$IS$41,AH$82,$E95)</f>
        <v>153.25237746891005</v>
      </c>
      <c r="AI95" s="1030">
        <f>INDEX('DEFAULT DATA'!$GN$9:$IS$41,AI$82,$E95)</f>
        <v>0</v>
      </c>
      <c r="AJ95" s="1030">
        <f>INDEX('DEFAULT DATA'!$GN$9:$IS$41,AJ$82,$E95)</f>
        <v>0</v>
      </c>
      <c r="AK95" s="1030">
        <f>INDEX('DEFAULT DATA'!$GN$9:$IS$41,AK$82,$E95)</f>
        <v>0</v>
      </c>
    </row>
    <row r="96" spans="5:37">
      <c r="E96" s="193">
        <f t="shared" si="6"/>
        <v>13</v>
      </c>
      <c r="F96" s="1030">
        <f>INDEX('DEFAULT DATA'!$GN$9:$IS$41,F$82,$E96)</f>
        <v>0</v>
      </c>
      <c r="G96" s="1030">
        <f>INDEX('DEFAULT DATA'!$GN$9:$IS$41,G$82,$E96)</f>
        <v>0</v>
      </c>
      <c r="H96" s="1030">
        <f>INDEX('DEFAULT DATA'!$GN$9:$IS$41,H$82,$E96)</f>
        <v>0</v>
      </c>
      <c r="I96" s="1030">
        <f>INDEX('DEFAULT DATA'!$GN$9:$IS$41,I$82,$E96)</f>
        <v>0</v>
      </c>
      <c r="J96" s="1030">
        <f>INDEX('DEFAULT DATA'!$GN$9:$IS$41,J$82,$E96)</f>
        <v>0</v>
      </c>
      <c r="K96" s="1030">
        <f>INDEX('DEFAULT DATA'!$GN$9:$IS$41,K$82,$E96)</f>
        <v>0</v>
      </c>
      <c r="L96" s="1030">
        <f>INDEX('DEFAULT DATA'!$GN$9:$IS$41,L$82,$E96)</f>
        <v>0</v>
      </c>
      <c r="M96" s="1030">
        <f>INDEX('DEFAULT DATA'!$GN$9:$IS$41,M$82,$E96)</f>
        <v>0</v>
      </c>
      <c r="N96" s="1030">
        <f>INDEX('DEFAULT DATA'!$GN$9:$IS$41,N$82,$E96)</f>
        <v>0</v>
      </c>
      <c r="O96" s="1030">
        <f>INDEX('DEFAULT DATA'!$GN$9:$IS$41,O$82,$E96)</f>
        <v>159.21933694537759</v>
      </c>
      <c r="P96" s="1030">
        <f>INDEX('DEFAULT DATA'!$GN$9:$IS$41,P$82,$E96)</f>
        <v>619.92975413948818</v>
      </c>
      <c r="Q96" s="1030">
        <f>INDEX('DEFAULT DATA'!$GN$9:$IS$41,Q$82,$E96)</f>
        <v>0</v>
      </c>
      <c r="R96" s="1030">
        <f>INDEX('DEFAULT DATA'!$GN$9:$IS$41,R$82,$E96)</f>
        <v>0</v>
      </c>
      <c r="S96" s="1030">
        <f>INDEX('DEFAULT DATA'!$GN$9:$IS$41,S$82,$E96)</f>
        <v>0</v>
      </c>
      <c r="T96" s="1030">
        <f>INDEX('DEFAULT DATA'!$GN$9:$IS$41,T$82,$E96)</f>
        <v>0</v>
      </c>
      <c r="U96" s="1030">
        <f>INDEX('DEFAULT DATA'!$GN$9:$IS$41,U$82,$E96)</f>
        <v>47.686347849318729</v>
      </c>
      <c r="V96" s="1030">
        <f>INDEX('DEFAULT DATA'!$GN$9:$IS$41,V$82,$E96)</f>
        <v>0</v>
      </c>
      <c r="W96" s="1030">
        <f>INDEX('DEFAULT DATA'!$GN$9:$IS$41,W$82,$E96)</f>
        <v>0</v>
      </c>
      <c r="X96" s="1030">
        <f>INDEX('DEFAULT DATA'!$GN$9:$IS$41,X$82,$E96)</f>
        <v>0</v>
      </c>
      <c r="Y96" s="1030">
        <f>INDEX('DEFAULT DATA'!$GN$9:$IS$41,Y$82,$E96)</f>
        <v>0</v>
      </c>
      <c r="Z96" s="1030">
        <f>INDEX('DEFAULT DATA'!$GN$9:$IS$41,Z$82,$E96)</f>
        <v>0</v>
      </c>
      <c r="AA96" s="1030">
        <f>INDEX('DEFAULT DATA'!$GN$9:$IS$41,AA$82,$E96)</f>
        <v>0</v>
      </c>
      <c r="AB96" s="1030">
        <f>INDEX('DEFAULT DATA'!$GN$9:$IS$41,AB$82,$E96)</f>
        <v>0</v>
      </c>
      <c r="AC96" s="1030">
        <f>INDEX('DEFAULT DATA'!$GN$9:$IS$41,AC$82,$E96)</f>
        <v>14.001094760200299</v>
      </c>
      <c r="AD96" s="1030">
        <f>INDEX('DEFAULT DATA'!$GN$9:$IS$41,AD$82,$E96)</f>
        <v>0</v>
      </c>
      <c r="AE96" s="1030">
        <f>INDEX('DEFAULT DATA'!$GN$9:$IS$41,AE$82,$E96)</f>
        <v>0</v>
      </c>
      <c r="AF96" s="1030">
        <f>INDEX('DEFAULT DATA'!$GN$9:$IS$41,AF$82,$E96)</f>
        <v>0</v>
      </c>
      <c r="AG96" s="1030">
        <f>INDEX('DEFAULT DATA'!$GN$9:$IS$41,AG$82,$E96)</f>
        <v>0</v>
      </c>
      <c r="AH96" s="1030">
        <f>INDEX('DEFAULT DATA'!$GN$9:$IS$41,AH$82,$E96)</f>
        <v>204.33650329188004</v>
      </c>
      <c r="AI96" s="1030">
        <f>INDEX('DEFAULT DATA'!$GN$9:$IS$41,AI$82,$E96)</f>
        <v>0</v>
      </c>
      <c r="AJ96" s="1030">
        <f>INDEX('DEFAULT DATA'!$GN$9:$IS$41,AJ$82,$E96)</f>
        <v>0</v>
      </c>
      <c r="AK96" s="1030">
        <f>INDEX('DEFAULT DATA'!$GN$9:$IS$41,AK$82,$E96)</f>
        <v>0</v>
      </c>
    </row>
    <row r="97" spans="5:37">
      <c r="E97" s="193">
        <f t="shared" si="6"/>
        <v>14</v>
      </c>
      <c r="F97" s="1030">
        <f>INDEX('DEFAULT DATA'!$GN$9:$IS$41,F$82,$E97)</f>
        <v>0</v>
      </c>
      <c r="G97" s="1030">
        <f>INDEX('DEFAULT DATA'!$GN$9:$IS$41,G$82,$E97)</f>
        <v>0</v>
      </c>
      <c r="H97" s="1030">
        <f>INDEX('DEFAULT DATA'!$GN$9:$IS$41,H$82,$E97)</f>
        <v>0</v>
      </c>
      <c r="I97" s="1030">
        <f>INDEX('DEFAULT DATA'!$GN$9:$IS$41,I$82,$E97)</f>
        <v>0</v>
      </c>
      <c r="J97" s="1030">
        <f>INDEX('DEFAULT DATA'!$GN$9:$IS$41,J$82,$E97)</f>
        <v>0</v>
      </c>
      <c r="K97" s="1030">
        <f>INDEX('DEFAULT DATA'!$GN$9:$IS$41,K$82,$E97)</f>
        <v>0</v>
      </c>
      <c r="L97" s="1030">
        <f>INDEX('DEFAULT DATA'!$GN$9:$IS$41,L$82,$E97)</f>
        <v>0</v>
      </c>
      <c r="M97" s="1030">
        <f>INDEX('DEFAULT DATA'!$GN$9:$IS$41,M$82,$E97)</f>
        <v>0</v>
      </c>
      <c r="N97" s="1030">
        <f>INDEX('DEFAULT DATA'!$GN$9:$IS$41,N$82,$E97)</f>
        <v>0</v>
      </c>
      <c r="O97" s="1030">
        <f>INDEX('DEFAULT DATA'!$GN$9:$IS$41,O$82,$E97)</f>
        <v>385.74502996311935</v>
      </c>
      <c r="P97" s="1030">
        <f>INDEX('DEFAULT DATA'!$GN$9:$IS$41,P$82,$E97)</f>
        <v>50.714644111533232</v>
      </c>
      <c r="Q97" s="1030">
        <f>INDEX('DEFAULT DATA'!$GN$9:$IS$41,Q$82,$E97)</f>
        <v>0</v>
      </c>
      <c r="R97" s="1030">
        <f>INDEX('DEFAULT DATA'!$GN$9:$IS$41,R$82,$E97)</f>
        <v>0</v>
      </c>
      <c r="S97" s="1030">
        <f>INDEX('DEFAULT DATA'!$GN$9:$IS$41,S$82,$E97)</f>
        <v>0</v>
      </c>
      <c r="T97" s="1030">
        <f>INDEX('DEFAULT DATA'!$GN$9:$IS$41,T$82,$E97)</f>
        <v>0</v>
      </c>
      <c r="U97" s="1030">
        <f>INDEX('DEFAULT DATA'!$GN$9:$IS$41,U$82,$E97)</f>
        <v>0</v>
      </c>
      <c r="V97" s="1030">
        <f>INDEX('DEFAULT DATA'!$GN$9:$IS$41,V$82,$E97)</f>
        <v>0</v>
      </c>
      <c r="W97" s="1030">
        <f>INDEX('DEFAULT DATA'!$GN$9:$IS$41,W$82,$E97)</f>
        <v>0</v>
      </c>
      <c r="X97" s="1030">
        <f>INDEX('DEFAULT DATA'!$GN$9:$IS$41,X$82,$E97)</f>
        <v>0</v>
      </c>
      <c r="Y97" s="1030">
        <f>INDEX('DEFAULT DATA'!$GN$9:$IS$41,Y$82,$E97)</f>
        <v>0</v>
      </c>
      <c r="Z97" s="1030">
        <f>INDEX('DEFAULT DATA'!$GN$9:$IS$41,Z$82,$E97)</f>
        <v>0</v>
      </c>
      <c r="AA97" s="1030">
        <f>INDEX('DEFAULT DATA'!$GN$9:$IS$41,AA$82,$E97)</f>
        <v>0</v>
      </c>
      <c r="AB97" s="1030">
        <f>INDEX('DEFAULT DATA'!$GN$9:$IS$41,AB$82,$E97)</f>
        <v>0</v>
      </c>
      <c r="AC97" s="1030">
        <f>INDEX('DEFAULT DATA'!$GN$9:$IS$41,AC$82,$E97)</f>
        <v>137.71568616590457</v>
      </c>
      <c r="AD97" s="1030">
        <f>INDEX('DEFAULT DATA'!$GN$9:$IS$41,AD$82,$E97)</f>
        <v>0</v>
      </c>
      <c r="AE97" s="1030">
        <f>INDEX('DEFAULT DATA'!$GN$9:$IS$41,AE$82,$E97)</f>
        <v>0</v>
      </c>
      <c r="AF97" s="1030">
        <f>INDEX('DEFAULT DATA'!$GN$9:$IS$41,AF$82,$E97)</f>
        <v>0</v>
      </c>
      <c r="AG97" s="1030">
        <f>INDEX('DEFAULT DATA'!$GN$9:$IS$41,AG$82,$E97)</f>
        <v>0</v>
      </c>
      <c r="AH97" s="1030">
        <f>INDEX('DEFAULT DATA'!$GN$9:$IS$41,AH$82,$E97)</f>
        <v>0</v>
      </c>
      <c r="AI97" s="1030">
        <f>INDEX('DEFAULT DATA'!$GN$9:$IS$41,AI$82,$E97)</f>
        <v>0</v>
      </c>
      <c r="AJ97" s="1030">
        <f>INDEX('DEFAULT DATA'!$GN$9:$IS$41,AJ$82,$E97)</f>
        <v>0</v>
      </c>
      <c r="AK97" s="1030">
        <f>INDEX('DEFAULT DATA'!$GN$9:$IS$41,AK$82,$E97)</f>
        <v>0</v>
      </c>
    </row>
    <row r="98" spans="5:37">
      <c r="E98" s="193">
        <f t="shared" si="6"/>
        <v>15</v>
      </c>
      <c r="F98" s="1030">
        <f>INDEX('DEFAULT DATA'!$GN$9:$IS$41,F$82,$E98)</f>
        <v>0</v>
      </c>
      <c r="G98" s="1030">
        <f>INDEX('DEFAULT DATA'!$GN$9:$IS$41,G$82,$E98)</f>
        <v>0</v>
      </c>
      <c r="H98" s="1030">
        <f>INDEX('DEFAULT DATA'!$GN$9:$IS$41,H$82,$E98)</f>
        <v>0</v>
      </c>
      <c r="I98" s="1030">
        <f>INDEX('DEFAULT DATA'!$GN$9:$IS$41,I$82,$E98)</f>
        <v>0</v>
      </c>
      <c r="J98" s="1030">
        <f>INDEX('DEFAULT DATA'!$GN$9:$IS$41,J$82,$E98)</f>
        <v>0</v>
      </c>
      <c r="K98" s="1030">
        <f>INDEX('DEFAULT DATA'!$GN$9:$IS$41,K$82,$E98)</f>
        <v>0</v>
      </c>
      <c r="L98" s="1030">
        <f>INDEX('DEFAULT DATA'!$GN$9:$IS$41,L$82,$E98)</f>
        <v>0</v>
      </c>
      <c r="M98" s="1030">
        <f>INDEX('DEFAULT DATA'!$GN$9:$IS$41,M$82,$E98)</f>
        <v>0</v>
      </c>
      <c r="N98" s="1030">
        <f>INDEX('DEFAULT DATA'!$GN$9:$IS$41,N$82,$E98)</f>
        <v>0</v>
      </c>
      <c r="O98" s="1030">
        <f>INDEX('DEFAULT DATA'!$GN$9:$IS$41,O$82,$E98)</f>
        <v>159.21933694537759</v>
      </c>
      <c r="P98" s="1030">
        <f>INDEX('DEFAULT DATA'!$GN$9:$IS$41,P$82,$E98)</f>
        <v>105.97089814350227</v>
      </c>
      <c r="Q98" s="1030">
        <f>INDEX('DEFAULT DATA'!$GN$9:$IS$41,Q$82,$E98)</f>
        <v>0</v>
      </c>
      <c r="R98" s="1030">
        <f>INDEX('DEFAULT DATA'!$GN$9:$IS$41,R$82,$E98)</f>
        <v>0</v>
      </c>
      <c r="S98" s="1030">
        <f>INDEX('DEFAULT DATA'!$GN$9:$IS$41,S$82,$E98)</f>
        <v>0</v>
      </c>
      <c r="T98" s="1030">
        <f>INDEX('DEFAULT DATA'!$GN$9:$IS$41,T$82,$E98)</f>
        <v>0</v>
      </c>
      <c r="U98" s="1030">
        <f>INDEX('DEFAULT DATA'!$GN$9:$IS$41,U$82,$E98)</f>
        <v>0</v>
      </c>
      <c r="V98" s="1030">
        <f>INDEX('DEFAULT DATA'!$GN$9:$IS$41,V$82,$E98)</f>
        <v>0</v>
      </c>
      <c r="W98" s="1030">
        <f>INDEX('DEFAULT DATA'!$GN$9:$IS$41,W$82,$E98)</f>
        <v>0</v>
      </c>
      <c r="X98" s="1030">
        <f>INDEX('DEFAULT DATA'!$GN$9:$IS$41,X$82,$E98)</f>
        <v>0</v>
      </c>
      <c r="Y98" s="1030">
        <f>INDEX('DEFAULT DATA'!$GN$9:$IS$41,Y$82,$E98)</f>
        <v>0</v>
      </c>
      <c r="Z98" s="1030">
        <f>INDEX('DEFAULT DATA'!$GN$9:$IS$41,Z$82,$E98)</f>
        <v>0</v>
      </c>
      <c r="AA98" s="1030">
        <f>INDEX('DEFAULT DATA'!$GN$9:$IS$41,AA$82,$E98)</f>
        <v>0</v>
      </c>
      <c r="AB98" s="1030">
        <f>INDEX('DEFAULT DATA'!$GN$9:$IS$41,AB$82,$E98)</f>
        <v>0</v>
      </c>
      <c r="AC98" s="1030">
        <f>INDEX('DEFAULT DATA'!$GN$9:$IS$41,AC$82,$E98)</f>
        <v>50.495751594165014</v>
      </c>
      <c r="AD98" s="1030">
        <f>INDEX('DEFAULT DATA'!$GN$9:$IS$41,AD$82,$E98)</f>
        <v>0</v>
      </c>
      <c r="AE98" s="1030">
        <f>INDEX('DEFAULT DATA'!$GN$9:$IS$41,AE$82,$E98)</f>
        <v>0</v>
      </c>
      <c r="AF98" s="1030">
        <f>INDEX('DEFAULT DATA'!$GN$9:$IS$41,AF$82,$E98)</f>
        <v>0</v>
      </c>
      <c r="AG98" s="1030">
        <f>INDEX('DEFAULT DATA'!$GN$9:$IS$41,AG$82,$E98)</f>
        <v>0</v>
      </c>
      <c r="AH98" s="1030">
        <f>INDEX('DEFAULT DATA'!$GN$9:$IS$41,AH$82,$E98)</f>
        <v>0</v>
      </c>
      <c r="AI98" s="1030">
        <f>INDEX('DEFAULT DATA'!$GN$9:$IS$41,AI$82,$E98)</f>
        <v>0</v>
      </c>
      <c r="AJ98" s="1030">
        <f>INDEX('DEFAULT DATA'!$GN$9:$IS$41,AJ$82,$E98)</f>
        <v>0</v>
      </c>
      <c r="AK98" s="1030">
        <f>INDEX('DEFAULT DATA'!$GN$9:$IS$41,AK$82,$E98)</f>
        <v>0</v>
      </c>
    </row>
    <row r="99" spans="5:37">
      <c r="E99" s="193">
        <f t="shared" si="6"/>
        <v>16</v>
      </c>
      <c r="F99" s="1030">
        <f>INDEX('DEFAULT DATA'!$GN$9:$IS$41,F$82,$E99)</f>
        <v>0</v>
      </c>
      <c r="G99" s="1030">
        <f>INDEX('DEFAULT DATA'!$GN$9:$IS$41,G$82,$E99)</f>
        <v>0</v>
      </c>
      <c r="H99" s="1030">
        <f>INDEX('DEFAULT DATA'!$GN$9:$IS$41,H$82,$E99)</f>
        <v>0</v>
      </c>
      <c r="I99" s="1030">
        <f>INDEX('DEFAULT DATA'!$GN$9:$IS$41,I$82,$E99)</f>
        <v>0</v>
      </c>
      <c r="J99" s="1030">
        <f>INDEX('DEFAULT DATA'!$GN$9:$IS$41,J$82,$E99)</f>
        <v>0</v>
      </c>
      <c r="K99" s="1030">
        <f>INDEX('DEFAULT DATA'!$GN$9:$IS$41,K$82,$E99)</f>
        <v>0</v>
      </c>
      <c r="L99" s="1030">
        <f>INDEX('DEFAULT DATA'!$GN$9:$IS$41,L$82,$E99)</f>
        <v>0</v>
      </c>
      <c r="M99" s="1030">
        <f>INDEX('DEFAULT DATA'!$GN$9:$IS$41,M$82,$E99)</f>
        <v>0</v>
      </c>
      <c r="N99" s="1030">
        <f>INDEX('DEFAULT DATA'!$GN$9:$IS$41,N$82,$E99)</f>
        <v>0</v>
      </c>
      <c r="O99" s="1030">
        <f>INDEX('DEFAULT DATA'!$GN$9:$IS$41,O$82,$E99)</f>
        <v>83.228289766901923</v>
      </c>
      <c r="P99" s="1030">
        <f>INDEX('DEFAULT DATA'!$GN$9:$IS$41,P$82,$E99)</f>
        <v>31.538957780804246</v>
      </c>
      <c r="Q99" s="1030">
        <f>INDEX('DEFAULT DATA'!$GN$9:$IS$41,Q$82,$E99)</f>
        <v>0</v>
      </c>
      <c r="R99" s="1030">
        <f>INDEX('DEFAULT DATA'!$GN$9:$IS$41,R$82,$E99)</f>
        <v>0</v>
      </c>
      <c r="S99" s="1030">
        <f>INDEX('DEFAULT DATA'!$GN$9:$IS$41,S$82,$E99)</f>
        <v>0</v>
      </c>
      <c r="T99" s="1030">
        <f>INDEX('DEFAULT DATA'!$GN$9:$IS$41,T$82,$E99)</f>
        <v>0</v>
      </c>
      <c r="U99" s="1030">
        <f>INDEX('DEFAULT DATA'!$GN$9:$IS$41,U$82,$E99)</f>
        <v>0</v>
      </c>
      <c r="V99" s="1030">
        <f>INDEX('DEFAULT DATA'!$GN$9:$IS$41,V$82,$E99)</f>
        <v>0</v>
      </c>
      <c r="W99" s="1030">
        <f>INDEX('DEFAULT DATA'!$GN$9:$IS$41,W$82,$E99)</f>
        <v>0</v>
      </c>
      <c r="X99" s="1030">
        <f>INDEX('DEFAULT DATA'!$GN$9:$IS$41,X$82,$E99)</f>
        <v>0</v>
      </c>
      <c r="Y99" s="1030">
        <f>INDEX('DEFAULT DATA'!$GN$9:$IS$41,Y$82,$E99)</f>
        <v>0</v>
      </c>
      <c r="Z99" s="1030">
        <f>INDEX('DEFAULT DATA'!$GN$9:$IS$41,Z$82,$E99)</f>
        <v>0</v>
      </c>
      <c r="AA99" s="1030">
        <f>INDEX('DEFAULT DATA'!$GN$9:$IS$41,AA$82,$E99)</f>
        <v>0</v>
      </c>
      <c r="AB99" s="1030">
        <f>INDEX('DEFAULT DATA'!$GN$9:$IS$41,AB$82,$E99)</f>
        <v>0</v>
      </c>
      <c r="AC99" s="1030">
        <f>INDEX('DEFAULT DATA'!$GN$9:$IS$41,AC$82,$E99)</f>
        <v>312.15555530938377</v>
      </c>
      <c r="AD99" s="1030">
        <f>INDEX('DEFAULT DATA'!$GN$9:$IS$41,AD$82,$E99)</f>
        <v>0</v>
      </c>
      <c r="AE99" s="1030">
        <f>INDEX('DEFAULT DATA'!$GN$9:$IS$41,AE$82,$E99)</f>
        <v>0</v>
      </c>
      <c r="AF99" s="1030">
        <f>INDEX('DEFAULT DATA'!$GN$9:$IS$41,AF$82,$E99)</f>
        <v>0</v>
      </c>
      <c r="AG99" s="1030">
        <f>INDEX('DEFAULT DATA'!$GN$9:$IS$41,AG$82,$E99)</f>
        <v>0</v>
      </c>
      <c r="AH99" s="1030">
        <f>INDEX('DEFAULT DATA'!$GN$9:$IS$41,AH$82,$E99)</f>
        <v>0</v>
      </c>
      <c r="AI99" s="1030">
        <f>INDEX('DEFAULT DATA'!$GN$9:$IS$41,AI$82,$E99)</f>
        <v>0</v>
      </c>
      <c r="AJ99" s="1030">
        <f>INDEX('DEFAULT DATA'!$GN$9:$IS$41,AJ$82,$E99)</f>
        <v>0</v>
      </c>
      <c r="AK99" s="1030">
        <f>INDEX('DEFAULT DATA'!$GN$9:$IS$41,AK$82,$E99)</f>
        <v>0</v>
      </c>
    </row>
    <row r="100" spans="5:37">
      <c r="E100" s="193">
        <f t="shared" si="6"/>
        <v>17</v>
      </c>
      <c r="F100" s="1030">
        <f>INDEX('DEFAULT DATA'!$GN$9:$IS$41,F$82,$E100)</f>
        <v>0</v>
      </c>
      <c r="G100" s="1030">
        <f>INDEX('DEFAULT DATA'!$GN$9:$IS$41,G$82,$E100)</f>
        <v>0</v>
      </c>
      <c r="H100" s="1030">
        <f>INDEX('DEFAULT DATA'!$GN$9:$IS$41,H$82,$E100)</f>
        <v>0</v>
      </c>
      <c r="I100" s="1030">
        <f>INDEX('DEFAULT DATA'!$GN$9:$IS$41,I$82,$E100)</f>
        <v>0</v>
      </c>
      <c r="J100" s="1030">
        <f>INDEX('DEFAULT DATA'!$GN$9:$IS$41,J$82,$E100)</f>
        <v>0</v>
      </c>
      <c r="K100" s="1030">
        <f>INDEX('DEFAULT DATA'!$GN$9:$IS$41,K$82,$E100)</f>
        <v>0</v>
      </c>
      <c r="L100" s="1030">
        <f>INDEX('DEFAULT DATA'!$GN$9:$IS$41,L$82,$E100)</f>
        <v>0</v>
      </c>
      <c r="M100" s="1030">
        <f>INDEX('DEFAULT DATA'!$GN$9:$IS$41,M$82,$E100)</f>
        <v>0</v>
      </c>
      <c r="N100" s="1030">
        <f>INDEX('DEFAULT DATA'!$GN$9:$IS$41,N$82,$E100)</f>
        <v>0</v>
      </c>
      <c r="O100" s="1030">
        <f>INDEX('DEFAULT DATA'!$GN$9:$IS$41,O$82,$E100)</f>
        <v>405.28558495187036</v>
      </c>
      <c r="P100" s="1030">
        <f>INDEX('DEFAULT DATA'!$GN$9:$IS$41,P$82,$E100)</f>
        <v>189.23374668482549</v>
      </c>
      <c r="Q100" s="1030">
        <f>INDEX('DEFAULT DATA'!$GN$9:$IS$41,Q$82,$E100)</f>
        <v>0</v>
      </c>
      <c r="R100" s="1030">
        <f>INDEX('DEFAULT DATA'!$GN$9:$IS$41,R$82,$E100)</f>
        <v>0</v>
      </c>
      <c r="S100" s="1030">
        <f>INDEX('DEFAULT DATA'!$GN$9:$IS$41,S$82,$E100)</f>
        <v>0</v>
      </c>
      <c r="T100" s="1030">
        <f>INDEX('DEFAULT DATA'!$GN$9:$IS$41,T$82,$E100)</f>
        <v>0</v>
      </c>
      <c r="U100" s="1030">
        <f>INDEX('DEFAULT DATA'!$GN$9:$IS$41,U$82,$E100)</f>
        <v>0</v>
      </c>
      <c r="V100" s="1030">
        <f>INDEX('DEFAULT DATA'!$GN$9:$IS$41,V$82,$E100)</f>
        <v>0</v>
      </c>
      <c r="W100" s="1030">
        <f>INDEX('DEFAULT DATA'!$GN$9:$IS$41,W$82,$E100)</f>
        <v>0</v>
      </c>
      <c r="X100" s="1030">
        <f>INDEX('DEFAULT DATA'!$GN$9:$IS$41,X$82,$E100)</f>
        <v>0</v>
      </c>
      <c r="Y100" s="1030">
        <f>INDEX('DEFAULT DATA'!$GN$9:$IS$41,Y$82,$E100)</f>
        <v>0</v>
      </c>
      <c r="Z100" s="1030">
        <f>INDEX('DEFAULT DATA'!$GN$9:$IS$41,Z$82,$E100)</f>
        <v>0</v>
      </c>
      <c r="AA100" s="1030">
        <f>INDEX('DEFAULT DATA'!$GN$9:$IS$41,AA$82,$E100)</f>
        <v>0</v>
      </c>
      <c r="AB100" s="1030">
        <f>INDEX('DEFAULT DATA'!$GN$9:$IS$41,AB$82,$E100)</f>
        <v>0</v>
      </c>
      <c r="AC100" s="1030">
        <f>INDEX('DEFAULT DATA'!$GN$9:$IS$41,AC$82,$E100)</f>
        <v>192.8019606322664</v>
      </c>
      <c r="AD100" s="1030">
        <f>INDEX('DEFAULT DATA'!$GN$9:$IS$41,AD$82,$E100)</f>
        <v>0</v>
      </c>
      <c r="AE100" s="1030">
        <f>INDEX('DEFAULT DATA'!$GN$9:$IS$41,AE$82,$E100)</f>
        <v>0</v>
      </c>
      <c r="AF100" s="1030">
        <f>INDEX('DEFAULT DATA'!$GN$9:$IS$41,AF$82,$E100)</f>
        <v>0</v>
      </c>
      <c r="AG100" s="1030">
        <f>INDEX('DEFAULT DATA'!$GN$9:$IS$41,AG$82,$E100)</f>
        <v>0</v>
      </c>
      <c r="AH100" s="1030">
        <f>INDEX('DEFAULT DATA'!$GN$9:$IS$41,AH$82,$E100)</f>
        <v>0</v>
      </c>
      <c r="AI100" s="1030">
        <f>INDEX('DEFAULT DATA'!$GN$9:$IS$41,AI$82,$E100)</f>
        <v>0</v>
      </c>
      <c r="AJ100" s="1030">
        <f>INDEX('DEFAULT DATA'!$GN$9:$IS$41,AJ$82,$E100)</f>
        <v>0</v>
      </c>
      <c r="AK100" s="1030">
        <f>INDEX('DEFAULT DATA'!$GN$9:$IS$41,AK$82,$E100)</f>
        <v>0</v>
      </c>
    </row>
    <row r="101" spans="5:37">
      <c r="E101" s="193">
        <f t="shared" si="6"/>
        <v>18</v>
      </c>
      <c r="F101" s="1030">
        <f>INDEX('DEFAULT DATA'!$GN$9:$IS$41,F$82,$E101)</f>
        <v>0</v>
      </c>
      <c r="G101" s="1030">
        <f>INDEX('DEFAULT DATA'!$GN$9:$IS$41,G$82,$E101)</f>
        <v>0</v>
      </c>
      <c r="H101" s="1030">
        <f>INDEX('DEFAULT DATA'!$GN$9:$IS$41,H$82,$E101)</f>
        <v>0</v>
      </c>
      <c r="I101" s="1030">
        <f>INDEX('DEFAULT DATA'!$GN$9:$IS$41,I$82,$E101)</f>
        <v>0</v>
      </c>
      <c r="J101" s="1030">
        <f>INDEX('DEFAULT DATA'!$GN$9:$IS$41,J$82,$E101)</f>
        <v>0</v>
      </c>
      <c r="K101" s="1030">
        <f>INDEX('DEFAULT DATA'!$GN$9:$IS$41,K$82,$E101)</f>
        <v>0</v>
      </c>
      <c r="L101" s="1030">
        <f>INDEX('DEFAULT DATA'!$GN$9:$IS$41,L$82,$E101)</f>
        <v>0</v>
      </c>
      <c r="M101" s="1030">
        <f>INDEX('DEFAULT DATA'!$GN$9:$IS$41,M$82,$E101)</f>
        <v>0</v>
      </c>
      <c r="N101" s="1030">
        <f>INDEX('DEFAULT DATA'!$GN$9:$IS$41,N$82,$E101)</f>
        <v>0</v>
      </c>
      <c r="O101" s="1030">
        <f>INDEX('DEFAULT DATA'!$GN$9:$IS$41,O$82,$E101)</f>
        <v>117.24332993250532</v>
      </c>
      <c r="P101" s="1030">
        <f>INDEX('DEFAULT DATA'!$GN$9:$IS$41,P$82,$E101)</f>
        <v>334.81757580101782</v>
      </c>
      <c r="Q101" s="1030">
        <f>INDEX('DEFAULT DATA'!$GN$9:$IS$41,Q$82,$E101)</f>
        <v>0</v>
      </c>
      <c r="R101" s="1030">
        <f>INDEX('DEFAULT DATA'!$GN$9:$IS$41,R$82,$E101)</f>
        <v>0</v>
      </c>
      <c r="S101" s="1030">
        <f>INDEX('DEFAULT DATA'!$GN$9:$IS$41,S$82,$E101)</f>
        <v>0</v>
      </c>
      <c r="T101" s="1030">
        <f>INDEX('DEFAULT DATA'!$GN$9:$IS$41,T$82,$E101)</f>
        <v>0</v>
      </c>
      <c r="U101" s="1030">
        <f>INDEX('DEFAULT DATA'!$GN$9:$IS$41,U$82,$E101)</f>
        <v>0</v>
      </c>
      <c r="V101" s="1030">
        <f>INDEX('DEFAULT DATA'!$GN$9:$IS$41,V$82,$E101)</f>
        <v>0</v>
      </c>
      <c r="W101" s="1030">
        <f>INDEX('DEFAULT DATA'!$GN$9:$IS$41,W$82,$E101)</f>
        <v>0</v>
      </c>
      <c r="X101" s="1030">
        <f>INDEX('DEFAULT DATA'!$GN$9:$IS$41,X$82,$E101)</f>
        <v>0</v>
      </c>
      <c r="Y101" s="1030">
        <f>INDEX('DEFAULT DATA'!$GN$9:$IS$41,Y$82,$E101)</f>
        <v>0</v>
      </c>
      <c r="Z101" s="1030">
        <f>INDEX('DEFAULT DATA'!$GN$9:$IS$41,Z$82,$E101)</f>
        <v>0</v>
      </c>
      <c r="AA101" s="1030">
        <f>INDEX('DEFAULT DATA'!$GN$9:$IS$41,AA$82,$E101)</f>
        <v>0</v>
      </c>
      <c r="AB101" s="1030">
        <f>INDEX('DEFAULT DATA'!$GN$9:$IS$41,AB$82,$E101)</f>
        <v>0</v>
      </c>
      <c r="AC101" s="1030">
        <f>INDEX('DEFAULT DATA'!$GN$9:$IS$41,AC$82,$E101)</f>
        <v>0</v>
      </c>
      <c r="AD101" s="1030">
        <f>INDEX('DEFAULT DATA'!$GN$9:$IS$41,AD$82,$E101)</f>
        <v>0</v>
      </c>
      <c r="AE101" s="1030">
        <f>INDEX('DEFAULT DATA'!$GN$9:$IS$41,AE$82,$E101)</f>
        <v>0</v>
      </c>
      <c r="AF101" s="1030">
        <f>INDEX('DEFAULT DATA'!$GN$9:$IS$41,AF$82,$E101)</f>
        <v>0</v>
      </c>
      <c r="AG101" s="1030">
        <f>INDEX('DEFAULT DATA'!$GN$9:$IS$41,AG$82,$E101)</f>
        <v>0</v>
      </c>
      <c r="AH101" s="1030">
        <f>INDEX('DEFAULT DATA'!$GN$9:$IS$41,AH$82,$E101)</f>
        <v>0</v>
      </c>
      <c r="AI101" s="1030">
        <f>INDEX('DEFAULT DATA'!$GN$9:$IS$41,AI$82,$E101)</f>
        <v>0</v>
      </c>
      <c r="AJ101" s="1030">
        <f>INDEX('DEFAULT DATA'!$GN$9:$IS$41,AJ$82,$E101)</f>
        <v>0</v>
      </c>
      <c r="AK101" s="1030">
        <f>INDEX('DEFAULT DATA'!$GN$9:$IS$41,AK$82,$E101)</f>
        <v>0</v>
      </c>
    </row>
    <row r="102" spans="5:37">
      <c r="E102" s="193">
        <f t="shared" si="6"/>
        <v>19</v>
      </c>
      <c r="F102" s="1030">
        <f>INDEX('DEFAULT DATA'!$GN$9:$IS$41,F$82,$E102)</f>
        <v>0</v>
      </c>
      <c r="G102" s="1030">
        <f>INDEX('DEFAULT DATA'!$GN$9:$IS$41,G$82,$E102)</f>
        <v>0</v>
      </c>
      <c r="H102" s="1030">
        <f>INDEX('DEFAULT DATA'!$GN$9:$IS$41,H$82,$E102)</f>
        <v>0</v>
      </c>
      <c r="I102" s="1030">
        <f>INDEX('DEFAULT DATA'!$GN$9:$IS$41,I$82,$E102)</f>
        <v>0</v>
      </c>
      <c r="J102" s="1030">
        <f>INDEX('DEFAULT DATA'!$GN$9:$IS$41,J$82,$E102)</f>
        <v>0</v>
      </c>
      <c r="K102" s="1030">
        <f>INDEX('DEFAULT DATA'!$GN$9:$IS$41,K$82,$E102)</f>
        <v>0</v>
      </c>
      <c r="L102" s="1030">
        <f>INDEX('DEFAULT DATA'!$GN$9:$IS$41,L$82,$E102)</f>
        <v>0</v>
      </c>
      <c r="M102" s="1030">
        <f>INDEX('DEFAULT DATA'!$GN$9:$IS$41,M$82,$E102)</f>
        <v>0</v>
      </c>
      <c r="N102" s="1030">
        <f>INDEX('DEFAULT DATA'!$GN$9:$IS$41,N$82,$E102)</f>
        <v>0</v>
      </c>
      <c r="O102" s="1030">
        <f>INDEX('DEFAULT DATA'!$GN$9:$IS$41,O$82,$E102)</f>
        <v>80.333392731531418</v>
      </c>
      <c r="P102" s="1030">
        <f>INDEX('DEFAULT DATA'!$GN$9:$IS$41,P$82,$E102)</f>
        <v>110.26019640169166</v>
      </c>
      <c r="Q102" s="1030">
        <f>INDEX('DEFAULT DATA'!$GN$9:$IS$41,Q$82,$E102)</f>
        <v>0</v>
      </c>
      <c r="R102" s="1030">
        <f>INDEX('DEFAULT DATA'!$GN$9:$IS$41,R$82,$E102)</f>
        <v>0</v>
      </c>
      <c r="S102" s="1030">
        <f>INDEX('DEFAULT DATA'!$GN$9:$IS$41,S$82,$E102)</f>
        <v>0</v>
      </c>
      <c r="T102" s="1030">
        <f>INDEX('DEFAULT DATA'!$GN$9:$IS$41,T$82,$E102)</f>
        <v>0</v>
      </c>
      <c r="U102" s="1030">
        <f>INDEX('DEFAULT DATA'!$GN$9:$IS$41,U$82,$E102)</f>
        <v>0</v>
      </c>
      <c r="V102" s="1030">
        <f>INDEX('DEFAULT DATA'!$GN$9:$IS$41,V$82,$E102)</f>
        <v>0</v>
      </c>
      <c r="W102" s="1030">
        <f>INDEX('DEFAULT DATA'!$GN$9:$IS$41,W$82,$E102)</f>
        <v>0</v>
      </c>
      <c r="X102" s="1030">
        <f>INDEX('DEFAULT DATA'!$GN$9:$IS$41,X$82,$E102)</f>
        <v>0</v>
      </c>
      <c r="Y102" s="1030">
        <f>INDEX('DEFAULT DATA'!$GN$9:$IS$41,Y$82,$E102)</f>
        <v>0</v>
      </c>
      <c r="Z102" s="1030">
        <f>INDEX('DEFAULT DATA'!$GN$9:$IS$41,Z$82,$E102)</f>
        <v>0</v>
      </c>
      <c r="AA102" s="1030">
        <f>INDEX('DEFAULT DATA'!$GN$9:$IS$41,AA$82,$E102)</f>
        <v>0</v>
      </c>
      <c r="AB102" s="1030">
        <f>INDEX('DEFAULT DATA'!$GN$9:$IS$41,AB$82,$E102)</f>
        <v>0</v>
      </c>
      <c r="AC102" s="1030">
        <f>INDEX('DEFAULT DATA'!$GN$9:$IS$41,AC$82,$E102)</f>
        <v>0</v>
      </c>
      <c r="AD102" s="1030">
        <f>INDEX('DEFAULT DATA'!$GN$9:$IS$41,AD$82,$E102)</f>
        <v>0</v>
      </c>
      <c r="AE102" s="1030">
        <f>INDEX('DEFAULT DATA'!$GN$9:$IS$41,AE$82,$E102)</f>
        <v>0</v>
      </c>
      <c r="AF102" s="1030">
        <f>INDEX('DEFAULT DATA'!$GN$9:$IS$41,AF$82,$E102)</f>
        <v>0</v>
      </c>
      <c r="AG102" s="1030">
        <f>INDEX('DEFAULT DATA'!$GN$9:$IS$41,AG$82,$E102)</f>
        <v>0</v>
      </c>
      <c r="AH102" s="1030">
        <f>INDEX('DEFAULT DATA'!$GN$9:$IS$41,AH$82,$E102)</f>
        <v>0</v>
      </c>
      <c r="AI102" s="1030">
        <f>INDEX('DEFAULT DATA'!$GN$9:$IS$41,AI$82,$E102)</f>
        <v>0</v>
      </c>
      <c r="AJ102" s="1030">
        <f>INDEX('DEFAULT DATA'!$GN$9:$IS$41,AJ$82,$E102)</f>
        <v>0</v>
      </c>
      <c r="AK102" s="1030">
        <f>INDEX('DEFAULT DATA'!$GN$9:$IS$41,AK$82,$E102)</f>
        <v>0</v>
      </c>
    </row>
    <row r="103" spans="5:37">
      <c r="E103" s="193">
        <f t="shared" si="6"/>
        <v>20</v>
      </c>
      <c r="F103" s="1030">
        <f>INDEX('DEFAULT DATA'!$GN$9:$IS$41,F$82,$E103)</f>
        <v>0</v>
      </c>
      <c r="G103" s="1030">
        <f>INDEX('DEFAULT DATA'!$GN$9:$IS$41,G$82,$E103)</f>
        <v>0</v>
      </c>
      <c r="H103" s="1030">
        <f>INDEX('DEFAULT DATA'!$GN$9:$IS$41,H$82,$E103)</f>
        <v>0</v>
      </c>
      <c r="I103" s="1030">
        <f>INDEX('DEFAULT DATA'!$GN$9:$IS$41,I$82,$E103)</f>
        <v>0</v>
      </c>
      <c r="J103" s="1030">
        <f>INDEX('DEFAULT DATA'!$GN$9:$IS$41,J$82,$E103)</f>
        <v>0</v>
      </c>
      <c r="K103" s="1030">
        <f>INDEX('DEFAULT DATA'!$GN$9:$IS$41,K$82,$E103)</f>
        <v>0</v>
      </c>
      <c r="L103" s="1030">
        <f>INDEX('DEFAULT DATA'!$GN$9:$IS$41,L$82,$E103)</f>
        <v>0</v>
      </c>
      <c r="M103" s="1030">
        <f>INDEX('DEFAULT DATA'!$GN$9:$IS$41,M$82,$E103)</f>
        <v>0</v>
      </c>
      <c r="N103" s="1030">
        <f>INDEX('DEFAULT DATA'!$GN$9:$IS$41,N$82,$E103)</f>
        <v>0</v>
      </c>
      <c r="O103" s="1030">
        <f>INDEX('DEFAULT DATA'!$GN$9:$IS$41,O$82,$E103)</f>
        <v>303.96418871390267</v>
      </c>
      <c r="P103" s="1030">
        <f>INDEX('DEFAULT DATA'!$GN$9:$IS$41,P$82,$E103)</f>
        <v>172.83348863880727</v>
      </c>
      <c r="Q103" s="1030">
        <f>INDEX('DEFAULT DATA'!$GN$9:$IS$41,Q$82,$E103)</f>
        <v>0</v>
      </c>
      <c r="R103" s="1030">
        <f>INDEX('DEFAULT DATA'!$GN$9:$IS$41,R$82,$E103)</f>
        <v>0</v>
      </c>
      <c r="S103" s="1030">
        <f>INDEX('DEFAULT DATA'!$GN$9:$IS$41,S$82,$E103)</f>
        <v>0</v>
      </c>
      <c r="T103" s="1030">
        <f>INDEX('DEFAULT DATA'!$GN$9:$IS$41,T$82,$E103)</f>
        <v>0</v>
      </c>
      <c r="U103" s="1030">
        <f>INDEX('DEFAULT DATA'!$GN$9:$IS$41,U$82,$E103)</f>
        <v>0</v>
      </c>
      <c r="V103" s="1030">
        <f>INDEX('DEFAULT DATA'!$GN$9:$IS$41,V$82,$E103)</f>
        <v>0</v>
      </c>
      <c r="W103" s="1030">
        <f>INDEX('DEFAULT DATA'!$GN$9:$IS$41,W$82,$E103)</f>
        <v>0</v>
      </c>
      <c r="X103" s="1030">
        <f>INDEX('DEFAULT DATA'!$GN$9:$IS$41,X$82,$E103)</f>
        <v>0</v>
      </c>
      <c r="Y103" s="1030">
        <f>INDEX('DEFAULT DATA'!$GN$9:$IS$41,Y$82,$E103)</f>
        <v>0</v>
      </c>
      <c r="Z103" s="1030">
        <f>INDEX('DEFAULT DATA'!$GN$9:$IS$41,Z$82,$E103)</f>
        <v>0</v>
      </c>
      <c r="AA103" s="1030">
        <f>INDEX('DEFAULT DATA'!$GN$9:$IS$41,AA$82,$E103)</f>
        <v>0</v>
      </c>
      <c r="AB103" s="1030">
        <f>INDEX('DEFAULT DATA'!$GN$9:$IS$41,AB$82,$E103)</f>
        <v>0</v>
      </c>
      <c r="AC103" s="1030">
        <f>INDEX('DEFAULT DATA'!$GN$9:$IS$41,AC$82,$E103)</f>
        <v>0</v>
      </c>
      <c r="AD103" s="1030">
        <f>INDEX('DEFAULT DATA'!$GN$9:$IS$41,AD$82,$E103)</f>
        <v>0</v>
      </c>
      <c r="AE103" s="1030">
        <f>INDEX('DEFAULT DATA'!$GN$9:$IS$41,AE$82,$E103)</f>
        <v>0</v>
      </c>
      <c r="AF103" s="1030">
        <f>INDEX('DEFAULT DATA'!$GN$9:$IS$41,AF$82,$E103)</f>
        <v>0</v>
      </c>
      <c r="AG103" s="1030">
        <f>INDEX('DEFAULT DATA'!$GN$9:$IS$41,AG$82,$E103)</f>
        <v>0</v>
      </c>
      <c r="AH103" s="1030">
        <f>INDEX('DEFAULT DATA'!$GN$9:$IS$41,AH$82,$E103)</f>
        <v>0</v>
      </c>
      <c r="AI103" s="1030">
        <f>INDEX('DEFAULT DATA'!$GN$9:$IS$41,AI$82,$E103)</f>
        <v>0</v>
      </c>
      <c r="AJ103" s="1030">
        <f>INDEX('DEFAULT DATA'!$GN$9:$IS$41,AJ$82,$E103)</f>
        <v>0</v>
      </c>
      <c r="AK103" s="1030">
        <f>INDEX('DEFAULT DATA'!$GN$9:$IS$41,AK$82,$E103)</f>
        <v>0</v>
      </c>
    </row>
    <row r="104" spans="5:37">
      <c r="E104" s="193">
        <f t="shared" si="6"/>
        <v>21</v>
      </c>
      <c r="F104" s="1030">
        <f>INDEX('DEFAULT DATA'!$GN$9:$IS$41,F$82,$E104)</f>
        <v>0</v>
      </c>
      <c r="G104" s="1030">
        <f>INDEX('DEFAULT DATA'!$GN$9:$IS$41,G$82,$E104)</f>
        <v>0</v>
      </c>
      <c r="H104" s="1030">
        <f>INDEX('DEFAULT DATA'!$GN$9:$IS$41,H$82,$E104)</f>
        <v>0</v>
      </c>
      <c r="I104" s="1030">
        <f>INDEX('DEFAULT DATA'!$GN$9:$IS$41,I$82,$E104)</f>
        <v>0</v>
      </c>
      <c r="J104" s="1030">
        <f>INDEX('DEFAULT DATA'!$GN$9:$IS$41,J$82,$E104)</f>
        <v>0</v>
      </c>
      <c r="K104" s="1030">
        <f>INDEX('DEFAULT DATA'!$GN$9:$IS$41,K$82,$E104)</f>
        <v>0</v>
      </c>
      <c r="L104" s="1030">
        <f>INDEX('DEFAULT DATA'!$GN$9:$IS$41,L$82,$E104)</f>
        <v>0</v>
      </c>
      <c r="M104" s="1030">
        <f>INDEX('DEFAULT DATA'!$GN$9:$IS$41,M$82,$E104)</f>
        <v>0</v>
      </c>
      <c r="N104" s="1030">
        <f>INDEX('DEFAULT DATA'!$GN$9:$IS$41,N$82,$E104)</f>
        <v>0</v>
      </c>
      <c r="O104" s="1030">
        <f>INDEX('DEFAULT DATA'!$GN$9:$IS$41,O$82,$E104)</f>
        <v>125.92802103861683</v>
      </c>
      <c r="P104" s="1030">
        <f>INDEX('DEFAULT DATA'!$GN$9:$IS$41,P$82,$E104)</f>
        <v>196.80309655221851</v>
      </c>
      <c r="Q104" s="1030">
        <f>INDEX('DEFAULT DATA'!$GN$9:$IS$41,Q$82,$E104)</f>
        <v>0</v>
      </c>
      <c r="R104" s="1030">
        <f>INDEX('DEFAULT DATA'!$GN$9:$IS$41,R$82,$E104)</f>
        <v>0</v>
      </c>
      <c r="S104" s="1030">
        <f>INDEX('DEFAULT DATA'!$GN$9:$IS$41,S$82,$E104)</f>
        <v>0</v>
      </c>
      <c r="T104" s="1030">
        <f>INDEX('DEFAULT DATA'!$GN$9:$IS$41,T$82,$E104)</f>
        <v>0</v>
      </c>
      <c r="U104" s="1030">
        <f>INDEX('DEFAULT DATA'!$GN$9:$IS$41,U$82,$E104)</f>
        <v>0</v>
      </c>
      <c r="V104" s="1030">
        <f>INDEX('DEFAULT DATA'!$GN$9:$IS$41,V$82,$E104)</f>
        <v>0</v>
      </c>
      <c r="W104" s="1030">
        <f>INDEX('DEFAULT DATA'!$GN$9:$IS$41,W$82,$E104)</f>
        <v>0</v>
      </c>
      <c r="X104" s="1030">
        <f>INDEX('DEFAULT DATA'!$GN$9:$IS$41,X$82,$E104)</f>
        <v>0</v>
      </c>
      <c r="Y104" s="1030">
        <f>INDEX('DEFAULT DATA'!$GN$9:$IS$41,Y$82,$E104)</f>
        <v>0</v>
      </c>
      <c r="Z104" s="1030">
        <f>INDEX('DEFAULT DATA'!$GN$9:$IS$41,Z$82,$E104)</f>
        <v>0</v>
      </c>
      <c r="AA104" s="1030">
        <f>INDEX('DEFAULT DATA'!$GN$9:$IS$41,AA$82,$E104)</f>
        <v>0</v>
      </c>
      <c r="AB104" s="1030">
        <f>INDEX('DEFAULT DATA'!$GN$9:$IS$41,AB$82,$E104)</f>
        <v>0</v>
      </c>
      <c r="AC104" s="1030">
        <f>INDEX('DEFAULT DATA'!$GN$9:$IS$41,AC$82,$E104)</f>
        <v>0</v>
      </c>
      <c r="AD104" s="1030">
        <f>INDEX('DEFAULT DATA'!$GN$9:$IS$41,AD$82,$E104)</f>
        <v>0</v>
      </c>
      <c r="AE104" s="1030">
        <f>INDEX('DEFAULT DATA'!$GN$9:$IS$41,AE$82,$E104)</f>
        <v>0</v>
      </c>
      <c r="AF104" s="1030">
        <f>INDEX('DEFAULT DATA'!$GN$9:$IS$41,AF$82,$E104)</f>
        <v>0</v>
      </c>
      <c r="AG104" s="1030">
        <f>INDEX('DEFAULT DATA'!$GN$9:$IS$41,AG$82,$E104)</f>
        <v>0</v>
      </c>
      <c r="AH104" s="1030">
        <f>INDEX('DEFAULT DATA'!$GN$9:$IS$41,AH$82,$E104)</f>
        <v>0</v>
      </c>
      <c r="AI104" s="1030">
        <f>INDEX('DEFAULT DATA'!$GN$9:$IS$41,AI$82,$E104)</f>
        <v>0</v>
      </c>
      <c r="AJ104" s="1030">
        <f>INDEX('DEFAULT DATA'!$GN$9:$IS$41,AJ$82,$E104)</f>
        <v>0</v>
      </c>
      <c r="AK104" s="1030">
        <f>INDEX('DEFAULT DATA'!$GN$9:$IS$41,AK$82,$E104)</f>
        <v>0</v>
      </c>
    </row>
    <row r="105" spans="5:37">
      <c r="E105" s="193">
        <f t="shared" si="6"/>
        <v>22</v>
      </c>
      <c r="F105" s="1030">
        <f>INDEX('DEFAULT DATA'!$GN$9:$IS$41,F$82,$E105)</f>
        <v>0</v>
      </c>
      <c r="G105" s="1030">
        <f>INDEX('DEFAULT DATA'!$GN$9:$IS$41,G$82,$E105)</f>
        <v>0</v>
      </c>
      <c r="H105" s="1030">
        <f>INDEX('DEFAULT DATA'!$GN$9:$IS$41,H$82,$E105)</f>
        <v>0</v>
      </c>
      <c r="I105" s="1030">
        <f>INDEX('DEFAULT DATA'!$GN$9:$IS$41,I$82,$E105)</f>
        <v>0</v>
      </c>
      <c r="J105" s="1030">
        <f>INDEX('DEFAULT DATA'!$GN$9:$IS$41,J$82,$E105)</f>
        <v>0</v>
      </c>
      <c r="K105" s="1030">
        <f>INDEX('DEFAULT DATA'!$GN$9:$IS$41,K$82,$E105)</f>
        <v>0</v>
      </c>
      <c r="L105" s="1030">
        <f>INDEX('DEFAULT DATA'!$GN$9:$IS$41,L$82,$E105)</f>
        <v>0</v>
      </c>
      <c r="M105" s="1030">
        <f>INDEX('DEFAULT DATA'!$GN$9:$IS$41,M$82,$E105)</f>
        <v>0</v>
      </c>
      <c r="N105" s="1030">
        <f>INDEX('DEFAULT DATA'!$GN$9:$IS$41,N$82,$E105)</f>
        <v>0</v>
      </c>
      <c r="O105" s="1030">
        <f>INDEX('DEFAULT DATA'!$GN$9:$IS$41,O$82,$E105)</f>
        <v>212.05120784088928</v>
      </c>
      <c r="P105" s="1030">
        <f>INDEX('DEFAULT DATA'!$GN$9:$IS$41,P$82,$E105)</f>
        <v>114.04487133538815</v>
      </c>
      <c r="Q105" s="1030">
        <f>INDEX('DEFAULT DATA'!$GN$9:$IS$41,Q$82,$E105)</f>
        <v>0</v>
      </c>
      <c r="R105" s="1030">
        <f>INDEX('DEFAULT DATA'!$GN$9:$IS$41,R$82,$E105)</f>
        <v>0</v>
      </c>
      <c r="S105" s="1030">
        <f>INDEX('DEFAULT DATA'!$GN$9:$IS$41,S$82,$E105)</f>
        <v>0</v>
      </c>
      <c r="T105" s="1030">
        <f>INDEX('DEFAULT DATA'!$GN$9:$IS$41,T$82,$E105)</f>
        <v>0</v>
      </c>
      <c r="U105" s="1030">
        <f>INDEX('DEFAULT DATA'!$GN$9:$IS$41,U$82,$E105)</f>
        <v>0</v>
      </c>
      <c r="V105" s="1030">
        <f>INDEX('DEFAULT DATA'!$GN$9:$IS$41,V$82,$E105)</f>
        <v>0</v>
      </c>
      <c r="W105" s="1030">
        <f>INDEX('DEFAULT DATA'!$GN$9:$IS$41,W$82,$E105)</f>
        <v>0</v>
      </c>
      <c r="X105" s="1030">
        <f>INDEX('DEFAULT DATA'!$GN$9:$IS$41,X$82,$E105)</f>
        <v>0</v>
      </c>
      <c r="Y105" s="1030">
        <f>INDEX('DEFAULT DATA'!$GN$9:$IS$41,Y$82,$E105)</f>
        <v>0</v>
      </c>
      <c r="Z105" s="1030">
        <f>INDEX('DEFAULT DATA'!$GN$9:$IS$41,Z$82,$E105)</f>
        <v>0</v>
      </c>
      <c r="AA105" s="1030">
        <f>INDEX('DEFAULT DATA'!$GN$9:$IS$41,AA$82,$E105)</f>
        <v>0</v>
      </c>
      <c r="AB105" s="1030">
        <f>INDEX('DEFAULT DATA'!$GN$9:$IS$41,AB$82,$E105)</f>
        <v>0</v>
      </c>
      <c r="AC105" s="1030">
        <f>INDEX('DEFAULT DATA'!$GN$9:$IS$41,AC$82,$E105)</f>
        <v>0</v>
      </c>
      <c r="AD105" s="1030">
        <f>INDEX('DEFAULT DATA'!$GN$9:$IS$41,AD$82,$E105)</f>
        <v>0</v>
      </c>
      <c r="AE105" s="1030">
        <f>INDEX('DEFAULT DATA'!$GN$9:$IS$41,AE$82,$E105)</f>
        <v>0</v>
      </c>
      <c r="AF105" s="1030">
        <f>INDEX('DEFAULT DATA'!$GN$9:$IS$41,AF$82,$E105)</f>
        <v>0</v>
      </c>
      <c r="AG105" s="1030">
        <f>INDEX('DEFAULT DATA'!$GN$9:$IS$41,AG$82,$E105)</f>
        <v>0</v>
      </c>
      <c r="AH105" s="1030">
        <f>INDEX('DEFAULT DATA'!$GN$9:$IS$41,AH$82,$E105)</f>
        <v>0</v>
      </c>
      <c r="AI105" s="1030">
        <f>INDEX('DEFAULT DATA'!$GN$9:$IS$41,AI$82,$E105)</f>
        <v>0</v>
      </c>
      <c r="AJ105" s="1030">
        <f>INDEX('DEFAULT DATA'!$GN$9:$IS$41,AJ$82,$E105)</f>
        <v>0</v>
      </c>
      <c r="AK105" s="1030">
        <f>INDEX('DEFAULT DATA'!$GN$9:$IS$41,AK$82,$E105)</f>
        <v>0</v>
      </c>
    </row>
    <row r="106" spans="5:37">
      <c r="E106" s="193">
        <f t="shared" si="6"/>
        <v>23</v>
      </c>
      <c r="F106" s="1030">
        <f>INDEX('DEFAULT DATA'!$GN$9:$IS$41,F$82,$E106)</f>
        <v>0</v>
      </c>
      <c r="G106" s="1030">
        <f>INDEX('DEFAULT DATA'!$GN$9:$IS$41,G$82,$E106)</f>
        <v>0</v>
      </c>
      <c r="H106" s="1030">
        <f>INDEX('DEFAULT DATA'!$GN$9:$IS$41,H$82,$E106)</f>
        <v>0</v>
      </c>
      <c r="I106" s="1030">
        <f>INDEX('DEFAULT DATA'!$GN$9:$IS$41,I$82,$E106)</f>
        <v>0</v>
      </c>
      <c r="J106" s="1030">
        <f>INDEX('DEFAULT DATA'!$GN$9:$IS$41,J$82,$E106)</f>
        <v>0</v>
      </c>
      <c r="K106" s="1030">
        <f>INDEX('DEFAULT DATA'!$GN$9:$IS$41,K$82,$E106)</f>
        <v>0</v>
      </c>
      <c r="L106" s="1030">
        <f>INDEX('DEFAULT DATA'!$GN$9:$IS$41,L$82,$E106)</f>
        <v>0</v>
      </c>
      <c r="M106" s="1030">
        <f>INDEX('DEFAULT DATA'!$GN$9:$IS$41,M$82,$E106)</f>
        <v>0</v>
      </c>
      <c r="N106" s="1030">
        <f>INDEX('DEFAULT DATA'!$GN$9:$IS$41,N$82,$E106)</f>
        <v>0</v>
      </c>
      <c r="O106" s="1030">
        <f>INDEX('DEFAULT DATA'!$GN$9:$IS$41,O$82,$E106)</f>
        <v>759.91047178475674</v>
      </c>
      <c r="P106" s="1030">
        <f>INDEX('DEFAULT DATA'!$GN$9:$IS$41,P$82,$E106)</f>
        <v>49.453085800301061</v>
      </c>
      <c r="Q106" s="1030">
        <f>INDEX('DEFAULT DATA'!$GN$9:$IS$41,Q$82,$E106)</f>
        <v>0</v>
      </c>
      <c r="R106" s="1030">
        <f>INDEX('DEFAULT DATA'!$GN$9:$IS$41,R$82,$E106)</f>
        <v>0</v>
      </c>
      <c r="S106" s="1030">
        <f>INDEX('DEFAULT DATA'!$GN$9:$IS$41,S$82,$E106)</f>
        <v>0</v>
      </c>
      <c r="T106" s="1030">
        <f>INDEX('DEFAULT DATA'!$GN$9:$IS$41,T$82,$E106)</f>
        <v>0</v>
      </c>
      <c r="U106" s="1030">
        <f>INDEX('DEFAULT DATA'!$GN$9:$IS$41,U$82,$E106)</f>
        <v>0</v>
      </c>
      <c r="V106" s="1030">
        <f>INDEX('DEFAULT DATA'!$GN$9:$IS$41,V$82,$E106)</f>
        <v>0</v>
      </c>
      <c r="W106" s="1030">
        <f>INDEX('DEFAULT DATA'!$GN$9:$IS$41,W$82,$E106)</f>
        <v>0</v>
      </c>
      <c r="X106" s="1030">
        <f>INDEX('DEFAULT DATA'!$GN$9:$IS$41,X$82,$E106)</f>
        <v>0</v>
      </c>
      <c r="Y106" s="1030">
        <f>INDEX('DEFAULT DATA'!$GN$9:$IS$41,Y$82,$E106)</f>
        <v>0</v>
      </c>
      <c r="Z106" s="1030">
        <f>INDEX('DEFAULT DATA'!$GN$9:$IS$41,Z$82,$E106)</f>
        <v>0</v>
      </c>
      <c r="AA106" s="1030">
        <f>INDEX('DEFAULT DATA'!$GN$9:$IS$41,AA$82,$E106)</f>
        <v>0</v>
      </c>
      <c r="AB106" s="1030">
        <f>INDEX('DEFAULT DATA'!$GN$9:$IS$41,AB$82,$E106)</f>
        <v>0</v>
      </c>
      <c r="AC106" s="1030">
        <f>INDEX('DEFAULT DATA'!$GN$9:$IS$41,AC$82,$E106)</f>
        <v>0</v>
      </c>
      <c r="AD106" s="1030">
        <f>INDEX('DEFAULT DATA'!$GN$9:$IS$41,AD$82,$E106)</f>
        <v>0</v>
      </c>
      <c r="AE106" s="1030">
        <f>INDEX('DEFAULT DATA'!$GN$9:$IS$41,AE$82,$E106)</f>
        <v>0</v>
      </c>
      <c r="AF106" s="1030">
        <f>INDEX('DEFAULT DATA'!$GN$9:$IS$41,AF$82,$E106)</f>
        <v>0</v>
      </c>
      <c r="AG106" s="1030">
        <f>INDEX('DEFAULT DATA'!$GN$9:$IS$41,AG$82,$E106)</f>
        <v>0</v>
      </c>
      <c r="AH106" s="1030">
        <f>INDEX('DEFAULT DATA'!$GN$9:$IS$41,AH$82,$E106)</f>
        <v>0</v>
      </c>
      <c r="AI106" s="1030">
        <f>INDEX('DEFAULT DATA'!$GN$9:$IS$41,AI$82,$E106)</f>
        <v>0</v>
      </c>
      <c r="AJ106" s="1030">
        <f>INDEX('DEFAULT DATA'!$GN$9:$IS$41,AJ$82,$E106)</f>
        <v>0</v>
      </c>
      <c r="AK106" s="1030">
        <f>INDEX('DEFAULT DATA'!$GN$9:$IS$41,AK$82,$E106)</f>
        <v>0</v>
      </c>
    </row>
    <row r="107" spans="5:37">
      <c r="E107" s="193">
        <f t="shared" si="6"/>
        <v>24</v>
      </c>
      <c r="F107" s="1030">
        <f>INDEX('DEFAULT DATA'!$GN$9:$IS$41,F$82,$E107)</f>
        <v>0</v>
      </c>
      <c r="G107" s="1030">
        <f>INDEX('DEFAULT DATA'!$GN$9:$IS$41,G$82,$E107)</f>
        <v>0</v>
      </c>
      <c r="H107" s="1030">
        <f>INDEX('DEFAULT DATA'!$GN$9:$IS$41,H$82,$E107)</f>
        <v>0</v>
      </c>
      <c r="I107" s="1030">
        <f>INDEX('DEFAULT DATA'!$GN$9:$IS$41,I$82,$E107)</f>
        <v>0</v>
      </c>
      <c r="J107" s="1030">
        <f>INDEX('DEFAULT DATA'!$GN$9:$IS$41,J$82,$E107)</f>
        <v>0</v>
      </c>
      <c r="K107" s="1030">
        <f>INDEX('DEFAULT DATA'!$GN$9:$IS$41,K$82,$E107)</f>
        <v>0</v>
      </c>
      <c r="L107" s="1030">
        <f>INDEX('DEFAULT DATA'!$GN$9:$IS$41,L$82,$E107)</f>
        <v>0</v>
      </c>
      <c r="M107" s="1030">
        <f>INDEX('DEFAULT DATA'!$GN$9:$IS$41,M$82,$E107)</f>
        <v>0</v>
      </c>
      <c r="N107" s="1030">
        <f>INDEX('DEFAULT DATA'!$GN$9:$IS$41,N$82,$E107)</f>
        <v>0</v>
      </c>
      <c r="O107" s="1030">
        <f>INDEX('DEFAULT DATA'!$GN$9:$IS$41,O$82,$E107)</f>
        <v>81.057116990374041</v>
      </c>
      <c r="P107" s="1030">
        <f>INDEX('DEFAULT DATA'!$GN$9:$IS$41,P$82,$E107)</f>
        <v>132.21131101713138</v>
      </c>
      <c r="Q107" s="1030">
        <f>INDEX('DEFAULT DATA'!$GN$9:$IS$41,Q$82,$E107)</f>
        <v>0</v>
      </c>
      <c r="R107" s="1030">
        <f>INDEX('DEFAULT DATA'!$GN$9:$IS$41,R$82,$E107)</f>
        <v>0</v>
      </c>
      <c r="S107" s="1030">
        <f>INDEX('DEFAULT DATA'!$GN$9:$IS$41,S$82,$E107)</f>
        <v>0</v>
      </c>
      <c r="T107" s="1030">
        <f>INDEX('DEFAULT DATA'!$GN$9:$IS$41,T$82,$E107)</f>
        <v>0</v>
      </c>
      <c r="U107" s="1030">
        <f>INDEX('DEFAULT DATA'!$GN$9:$IS$41,U$82,$E107)</f>
        <v>0</v>
      </c>
      <c r="V107" s="1030">
        <f>INDEX('DEFAULT DATA'!$GN$9:$IS$41,V$82,$E107)</f>
        <v>0</v>
      </c>
      <c r="W107" s="1030">
        <f>INDEX('DEFAULT DATA'!$GN$9:$IS$41,W$82,$E107)</f>
        <v>0</v>
      </c>
      <c r="X107" s="1030">
        <f>INDEX('DEFAULT DATA'!$GN$9:$IS$41,X$82,$E107)</f>
        <v>0</v>
      </c>
      <c r="Y107" s="1030">
        <f>INDEX('DEFAULT DATA'!$GN$9:$IS$41,Y$82,$E107)</f>
        <v>0</v>
      </c>
      <c r="Z107" s="1030">
        <f>INDEX('DEFAULT DATA'!$GN$9:$IS$41,Z$82,$E107)</f>
        <v>0</v>
      </c>
      <c r="AA107" s="1030">
        <f>INDEX('DEFAULT DATA'!$GN$9:$IS$41,AA$82,$E107)</f>
        <v>0</v>
      </c>
      <c r="AB107" s="1030">
        <f>INDEX('DEFAULT DATA'!$GN$9:$IS$41,AB$82,$E107)</f>
        <v>0</v>
      </c>
      <c r="AC107" s="1030">
        <f>INDEX('DEFAULT DATA'!$GN$9:$IS$41,AC$82,$E107)</f>
        <v>0</v>
      </c>
      <c r="AD107" s="1030">
        <f>INDEX('DEFAULT DATA'!$GN$9:$IS$41,AD$82,$E107)</f>
        <v>0</v>
      </c>
      <c r="AE107" s="1030">
        <f>INDEX('DEFAULT DATA'!$GN$9:$IS$41,AE$82,$E107)</f>
        <v>0</v>
      </c>
      <c r="AF107" s="1030">
        <f>INDEX('DEFAULT DATA'!$GN$9:$IS$41,AF$82,$E107)</f>
        <v>0</v>
      </c>
      <c r="AG107" s="1030">
        <f>INDEX('DEFAULT DATA'!$GN$9:$IS$41,AG$82,$E107)</f>
        <v>0</v>
      </c>
      <c r="AH107" s="1030">
        <f>INDEX('DEFAULT DATA'!$GN$9:$IS$41,AH$82,$E107)</f>
        <v>0</v>
      </c>
      <c r="AI107" s="1030">
        <f>INDEX('DEFAULT DATA'!$GN$9:$IS$41,AI$82,$E107)</f>
        <v>0</v>
      </c>
      <c r="AJ107" s="1030">
        <f>INDEX('DEFAULT DATA'!$GN$9:$IS$41,AJ$82,$E107)</f>
        <v>0</v>
      </c>
      <c r="AK107" s="1030">
        <f>INDEX('DEFAULT DATA'!$GN$9:$IS$41,AK$82,$E107)</f>
        <v>0</v>
      </c>
    </row>
    <row r="108" spans="5:37">
      <c r="E108" s="193">
        <f t="shared" si="6"/>
        <v>25</v>
      </c>
      <c r="F108" s="1030">
        <f>INDEX('DEFAULT DATA'!$GN$9:$IS$41,F$82,$E108)</f>
        <v>0</v>
      </c>
      <c r="G108" s="1030">
        <f>INDEX('DEFAULT DATA'!$GN$9:$IS$41,G$82,$E108)</f>
        <v>0</v>
      </c>
      <c r="H108" s="1030">
        <f>INDEX('DEFAULT DATA'!$GN$9:$IS$41,H$82,$E108)</f>
        <v>0</v>
      </c>
      <c r="I108" s="1030">
        <f>INDEX('DEFAULT DATA'!$GN$9:$IS$41,I$82,$E108)</f>
        <v>0</v>
      </c>
      <c r="J108" s="1030">
        <f>INDEX('DEFAULT DATA'!$GN$9:$IS$41,J$82,$E108)</f>
        <v>0</v>
      </c>
      <c r="K108" s="1030">
        <f>INDEX('DEFAULT DATA'!$GN$9:$IS$41,K$82,$E108)</f>
        <v>0</v>
      </c>
      <c r="L108" s="1030">
        <f>INDEX('DEFAULT DATA'!$GN$9:$IS$41,L$82,$E108)</f>
        <v>0</v>
      </c>
      <c r="M108" s="1030">
        <f>INDEX('DEFAULT DATA'!$GN$9:$IS$41,M$82,$E108)</f>
        <v>0</v>
      </c>
      <c r="N108" s="1030">
        <f>INDEX('DEFAULT DATA'!$GN$9:$IS$41,N$82,$E108)</f>
        <v>0</v>
      </c>
      <c r="O108" s="1030">
        <f>INDEX('DEFAULT DATA'!$GN$9:$IS$41,O$82,$E108)</f>
        <v>109.28236308523644</v>
      </c>
      <c r="P108" s="1030">
        <f>INDEX('DEFAULT DATA'!$GN$9:$IS$41,P$82,$E108)</f>
        <v>163.75026879793566</v>
      </c>
      <c r="Q108" s="1030">
        <f>INDEX('DEFAULT DATA'!$GN$9:$IS$41,Q$82,$E108)</f>
        <v>0</v>
      </c>
      <c r="R108" s="1030">
        <f>INDEX('DEFAULT DATA'!$GN$9:$IS$41,R$82,$E108)</f>
        <v>0</v>
      </c>
      <c r="S108" s="1030">
        <f>INDEX('DEFAULT DATA'!$GN$9:$IS$41,S$82,$E108)</f>
        <v>0</v>
      </c>
      <c r="T108" s="1030">
        <f>INDEX('DEFAULT DATA'!$GN$9:$IS$41,T$82,$E108)</f>
        <v>0</v>
      </c>
      <c r="U108" s="1030">
        <f>INDEX('DEFAULT DATA'!$GN$9:$IS$41,U$82,$E108)</f>
        <v>0</v>
      </c>
      <c r="V108" s="1030">
        <f>INDEX('DEFAULT DATA'!$GN$9:$IS$41,V$82,$E108)</f>
        <v>0</v>
      </c>
      <c r="W108" s="1030">
        <f>INDEX('DEFAULT DATA'!$GN$9:$IS$41,W$82,$E108)</f>
        <v>0</v>
      </c>
      <c r="X108" s="1030">
        <f>INDEX('DEFAULT DATA'!$GN$9:$IS$41,X$82,$E108)</f>
        <v>0</v>
      </c>
      <c r="Y108" s="1030">
        <f>INDEX('DEFAULT DATA'!$GN$9:$IS$41,Y$82,$E108)</f>
        <v>0</v>
      </c>
      <c r="Z108" s="1030">
        <f>INDEX('DEFAULT DATA'!$GN$9:$IS$41,Z$82,$E108)</f>
        <v>0</v>
      </c>
      <c r="AA108" s="1030">
        <f>INDEX('DEFAULT DATA'!$GN$9:$IS$41,AA$82,$E108)</f>
        <v>0</v>
      </c>
      <c r="AB108" s="1030">
        <f>INDEX('DEFAULT DATA'!$GN$9:$IS$41,AB$82,$E108)</f>
        <v>0</v>
      </c>
      <c r="AC108" s="1030">
        <f>INDEX('DEFAULT DATA'!$GN$9:$IS$41,AC$82,$E108)</f>
        <v>0</v>
      </c>
      <c r="AD108" s="1030">
        <f>INDEX('DEFAULT DATA'!$GN$9:$IS$41,AD$82,$E108)</f>
        <v>0</v>
      </c>
      <c r="AE108" s="1030">
        <f>INDEX('DEFAULT DATA'!$GN$9:$IS$41,AE$82,$E108)</f>
        <v>0</v>
      </c>
      <c r="AF108" s="1030">
        <f>INDEX('DEFAULT DATA'!$GN$9:$IS$41,AF$82,$E108)</f>
        <v>0</v>
      </c>
      <c r="AG108" s="1030">
        <f>INDEX('DEFAULT DATA'!$GN$9:$IS$41,AG$82,$E108)</f>
        <v>0</v>
      </c>
      <c r="AH108" s="1030">
        <f>INDEX('DEFAULT DATA'!$GN$9:$IS$41,AH$82,$E108)</f>
        <v>0</v>
      </c>
      <c r="AI108" s="1030">
        <f>INDEX('DEFAULT DATA'!$GN$9:$IS$41,AI$82,$E108)</f>
        <v>0</v>
      </c>
      <c r="AJ108" s="1030">
        <f>INDEX('DEFAULT DATA'!$GN$9:$IS$41,AJ$82,$E108)</f>
        <v>0</v>
      </c>
      <c r="AK108" s="1030">
        <f>INDEX('DEFAULT DATA'!$GN$9:$IS$41,AK$82,$E108)</f>
        <v>0</v>
      </c>
    </row>
    <row r="109" spans="5:37">
      <c r="E109" s="193">
        <f t="shared" si="6"/>
        <v>26</v>
      </c>
      <c r="F109" s="1030">
        <f>INDEX('DEFAULT DATA'!$GN$9:$IS$41,F$82,$E109)</f>
        <v>0</v>
      </c>
      <c r="G109" s="1030">
        <f>INDEX('DEFAULT DATA'!$GN$9:$IS$41,G$82,$E109)</f>
        <v>0</v>
      </c>
      <c r="H109" s="1030">
        <f>INDEX('DEFAULT DATA'!$GN$9:$IS$41,H$82,$E109)</f>
        <v>0</v>
      </c>
      <c r="I109" s="1030">
        <f>INDEX('DEFAULT DATA'!$GN$9:$IS$41,I$82,$E109)</f>
        <v>0</v>
      </c>
      <c r="J109" s="1030">
        <f>INDEX('DEFAULT DATA'!$GN$9:$IS$41,J$82,$E109)</f>
        <v>0</v>
      </c>
      <c r="K109" s="1030">
        <f>INDEX('DEFAULT DATA'!$GN$9:$IS$41,K$82,$E109)</f>
        <v>0</v>
      </c>
      <c r="L109" s="1030">
        <f>INDEX('DEFAULT DATA'!$GN$9:$IS$41,L$82,$E109)</f>
        <v>0</v>
      </c>
      <c r="M109" s="1030">
        <f>INDEX('DEFAULT DATA'!$GN$9:$IS$41,M$82,$E109)</f>
        <v>0</v>
      </c>
      <c r="N109" s="1030">
        <f>INDEX('DEFAULT DATA'!$GN$9:$IS$41,N$82,$E109)</f>
        <v>0</v>
      </c>
      <c r="O109" s="1030">
        <f>INDEX('DEFAULT DATA'!$GN$9:$IS$41,O$82,$E109)</f>
        <v>84.675738284587183</v>
      </c>
      <c r="P109" s="1030">
        <f>INDEX('DEFAULT DATA'!$GN$9:$IS$41,P$82,$E109)</f>
        <v>169.80574869185006</v>
      </c>
      <c r="Q109" s="1030">
        <f>INDEX('DEFAULT DATA'!$GN$9:$IS$41,Q$82,$E109)</f>
        <v>0</v>
      </c>
      <c r="R109" s="1030">
        <f>INDEX('DEFAULT DATA'!$GN$9:$IS$41,R$82,$E109)</f>
        <v>0</v>
      </c>
      <c r="S109" s="1030">
        <f>INDEX('DEFAULT DATA'!$GN$9:$IS$41,S$82,$E109)</f>
        <v>0</v>
      </c>
      <c r="T109" s="1030">
        <f>INDEX('DEFAULT DATA'!$GN$9:$IS$41,T$82,$E109)</f>
        <v>0</v>
      </c>
      <c r="U109" s="1030">
        <f>INDEX('DEFAULT DATA'!$GN$9:$IS$41,U$82,$E109)</f>
        <v>0</v>
      </c>
      <c r="V109" s="1030">
        <f>INDEX('DEFAULT DATA'!$GN$9:$IS$41,V$82,$E109)</f>
        <v>0</v>
      </c>
      <c r="W109" s="1030">
        <f>INDEX('DEFAULT DATA'!$GN$9:$IS$41,W$82,$E109)</f>
        <v>0</v>
      </c>
      <c r="X109" s="1030">
        <f>INDEX('DEFAULT DATA'!$GN$9:$IS$41,X$82,$E109)</f>
        <v>0</v>
      </c>
      <c r="Y109" s="1030">
        <f>INDEX('DEFAULT DATA'!$GN$9:$IS$41,Y$82,$E109)</f>
        <v>0</v>
      </c>
      <c r="Z109" s="1030">
        <f>INDEX('DEFAULT DATA'!$GN$9:$IS$41,Z$82,$E109)</f>
        <v>0</v>
      </c>
      <c r="AA109" s="1030">
        <f>INDEX('DEFAULT DATA'!$GN$9:$IS$41,AA$82,$E109)</f>
        <v>0</v>
      </c>
      <c r="AB109" s="1030">
        <f>INDEX('DEFAULT DATA'!$GN$9:$IS$41,AB$82,$E109)</f>
        <v>0</v>
      </c>
      <c r="AC109" s="1030">
        <f>INDEX('DEFAULT DATA'!$GN$9:$IS$41,AC$82,$E109)</f>
        <v>0</v>
      </c>
      <c r="AD109" s="1030">
        <f>INDEX('DEFAULT DATA'!$GN$9:$IS$41,AD$82,$E109)</f>
        <v>0</v>
      </c>
      <c r="AE109" s="1030">
        <f>INDEX('DEFAULT DATA'!$GN$9:$IS$41,AE$82,$E109)</f>
        <v>0</v>
      </c>
      <c r="AF109" s="1030">
        <f>INDEX('DEFAULT DATA'!$GN$9:$IS$41,AF$82,$E109)</f>
        <v>0</v>
      </c>
      <c r="AG109" s="1030">
        <f>INDEX('DEFAULT DATA'!$GN$9:$IS$41,AG$82,$E109)</f>
        <v>0</v>
      </c>
      <c r="AH109" s="1030">
        <f>INDEX('DEFAULT DATA'!$GN$9:$IS$41,AH$82,$E109)</f>
        <v>0</v>
      </c>
      <c r="AI109" s="1030">
        <f>INDEX('DEFAULT DATA'!$GN$9:$IS$41,AI$82,$E109)</f>
        <v>0</v>
      </c>
      <c r="AJ109" s="1030">
        <f>INDEX('DEFAULT DATA'!$GN$9:$IS$41,AJ$82,$E109)</f>
        <v>0</v>
      </c>
      <c r="AK109" s="1030">
        <f>INDEX('DEFAULT DATA'!$GN$9:$IS$41,AK$82,$E109)</f>
        <v>0</v>
      </c>
    </row>
    <row r="110" spans="5:37">
      <c r="E110" s="193">
        <f t="shared" si="6"/>
        <v>27</v>
      </c>
      <c r="F110" s="1030">
        <f>INDEX('DEFAULT DATA'!$GN$9:$IS$41,F$82,$E110)</f>
        <v>0</v>
      </c>
      <c r="G110" s="1030">
        <f>INDEX('DEFAULT DATA'!$GN$9:$IS$41,G$82,$E110)</f>
        <v>0</v>
      </c>
      <c r="H110" s="1030">
        <f>INDEX('DEFAULT DATA'!$GN$9:$IS$41,H$82,$E110)</f>
        <v>0</v>
      </c>
      <c r="I110" s="1030">
        <f>INDEX('DEFAULT DATA'!$GN$9:$IS$41,I$82,$E110)</f>
        <v>0</v>
      </c>
      <c r="J110" s="1030">
        <f>INDEX('DEFAULT DATA'!$GN$9:$IS$41,J$82,$E110)</f>
        <v>0</v>
      </c>
      <c r="K110" s="1030">
        <f>INDEX('DEFAULT DATA'!$GN$9:$IS$41,K$82,$E110)</f>
        <v>0</v>
      </c>
      <c r="L110" s="1030">
        <f>INDEX('DEFAULT DATA'!$GN$9:$IS$41,L$82,$E110)</f>
        <v>0</v>
      </c>
      <c r="M110" s="1030">
        <f>INDEX('DEFAULT DATA'!$GN$9:$IS$41,M$82,$E110)</f>
        <v>0</v>
      </c>
      <c r="N110" s="1030">
        <f>INDEX('DEFAULT DATA'!$GN$9:$IS$41,N$82,$E110)</f>
        <v>0</v>
      </c>
      <c r="O110" s="1030">
        <f>INDEX('DEFAULT DATA'!$GN$9:$IS$41,O$82,$E110)</f>
        <v>401.66696365765716</v>
      </c>
      <c r="P110" s="1030">
        <f>INDEX('DEFAULT DATA'!$GN$9:$IS$41,P$82,$E110)</f>
        <v>49.200774138054626</v>
      </c>
      <c r="Q110" s="1030">
        <f>INDEX('DEFAULT DATA'!$GN$9:$IS$41,Q$82,$E110)</f>
        <v>0</v>
      </c>
      <c r="R110" s="1030">
        <f>INDEX('DEFAULT DATA'!$GN$9:$IS$41,R$82,$E110)</f>
        <v>0</v>
      </c>
      <c r="S110" s="1030">
        <f>INDEX('DEFAULT DATA'!$GN$9:$IS$41,S$82,$E110)</f>
        <v>0</v>
      </c>
      <c r="T110" s="1030">
        <f>INDEX('DEFAULT DATA'!$GN$9:$IS$41,T$82,$E110)</f>
        <v>0</v>
      </c>
      <c r="U110" s="1030">
        <f>INDEX('DEFAULT DATA'!$GN$9:$IS$41,U$82,$E110)</f>
        <v>0</v>
      </c>
      <c r="V110" s="1030">
        <f>INDEX('DEFAULT DATA'!$GN$9:$IS$41,V$82,$E110)</f>
        <v>0</v>
      </c>
      <c r="W110" s="1030">
        <f>INDEX('DEFAULT DATA'!$GN$9:$IS$41,W$82,$E110)</f>
        <v>0</v>
      </c>
      <c r="X110" s="1030">
        <f>INDEX('DEFAULT DATA'!$GN$9:$IS$41,X$82,$E110)</f>
        <v>0</v>
      </c>
      <c r="Y110" s="1030">
        <f>INDEX('DEFAULT DATA'!$GN$9:$IS$41,Y$82,$E110)</f>
        <v>0</v>
      </c>
      <c r="Z110" s="1030">
        <f>INDEX('DEFAULT DATA'!$GN$9:$IS$41,Z$82,$E110)</f>
        <v>0</v>
      </c>
      <c r="AA110" s="1030">
        <f>INDEX('DEFAULT DATA'!$GN$9:$IS$41,AA$82,$E110)</f>
        <v>0</v>
      </c>
      <c r="AB110" s="1030">
        <f>INDEX('DEFAULT DATA'!$GN$9:$IS$41,AB$82,$E110)</f>
        <v>0</v>
      </c>
      <c r="AC110" s="1030">
        <f>INDEX('DEFAULT DATA'!$GN$9:$IS$41,AC$82,$E110)</f>
        <v>0</v>
      </c>
      <c r="AD110" s="1030">
        <f>INDEX('DEFAULT DATA'!$GN$9:$IS$41,AD$82,$E110)</f>
        <v>0</v>
      </c>
      <c r="AE110" s="1030">
        <f>INDEX('DEFAULT DATA'!$GN$9:$IS$41,AE$82,$E110)</f>
        <v>0</v>
      </c>
      <c r="AF110" s="1030">
        <f>INDEX('DEFAULT DATA'!$GN$9:$IS$41,AF$82,$E110)</f>
        <v>0</v>
      </c>
      <c r="AG110" s="1030">
        <f>INDEX('DEFAULT DATA'!$GN$9:$IS$41,AG$82,$E110)</f>
        <v>0</v>
      </c>
      <c r="AH110" s="1030">
        <f>INDEX('DEFAULT DATA'!$GN$9:$IS$41,AH$82,$E110)</f>
        <v>0</v>
      </c>
      <c r="AI110" s="1030">
        <f>INDEX('DEFAULT DATA'!$GN$9:$IS$41,AI$82,$E110)</f>
        <v>0</v>
      </c>
      <c r="AJ110" s="1030">
        <f>INDEX('DEFAULT DATA'!$GN$9:$IS$41,AJ$82,$E110)</f>
        <v>0</v>
      </c>
      <c r="AK110" s="1030">
        <f>INDEX('DEFAULT DATA'!$GN$9:$IS$41,AK$82,$E110)</f>
        <v>0</v>
      </c>
    </row>
    <row r="111" spans="5:37">
      <c r="E111" s="193">
        <f t="shared" si="6"/>
        <v>28</v>
      </c>
      <c r="F111" s="1030">
        <f>INDEX('DEFAULT DATA'!$GN$9:$IS$41,F$82,$E111)</f>
        <v>0</v>
      </c>
      <c r="G111" s="1030">
        <f>INDEX('DEFAULT DATA'!$GN$9:$IS$41,G$82,$E111)</f>
        <v>0</v>
      </c>
      <c r="H111" s="1030">
        <f>INDEX('DEFAULT DATA'!$GN$9:$IS$41,H$82,$E111)</f>
        <v>0</v>
      </c>
      <c r="I111" s="1030">
        <f>INDEX('DEFAULT DATA'!$GN$9:$IS$41,I$82,$E111)</f>
        <v>0</v>
      </c>
      <c r="J111" s="1030">
        <f>INDEX('DEFAULT DATA'!$GN$9:$IS$41,J$82,$E111)</f>
        <v>0</v>
      </c>
      <c r="K111" s="1030">
        <f>INDEX('DEFAULT DATA'!$GN$9:$IS$41,K$82,$E111)</f>
        <v>0</v>
      </c>
      <c r="L111" s="1030">
        <f>INDEX('DEFAULT DATA'!$GN$9:$IS$41,L$82,$E111)</f>
        <v>0</v>
      </c>
      <c r="M111" s="1030">
        <f>INDEX('DEFAULT DATA'!$GN$9:$IS$41,M$82,$E111)</f>
        <v>0</v>
      </c>
      <c r="N111" s="1030">
        <f>INDEX('DEFAULT DATA'!$GN$9:$IS$41,N$82,$E111)</f>
        <v>0</v>
      </c>
      <c r="O111" s="1030">
        <f>INDEX('DEFAULT DATA'!$GN$9:$IS$41,O$82,$E111)</f>
        <v>79.609668472688796</v>
      </c>
      <c r="P111" s="1030">
        <f>INDEX('DEFAULT DATA'!$GN$9:$IS$41,P$82,$E111)</f>
        <v>70.647265429001521</v>
      </c>
      <c r="Q111" s="1030">
        <f>INDEX('DEFAULT DATA'!$GN$9:$IS$41,Q$82,$E111)</f>
        <v>0</v>
      </c>
      <c r="R111" s="1030">
        <f>INDEX('DEFAULT DATA'!$GN$9:$IS$41,R$82,$E111)</f>
        <v>0</v>
      </c>
      <c r="S111" s="1030">
        <f>INDEX('DEFAULT DATA'!$GN$9:$IS$41,S$82,$E111)</f>
        <v>0</v>
      </c>
      <c r="T111" s="1030">
        <f>INDEX('DEFAULT DATA'!$GN$9:$IS$41,T$82,$E111)</f>
        <v>0</v>
      </c>
      <c r="U111" s="1030">
        <f>INDEX('DEFAULT DATA'!$GN$9:$IS$41,U$82,$E111)</f>
        <v>0</v>
      </c>
      <c r="V111" s="1030">
        <f>INDEX('DEFAULT DATA'!$GN$9:$IS$41,V$82,$E111)</f>
        <v>0</v>
      </c>
      <c r="W111" s="1030">
        <f>INDEX('DEFAULT DATA'!$GN$9:$IS$41,W$82,$E111)</f>
        <v>0</v>
      </c>
      <c r="X111" s="1030">
        <f>INDEX('DEFAULT DATA'!$GN$9:$IS$41,X$82,$E111)</f>
        <v>0</v>
      </c>
      <c r="Y111" s="1030">
        <f>INDEX('DEFAULT DATA'!$GN$9:$IS$41,Y$82,$E111)</f>
        <v>0</v>
      </c>
      <c r="Z111" s="1030">
        <f>INDEX('DEFAULT DATA'!$GN$9:$IS$41,Z$82,$E111)</f>
        <v>0</v>
      </c>
      <c r="AA111" s="1030">
        <f>INDEX('DEFAULT DATA'!$GN$9:$IS$41,AA$82,$E111)</f>
        <v>0</v>
      </c>
      <c r="AB111" s="1030">
        <f>INDEX('DEFAULT DATA'!$GN$9:$IS$41,AB$82,$E111)</f>
        <v>0</v>
      </c>
      <c r="AC111" s="1030">
        <f>INDEX('DEFAULT DATA'!$GN$9:$IS$41,AC$82,$E111)</f>
        <v>0</v>
      </c>
      <c r="AD111" s="1030">
        <f>INDEX('DEFAULT DATA'!$GN$9:$IS$41,AD$82,$E111)</f>
        <v>0</v>
      </c>
      <c r="AE111" s="1030">
        <f>INDEX('DEFAULT DATA'!$GN$9:$IS$41,AE$82,$E111)</f>
        <v>0</v>
      </c>
      <c r="AF111" s="1030">
        <f>INDEX('DEFAULT DATA'!$GN$9:$IS$41,AF$82,$E111)</f>
        <v>0</v>
      </c>
      <c r="AG111" s="1030">
        <f>INDEX('DEFAULT DATA'!$GN$9:$IS$41,AG$82,$E111)</f>
        <v>0</v>
      </c>
      <c r="AH111" s="1030">
        <f>INDEX('DEFAULT DATA'!$GN$9:$IS$41,AH$82,$E111)</f>
        <v>0</v>
      </c>
      <c r="AI111" s="1030">
        <f>INDEX('DEFAULT DATA'!$GN$9:$IS$41,AI$82,$E111)</f>
        <v>0</v>
      </c>
      <c r="AJ111" s="1030">
        <f>INDEX('DEFAULT DATA'!$GN$9:$IS$41,AJ$82,$E111)</f>
        <v>0</v>
      </c>
      <c r="AK111" s="1030">
        <f>INDEX('DEFAULT DATA'!$GN$9:$IS$41,AK$82,$E111)</f>
        <v>0</v>
      </c>
    </row>
    <row r="112" spans="5:37">
      <c r="E112" s="193">
        <f t="shared" si="6"/>
        <v>29</v>
      </c>
      <c r="F112" s="1030">
        <f>INDEX('DEFAULT DATA'!$GN$9:$IS$41,F$82,$E112)</f>
        <v>0</v>
      </c>
      <c r="G112" s="1030">
        <f>INDEX('DEFAULT DATA'!$GN$9:$IS$41,G$82,$E112)</f>
        <v>0</v>
      </c>
      <c r="H112" s="1030">
        <f>INDEX('DEFAULT DATA'!$GN$9:$IS$41,H$82,$E112)</f>
        <v>0</v>
      </c>
      <c r="I112" s="1030">
        <f>INDEX('DEFAULT DATA'!$GN$9:$IS$41,I$82,$E112)</f>
        <v>0</v>
      </c>
      <c r="J112" s="1030">
        <f>INDEX('DEFAULT DATA'!$GN$9:$IS$41,J$82,$E112)</f>
        <v>0</v>
      </c>
      <c r="K112" s="1030">
        <f>INDEX('DEFAULT DATA'!$GN$9:$IS$41,K$82,$E112)</f>
        <v>0</v>
      </c>
      <c r="L112" s="1030">
        <f>INDEX('DEFAULT DATA'!$GN$9:$IS$41,L$82,$E112)</f>
        <v>0</v>
      </c>
      <c r="M112" s="1030">
        <f>INDEX('DEFAULT DATA'!$GN$9:$IS$41,M$82,$E112)</f>
        <v>0</v>
      </c>
      <c r="N112" s="1030">
        <f>INDEX('DEFAULT DATA'!$GN$9:$IS$41,N$82,$E112)</f>
        <v>0</v>
      </c>
      <c r="O112" s="1030">
        <f>INDEX('DEFAULT DATA'!$GN$9:$IS$41,O$82,$E112)</f>
        <v>108.55863882639383</v>
      </c>
      <c r="P112" s="1030">
        <f>INDEX('DEFAULT DATA'!$GN$9:$IS$41,P$82,$E112)</f>
        <v>53.490072396243995</v>
      </c>
      <c r="Q112" s="1030">
        <f>INDEX('DEFAULT DATA'!$GN$9:$IS$41,Q$82,$E112)</f>
        <v>0</v>
      </c>
      <c r="R112" s="1030">
        <f>INDEX('DEFAULT DATA'!$GN$9:$IS$41,R$82,$E112)</f>
        <v>0</v>
      </c>
      <c r="S112" s="1030">
        <f>INDEX('DEFAULT DATA'!$GN$9:$IS$41,S$82,$E112)</f>
        <v>0</v>
      </c>
      <c r="T112" s="1030">
        <f>INDEX('DEFAULT DATA'!$GN$9:$IS$41,T$82,$E112)</f>
        <v>0</v>
      </c>
      <c r="U112" s="1030">
        <f>INDEX('DEFAULT DATA'!$GN$9:$IS$41,U$82,$E112)</f>
        <v>0</v>
      </c>
      <c r="V112" s="1030">
        <f>INDEX('DEFAULT DATA'!$GN$9:$IS$41,V$82,$E112)</f>
        <v>0</v>
      </c>
      <c r="W112" s="1030">
        <f>INDEX('DEFAULT DATA'!$GN$9:$IS$41,W$82,$E112)</f>
        <v>0</v>
      </c>
      <c r="X112" s="1030">
        <f>INDEX('DEFAULT DATA'!$GN$9:$IS$41,X$82,$E112)</f>
        <v>0</v>
      </c>
      <c r="Y112" s="1030">
        <f>INDEX('DEFAULT DATA'!$GN$9:$IS$41,Y$82,$E112)</f>
        <v>0</v>
      </c>
      <c r="Z112" s="1030">
        <f>INDEX('DEFAULT DATA'!$GN$9:$IS$41,Z$82,$E112)</f>
        <v>0</v>
      </c>
      <c r="AA112" s="1030">
        <f>INDEX('DEFAULT DATA'!$GN$9:$IS$41,AA$82,$E112)</f>
        <v>0</v>
      </c>
      <c r="AB112" s="1030">
        <f>INDEX('DEFAULT DATA'!$GN$9:$IS$41,AB$82,$E112)</f>
        <v>0</v>
      </c>
      <c r="AC112" s="1030">
        <f>INDEX('DEFAULT DATA'!$GN$9:$IS$41,AC$82,$E112)</f>
        <v>0</v>
      </c>
      <c r="AD112" s="1030">
        <f>INDEX('DEFAULT DATA'!$GN$9:$IS$41,AD$82,$E112)</f>
        <v>0</v>
      </c>
      <c r="AE112" s="1030">
        <f>INDEX('DEFAULT DATA'!$GN$9:$IS$41,AE$82,$E112)</f>
        <v>0</v>
      </c>
      <c r="AF112" s="1030">
        <f>INDEX('DEFAULT DATA'!$GN$9:$IS$41,AF$82,$E112)</f>
        <v>0</v>
      </c>
      <c r="AG112" s="1030">
        <f>INDEX('DEFAULT DATA'!$GN$9:$IS$41,AG$82,$E112)</f>
        <v>0</v>
      </c>
      <c r="AH112" s="1030">
        <f>INDEX('DEFAULT DATA'!$GN$9:$IS$41,AH$82,$E112)</f>
        <v>0</v>
      </c>
      <c r="AI112" s="1030">
        <f>INDEX('DEFAULT DATA'!$GN$9:$IS$41,AI$82,$E112)</f>
        <v>0</v>
      </c>
      <c r="AJ112" s="1030">
        <f>INDEX('DEFAULT DATA'!$GN$9:$IS$41,AJ$82,$E112)</f>
        <v>0</v>
      </c>
      <c r="AK112" s="1030">
        <f>INDEX('DEFAULT DATA'!$GN$9:$IS$41,AK$82,$E112)</f>
        <v>0</v>
      </c>
    </row>
    <row r="113" spans="5:37">
      <c r="E113" s="193">
        <f t="shared" si="6"/>
        <v>30</v>
      </c>
      <c r="F113" s="1030">
        <f>INDEX('DEFAULT DATA'!$GN$9:$IS$41,F$82,$E113)</f>
        <v>0</v>
      </c>
      <c r="G113" s="1030">
        <f>INDEX('DEFAULT DATA'!$GN$9:$IS$41,G$82,$E113)</f>
        <v>0</v>
      </c>
      <c r="H113" s="1030">
        <f>INDEX('DEFAULT DATA'!$GN$9:$IS$41,H$82,$E113)</f>
        <v>0</v>
      </c>
      <c r="I113" s="1030">
        <f>INDEX('DEFAULT DATA'!$GN$9:$IS$41,I$82,$E113)</f>
        <v>0</v>
      </c>
      <c r="J113" s="1030">
        <f>INDEX('DEFAULT DATA'!$GN$9:$IS$41,J$82,$E113)</f>
        <v>0</v>
      </c>
      <c r="K113" s="1030">
        <f>INDEX('DEFAULT DATA'!$GN$9:$IS$41,K$82,$E113)</f>
        <v>0</v>
      </c>
      <c r="L113" s="1030">
        <f>INDEX('DEFAULT DATA'!$GN$9:$IS$41,L$82,$E113)</f>
        <v>0</v>
      </c>
      <c r="M113" s="1030">
        <f>INDEX('DEFAULT DATA'!$GN$9:$IS$41,M$82,$E113)</f>
        <v>0</v>
      </c>
      <c r="N113" s="1030">
        <f>INDEX('DEFAULT DATA'!$GN$9:$IS$41,N$82,$E113)</f>
        <v>0</v>
      </c>
      <c r="O113" s="1030">
        <f>INDEX('DEFAULT DATA'!$GN$9:$IS$41,O$82,$E113)</f>
        <v>132.44153936820047</v>
      </c>
      <c r="P113" s="1030">
        <f>INDEX('DEFAULT DATA'!$GN$9:$IS$41,P$82,$E113)</f>
        <v>29.772776145079209</v>
      </c>
      <c r="Q113" s="1030">
        <f>INDEX('DEFAULT DATA'!$GN$9:$IS$41,Q$82,$E113)</f>
        <v>0</v>
      </c>
      <c r="R113" s="1030">
        <f>INDEX('DEFAULT DATA'!$GN$9:$IS$41,R$82,$E113)</f>
        <v>0</v>
      </c>
      <c r="S113" s="1030">
        <f>INDEX('DEFAULT DATA'!$GN$9:$IS$41,S$82,$E113)</f>
        <v>0</v>
      </c>
      <c r="T113" s="1030">
        <f>INDEX('DEFAULT DATA'!$GN$9:$IS$41,T$82,$E113)</f>
        <v>0</v>
      </c>
      <c r="U113" s="1030">
        <f>INDEX('DEFAULT DATA'!$GN$9:$IS$41,U$82,$E113)</f>
        <v>0</v>
      </c>
      <c r="V113" s="1030">
        <f>INDEX('DEFAULT DATA'!$GN$9:$IS$41,V$82,$E113)</f>
        <v>0</v>
      </c>
      <c r="W113" s="1030">
        <f>INDEX('DEFAULT DATA'!$GN$9:$IS$41,W$82,$E113)</f>
        <v>0</v>
      </c>
      <c r="X113" s="1030">
        <f>INDEX('DEFAULT DATA'!$GN$9:$IS$41,X$82,$E113)</f>
        <v>0</v>
      </c>
      <c r="Y113" s="1030">
        <f>INDEX('DEFAULT DATA'!$GN$9:$IS$41,Y$82,$E113)</f>
        <v>0</v>
      </c>
      <c r="Z113" s="1030">
        <f>INDEX('DEFAULT DATA'!$GN$9:$IS$41,Z$82,$E113)</f>
        <v>0</v>
      </c>
      <c r="AA113" s="1030">
        <f>INDEX('DEFAULT DATA'!$GN$9:$IS$41,AA$82,$E113)</f>
        <v>0</v>
      </c>
      <c r="AB113" s="1030">
        <f>INDEX('DEFAULT DATA'!$GN$9:$IS$41,AB$82,$E113)</f>
        <v>0</v>
      </c>
      <c r="AC113" s="1030">
        <f>INDEX('DEFAULT DATA'!$GN$9:$IS$41,AC$82,$E113)</f>
        <v>0</v>
      </c>
      <c r="AD113" s="1030">
        <f>INDEX('DEFAULT DATA'!$GN$9:$IS$41,AD$82,$E113)</f>
        <v>0</v>
      </c>
      <c r="AE113" s="1030">
        <f>INDEX('DEFAULT DATA'!$GN$9:$IS$41,AE$82,$E113)</f>
        <v>0</v>
      </c>
      <c r="AF113" s="1030">
        <f>INDEX('DEFAULT DATA'!$GN$9:$IS$41,AF$82,$E113)</f>
        <v>0</v>
      </c>
      <c r="AG113" s="1030">
        <f>INDEX('DEFAULT DATA'!$GN$9:$IS$41,AG$82,$E113)</f>
        <v>0</v>
      </c>
      <c r="AH113" s="1030">
        <f>INDEX('DEFAULT DATA'!$GN$9:$IS$41,AH$82,$E113)</f>
        <v>0</v>
      </c>
      <c r="AI113" s="1030">
        <f>INDEX('DEFAULT DATA'!$GN$9:$IS$41,AI$82,$E113)</f>
        <v>0</v>
      </c>
      <c r="AJ113" s="1030">
        <f>INDEX('DEFAULT DATA'!$GN$9:$IS$41,AJ$82,$E113)</f>
        <v>0</v>
      </c>
      <c r="AK113" s="1030">
        <f>INDEX('DEFAULT DATA'!$GN$9:$IS$41,AK$82,$E113)</f>
        <v>0</v>
      </c>
    </row>
    <row r="114" spans="5:37">
      <c r="E114" s="193">
        <f t="shared" si="6"/>
        <v>31</v>
      </c>
      <c r="F114" s="1030">
        <f>INDEX('DEFAULT DATA'!$GN$9:$IS$41,F$82,$E114)</f>
        <v>0</v>
      </c>
      <c r="G114" s="1030">
        <f>INDEX('DEFAULT DATA'!$GN$9:$IS$41,G$82,$E114)</f>
        <v>0</v>
      </c>
      <c r="H114" s="1030">
        <f>INDEX('DEFAULT DATA'!$GN$9:$IS$41,H$82,$E114)</f>
        <v>0</v>
      </c>
      <c r="I114" s="1030">
        <f>INDEX('DEFAULT DATA'!$GN$9:$IS$41,I$82,$E114)</f>
        <v>0</v>
      </c>
      <c r="J114" s="1030">
        <f>INDEX('DEFAULT DATA'!$GN$9:$IS$41,J$82,$E114)</f>
        <v>0</v>
      </c>
      <c r="K114" s="1030">
        <f>INDEX('DEFAULT DATA'!$GN$9:$IS$41,K$82,$E114)</f>
        <v>0</v>
      </c>
      <c r="L114" s="1030">
        <f>INDEX('DEFAULT DATA'!$GN$9:$IS$41,L$82,$E114)</f>
        <v>0</v>
      </c>
      <c r="M114" s="1030">
        <f>INDEX('DEFAULT DATA'!$GN$9:$IS$41,M$82,$E114)</f>
        <v>0</v>
      </c>
      <c r="N114" s="1030">
        <f>INDEX('DEFAULT DATA'!$GN$9:$IS$41,N$82,$E114)</f>
        <v>0</v>
      </c>
      <c r="O114" s="1030">
        <f>INDEX('DEFAULT DATA'!$GN$9:$IS$41,O$82,$E114)</f>
        <v>0</v>
      </c>
      <c r="P114" s="1030">
        <f>INDEX('DEFAULT DATA'!$GN$9:$IS$41,P$82,$E114)</f>
        <v>63.077915561608492</v>
      </c>
      <c r="Q114" s="1030">
        <f>INDEX('DEFAULT DATA'!$GN$9:$IS$41,Q$82,$E114)</f>
        <v>0</v>
      </c>
      <c r="R114" s="1030">
        <f>INDEX('DEFAULT DATA'!$GN$9:$IS$41,R$82,$E114)</f>
        <v>0</v>
      </c>
      <c r="S114" s="1030">
        <f>INDEX('DEFAULT DATA'!$GN$9:$IS$41,S$82,$E114)</f>
        <v>0</v>
      </c>
      <c r="T114" s="1030">
        <f>INDEX('DEFAULT DATA'!$GN$9:$IS$41,T$82,$E114)</f>
        <v>0</v>
      </c>
      <c r="U114" s="1030">
        <f>INDEX('DEFAULT DATA'!$GN$9:$IS$41,U$82,$E114)</f>
        <v>0</v>
      </c>
      <c r="V114" s="1030">
        <f>INDEX('DEFAULT DATA'!$GN$9:$IS$41,V$82,$E114)</f>
        <v>0</v>
      </c>
      <c r="W114" s="1030">
        <f>INDEX('DEFAULT DATA'!$GN$9:$IS$41,W$82,$E114)</f>
        <v>0</v>
      </c>
      <c r="X114" s="1030">
        <f>INDEX('DEFAULT DATA'!$GN$9:$IS$41,X$82,$E114)</f>
        <v>0</v>
      </c>
      <c r="Y114" s="1030">
        <f>INDEX('DEFAULT DATA'!$GN$9:$IS$41,Y$82,$E114)</f>
        <v>0</v>
      </c>
      <c r="Z114" s="1030">
        <f>INDEX('DEFAULT DATA'!$GN$9:$IS$41,Z$82,$E114)</f>
        <v>0</v>
      </c>
      <c r="AA114" s="1030">
        <f>INDEX('DEFAULT DATA'!$GN$9:$IS$41,AA$82,$E114)</f>
        <v>0</v>
      </c>
      <c r="AB114" s="1030">
        <f>INDEX('DEFAULT DATA'!$GN$9:$IS$41,AB$82,$E114)</f>
        <v>0</v>
      </c>
      <c r="AC114" s="1030">
        <f>INDEX('DEFAULT DATA'!$GN$9:$IS$41,AC$82,$E114)</f>
        <v>0</v>
      </c>
      <c r="AD114" s="1030">
        <f>INDEX('DEFAULT DATA'!$GN$9:$IS$41,AD$82,$E114)</f>
        <v>0</v>
      </c>
      <c r="AE114" s="1030">
        <f>INDEX('DEFAULT DATA'!$GN$9:$IS$41,AE$82,$E114)</f>
        <v>0</v>
      </c>
      <c r="AF114" s="1030">
        <f>INDEX('DEFAULT DATA'!$GN$9:$IS$41,AF$82,$E114)</f>
        <v>0</v>
      </c>
      <c r="AG114" s="1030">
        <f>INDEX('DEFAULT DATA'!$GN$9:$IS$41,AG$82,$E114)</f>
        <v>0</v>
      </c>
      <c r="AH114" s="1030">
        <f>INDEX('DEFAULT DATA'!$GN$9:$IS$41,AH$82,$E114)</f>
        <v>0</v>
      </c>
      <c r="AI114" s="1030">
        <f>INDEX('DEFAULT DATA'!$GN$9:$IS$41,AI$82,$E114)</f>
        <v>0</v>
      </c>
      <c r="AJ114" s="1030">
        <f>INDEX('DEFAULT DATA'!$GN$9:$IS$41,AJ$82,$E114)</f>
        <v>0</v>
      </c>
      <c r="AK114" s="1030">
        <f>INDEX('DEFAULT DATA'!$GN$9:$IS$41,AK$82,$E114)</f>
        <v>0</v>
      </c>
    </row>
    <row r="115" spans="5:37">
      <c r="E115" s="193">
        <f t="shared" si="6"/>
        <v>32</v>
      </c>
      <c r="F115" s="1030">
        <f>INDEX('DEFAULT DATA'!$GN$9:$IS$41,F$82,$E115)</f>
        <v>0</v>
      </c>
      <c r="G115" s="1030">
        <f>INDEX('DEFAULT DATA'!$GN$9:$IS$41,G$82,$E115)</f>
        <v>0</v>
      </c>
      <c r="H115" s="1030">
        <f>INDEX('DEFAULT DATA'!$GN$9:$IS$41,H$82,$E115)</f>
        <v>0</v>
      </c>
      <c r="I115" s="1030">
        <f>INDEX('DEFAULT DATA'!$GN$9:$IS$41,I$82,$E115)</f>
        <v>0</v>
      </c>
      <c r="J115" s="1030">
        <f>INDEX('DEFAULT DATA'!$GN$9:$IS$41,J$82,$E115)</f>
        <v>0</v>
      </c>
      <c r="K115" s="1030">
        <f>INDEX('DEFAULT DATA'!$GN$9:$IS$41,K$82,$E115)</f>
        <v>0</v>
      </c>
      <c r="L115" s="1030">
        <f>INDEX('DEFAULT DATA'!$GN$9:$IS$41,L$82,$E115)</f>
        <v>0</v>
      </c>
      <c r="M115" s="1030">
        <f>INDEX('DEFAULT DATA'!$GN$9:$IS$41,M$82,$E115)</f>
        <v>0</v>
      </c>
      <c r="N115" s="1030">
        <f>INDEX('DEFAULT DATA'!$GN$9:$IS$41,N$82,$E115)</f>
        <v>0</v>
      </c>
      <c r="O115" s="1030">
        <f>INDEX('DEFAULT DATA'!$GN$9:$IS$41,O$82,$E115)</f>
        <v>0</v>
      </c>
      <c r="P115" s="1030">
        <f>INDEX('DEFAULT DATA'!$GN$9:$IS$41,P$82,$E115)</f>
        <v>29.520464482832775</v>
      </c>
      <c r="Q115" s="1030">
        <f>INDEX('DEFAULT DATA'!$GN$9:$IS$41,Q$82,$E115)</f>
        <v>0</v>
      </c>
      <c r="R115" s="1030">
        <f>INDEX('DEFAULT DATA'!$GN$9:$IS$41,R$82,$E115)</f>
        <v>0</v>
      </c>
      <c r="S115" s="1030">
        <f>INDEX('DEFAULT DATA'!$GN$9:$IS$41,S$82,$E115)</f>
        <v>0</v>
      </c>
      <c r="T115" s="1030">
        <f>INDEX('DEFAULT DATA'!$GN$9:$IS$41,T$82,$E115)</f>
        <v>0</v>
      </c>
      <c r="U115" s="1030">
        <f>INDEX('DEFAULT DATA'!$GN$9:$IS$41,U$82,$E115)</f>
        <v>0</v>
      </c>
      <c r="V115" s="1030">
        <f>INDEX('DEFAULT DATA'!$GN$9:$IS$41,V$82,$E115)</f>
        <v>0</v>
      </c>
      <c r="W115" s="1030">
        <f>INDEX('DEFAULT DATA'!$GN$9:$IS$41,W$82,$E115)</f>
        <v>0</v>
      </c>
      <c r="X115" s="1030">
        <f>INDEX('DEFAULT DATA'!$GN$9:$IS$41,X$82,$E115)</f>
        <v>0</v>
      </c>
      <c r="Y115" s="1030">
        <f>INDEX('DEFAULT DATA'!$GN$9:$IS$41,Y$82,$E115)</f>
        <v>0</v>
      </c>
      <c r="Z115" s="1030">
        <f>INDEX('DEFAULT DATA'!$GN$9:$IS$41,Z$82,$E115)</f>
        <v>0</v>
      </c>
      <c r="AA115" s="1030">
        <f>INDEX('DEFAULT DATA'!$GN$9:$IS$41,AA$82,$E115)</f>
        <v>0</v>
      </c>
      <c r="AB115" s="1030">
        <f>INDEX('DEFAULT DATA'!$GN$9:$IS$41,AB$82,$E115)</f>
        <v>0</v>
      </c>
      <c r="AC115" s="1030">
        <f>INDEX('DEFAULT DATA'!$GN$9:$IS$41,AC$82,$E115)</f>
        <v>0</v>
      </c>
      <c r="AD115" s="1030">
        <f>INDEX('DEFAULT DATA'!$GN$9:$IS$41,AD$82,$E115)</f>
        <v>0</v>
      </c>
      <c r="AE115" s="1030">
        <f>INDEX('DEFAULT DATA'!$GN$9:$IS$41,AE$82,$E115)</f>
        <v>0</v>
      </c>
      <c r="AF115" s="1030">
        <f>INDEX('DEFAULT DATA'!$GN$9:$IS$41,AF$82,$E115)</f>
        <v>0</v>
      </c>
      <c r="AG115" s="1030">
        <f>INDEX('DEFAULT DATA'!$GN$9:$IS$41,AG$82,$E115)</f>
        <v>0</v>
      </c>
      <c r="AH115" s="1030">
        <f>INDEX('DEFAULT DATA'!$GN$9:$IS$41,AH$82,$E115)</f>
        <v>0</v>
      </c>
      <c r="AI115" s="1030">
        <f>INDEX('DEFAULT DATA'!$GN$9:$IS$41,AI$82,$E115)</f>
        <v>0</v>
      </c>
      <c r="AJ115" s="1030">
        <f>INDEX('DEFAULT DATA'!$GN$9:$IS$41,AJ$82,$E115)</f>
        <v>0</v>
      </c>
      <c r="AK115" s="1030">
        <f>INDEX('DEFAULT DATA'!$GN$9:$IS$41,AK$82,$E115)</f>
        <v>0</v>
      </c>
    </row>
    <row r="116" spans="5:37">
      <c r="E116" s="193">
        <f t="shared" si="6"/>
        <v>33</v>
      </c>
      <c r="F116" s="1030">
        <f>INDEX('DEFAULT DATA'!$GN$9:$IS$41,F$82,$E116)</f>
        <v>0</v>
      </c>
      <c r="G116" s="1030">
        <f>INDEX('DEFAULT DATA'!$GN$9:$IS$41,G$82,$E116)</f>
        <v>0</v>
      </c>
      <c r="H116" s="1030">
        <f>INDEX('DEFAULT DATA'!$GN$9:$IS$41,H$82,$E116)</f>
        <v>0</v>
      </c>
      <c r="I116" s="1030">
        <f>INDEX('DEFAULT DATA'!$GN$9:$IS$41,I$82,$E116)</f>
        <v>0</v>
      </c>
      <c r="J116" s="1030">
        <f>INDEX('DEFAULT DATA'!$GN$9:$IS$41,J$82,$E116)</f>
        <v>0</v>
      </c>
      <c r="K116" s="1030">
        <f>INDEX('DEFAULT DATA'!$GN$9:$IS$41,K$82,$E116)</f>
        <v>0</v>
      </c>
      <c r="L116" s="1030">
        <f>INDEX('DEFAULT DATA'!$GN$9:$IS$41,L$82,$E116)</f>
        <v>0</v>
      </c>
      <c r="M116" s="1030">
        <f>INDEX('DEFAULT DATA'!$GN$9:$IS$41,M$82,$E116)</f>
        <v>0</v>
      </c>
      <c r="N116" s="1030">
        <f>INDEX('DEFAULT DATA'!$GN$9:$IS$41,N$82,$E116)</f>
        <v>0</v>
      </c>
      <c r="O116" s="1030">
        <f>INDEX('DEFAULT DATA'!$GN$9:$IS$41,O$82,$E116)</f>
        <v>0</v>
      </c>
      <c r="P116" s="1030">
        <f>INDEX('DEFAULT DATA'!$GN$9:$IS$41,P$82,$E116)</f>
        <v>221.02501612787611</v>
      </c>
      <c r="Q116" s="1030">
        <f>INDEX('DEFAULT DATA'!$GN$9:$IS$41,Q$82,$E116)</f>
        <v>0</v>
      </c>
      <c r="R116" s="1030">
        <f>INDEX('DEFAULT DATA'!$GN$9:$IS$41,R$82,$E116)</f>
        <v>0</v>
      </c>
      <c r="S116" s="1030">
        <f>INDEX('DEFAULT DATA'!$GN$9:$IS$41,S$82,$E116)</f>
        <v>0</v>
      </c>
      <c r="T116" s="1030">
        <f>INDEX('DEFAULT DATA'!$GN$9:$IS$41,T$82,$E116)</f>
        <v>0</v>
      </c>
      <c r="U116" s="1030">
        <f>INDEX('DEFAULT DATA'!$GN$9:$IS$41,U$82,$E116)</f>
        <v>0</v>
      </c>
      <c r="V116" s="1030">
        <f>INDEX('DEFAULT DATA'!$GN$9:$IS$41,V$82,$E116)</f>
        <v>0</v>
      </c>
      <c r="W116" s="1030">
        <f>INDEX('DEFAULT DATA'!$GN$9:$IS$41,W$82,$E116)</f>
        <v>0</v>
      </c>
      <c r="X116" s="1030">
        <f>INDEX('DEFAULT DATA'!$GN$9:$IS$41,X$82,$E116)</f>
        <v>0</v>
      </c>
      <c r="Y116" s="1030">
        <f>INDEX('DEFAULT DATA'!$GN$9:$IS$41,Y$82,$E116)</f>
        <v>0</v>
      </c>
      <c r="Z116" s="1030">
        <f>INDEX('DEFAULT DATA'!$GN$9:$IS$41,Z$82,$E116)</f>
        <v>0</v>
      </c>
      <c r="AA116" s="1030">
        <f>INDEX('DEFAULT DATA'!$GN$9:$IS$41,AA$82,$E116)</f>
        <v>0</v>
      </c>
      <c r="AB116" s="1030">
        <f>INDEX('DEFAULT DATA'!$GN$9:$IS$41,AB$82,$E116)</f>
        <v>0</v>
      </c>
      <c r="AC116" s="1030">
        <f>INDEX('DEFAULT DATA'!$GN$9:$IS$41,AC$82,$E116)</f>
        <v>0</v>
      </c>
      <c r="AD116" s="1030">
        <f>INDEX('DEFAULT DATA'!$GN$9:$IS$41,AD$82,$E116)</f>
        <v>0</v>
      </c>
      <c r="AE116" s="1030">
        <f>INDEX('DEFAULT DATA'!$GN$9:$IS$41,AE$82,$E116)</f>
        <v>0</v>
      </c>
      <c r="AF116" s="1030">
        <f>INDEX('DEFAULT DATA'!$GN$9:$IS$41,AF$82,$E116)</f>
        <v>0</v>
      </c>
      <c r="AG116" s="1030">
        <f>INDEX('DEFAULT DATA'!$GN$9:$IS$41,AG$82,$E116)</f>
        <v>0</v>
      </c>
      <c r="AH116" s="1030">
        <f>INDEX('DEFAULT DATA'!$GN$9:$IS$41,AH$82,$E116)</f>
        <v>0</v>
      </c>
      <c r="AI116" s="1030">
        <f>INDEX('DEFAULT DATA'!$GN$9:$IS$41,AI$82,$E116)</f>
        <v>0</v>
      </c>
      <c r="AJ116" s="1030">
        <f>INDEX('DEFAULT DATA'!$GN$9:$IS$41,AJ$82,$E116)</f>
        <v>0</v>
      </c>
      <c r="AK116" s="1030">
        <f>INDEX('DEFAULT DATA'!$GN$9:$IS$41,AK$82,$E116)</f>
        <v>0</v>
      </c>
    </row>
    <row r="117" spans="5:37">
      <c r="E117" s="193">
        <f t="shared" si="6"/>
        <v>34</v>
      </c>
      <c r="F117" s="1030">
        <f>INDEX('DEFAULT DATA'!$GN$9:$IS$41,F$82,$E117)</f>
        <v>0</v>
      </c>
      <c r="G117" s="1030">
        <f>INDEX('DEFAULT DATA'!$GN$9:$IS$41,G$82,$E117)</f>
        <v>0</v>
      </c>
      <c r="H117" s="1030">
        <f>INDEX('DEFAULT DATA'!$GN$9:$IS$41,H$82,$E117)</f>
        <v>0</v>
      </c>
      <c r="I117" s="1030">
        <f>INDEX('DEFAULT DATA'!$GN$9:$IS$41,I$82,$E117)</f>
        <v>0</v>
      </c>
      <c r="J117" s="1030">
        <f>INDEX('DEFAULT DATA'!$GN$9:$IS$41,J$82,$E117)</f>
        <v>0</v>
      </c>
      <c r="K117" s="1030">
        <f>INDEX('DEFAULT DATA'!$GN$9:$IS$41,K$82,$E117)</f>
        <v>0</v>
      </c>
      <c r="L117" s="1030">
        <f>INDEX('DEFAULT DATA'!$GN$9:$IS$41,L$82,$E117)</f>
        <v>0</v>
      </c>
      <c r="M117" s="1030">
        <f>INDEX('DEFAULT DATA'!$GN$9:$IS$41,M$82,$E117)</f>
        <v>0</v>
      </c>
      <c r="N117" s="1030">
        <f>INDEX('DEFAULT DATA'!$GN$9:$IS$41,N$82,$E117)</f>
        <v>0</v>
      </c>
      <c r="O117" s="1030">
        <f>INDEX('DEFAULT DATA'!$GN$9:$IS$41,O$82,$E117)</f>
        <v>0</v>
      </c>
      <c r="P117" s="1030">
        <f>INDEX('DEFAULT DATA'!$GN$9:$IS$41,P$82,$E117)</f>
        <v>103.44778152103792</v>
      </c>
      <c r="Q117" s="1030">
        <f>INDEX('DEFAULT DATA'!$GN$9:$IS$41,Q$82,$E117)</f>
        <v>0</v>
      </c>
      <c r="R117" s="1030">
        <f>INDEX('DEFAULT DATA'!$GN$9:$IS$41,R$82,$E117)</f>
        <v>0</v>
      </c>
      <c r="S117" s="1030">
        <f>INDEX('DEFAULT DATA'!$GN$9:$IS$41,S$82,$E117)</f>
        <v>0</v>
      </c>
      <c r="T117" s="1030">
        <f>INDEX('DEFAULT DATA'!$GN$9:$IS$41,T$82,$E117)</f>
        <v>0</v>
      </c>
      <c r="U117" s="1030">
        <f>INDEX('DEFAULT DATA'!$GN$9:$IS$41,U$82,$E117)</f>
        <v>0</v>
      </c>
      <c r="V117" s="1030">
        <f>INDEX('DEFAULT DATA'!$GN$9:$IS$41,V$82,$E117)</f>
        <v>0</v>
      </c>
      <c r="W117" s="1030">
        <f>INDEX('DEFAULT DATA'!$GN$9:$IS$41,W$82,$E117)</f>
        <v>0</v>
      </c>
      <c r="X117" s="1030">
        <f>INDEX('DEFAULT DATA'!$GN$9:$IS$41,X$82,$E117)</f>
        <v>0</v>
      </c>
      <c r="Y117" s="1030">
        <f>INDEX('DEFAULT DATA'!$GN$9:$IS$41,Y$82,$E117)</f>
        <v>0</v>
      </c>
      <c r="Z117" s="1030">
        <f>INDEX('DEFAULT DATA'!$GN$9:$IS$41,Z$82,$E117)</f>
        <v>0</v>
      </c>
      <c r="AA117" s="1030">
        <f>INDEX('DEFAULT DATA'!$GN$9:$IS$41,AA$82,$E117)</f>
        <v>0</v>
      </c>
      <c r="AB117" s="1030">
        <f>INDEX('DEFAULT DATA'!$GN$9:$IS$41,AB$82,$E117)</f>
        <v>0</v>
      </c>
      <c r="AC117" s="1030">
        <f>INDEX('DEFAULT DATA'!$GN$9:$IS$41,AC$82,$E117)</f>
        <v>0</v>
      </c>
      <c r="AD117" s="1030">
        <f>INDEX('DEFAULT DATA'!$GN$9:$IS$41,AD$82,$E117)</f>
        <v>0</v>
      </c>
      <c r="AE117" s="1030">
        <f>INDEX('DEFAULT DATA'!$GN$9:$IS$41,AE$82,$E117)</f>
        <v>0</v>
      </c>
      <c r="AF117" s="1030">
        <f>INDEX('DEFAULT DATA'!$GN$9:$IS$41,AF$82,$E117)</f>
        <v>0</v>
      </c>
      <c r="AG117" s="1030">
        <f>INDEX('DEFAULT DATA'!$GN$9:$IS$41,AG$82,$E117)</f>
        <v>0</v>
      </c>
      <c r="AH117" s="1030">
        <f>INDEX('DEFAULT DATA'!$GN$9:$IS$41,AH$82,$E117)</f>
        <v>0</v>
      </c>
      <c r="AI117" s="1030">
        <f>INDEX('DEFAULT DATA'!$GN$9:$IS$41,AI$82,$E117)</f>
        <v>0</v>
      </c>
      <c r="AJ117" s="1030">
        <f>INDEX('DEFAULT DATA'!$GN$9:$IS$41,AJ$82,$E117)</f>
        <v>0</v>
      </c>
      <c r="AK117" s="1030">
        <f>INDEX('DEFAULT DATA'!$GN$9:$IS$41,AK$82,$E117)</f>
        <v>0</v>
      </c>
    </row>
    <row r="118" spans="5:37">
      <c r="E118" s="193">
        <f t="shared" si="6"/>
        <v>35</v>
      </c>
      <c r="F118" s="1030">
        <f>INDEX('DEFAULT DATA'!$GN$9:$IS$41,F$82,$E118)</f>
        <v>0</v>
      </c>
      <c r="G118" s="1030">
        <f>INDEX('DEFAULT DATA'!$GN$9:$IS$41,G$82,$E118)</f>
        <v>0</v>
      </c>
      <c r="H118" s="1030">
        <f>INDEX('DEFAULT DATA'!$GN$9:$IS$41,H$82,$E118)</f>
        <v>0</v>
      </c>
      <c r="I118" s="1030">
        <f>INDEX('DEFAULT DATA'!$GN$9:$IS$41,I$82,$E118)</f>
        <v>0</v>
      </c>
      <c r="J118" s="1030">
        <f>INDEX('DEFAULT DATA'!$GN$9:$IS$41,J$82,$E118)</f>
        <v>0</v>
      </c>
      <c r="K118" s="1030">
        <f>INDEX('DEFAULT DATA'!$GN$9:$IS$41,K$82,$E118)</f>
        <v>0</v>
      </c>
      <c r="L118" s="1030">
        <f>INDEX('DEFAULT DATA'!$GN$9:$IS$41,L$82,$E118)</f>
        <v>0</v>
      </c>
      <c r="M118" s="1030">
        <f>INDEX('DEFAULT DATA'!$GN$9:$IS$41,M$82,$E118)</f>
        <v>0</v>
      </c>
      <c r="N118" s="1030">
        <f>INDEX('DEFAULT DATA'!$GN$9:$IS$41,N$82,$E118)</f>
        <v>0</v>
      </c>
      <c r="O118" s="1030">
        <f>INDEX('DEFAULT DATA'!$GN$9:$IS$41,O$82,$E118)</f>
        <v>0</v>
      </c>
      <c r="P118" s="1030">
        <f>INDEX('DEFAULT DATA'!$GN$9:$IS$41,P$82,$E118)</f>
        <v>305.2971113181851</v>
      </c>
      <c r="Q118" s="1030">
        <f>INDEX('DEFAULT DATA'!$GN$9:$IS$41,Q$82,$E118)</f>
        <v>0</v>
      </c>
      <c r="R118" s="1030">
        <f>INDEX('DEFAULT DATA'!$GN$9:$IS$41,R$82,$E118)</f>
        <v>0</v>
      </c>
      <c r="S118" s="1030">
        <f>INDEX('DEFAULT DATA'!$GN$9:$IS$41,S$82,$E118)</f>
        <v>0</v>
      </c>
      <c r="T118" s="1030">
        <f>INDEX('DEFAULT DATA'!$GN$9:$IS$41,T$82,$E118)</f>
        <v>0</v>
      </c>
      <c r="U118" s="1030">
        <f>INDEX('DEFAULT DATA'!$GN$9:$IS$41,U$82,$E118)</f>
        <v>0</v>
      </c>
      <c r="V118" s="1030">
        <f>INDEX('DEFAULT DATA'!$GN$9:$IS$41,V$82,$E118)</f>
        <v>0</v>
      </c>
      <c r="W118" s="1030">
        <f>INDEX('DEFAULT DATA'!$GN$9:$IS$41,W$82,$E118)</f>
        <v>0</v>
      </c>
      <c r="X118" s="1030">
        <f>INDEX('DEFAULT DATA'!$GN$9:$IS$41,X$82,$E118)</f>
        <v>0</v>
      </c>
      <c r="Y118" s="1030">
        <f>INDEX('DEFAULT DATA'!$GN$9:$IS$41,Y$82,$E118)</f>
        <v>0</v>
      </c>
      <c r="Z118" s="1030">
        <f>INDEX('DEFAULT DATA'!$GN$9:$IS$41,Z$82,$E118)</f>
        <v>0</v>
      </c>
      <c r="AA118" s="1030">
        <f>INDEX('DEFAULT DATA'!$GN$9:$IS$41,AA$82,$E118)</f>
        <v>0</v>
      </c>
      <c r="AB118" s="1030">
        <f>INDEX('DEFAULT DATA'!$GN$9:$IS$41,AB$82,$E118)</f>
        <v>0</v>
      </c>
      <c r="AC118" s="1030">
        <f>INDEX('DEFAULT DATA'!$GN$9:$IS$41,AC$82,$E118)</f>
        <v>0</v>
      </c>
      <c r="AD118" s="1030">
        <f>INDEX('DEFAULT DATA'!$GN$9:$IS$41,AD$82,$E118)</f>
        <v>0</v>
      </c>
      <c r="AE118" s="1030">
        <f>INDEX('DEFAULT DATA'!$GN$9:$IS$41,AE$82,$E118)</f>
        <v>0</v>
      </c>
      <c r="AF118" s="1030">
        <f>INDEX('DEFAULT DATA'!$GN$9:$IS$41,AF$82,$E118)</f>
        <v>0</v>
      </c>
      <c r="AG118" s="1030">
        <f>INDEX('DEFAULT DATA'!$GN$9:$IS$41,AG$82,$E118)</f>
        <v>0</v>
      </c>
      <c r="AH118" s="1030">
        <f>INDEX('DEFAULT DATA'!$GN$9:$IS$41,AH$82,$E118)</f>
        <v>0</v>
      </c>
      <c r="AI118" s="1030">
        <f>INDEX('DEFAULT DATA'!$GN$9:$IS$41,AI$82,$E118)</f>
        <v>0</v>
      </c>
      <c r="AJ118" s="1030">
        <f>INDEX('DEFAULT DATA'!$GN$9:$IS$41,AJ$82,$E118)</f>
        <v>0</v>
      </c>
      <c r="AK118" s="1030">
        <f>INDEX('DEFAULT DATA'!$GN$9:$IS$41,AK$82,$E118)</f>
        <v>0</v>
      </c>
    </row>
    <row r="119" spans="5:37">
      <c r="E119" s="193">
        <f t="shared" si="6"/>
        <v>36</v>
      </c>
      <c r="F119" s="1030">
        <f>INDEX('DEFAULT DATA'!$GN$9:$IS$41,F$82,$E119)</f>
        <v>0</v>
      </c>
      <c r="G119" s="1030">
        <f>INDEX('DEFAULT DATA'!$GN$9:$IS$41,G$82,$E119)</f>
        <v>0</v>
      </c>
      <c r="H119" s="1030">
        <f>INDEX('DEFAULT DATA'!$GN$9:$IS$41,H$82,$E119)</f>
        <v>0</v>
      </c>
      <c r="I119" s="1030">
        <f>INDEX('DEFAULT DATA'!$GN$9:$IS$41,I$82,$E119)</f>
        <v>0</v>
      </c>
      <c r="J119" s="1030">
        <f>INDEX('DEFAULT DATA'!$GN$9:$IS$41,J$82,$E119)</f>
        <v>0</v>
      </c>
      <c r="K119" s="1030">
        <f>INDEX('DEFAULT DATA'!$GN$9:$IS$41,K$82,$E119)</f>
        <v>0</v>
      </c>
      <c r="L119" s="1030">
        <f>INDEX('DEFAULT DATA'!$GN$9:$IS$41,L$82,$E119)</f>
        <v>0</v>
      </c>
      <c r="M119" s="1030">
        <f>INDEX('DEFAULT DATA'!$GN$9:$IS$41,M$82,$E119)</f>
        <v>0</v>
      </c>
      <c r="N119" s="1030">
        <f>INDEX('DEFAULT DATA'!$GN$9:$IS$41,N$82,$E119)</f>
        <v>0</v>
      </c>
      <c r="O119" s="1030">
        <f>INDEX('DEFAULT DATA'!$GN$9:$IS$41,O$82,$E119)</f>
        <v>0</v>
      </c>
      <c r="P119" s="1030">
        <f>INDEX('DEFAULT DATA'!$GN$9:$IS$41,P$82,$E119)</f>
        <v>59.797863952404846</v>
      </c>
      <c r="Q119" s="1030">
        <f>INDEX('DEFAULT DATA'!$GN$9:$IS$41,Q$82,$E119)</f>
        <v>0</v>
      </c>
      <c r="R119" s="1030">
        <f>INDEX('DEFAULT DATA'!$GN$9:$IS$41,R$82,$E119)</f>
        <v>0</v>
      </c>
      <c r="S119" s="1030">
        <f>INDEX('DEFAULT DATA'!$GN$9:$IS$41,S$82,$E119)</f>
        <v>0</v>
      </c>
      <c r="T119" s="1030">
        <f>INDEX('DEFAULT DATA'!$GN$9:$IS$41,T$82,$E119)</f>
        <v>0</v>
      </c>
      <c r="U119" s="1030">
        <f>INDEX('DEFAULT DATA'!$GN$9:$IS$41,U$82,$E119)</f>
        <v>0</v>
      </c>
      <c r="V119" s="1030">
        <f>INDEX('DEFAULT DATA'!$GN$9:$IS$41,V$82,$E119)</f>
        <v>0</v>
      </c>
      <c r="W119" s="1030">
        <f>INDEX('DEFAULT DATA'!$GN$9:$IS$41,W$82,$E119)</f>
        <v>0</v>
      </c>
      <c r="X119" s="1030">
        <f>INDEX('DEFAULT DATA'!$GN$9:$IS$41,X$82,$E119)</f>
        <v>0</v>
      </c>
      <c r="Y119" s="1030">
        <f>INDEX('DEFAULT DATA'!$GN$9:$IS$41,Y$82,$E119)</f>
        <v>0</v>
      </c>
      <c r="Z119" s="1030">
        <f>INDEX('DEFAULT DATA'!$GN$9:$IS$41,Z$82,$E119)</f>
        <v>0</v>
      </c>
      <c r="AA119" s="1030">
        <f>INDEX('DEFAULT DATA'!$GN$9:$IS$41,AA$82,$E119)</f>
        <v>0</v>
      </c>
      <c r="AB119" s="1030">
        <f>INDEX('DEFAULT DATA'!$GN$9:$IS$41,AB$82,$E119)</f>
        <v>0</v>
      </c>
      <c r="AC119" s="1030">
        <f>INDEX('DEFAULT DATA'!$GN$9:$IS$41,AC$82,$E119)</f>
        <v>0</v>
      </c>
      <c r="AD119" s="1030">
        <f>INDEX('DEFAULT DATA'!$GN$9:$IS$41,AD$82,$E119)</f>
        <v>0</v>
      </c>
      <c r="AE119" s="1030">
        <f>INDEX('DEFAULT DATA'!$GN$9:$IS$41,AE$82,$E119)</f>
        <v>0</v>
      </c>
      <c r="AF119" s="1030">
        <f>INDEX('DEFAULT DATA'!$GN$9:$IS$41,AF$82,$E119)</f>
        <v>0</v>
      </c>
      <c r="AG119" s="1030">
        <f>INDEX('DEFAULT DATA'!$GN$9:$IS$41,AG$82,$E119)</f>
        <v>0</v>
      </c>
      <c r="AH119" s="1030">
        <f>INDEX('DEFAULT DATA'!$GN$9:$IS$41,AH$82,$E119)</f>
        <v>0</v>
      </c>
      <c r="AI119" s="1030">
        <f>INDEX('DEFAULT DATA'!$GN$9:$IS$41,AI$82,$E119)</f>
        <v>0</v>
      </c>
      <c r="AJ119" s="1030">
        <f>INDEX('DEFAULT DATA'!$GN$9:$IS$41,AJ$82,$E119)</f>
        <v>0</v>
      </c>
      <c r="AK119" s="1030">
        <f>INDEX('DEFAULT DATA'!$GN$9:$IS$41,AK$82,$E119)</f>
        <v>0</v>
      </c>
    </row>
    <row r="120" spans="5:37">
      <c r="E120" s="193">
        <f t="shared" si="6"/>
        <v>37</v>
      </c>
      <c r="F120" s="1030">
        <f>INDEX('DEFAULT DATA'!$GN$9:$IS$41,F$82,$E120)</f>
        <v>0</v>
      </c>
      <c r="G120" s="1030">
        <f>INDEX('DEFAULT DATA'!$GN$9:$IS$41,G$82,$E120)</f>
        <v>0</v>
      </c>
      <c r="H120" s="1030">
        <f>INDEX('DEFAULT DATA'!$GN$9:$IS$41,H$82,$E120)</f>
        <v>0</v>
      </c>
      <c r="I120" s="1030">
        <f>INDEX('DEFAULT DATA'!$GN$9:$IS$41,I$82,$E120)</f>
        <v>0</v>
      </c>
      <c r="J120" s="1030">
        <f>INDEX('DEFAULT DATA'!$GN$9:$IS$41,J$82,$E120)</f>
        <v>0</v>
      </c>
      <c r="K120" s="1030">
        <f>INDEX('DEFAULT DATA'!$GN$9:$IS$41,K$82,$E120)</f>
        <v>0</v>
      </c>
      <c r="L120" s="1030">
        <f>INDEX('DEFAULT DATA'!$GN$9:$IS$41,L$82,$E120)</f>
        <v>0</v>
      </c>
      <c r="M120" s="1030">
        <f>INDEX('DEFAULT DATA'!$GN$9:$IS$41,M$82,$E120)</f>
        <v>0</v>
      </c>
      <c r="N120" s="1030">
        <f>INDEX('DEFAULT DATA'!$GN$9:$IS$41,N$82,$E120)</f>
        <v>0</v>
      </c>
      <c r="O120" s="1030">
        <f>INDEX('DEFAULT DATA'!$GN$9:$IS$41,O$82,$E120)</f>
        <v>0</v>
      </c>
      <c r="P120" s="1030">
        <f>INDEX('DEFAULT DATA'!$GN$9:$IS$41,P$82,$E120)</f>
        <v>662.0658017346426</v>
      </c>
      <c r="Q120" s="1030">
        <f>INDEX('DEFAULT DATA'!$GN$9:$IS$41,Q$82,$E120)</f>
        <v>0</v>
      </c>
      <c r="R120" s="1030">
        <f>INDEX('DEFAULT DATA'!$GN$9:$IS$41,R$82,$E120)</f>
        <v>0</v>
      </c>
      <c r="S120" s="1030">
        <f>INDEX('DEFAULT DATA'!$GN$9:$IS$41,S$82,$E120)</f>
        <v>0</v>
      </c>
      <c r="T120" s="1030">
        <f>INDEX('DEFAULT DATA'!$GN$9:$IS$41,T$82,$E120)</f>
        <v>0</v>
      </c>
      <c r="U120" s="1030">
        <f>INDEX('DEFAULT DATA'!$GN$9:$IS$41,U$82,$E120)</f>
        <v>0</v>
      </c>
      <c r="V120" s="1030">
        <f>INDEX('DEFAULT DATA'!$GN$9:$IS$41,V$82,$E120)</f>
        <v>0</v>
      </c>
      <c r="W120" s="1030">
        <f>INDEX('DEFAULT DATA'!$GN$9:$IS$41,W$82,$E120)</f>
        <v>0</v>
      </c>
      <c r="X120" s="1030">
        <f>INDEX('DEFAULT DATA'!$GN$9:$IS$41,X$82,$E120)</f>
        <v>0</v>
      </c>
      <c r="Y120" s="1030">
        <f>INDEX('DEFAULT DATA'!$GN$9:$IS$41,Y$82,$E120)</f>
        <v>0</v>
      </c>
      <c r="Z120" s="1030">
        <f>INDEX('DEFAULT DATA'!$GN$9:$IS$41,Z$82,$E120)</f>
        <v>0</v>
      </c>
      <c r="AA120" s="1030">
        <f>INDEX('DEFAULT DATA'!$GN$9:$IS$41,AA$82,$E120)</f>
        <v>0</v>
      </c>
      <c r="AB120" s="1030">
        <f>INDEX('DEFAULT DATA'!$GN$9:$IS$41,AB$82,$E120)</f>
        <v>0</v>
      </c>
      <c r="AC120" s="1030">
        <f>INDEX('DEFAULT DATA'!$GN$9:$IS$41,AC$82,$E120)</f>
        <v>0</v>
      </c>
      <c r="AD120" s="1030">
        <f>INDEX('DEFAULT DATA'!$GN$9:$IS$41,AD$82,$E120)</f>
        <v>0</v>
      </c>
      <c r="AE120" s="1030">
        <f>INDEX('DEFAULT DATA'!$GN$9:$IS$41,AE$82,$E120)</f>
        <v>0</v>
      </c>
      <c r="AF120" s="1030">
        <f>INDEX('DEFAULT DATA'!$GN$9:$IS$41,AF$82,$E120)</f>
        <v>0</v>
      </c>
      <c r="AG120" s="1030">
        <f>INDEX('DEFAULT DATA'!$GN$9:$IS$41,AG$82,$E120)</f>
        <v>0</v>
      </c>
      <c r="AH120" s="1030">
        <f>INDEX('DEFAULT DATA'!$GN$9:$IS$41,AH$82,$E120)</f>
        <v>0</v>
      </c>
      <c r="AI120" s="1030">
        <f>INDEX('DEFAULT DATA'!$GN$9:$IS$41,AI$82,$E120)</f>
        <v>0</v>
      </c>
      <c r="AJ120" s="1030">
        <f>INDEX('DEFAULT DATA'!$GN$9:$IS$41,AJ$82,$E120)</f>
        <v>0</v>
      </c>
      <c r="AK120" s="1030">
        <f>INDEX('DEFAULT DATA'!$GN$9:$IS$41,AK$82,$E120)</f>
        <v>0</v>
      </c>
    </row>
    <row r="121" spans="5:37">
      <c r="E121" s="193">
        <f t="shared" si="6"/>
        <v>38</v>
      </c>
      <c r="F121" s="1030">
        <f>INDEX('DEFAULT DATA'!$GN$9:$IS$41,F$82,$E121)</f>
        <v>0</v>
      </c>
      <c r="G121" s="1030">
        <f>INDEX('DEFAULT DATA'!$GN$9:$IS$41,G$82,$E121)</f>
        <v>0</v>
      </c>
      <c r="H121" s="1030">
        <f>INDEX('DEFAULT DATA'!$GN$9:$IS$41,H$82,$E121)</f>
        <v>0</v>
      </c>
      <c r="I121" s="1030">
        <f>INDEX('DEFAULT DATA'!$GN$9:$IS$41,I$82,$E121)</f>
        <v>0</v>
      </c>
      <c r="J121" s="1030">
        <f>INDEX('DEFAULT DATA'!$GN$9:$IS$41,J$82,$E121)</f>
        <v>0</v>
      </c>
      <c r="K121" s="1030">
        <f>INDEX('DEFAULT DATA'!$GN$9:$IS$41,K$82,$E121)</f>
        <v>0</v>
      </c>
      <c r="L121" s="1030">
        <f>INDEX('DEFAULT DATA'!$GN$9:$IS$41,L$82,$E121)</f>
        <v>0</v>
      </c>
      <c r="M121" s="1030">
        <f>INDEX('DEFAULT DATA'!$GN$9:$IS$41,M$82,$E121)</f>
        <v>0</v>
      </c>
      <c r="N121" s="1030">
        <f>INDEX('DEFAULT DATA'!$GN$9:$IS$41,N$82,$E121)</f>
        <v>0</v>
      </c>
      <c r="O121" s="1030">
        <f>INDEX('DEFAULT DATA'!$GN$9:$IS$41,O$82,$E121)</f>
        <v>0</v>
      </c>
      <c r="P121" s="1030">
        <f>INDEX('DEFAULT DATA'!$GN$9:$IS$41,P$82,$E121)</f>
        <v>180.40283850620028</v>
      </c>
      <c r="Q121" s="1030">
        <f>INDEX('DEFAULT DATA'!$GN$9:$IS$41,Q$82,$E121)</f>
        <v>0</v>
      </c>
      <c r="R121" s="1030">
        <f>INDEX('DEFAULT DATA'!$GN$9:$IS$41,R$82,$E121)</f>
        <v>0</v>
      </c>
      <c r="S121" s="1030">
        <f>INDEX('DEFAULT DATA'!$GN$9:$IS$41,S$82,$E121)</f>
        <v>0</v>
      </c>
      <c r="T121" s="1030">
        <f>INDEX('DEFAULT DATA'!$GN$9:$IS$41,T$82,$E121)</f>
        <v>0</v>
      </c>
      <c r="U121" s="1030">
        <f>INDEX('DEFAULT DATA'!$GN$9:$IS$41,U$82,$E121)</f>
        <v>0</v>
      </c>
      <c r="V121" s="1030">
        <f>INDEX('DEFAULT DATA'!$GN$9:$IS$41,V$82,$E121)</f>
        <v>0</v>
      </c>
      <c r="W121" s="1030">
        <f>INDEX('DEFAULT DATA'!$GN$9:$IS$41,W$82,$E121)</f>
        <v>0</v>
      </c>
      <c r="X121" s="1030">
        <f>INDEX('DEFAULT DATA'!$GN$9:$IS$41,X$82,$E121)</f>
        <v>0</v>
      </c>
      <c r="Y121" s="1030">
        <f>INDEX('DEFAULT DATA'!$GN$9:$IS$41,Y$82,$E121)</f>
        <v>0</v>
      </c>
      <c r="Z121" s="1030">
        <f>INDEX('DEFAULT DATA'!$GN$9:$IS$41,Z$82,$E121)</f>
        <v>0</v>
      </c>
      <c r="AA121" s="1030">
        <f>INDEX('DEFAULT DATA'!$GN$9:$IS$41,AA$82,$E121)</f>
        <v>0</v>
      </c>
      <c r="AB121" s="1030">
        <f>INDEX('DEFAULT DATA'!$GN$9:$IS$41,AB$82,$E121)</f>
        <v>0</v>
      </c>
      <c r="AC121" s="1030">
        <f>INDEX('DEFAULT DATA'!$GN$9:$IS$41,AC$82,$E121)</f>
        <v>0</v>
      </c>
      <c r="AD121" s="1030">
        <f>INDEX('DEFAULT DATA'!$GN$9:$IS$41,AD$82,$E121)</f>
        <v>0</v>
      </c>
      <c r="AE121" s="1030">
        <f>INDEX('DEFAULT DATA'!$GN$9:$IS$41,AE$82,$E121)</f>
        <v>0</v>
      </c>
      <c r="AF121" s="1030">
        <f>INDEX('DEFAULT DATA'!$GN$9:$IS$41,AF$82,$E121)</f>
        <v>0</v>
      </c>
      <c r="AG121" s="1030">
        <f>INDEX('DEFAULT DATA'!$GN$9:$IS$41,AG$82,$E121)</f>
        <v>0</v>
      </c>
      <c r="AH121" s="1030">
        <f>INDEX('DEFAULT DATA'!$GN$9:$IS$41,AH$82,$E121)</f>
        <v>0</v>
      </c>
      <c r="AI121" s="1030">
        <f>INDEX('DEFAULT DATA'!$GN$9:$IS$41,AI$82,$E121)</f>
        <v>0</v>
      </c>
      <c r="AJ121" s="1030">
        <f>INDEX('DEFAULT DATA'!$GN$9:$IS$41,AJ$82,$E121)</f>
        <v>0</v>
      </c>
      <c r="AK121" s="1030">
        <f>INDEX('DEFAULT DATA'!$GN$9:$IS$41,AK$82,$E121)</f>
        <v>0</v>
      </c>
    </row>
    <row r="122" spans="5:37">
      <c r="E122" s="193">
        <f t="shared" si="6"/>
        <v>39</v>
      </c>
      <c r="F122" s="1030">
        <f>INDEX('DEFAULT DATA'!$GN$9:$IS$41,F$82,$E122)</f>
        <v>0</v>
      </c>
      <c r="G122" s="1030">
        <f>INDEX('DEFAULT DATA'!$GN$9:$IS$41,G$82,$E122)</f>
        <v>0</v>
      </c>
      <c r="H122" s="1030">
        <f>INDEX('DEFAULT DATA'!$GN$9:$IS$41,H$82,$E122)</f>
        <v>0</v>
      </c>
      <c r="I122" s="1030">
        <f>INDEX('DEFAULT DATA'!$GN$9:$IS$41,I$82,$E122)</f>
        <v>0</v>
      </c>
      <c r="J122" s="1030">
        <f>INDEX('DEFAULT DATA'!$GN$9:$IS$41,J$82,$E122)</f>
        <v>0</v>
      </c>
      <c r="K122" s="1030">
        <f>INDEX('DEFAULT DATA'!$GN$9:$IS$41,K$82,$E122)</f>
        <v>0</v>
      </c>
      <c r="L122" s="1030">
        <f>INDEX('DEFAULT DATA'!$GN$9:$IS$41,L$82,$E122)</f>
        <v>0</v>
      </c>
      <c r="M122" s="1030">
        <f>INDEX('DEFAULT DATA'!$GN$9:$IS$41,M$82,$E122)</f>
        <v>0</v>
      </c>
      <c r="N122" s="1030">
        <f>INDEX('DEFAULT DATA'!$GN$9:$IS$41,N$82,$E122)</f>
        <v>0</v>
      </c>
      <c r="O122" s="1030">
        <f>INDEX('DEFAULT DATA'!$GN$9:$IS$41,O$82,$E122)</f>
        <v>0</v>
      </c>
      <c r="P122" s="1030">
        <f>INDEX('DEFAULT DATA'!$GN$9:$IS$41,P$82,$E122)</f>
        <v>464.25345853343845</v>
      </c>
      <c r="Q122" s="1030">
        <f>INDEX('DEFAULT DATA'!$GN$9:$IS$41,Q$82,$E122)</f>
        <v>0</v>
      </c>
      <c r="R122" s="1030">
        <f>INDEX('DEFAULT DATA'!$GN$9:$IS$41,R$82,$E122)</f>
        <v>0</v>
      </c>
      <c r="S122" s="1030">
        <f>INDEX('DEFAULT DATA'!$GN$9:$IS$41,S$82,$E122)</f>
        <v>0</v>
      </c>
      <c r="T122" s="1030">
        <f>INDEX('DEFAULT DATA'!$GN$9:$IS$41,T$82,$E122)</f>
        <v>0</v>
      </c>
      <c r="U122" s="1030">
        <f>INDEX('DEFAULT DATA'!$GN$9:$IS$41,U$82,$E122)</f>
        <v>0</v>
      </c>
      <c r="V122" s="1030">
        <f>INDEX('DEFAULT DATA'!$GN$9:$IS$41,V$82,$E122)</f>
        <v>0</v>
      </c>
      <c r="W122" s="1030">
        <f>INDEX('DEFAULT DATA'!$GN$9:$IS$41,W$82,$E122)</f>
        <v>0</v>
      </c>
      <c r="X122" s="1030">
        <f>INDEX('DEFAULT DATA'!$GN$9:$IS$41,X$82,$E122)</f>
        <v>0</v>
      </c>
      <c r="Y122" s="1030">
        <f>INDEX('DEFAULT DATA'!$GN$9:$IS$41,Y$82,$E122)</f>
        <v>0</v>
      </c>
      <c r="Z122" s="1030">
        <f>INDEX('DEFAULT DATA'!$GN$9:$IS$41,Z$82,$E122)</f>
        <v>0</v>
      </c>
      <c r="AA122" s="1030">
        <f>INDEX('DEFAULT DATA'!$GN$9:$IS$41,AA$82,$E122)</f>
        <v>0</v>
      </c>
      <c r="AB122" s="1030">
        <f>INDEX('DEFAULT DATA'!$GN$9:$IS$41,AB$82,$E122)</f>
        <v>0</v>
      </c>
      <c r="AC122" s="1030">
        <f>INDEX('DEFAULT DATA'!$GN$9:$IS$41,AC$82,$E122)</f>
        <v>0</v>
      </c>
      <c r="AD122" s="1030">
        <f>INDEX('DEFAULT DATA'!$GN$9:$IS$41,AD$82,$E122)</f>
        <v>0</v>
      </c>
      <c r="AE122" s="1030">
        <f>INDEX('DEFAULT DATA'!$GN$9:$IS$41,AE$82,$E122)</f>
        <v>0</v>
      </c>
      <c r="AF122" s="1030">
        <f>INDEX('DEFAULT DATA'!$GN$9:$IS$41,AF$82,$E122)</f>
        <v>0</v>
      </c>
      <c r="AG122" s="1030">
        <f>INDEX('DEFAULT DATA'!$GN$9:$IS$41,AG$82,$E122)</f>
        <v>0</v>
      </c>
      <c r="AH122" s="1030">
        <f>INDEX('DEFAULT DATA'!$GN$9:$IS$41,AH$82,$E122)</f>
        <v>0</v>
      </c>
      <c r="AI122" s="1030">
        <f>INDEX('DEFAULT DATA'!$GN$9:$IS$41,AI$82,$E122)</f>
        <v>0</v>
      </c>
      <c r="AJ122" s="1030">
        <f>INDEX('DEFAULT DATA'!$GN$9:$IS$41,AJ$82,$E122)</f>
        <v>0</v>
      </c>
      <c r="AK122" s="1030">
        <f>INDEX('DEFAULT DATA'!$GN$9:$IS$41,AK$82,$E122)</f>
        <v>0</v>
      </c>
    </row>
    <row r="123" spans="5:37">
      <c r="E123" s="193">
        <f t="shared" si="6"/>
        <v>40</v>
      </c>
      <c r="F123" s="1030">
        <f>INDEX('DEFAULT DATA'!$GN$9:$IS$41,F$82,$E123)</f>
        <v>0</v>
      </c>
      <c r="G123" s="1030">
        <f>INDEX('DEFAULT DATA'!$GN$9:$IS$41,G$82,$E123)</f>
        <v>0</v>
      </c>
      <c r="H123" s="1030">
        <f>INDEX('DEFAULT DATA'!$GN$9:$IS$41,H$82,$E123)</f>
        <v>0</v>
      </c>
      <c r="I123" s="1030">
        <f>INDEX('DEFAULT DATA'!$GN$9:$IS$41,I$82,$E123)</f>
        <v>0</v>
      </c>
      <c r="J123" s="1030">
        <f>INDEX('DEFAULT DATA'!$GN$9:$IS$41,J$82,$E123)</f>
        <v>0</v>
      </c>
      <c r="K123" s="1030">
        <f>INDEX('DEFAULT DATA'!$GN$9:$IS$41,K$82,$E123)</f>
        <v>0</v>
      </c>
      <c r="L123" s="1030">
        <f>INDEX('DEFAULT DATA'!$GN$9:$IS$41,L$82,$E123)</f>
        <v>0</v>
      </c>
      <c r="M123" s="1030">
        <f>INDEX('DEFAULT DATA'!$GN$9:$IS$41,M$82,$E123)</f>
        <v>0</v>
      </c>
      <c r="N123" s="1030">
        <f>INDEX('DEFAULT DATA'!$GN$9:$IS$41,N$82,$E123)</f>
        <v>0</v>
      </c>
      <c r="O123" s="1030">
        <f>INDEX('DEFAULT DATA'!$GN$9:$IS$41,O$82,$E123)</f>
        <v>0</v>
      </c>
      <c r="P123" s="1030">
        <f>INDEX('DEFAULT DATA'!$GN$9:$IS$41,P$82,$E123)</f>
        <v>235.40678087592286</v>
      </c>
      <c r="Q123" s="1030">
        <f>INDEX('DEFAULT DATA'!$GN$9:$IS$41,Q$82,$E123)</f>
        <v>0</v>
      </c>
      <c r="R123" s="1030">
        <f>INDEX('DEFAULT DATA'!$GN$9:$IS$41,R$82,$E123)</f>
        <v>0</v>
      </c>
      <c r="S123" s="1030">
        <f>INDEX('DEFAULT DATA'!$GN$9:$IS$41,S$82,$E123)</f>
        <v>0</v>
      </c>
      <c r="T123" s="1030">
        <f>INDEX('DEFAULT DATA'!$GN$9:$IS$41,T$82,$E123)</f>
        <v>0</v>
      </c>
      <c r="U123" s="1030">
        <f>INDEX('DEFAULT DATA'!$GN$9:$IS$41,U$82,$E123)</f>
        <v>0</v>
      </c>
      <c r="V123" s="1030">
        <f>INDEX('DEFAULT DATA'!$GN$9:$IS$41,V$82,$E123)</f>
        <v>0</v>
      </c>
      <c r="W123" s="1030">
        <f>INDEX('DEFAULT DATA'!$GN$9:$IS$41,W$82,$E123)</f>
        <v>0</v>
      </c>
      <c r="X123" s="1030">
        <f>INDEX('DEFAULT DATA'!$GN$9:$IS$41,X$82,$E123)</f>
        <v>0</v>
      </c>
      <c r="Y123" s="1030">
        <f>INDEX('DEFAULT DATA'!$GN$9:$IS$41,Y$82,$E123)</f>
        <v>0</v>
      </c>
      <c r="Z123" s="1030">
        <f>INDEX('DEFAULT DATA'!$GN$9:$IS$41,Z$82,$E123)</f>
        <v>0</v>
      </c>
      <c r="AA123" s="1030">
        <f>INDEX('DEFAULT DATA'!$GN$9:$IS$41,AA$82,$E123)</f>
        <v>0</v>
      </c>
      <c r="AB123" s="1030">
        <f>INDEX('DEFAULT DATA'!$GN$9:$IS$41,AB$82,$E123)</f>
        <v>0</v>
      </c>
      <c r="AC123" s="1030">
        <f>INDEX('DEFAULT DATA'!$GN$9:$IS$41,AC$82,$E123)</f>
        <v>0</v>
      </c>
      <c r="AD123" s="1030">
        <f>INDEX('DEFAULT DATA'!$GN$9:$IS$41,AD$82,$E123)</f>
        <v>0</v>
      </c>
      <c r="AE123" s="1030">
        <f>INDEX('DEFAULT DATA'!$GN$9:$IS$41,AE$82,$E123)</f>
        <v>0</v>
      </c>
      <c r="AF123" s="1030">
        <f>INDEX('DEFAULT DATA'!$GN$9:$IS$41,AF$82,$E123)</f>
        <v>0</v>
      </c>
      <c r="AG123" s="1030">
        <f>INDEX('DEFAULT DATA'!$GN$9:$IS$41,AG$82,$E123)</f>
        <v>0</v>
      </c>
      <c r="AH123" s="1030">
        <f>INDEX('DEFAULT DATA'!$GN$9:$IS$41,AH$82,$E123)</f>
        <v>0</v>
      </c>
      <c r="AI123" s="1030">
        <f>INDEX('DEFAULT DATA'!$GN$9:$IS$41,AI$82,$E123)</f>
        <v>0</v>
      </c>
      <c r="AJ123" s="1030">
        <f>INDEX('DEFAULT DATA'!$GN$9:$IS$41,AJ$82,$E123)</f>
        <v>0</v>
      </c>
      <c r="AK123" s="1030">
        <f>INDEX('DEFAULT DATA'!$GN$9:$IS$41,AK$82,$E123)</f>
        <v>0</v>
      </c>
    </row>
    <row r="124" spans="5:37">
      <c r="E124" s="193">
        <f t="shared" si="6"/>
        <v>41</v>
      </c>
      <c r="F124" s="1030">
        <f>INDEX('DEFAULT DATA'!$GN$9:$IS$41,F$82,$E124)</f>
        <v>0</v>
      </c>
      <c r="G124" s="1030">
        <f>INDEX('DEFAULT DATA'!$GN$9:$IS$41,G$82,$E124)</f>
        <v>0</v>
      </c>
      <c r="H124" s="1030">
        <f>INDEX('DEFAULT DATA'!$GN$9:$IS$41,H$82,$E124)</f>
        <v>0</v>
      </c>
      <c r="I124" s="1030">
        <f>INDEX('DEFAULT DATA'!$GN$9:$IS$41,I$82,$E124)</f>
        <v>0</v>
      </c>
      <c r="J124" s="1030">
        <f>INDEX('DEFAULT DATA'!$GN$9:$IS$41,J$82,$E124)</f>
        <v>0</v>
      </c>
      <c r="K124" s="1030">
        <f>INDEX('DEFAULT DATA'!$GN$9:$IS$41,K$82,$E124)</f>
        <v>0</v>
      </c>
      <c r="L124" s="1030">
        <f>INDEX('DEFAULT DATA'!$GN$9:$IS$41,L$82,$E124)</f>
        <v>0</v>
      </c>
      <c r="M124" s="1030">
        <f>INDEX('DEFAULT DATA'!$GN$9:$IS$41,M$82,$E124)</f>
        <v>0</v>
      </c>
      <c r="N124" s="1030">
        <f>INDEX('DEFAULT DATA'!$GN$9:$IS$41,N$82,$E124)</f>
        <v>0</v>
      </c>
      <c r="O124" s="1030">
        <f>INDEX('DEFAULT DATA'!$GN$9:$IS$41,O$82,$E124)</f>
        <v>0</v>
      </c>
      <c r="P124" s="1030">
        <f>INDEX('DEFAULT DATA'!$GN$9:$IS$41,P$82,$E124)</f>
        <v>92.598380044441271</v>
      </c>
      <c r="Q124" s="1030">
        <f>INDEX('DEFAULT DATA'!$GN$9:$IS$41,Q$82,$E124)</f>
        <v>0</v>
      </c>
      <c r="R124" s="1030">
        <f>INDEX('DEFAULT DATA'!$GN$9:$IS$41,R$82,$E124)</f>
        <v>0</v>
      </c>
      <c r="S124" s="1030">
        <f>INDEX('DEFAULT DATA'!$GN$9:$IS$41,S$82,$E124)</f>
        <v>0</v>
      </c>
      <c r="T124" s="1030">
        <f>INDEX('DEFAULT DATA'!$GN$9:$IS$41,T$82,$E124)</f>
        <v>0</v>
      </c>
      <c r="U124" s="1030">
        <f>INDEX('DEFAULT DATA'!$GN$9:$IS$41,U$82,$E124)</f>
        <v>0</v>
      </c>
      <c r="V124" s="1030">
        <f>INDEX('DEFAULT DATA'!$GN$9:$IS$41,V$82,$E124)</f>
        <v>0</v>
      </c>
      <c r="W124" s="1030">
        <f>INDEX('DEFAULT DATA'!$GN$9:$IS$41,W$82,$E124)</f>
        <v>0</v>
      </c>
      <c r="X124" s="1030">
        <f>INDEX('DEFAULT DATA'!$GN$9:$IS$41,X$82,$E124)</f>
        <v>0</v>
      </c>
      <c r="Y124" s="1030">
        <f>INDEX('DEFAULT DATA'!$GN$9:$IS$41,Y$82,$E124)</f>
        <v>0</v>
      </c>
      <c r="Z124" s="1030">
        <f>INDEX('DEFAULT DATA'!$GN$9:$IS$41,Z$82,$E124)</f>
        <v>0</v>
      </c>
      <c r="AA124" s="1030">
        <f>INDEX('DEFAULT DATA'!$GN$9:$IS$41,AA$82,$E124)</f>
        <v>0</v>
      </c>
      <c r="AB124" s="1030">
        <f>INDEX('DEFAULT DATA'!$GN$9:$IS$41,AB$82,$E124)</f>
        <v>0</v>
      </c>
      <c r="AC124" s="1030">
        <f>INDEX('DEFAULT DATA'!$GN$9:$IS$41,AC$82,$E124)</f>
        <v>0</v>
      </c>
      <c r="AD124" s="1030">
        <f>INDEX('DEFAULT DATA'!$GN$9:$IS$41,AD$82,$E124)</f>
        <v>0</v>
      </c>
      <c r="AE124" s="1030">
        <f>INDEX('DEFAULT DATA'!$GN$9:$IS$41,AE$82,$E124)</f>
        <v>0</v>
      </c>
      <c r="AF124" s="1030">
        <f>INDEX('DEFAULT DATA'!$GN$9:$IS$41,AF$82,$E124)</f>
        <v>0</v>
      </c>
      <c r="AG124" s="1030">
        <f>INDEX('DEFAULT DATA'!$GN$9:$IS$41,AG$82,$E124)</f>
        <v>0</v>
      </c>
      <c r="AH124" s="1030">
        <f>INDEX('DEFAULT DATA'!$GN$9:$IS$41,AH$82,$E124)</f>
        <v>0</v>
      </c>
      <c r="AI124" s="1030">
        <f>INDEX('DEFAULT DATA'!$GN$9:$IS$41,AI$82,$E124)</f>
        <v>0</v>
      </c>
      <c r="AJ124" s="1030">
        <f>INDEX('DEFAULT DATA'!$GN$9:$IS$41,AJ$82,$E124)</f>
        <v>0</v>
      </c>
      <c r="AK124" s="1030">
        <f>INDEX('DEFAULT DATA'!$GN$9:$IS$41,AK$82,$E124)</f>
        <v>0</v>
      </c>
    </row>
    <row r="125" spans="5:37">
      <c r="E125" s="193">
        <f t="shared" si="6"/>
        <v>42</v>
      </c>
      <c r="F125" s="1030">
        <f>INDEX('DEFAULT DATA'!$GN$9:$IS$41,F$82,$E125)</f>
        <v>0</v>
      </c>
      <c r="G125" s="1030">
        <f>INDEX('DEFAULT DATA'!$GN$9:$IS$41,G$82,$E125)</f>
        <v>0</v>
      </c>
      <c r="H125" s="1030">
        <f>INDEX('DEFAULT DATA'!$GN$9:$IS$41,H$82,$E125)</f>
        <v>0</v>
      </c>
      <c r="I125" s="1030">
        <f>INDEX('DEFAULT DATA'!$GN$9:$IS$41,I$82,$E125)</f>
        <v>0</v>
      </c>
      <c r="J125" s="1030">
        <f>INDEX('DEFAULT DATA'!$GN$9:$IS$41,J$82,$E125)</f>
        <v>0</v>
      </c>
      <c r="K125" s="1030">
        <f>INDEX('DEFAULT DATA'!$GN$9:$IS$41,K$82,$E125)</f>
        <v>0</v>
      </c>
      <c r="L125" s="1030">
        <f>INDEX('DEFAULT DATA'!$GN$9:$IS$41,L$82,$E125)</f>
        <v>0</v>
      </c>
      <c r="M125" s="1030">
        <f>INDEX('DEFAULT DATA'!$GN$9:$IS$41,M$82,$E125)</f>
        <v>0</v>
      </c>
      <c r="N125" s="1030">
        <f>INDEX('DEFAULT DATA'!$GN$9:$IS$41,N$82,$E125)</f>
        <v>0</v>
      </c>
      <c r="O125" s="1030">
        <f>INDEX('DEFAULT DATA'!$GN$9:$IS$41,O$82,$E125)</f>
        <v>0</v>
      </c>
      <c r="P125" s="1030">
        <f>INDEX('DEFAULT DATA'!$GN$9:$IS$41,P$82,$E125)</f>
        <v>374.1781951114616</v>
      </c>
      <c r="Q125" s="1030">
        <f>INDEX('DEFAULT DATA'!$GN$9:$IS$41,Q$82,$E125)</f>
        <v>0</v>
      </c>
      <c r="R125" s="1030">
        <f>INDEX('DEFAULT DATA'!$GN$9:$IS$41,R$82,$E125)</f>
        <v>0</v>
      </c>
      <c r="S125" s="1030">
        <f>INDEX('DEFAULT DATA'!$GN$9:$IS$41,S$82,$E125)</f>
        <v>0</v>
      </c>
      <c r="T125" s="1030">
        <f>INDEX('DEFAULT DATA'!$GN$9:$IS$41,T$82,$E125)</f>
        <v>0</v>
      </c>
      <c r="U125" s="1030">
        <f>INDEX('DEFAULT DATA'!$GN$9:$IS$41,U$82,$E125)</f>
        <v>0</v>
      </c>
      <c r="V125" s="1030">
        <f>INDEX('DEFAULT DATA'!$GN$9:$IS$41,V$82,$E125)</f>
        <v>0</v>
      </c>
      <c r="W125" s="1030">
        <f>INDEX('DEFAULT DATA'!$GN$9:$IS$41,W$82,$E125)</f>
        <v>0</v>
      </c>
      <c r="X125" s="1030">
        <f>INDEX('DEFAULT DATA'!$GN$9:$IS$41,X$82,$E125)</f>
        <v>0</v>
      </c>
      <c r="Y125" s="1030">
        <f>INDEX('DEFAULT DATA'!$GN$9:$IS$41,Y$82,$E125)</f>
        <v>0</v>
      </c>
      <c r="Z125" s="1030">
        <f>INDEX('DEFAULT DATA'!$GN$9:$IS$41,Z$82,$E125)</f>
        <v>0</v>
      </c>
      <c r="AA125" s="1030">
        <f>INDEX('DEFAULT DATA'!$GN$9:$IS$41,AA$82,$E125)</f>
        <v>0</v>
      </c>
      <c r="AB125" s="1030">
        <f>INDEX('DEFAULT DATA'!$GN$9:$IS$41,AB$82,$E125)</f>
        <v>0</v>
      </c>
      <c r="AC125" s="1030">
        <f>INDEX('DEFAULT DATA'!$GN$9:$IS$41,AC$82,$E125)</f>
        <v>0</v>
      </c>
      <c r="AD125" s="1030">
        <f>INDEX('DEFAULT DATA'!$GN$9:$IS$41,AD$82,$E125)</f>
        <v>0</v>
      </c>
      <c r="AE125" s="1030">
        <f>INDEX('DEFAULT DATA'!$GN$9:$IS$41,AE$82,$E125)</f>
        <v>0</v>
      </c>
      <c r="AF125" s="1030">
        <f>INDEX('DEFAULT DATA'!$GN$9:$IS$41,AF$82,$E125)</f>
        <v>0</v>
      </c>
      <c r="AG125" s="1030">
        <f>INDEX('DEFAULT DATA'!$GN$9:$IS$41,AG$82,$E125)</f>
        <v>0</v>
      </c>
      <c r="AH125" s="1030">
        <f>INDEX('DEFAULT DATA'!$GN$9:$IS$41,AH$82,$E125)</f>
        <v>0</v>
      </c>
      <c r="AI125" s="1030">
        <f>INDEX('DEFAULT DATA'!$GN$9:$IS$41,AI$82,$E125)</f>
        <v>0</v>
      </c>
      <c r="AJ125" s="1030">
        <f>INDEX('DEFAULT DATA'!$GN$9:$IS$41,AJ$82,$E125)</f>
        <v>0</v>
      </c>
      <c r="AK125" s="1030">
        <f>INDEX('DEFAULT DATA'!$GN$9:$IS$41,AK$82,$E125)</f>
        <v>0</v>
      </c>
    </row>
    <row r="126" spans="5:37">
      <c r="E126" s="193">
        <f t="shared" si="6"/>
        <v>43</v>
      </c>
      <c r="F126" s="1030">
        <f>INDEX('DEFAULT DATA'!$GN$9:$IS$41,F$82,$E126)</f>
        <v>0</v>
      </c>
      <c r="G126" s="1030">
        <f>INDEX('DEFAULT DATA'!$GN$9:$IS$41,G$82,$E126)</f>
        <v>0</v>
      </c>
      <c r="H126" s="1030">
        <f>INDEX('DEFAULT DATA'!$GN$9:$IS$41,H$82,$E126)</f>
        <v>0</v>
      </c>
      <c r="I126" s="1030">
        <f>INDEX('DEFAULT DATA'!$GN$9:$IS$41,I$82,$E126)</f>
        <v>0</v>
      </c>
      <c r="J126" s="1030">
        <f>INDEX('DEFAULT DATA'!$GN$9:$IS$41,J$82,$E126)</f>
        <v>0</v>
      </c>
      <c r="K126" s="1030">
        <f>INDEX('DEFAULT DATA'!$GN$9:$IS$41,K$82,$E126)</f>
        <v>0</v>
      </c>
      <c r="L126" s="1030">
        <f>INDEX('DEFAULT DATA'!$GN$9:$IS$41,L$82,$E126)</f>
        <v>0</v>
      </c>
      <c r="M126" s="1030">
        <f>INDEX('DEFAULT DATA'!$GN$9:$IS$41,M$82,$E126)</f>
        <v>0</v>
      </c>
      <c r="N126" s="1030">
        <f>INDEX('DEFAULT DATA'!$GN$9:$IS$41,N$82,$E126)</f>
        <v>0</v>
      </c>
      <c r="O126" s="1030">
        <f>INDEX('DEFAULT DATA'!$GN$9:$IS$41,O$82,$E126)</f>
        <v>0</v>
      </c>
      <c r="P126" s="1030">
        <f>INDEX('DEFAULT DATA'!$GN$9:$IS$41,P$82,$E126)</f>
        <v>161.47946383771776</v>
      </c>
      <c r="Q126" s="1030">
        <f>INDEX('DEFAULT DATA'!$GN$9:$IS$41,Q$82,$E126)</f>
        <v>0</v>
      </c>
      <c r="R126" s="1030">
        <f>INDEX('DEFAULT DATA'!$GN$9:$IS$41,R$82,$E126)</f>
        <v>0</v>
      </c>
      <c r="S126" s="1030">
        <f>INDEX('DEFAULT DATA'!$GN$9:$IS$41,S$82,$E126)</f>
        <v>0</v>
      </c>
      <c r="T126" s="1030">
        <f>INDEX('DEFAULT DATA'!$GN$9:$IS$41,T$82,$E126)</f>
        <v>0</v>
      </c>
      <c r="U126" s="1030">
        <f>INDEX('DEFAULT DATA'!$GN$9:$IS$41,U$82,$E126)</f>
        <v>0</v>
      </c>
      <c r="V126" s="1030">
        <f>INDEX('DEFAULT DATA'!$GN$9:$IS$41,V$82,$E126)</f>
        <v>0</v>
      </c>
      <c r="W126" s="1030">
        <f>INDEX('DEFAULT DATA'!$GN$9:$IS$41,W$82,$E126)</f>
        <v>0</v>
      </c>
      <c r="X126" s="1030">
        <f>INDEX('DEFAULT DATA'!$GN$9:$IS$41,X$82,$E126)</f>
        <v>0</v>
      </c>
      <c r="Y126" s="1030">
        <f>INDEX('DEFAULT DATA'!$GN$9:$IS$41,Y$82,$E126)</f>
        <v>0</v>
      </c>
      <c r="Z126" s="1030">
        <f>INDEX('DEFAULT DATA'!$GN$9:$IS$41,Z$82,$E126)</f>
        <v>0</v>
      </c>
      <c r="AA126" s="1030">
        <f>INDEX('DEFAULT DATA'!$GN$9:$IS$41,AA$82,$E126)</f>
        <v>0</v>
      </c>
      <c r="AB126" s="1030">
        <f>INDEX('DEFAULT DATA'!$GN$9:$IS$41,AB$82,$E126)</f>
        <v>0</v>
      </c>
      <c r="AC126" s="1030">
        <f>INDEX('DEFAULT DATA'!$GN$9:$IS$41,AC$82,$E126)</f>
        <v>0</v>
      </c>
      <c r="AD126" s="1030">
        <f>INDEX('DEFAULT DATA'!$GN$9:$IS$41,AD$82,$E126)</f>
        <v>0</v>
      </c>
      <c r="AE126" s="1030">
        <f>INDEX('DEFAULT DATA'!$GN$9:$IS$41,AE$82,$E126)</f>
        <v>0</v>
      </c>
      <c r="AF126" s="1030">
        <f>INDEX('DEFAULT DATA'!$GN$9:$IS$41,AF$82,$E126)</f>
        <v>0</v>
      </c>
      <c r="AG126" s="1030">
        <f>INDEX('DEFAULT DATA'!$GN$9:$IS$41,AG$82,$E126)</f>
        <v>0</v>
      </c>
      <c r="AH126" s="1030">
        <f>INDEX('DEFAULT DATA'!$GN$9:$IS$41,AH$82,$E126)</f>
        <v>0</v>
      </c>
      <c r="AI126" s="1030">
        <f>INDEX('DEFAULT DATA'!$GN$9:$IS$41,AI$82,$E126)</f>
        <v>0</v>
      </c>
      <c r="AJ126" s="1030">
        <f>INDEX('DEFAULT DATA'!$GN$9:$IS$41,AJ$82,$E126)</f>
        <v>0</v>
      </c>
      <c r="AK126" s="1030">
        <f>INDEX('DEFAULT DATA'!$GN$9:$IS$41,AK$82,$E126)</f>
        <v>0</v>
      </c>
    </row>
    <row r="127" spans="5:37">
      <c r="E127" s="193">
        <f t="shared" si="6"/>
        <v>44</v>
      </c>
      <c r="F127" s="1030">
        <f>INDEX('DEFAULT DATA'!$GN$9:$IS$41,F$82,$E127)</f>
        <v>0</v>
      </c>
      <c r="G127" s="1030">
        <f>INDEX('DEFAULT DATA'!$GN$9:$IS$41,G$82,$E127)</f>
        <v>0</v>
      </c>
      <c r="H127" s="1030">
        <f>INDEX('DEFAULT DATA'!$GN$9:$IS$41,H$82,$E127)</f>
        <v>0</v>
      </c>
      <c r="I127" s="1030">
        <f>INDEX('DEFAULT DATA'!$GN$9:$IS$41,I$82,$E127)</f>
        <v>0</v>
      </c>
      <c r="J127" s="1030">
        <f>INDEX('DEFAULT DATA'!$GN$9:$IS$41,J$82,$E127)</f>
        <v>0</v>
      </c>
      <c r="K127" s="1030">
        <f>INDEX('DEFAULT DATA'!$GN$9:$IS$41,K$82,$E127)</f>
        <v>0</v>
      </c>
      <c r="L127" s="1030">
        <f>INDEX('DEFAULT DATA'!$GN$9:$IS$41,L$82,$E127)</f>
        <v>0</v>
      </c>
      <c r="M127" s="1030">
        <f>INDEX('DEFAULT DATA'!$GN$9:$IS$41,M$82,$E127)</f>
        <v>0</v>
      </c>
      <c r="N127" s="1030">
        <f>INDEX('DEFAULT DATA'!$GN$9:$IS$41,N$82,$E127)</f>
        <v>0</v>
      </c>
      <c r="O127" s="1030">
        <f>INDEX('DEFAULT DATA'!$GN$9:$IS$41,O$82,$E127)</f>
        <v>0</v>
      </c>
      <c r="P127" s="1030">
        <f>INDEX('DEFAULT DATA'!$GN$9:$IS$41,P$82,$E127)</f>
        <v>105.97089814350227</v>
      </c>
      <c r="Q127" s="1030">
        <f>INDEX('DEFAULT DATA'!$GN$9:$IS$41,Q$82,$E127)</f>
        <v>0</v>
      </c>
      <c r="R127" s="1030">
        <f>INDEX('DEFAULT DATA'!$GN$9:$IS$41,R$82,$E127)</f>
        <v>0</v>
      </c>
      <c r="S127" s="1030">
        <f>INDEX('DEFAULT DATA'!$GN$9:$IS$41,S$82,$E127)</f>
        <v>0</v>
      </c>
      <c r="T127" s="1030">
        <f>INDEX('DEFAULT DATA'!$GN$9:$IS$41,T$82,$E127)</f>
        <v>0</v>
      </c>
      <c r="U127" s="1030">
        <f>INDEX('DEFAULT DATA'!$GN$9:$IS$41,U$82,$E127)</f>
        <v>0</v>
      </c>
      <c r="V127" s="1030">
        <f>INDEX('DEFAULT DATA'!$GN$9:$IS$41,V$82,$E127)</f>
        <v>0</v>
      </c>
      <c r="W127" s="1030">
        <f>INDEX('DEFAULT DATA'!$GN$9:$IS$41,W$82,$E127)</f>
        <v>0</v>
      </c>
      <c r="X127" s="1030">
        <f>INDEX('DEFAULT DATA'!$GN$9:$IS$41,X$82,$E127)</f>
        <v>0</v>
      </c>
      <c r="Y127" s="1030">
        <f>INDEX('DEFAULT DATA'!$GN$9:$IS$41,Y$82,$E127)</f>
        <v>0</v>
      </c>
      <c r="Z127" s="1030">
        <f>INDEX('DEFAULT DATA'!$GN$9:$IS$41,Z$82,$E127)</f>
        <v>0</v>
      </c>
      <c r="AA127" s="1030">
        <f>INDEX('DEFAULT DATA'!$GN$9:$IS$41,AA$82,$E127)</f>
        <v>0</v>
      </c>
      <c r="AB127" s="1030">
        <f>INDEX('DEFAULT DATA'!$GN$9:$IS$41,AB$82,$E127)</f>
        <v>0</v>
      </c>
      <c r="AC127" s="1030">
        <f>INDEX('DEFAULT DATA'!$GN$9:$IS$41,AC$82,$E127)</f>
        <v>0</v>
      </c>
      <c r="AD127" s="1030">
        <f>INDEX('DEFAULT DATA'!$GN$9:$IS$41,AD$82,$E127)</f>
        <v>0</v>
      </c>
      <c r="AE127" s="1030">
        <f>INDEX('DEFAULT DATA'!$GN$9:$IS$41,AE$82,$E127)</f>
        <v>0</v>
      </c>
      <c r="AF127" s="1030">
        <f>INDEX('DEFAULT DATA'!$GN$9:$IS$41,AF$82,$E127)</f>
        <v>0</v>
      </c>
      <c r="AG127" s="1030">
        <f>INDEX('DEFAULT DATA'!$GN$9:$IS$41,AG$82,$E127)</f>
        <v>0</v>
      </c>
      <c r="AH127" s="1030">
        <f>INDEX('DEFAULT DATA'!$GN$9:$IS$41,AH$82,$E127)</f>
        <v>0</v>
      </c>
      <c r="AI127" s="1030">
        <f>INDEX('DEFAULT DATA'!$GN$9:$IS$41,AI$82,$E127)</f>
        <v>0</v>
      </c>
      <c r="AJ127" s="1030">
        <f>INDEX('DEFAULT DATA'!$GN$9:$IS$41,AJ$82,$E127)</f>
        <v>0</v>
      </c>
      <c r="AK127" s="1030">
        <f>INDEX('DEFAULT DATA'!$GN$9:$IS$41,AK$82,$E127)</f>
        <v>0</v>
      </c>
    </row>
    <row r="128" spans="5:37">
      <c r="E128" s="193">
        <f t="shared" si="6"/>
        <v>45</v>
      </c>
      <c r="F128" s="1030">
        <f>INDEX('DEFAULT DATA'!$GN$9:$IS$41,F$82,$E128)</f>
        <v>0</v>
      </c>
      <c r="G128" s="1030">
        <f>INDEX('DEFAULT DATA'!$GN$9:$IS$41,G$82,$E128)</f>
        <v>0</v>
      </c>
      <c r="H128" s="1030">
        <f>INDEX('DEFAULT DATA'!$GN$9:$IS$41,H$82,$E128)</f>
        <v>0</v>
      </c>
      <c r="I128" s="1030">
        <f>INDEX('DEFAULT DATA'!$GN$9:$IS$41,I$82,$E128)</f>
        <v>0</v>
      </c>
      <c r="J128" s="1030">
        <f>INDEX('DEFAULT DATA'!$GN$9:$IS$41,J$82,$E128)</f>
        <v>0</v>
      </c>
      <c r="K128" s="1030">
        <f>INDEX('DEFAULT DATA'!$GN$9:$IS$41,K$82,$E128)</f>
        <v>0</v>
      </c>
      <c r="L128" s="1030">
        <f>INDEX('DEFAULT DATA'!$GN$9:$IS$41,L$82,$E128)</f>
        <v>0</v>
      </c>
      <c r="M128" s="1030">
        <f>INDEX('DEFAULT DATA'!$GN$9:$IS$41,M$82,$E128)</f>
        <v>0</v>
      </c>
      <c r="N128" s="1030">
        <f>INDEX('DEFAULT DATA'!$GN$9:$IS$41,N$82,$E128)</f>
        <v>0</v>
      </c>
      <c r="O128" s="1030">
        <f>INDEX('DEFAULT DATA'!$GN$9:$IS$41,O$82,$E128)</f>
        <v>0</v>
      </c>
      <c r="P128" s="1030">
        <f>INDEX('DEFAULT DATA'!$GN$9:$IS$41,P$82,$E128)</f>
        <v>153.91011397032472</v>
      </c>
      <c r="Q128" s="1030">
        <f>INDEX('DEFAULT DATA'!$GN$9:$IS$41,Q$82,$E128)</f>
        <v>0</v>
      </c>
      <c r="R128" s="1030">
        <f>INDEX('DEFAULT DATA'!$GN$9:$IS$41,R$82,$E128)</f>
        <v>0</v>
      </c>
      <c r="S128" s="1030">
        <f>INDEX('DEFAULT DATA'!$GN$9:$IS$41,S$82,$E128)</f>
        <v>0</v>
      </c>
      <c r="T128" s="1030">
        <f>INDEX('DEFAULT DATA'!$GN$9:$IS$41,T$82,$E128)</f>
        <v>0</v>
      </c>
      <c r="U128" s="1030">
        <f>INDEX('DEFAULT DATA'!$GN$9:$IS$41,U$82,$E128)</f>
        <v>0</v>
      </c>
      <c r="V128" s="1030">
        <f>INDEX('DEFAULT DATA'!$GN$9:$IS$41,V$82,$E128)</f>
        <v>0</v>
      </c>
      <c r="W128" s="1030">
        <f>INDEX('DEFAULT DATA'!$GN$9:$IS$41,W$82,$E128)</f>
        <v>0</v>
      </c>
      <c r="X128" s="1030">
        <f>INDEX('DEFAULT DATA'!$GN$9:$IS$41,X$82,$E128)</f>
        <v>0</v>
      </c>
      <c r="Y128" s="1030">
        <f>INDEX('DEFAULT DATA'!$GN$9:$IS$41,Y$82,$E128)</f>
        <v>0</v>
      </c>
      <c r="Z128" s="1030">
        <f>INDEX('DEFAULT DATA'!$GN$9:$IS$41,Z$82,$E128)</f>
        <v>0</v>
      </c>
      <c r="AA128" s="1030">
        <f>INDEX('DEFAULT DATA'!$GN$9:$IS$41,AA$82,$E128)</f>
        <v>0</v>
      </c>
      <c r="AB128" s="1030">
        <f>INDEX('DEFAULT DATA'!$GN$9:$IS$41,AB$82,$E128)</f>
        <v>0</v>
      </c>
      <c r="AC128" s="1030">
        <f>INDEX('DEFAULT DATA'!$GN$9:$IS$41,AC$82,$E128)</f>
        <v>0</v>
      </c>
      <c r="AD128" s="1030">
        <f>INDEX('DEFAULT DATA'!$GN$9:$IS$41,AD$82,$E128)</f>
        <v>0</v>
      </c>
      <c r="AE128" s="1030">
        <f>INDEX('DEFAULT DATA'!$GN$9:$IS$41,AE$82,$E128)</f>
        <v>0</v>
      </c>
      <c r="AF128" s="1030">
        <f>INDEX('DEFAULT DATA'!$GN$9:$IS$41,AF$82,$E128)</f>
        <v>0</v>
      </c>
      <c r="AG128" s="1030">
        <f>INDEX('DEFAULT DATA'!$GN$9:$IS$41,AG$82,$E128)</f>
        <v>0</v>
      </c>
      <c r="AH128" s="1030">
        <f>INDEX('DEFAULT DATA'!$GN$9:$IS$41,AH$82,$E128)</f>
        <v>0</v>
      </c>
      <c r="AI128" s="1030">
        <f>INDEX('DEFAULT DATA'!$GN$9:$IS$41,AI$82,$E128)</f>
        <v>0</v>
      </c>
      <c r="AJ128" s="1030">
        <f>INDEX('DEFAULT DATA'!$GN$9:$IS$41,AJ$82,$E128)</f>
        <v>0</v>
      </c>
      <c r="AK128" s="1030">
        <f>INDEX('DEFAULT DATA'!$GN$9:$IS$41,AK$82,$E128)</f>
        <v>0</v>
      </c>
    </row>
    <row r="129" spans="5:37">
      <c r="E129" s="193">
        <f t="shared" si="6"/>
        <v>46</v>
      </c>
      <c r="F129" s="1030">
        <f>INDEX('DEFAULT DATA'!$GN$9:$IS$41,F$82,$E129)</f>
        <v>0</v>
      </c>
      <c r="G129" s="1030">
        <f>INDEX('DEFAULT DATA'!$GN$9:$IS$41,G$82,$E129)</f>
        <v>0</v>
      </c>
      <c r="H129" s="1030">
        <f>INDEX('DEFAULT DATA'!$GN$9:$IS$41,H$82,$E129)</f>
        <v>0</v>
      </c>
      <c r="I129" s="1030">
        <f>INDEX('DEFAULT DATA'!$GN$9:$IS$41,I$82,$E129)</f>
        <v>0</v>
      </c>
      <c r="J129" s="1030">
        <f>INDEX('DEFAULT DATA'!$GN$9:$IS$41,J$82,$E129)</f>
        <v>0</v>
      </c>
      <c r="K129" s="1030">
        <f>INDEX('DEFAULT DATA'!$GN$9:$IS$41,K$82,$E129)</f>
        <v>0</v>
      </c>
      <c r="L129" s="1030">
        <f>INDEX('DEFAULT DATA'!$GN$9:$IS$41,L$82,$E129)</f>
        <v>0</v>
      </c>
      <c r="M129" s="1030">
        <f>INDEX('DEFAULT DATA'!$GN$9:$IS$41,M$82,$E129)</f>
        <v>0</v>
      </c>
      <c r="N129" s="1030">
        <f>INDEX('DEFAULT DATA'!$GN$9:$IS$41,N$82,$E129)</f>
        <v>0</v>
      </c>
      <c r="O129" s="1030">
        <f>INDEX('DEFAULT DATA'!$GN$9:$IS$41,O$82,$E129)</f>
        <v>0</v>
      </c>
      <c r="P129" s="1030">
        <f>INDEX('DEFAULT DATA'!$GN$9:$IS$41,P$82,$E129)</f>
        <v>80.73973191885888</v>
      </c>
      <c r="Q129" s="1030">
        <f>INDEX('DEFAULT DATA'!$GN$9:$IS$41,Q$82,$E129)</f>
        <v>0</v>
      </c>
      <c r="R129" s="1030">
        <f>INDEX('DEFAULT DATA'!$GN$9:$IS$41,R$82,$E129)</f>
        <v>0</v>
      </c>
      <c r="S129" s="1030">
        <f>INDEX('DEFAULT DATA'!$GN$9:$IS$41,S$82,$E129)</f>
        <v>0</v>
      </c>
      <c r="T129" s="1030">
        <f>INDEX('DEFAULT DATA'!$GN$9:$IS$41,T$82,$E129)</f>
        <v>0</v>
      </c>
      <c r="U129" s="1030">
        <f>INDEX('DEFAULT DATA'!$GN$9:$IS$41,U$82,$E129)</f>
        <v>0</v>
      </c>
      <c r="V129" s="1030">
        <f>INDEX('DEFAULT DATA'!$GN$9:$IS$41,V$82,$E129)</f>
        <v>0</v>
      </c>
      <c r="W129" s="1030">
        <f>INDEX('DEFAULT DATA'!$GN$9:$IS$41,W$82,$E129)</f>
        <v>0</v>
      </c>
      <c r="X129" s="1030">
        <f>INDEX('DEFAULT DATA'!$GN$9:$IS$41,X$82,$E129)</f>
        <v>0</v>
      </c>
      <c r="Y129" s="1030">
        <f>INDEX('DEFAULT DATA'!$GN$9:$IS$41,Y$82,$E129)</f>
        <v>0</v>
      </c>
      <c r="Z129" s="1030">
        <f>INDEX('DEFAULT DATA'!$GN$9:$IS$41,Z$82,$E129)</f>
        <v>0</v>
      </c>
      <c r="AA129" s="1030">
        <f>INDEX('DEFAULT DATA'!$GN$9:$IS$41,AA$82,$E129)</f>
        <v>0</v>
      </c>
      <c r="AB129" s="1030">
        <f>INDEX('DEFAULT DATA'!$GN$9:$IS$41,AB$82,$E129)</f>
        <v>0</v>
      </c>
      <c r="AC129" s="1030">
        <f>INDEX('DEFAULT DATA'!$GN$9:$IS$41,AC$82,$E129)</f>
        <v>0</v>
      </c>
      <c r="AD129" s="1030">
        <f>INDEX('DEFAULT DATA'!$GN$9:$IS$41,AD$82,$E129)</f>
        <v>0</v>
      </c>
      <c r="AE129" s="1030">
        <f>INDEX('DEFAULT DATA'!$GN$9:$IS$41,AE$82,$E129)</f>
        <v>0</v>
      </c>
      <c r="AF129" s="1030">
        <f>INDEX('DEFAULT DATA'!$GN$9:$IS$41,AF$82,$E129)</f>
        <v>0</v>
      </c>
      <c r="AG129" s="1030">
        <f>INDEX('DEFAULT DATA'!$GN$9:$IS$41,AG$82,$E129)</f>
        <v>0</v>
      </c>
      <c r="AH129" s="1030">
        <f>INDEX('DEFAULT DATA'!$GN$9:$IS$41,AH$82,$E129)</f>
        <v>0</v>
      </c>
      <c r="AI129" s="1030">
        <f>INDEX('DEFAULT DATA'!$GN$9:$IS$41,AI$82,$E129)</f>
        <v>0</v>
      </c>
      <c r="AJ129" s="1030">
        <f>INDEX('DEFAULT DATA'!$GN$9:$IS$41,AJ$82,$E129)</f>
        <v>0</v>
      </c>
      <c r="AK129" s="1030">
        <f>INDEX('DEFAULT DATA'!$GN$9:$IS$41,AK$82,$E129)</f>
        <v>0</v>
      </c>
    </row>
    <row r="130" spans="5:37">
      <c r="E130" s="193">
        <f t="shared" si="6"/>
        <v>47</v>
      </c>
      <c r="F130" s="1030">
        <f>INDEX('DEFAULT DATA'!$GN$9:$IS$41,F$82,$E130)</f>
        <v>0</v>
      </c>
      <c r="G130" s="1030">
        <f>INDEX('DEFAULT DATA'!$GN$9:$IS$41,G$82,$E130)</f>
        <v>0</v>
      </c>
      <c r="H130" s="1030">
        <f>INDEX('DEFAULT DATA'!$GN$9:$IS$41,H$82,$E130)</f>
        <v>0</v>
      </c>
      <c r="I130" s="1030">
        <f>INDEX('DEFAULT DATA'!$GN$9:$IS$41,I$82,$E130)</f>
        <v>0</v>
      </c>
      <c r="J130" s="1030">
        <f>INDEX('DEFAULT DATA'!$GN$9:$IS$41,J$82,$E130)</f>
        <v>0</v>
      </c>
      <c r="K130" s="1030">
        <f>INDEX('DEFAULT DATA'!$GN$9:$IS$41,K$82,$E130)</f>
        <v>0</v>
      </c>
      <c r="L130" s="1030">
        <f>INDEX('DEFAULT DATA'!$GN$9:$IS$41,L$82,$E130)</f>
        <v>0</v>
      </c>
      <c r="M130" s="1030">
        <f>INDEX('DEFAULT DATA'!$GN$9:$IS$41,M$82,$E130)</f>
        <v>0</v>
      </c>
      <c r="N130" s="1030">
        <f>INDEX('DEFAULT DATA'!$GN$9:$IS$41,N$82,$E130)</f>
        <v>0</v>
      </c>
      <c r="O130" s="1030">
        <f>INDEX('DEFAULT DATA'!$GN$9:$IS$41,O$82,$E130)</f>
        <v>0</v>
      </c>
      <c r="P130" s="1030">
        <f>INDEX('DEFAULT DATA'!$GN$9:$IS$41,P$82,$E130)</f>
        <v>199.32621317468286</v>
      </c>
      <c r="Q130" s="1030">
        <f>INDEX('DEFAULT DATA'!$GN$9:$IS$41,Q$82,$E130)</f>
        <v>0</v>
      </c>
      <c r="R130" s="1030">
        <f>INDEX('DEFAULT DATA'!$GN$9:$IS$41,R$82,$E130)</f>
        <v>0</v>
      </c>
      <c r="S130" s="1030">
        <f>INDEX('DEFAULT DATA'!$GN$9:$IS$41,S$82,$E130)</f>
        <v>0</v>
      </c>
      <c r="T130" s="1030">
        <f>INDEX('DEFAULT DATA'!$GN$9:$IS$41,T$82,$E130)</f>
        <v>0</v>
      </c>
      <c r="U130" s="1030">
        <f>INDEX('DEFAULT DATA'!$GN$9:$IS$41,U$82,$E130)</f>
        <v>0</v>
      </c>
      <c r="V130" s="1030">
        <f>INDEX('DEFAULT DATA'!$GN$9:$IS$41,V$82,$E130)</f>
        <v>0</v>
      </c>
      <c r="W130" s="1030">
        <f>INDEX('DEFAULT DATA'!$GN$9:$IS$41,W$82,$E130)</f>
        <v>0</v>
      </c>
      <c r="X130" s="1030">
        <f>INDEX('DEFAULT DATA'!$GN$9:$IS$41,X$82,$E130)</f>
        <v>0</v>
      </c>
      <c r="Y130" s="1030">
        <f>INDEX('DEFAULT DATA'!$GN$9:$IS$41,Y$82,$E130)</f>
        <v>0</v>
      </c>
      <c r="Z130" s="1030">
        <f>INDEX('DEFAULT DATA'!$GN$9:$IS$41,Z$82,$E130)</f>
        <v>0</v>
      </c>
      <c r="AA130" s="1030">
        <f>INDEX('DEFAULT DATA'!$GN$9:$IS$41,AA$82,$E130)</f>
        <v>0</v>
      </c>
      <c r="AB130" s="1030">
        <f>INDEX('DEFAULT DATA'!$GN$9:$IS$41,AB$82,$E130)</f>
        <v>0</v>
      </c>
      <c r="AC130" s="1030">
        <f>INDEX('DEFAULT DATA'!$GN$9:$IS$41,AC$82,$E130)</f>
        <v>0</v>
      </c>
      <c r="AD130" s="1030">
        <f>INDEX('DEFAULT DATA'!$GN$9:$IS$41,AD$82,$E130)</f>
        <v>0</v>
      </c>
      <c r="AE130" s="1030">
        <f>INDEX('DEFAULT DATA'!$GN$9:$IS$41,AE$82,$E130)</f>
        <v>0</v>
      </c>
      <c r="AF130" s="1030">
        <f>INDEX('DEFAULT DATA'!$GN$9:$IS$41,AF$82,$E130)</f>
        <v>0</v>
      </c>
      <c r="AG130" s="1030">
        <f>INDEX('DEFAULT DATA'!$GN$9:$IS$41,AG$82,$E130)</f>
        <v>0</v>
      </c>
      <c r="AH130" s="1030">
        <f>INDEX('DEFAULT DATA'!$GN$9:$IS$41,AH$82,$E130)</f>
        <v>0</v>
      </c>
      <c r="AI130" s="1030">
        <f>INDEX('DEFAULT DATA'!$GN$9:$IS$41,AI$82,$E130)</f>
        <v>0</v>
      </c>
      <c r="AJ130" s="1030">
        <f>INDEX('DEFAULT DATA'!$GN$9:$IS$41,AJ$82,$E130)</f>
        <v>0</v>
      </c>
      <c r="AK130" s="1030">
        <f>INDEX('DEFAULT DATA'!$GN$9:$IS$41,AK$82,$E130)</f>
        <v>0</v>
      </c>
    </row>
    <row r="131" spans="5:37">
      <c r="E131" s="193">
        <f t="shared" si="6"/>
        <v>48</v>
      </c>
      <c r="F131" s="1030">
        <f>INDEX('DEFAULT DATA'!$GN$9:$IS$41,F$82,$E131)</f>
        <v>0</v>
      </c>
      <c r="G131" s="1030">
        <f>INDEX('DEFAULT DATA'!$GN$9:$IS$41,G$82,$E131)</f>
        <v>0</v>
      </c>
      <c r="H131" s="1030">
        <f>INDEX('DEFAULT DATA'!$GN$9:$IS$41,H$82,$E131)</f>
        <v>0</v>
      </c>
      <c r="I131" s="1030">
        <f>INDEX('DEFAULT DATA'!$GN$9:$IS$41,I$82,$E131)</f>
        <v>0</v>
      </c>
      <c r="J131" s="1030">
        <f>INDEX('DEFAULT DATA'!$GN$9:$IS$41,J$82,$E131)</f>
        <v>0</v>
      </c>
      <c r="K131" s="1030">
        <f>INDEX('DEFAULT DATA'!$GN$9:$IS$41,K$82,$E131)</f>
        <v>0</v>
      </c>
      <c r="L131" s="1030">
        <f>INDEX('DEFAULT DATA'!$GN$9:$IS$41,L$82,$E131)</f>
        <v>0</v>
      </c>
      <c r="M131" s="1030">
        <f>INDEX('DEFAULT DATA'!$GN$9:$IS$41,M$82,$E131)</f>
        <v>0</v>
      </c>
      <c r="N131" s="1030">
        <f>INDEX('DEFAULT DATA'!$GN$9:$IS$41,N$82,$E131)</f>
        <v>0</v>
      </c>
      <c r="O131" s="1030">
        <f>INDEX('DEFAULT DATA'!$GN$9:$IS$41,O$82,$E131)</f>
        <v>0</v>
      </c>
      <c r="P131" s="1030">
        <f>INDEX('DEFAULT DATA'!$GN$9:$IS$41,P$82,$E131)</f>
        <v>7.06472654290015</v>
      </c>
      <c r="Q131" s="1030">
        <f>INDEX('DEFAULT DATA'!$GN$9:$IS$41,Q$82,$E131)</f>
        <v>0</v>
      </c>
      <c r="R131" s="1030">
        <f>INDEX('DEFAULT DATA'!$GN$9:$IS$41,R$82,$E131)</f>
        <v>0</v>
      </c>
      <c r="S131" s="1030">
        <f>INDEX('DEFAULT DATA'!$GN$9:$IS$41,S$82,$E131)</f>
        <v>0</v>
      </c>
      <c r="T131" s="1030">
        <f>INDEX('DEFAULT DATA'!$GN$9:$IS$41,T$82,$E131)</f>
        <v>0</v>
      </c>
      <c r="U131" s="1030">
        <f>INDEX('DEFAULT DATA'!$GN$9:$IS$41,U$82,$E131)</f>
        <v>0</v>
      </c>
      <c r="V131" s="1030">
        <f>INDEX('DEFAULT DATA'!$GN$9:$IS$41,V$82,$E131)</f>
        <v>0</v>
      </c>
      <c r="W131" s="1030">
        <f>INDEX('DEFAULT DATA'!$GN$9:$IS$41,W$82,$E131)</f>
        <v>0</v>
      </c>
      <c r="X131" s="1030">
        <f>INDEX('DEFAULT DATA'!$GN$9:$IS$41,X$82,$E131)</f>
        <v>0</v>
      </c>
      <c r="Y131" s="1030">
        <f>INDEX('DEFAULT DATA'!$GN$9:$IS$41,Y$82,$E131)</f>
        <v>0</v>
      </c>
      <c r="Z131" s="1030">
        <f>INDEX('DEFAULT DATA'!$GN$9:$IS$41,Z$82,$E131)</f>
        <v>0</v>
      </c>
      <c r="AA131" s="1030">
        <f>INDEX('DEFAULT DATA'!$GN$9:$IS$41,AA$82,$E131)</f>
        <v>0</v>
      </c>
      <c r="AB131" s="1030">
        <f>INDEX('DEFAULT DATA'!$GN$9:$IS$41,AB$82,$E131)</f>
        <v>0</v>
      </c>
      <c r="AC131" s="1030">
        <f>INDEX('DEFAULT DATA'!$GN$9:$IS$41,AC$82,$E131)</f>
        <v>0</v>
      </c>
      <c r="AD131" s="1030">
        <f>INDEX('DEFAULT DATA'!$GN$9:$IS$41,AD$82,$E131)</f>
        <v>0</v>
      </c>
      <c r="AE131" s="1030">
        <f>INDEX('DEFAULT DATA'!$GN$9:$IS$41,AE$82,$E131)</f>
        <v>0</v>
      </c>
      <c r="AF131" s="1030">
        <f>INDEX('DEFAULT DATA'!$GN$9:$IS$41,AF$82,$E131)</f>
        <v>0</v>
      </c>
      <c r="AG131" s="1030">
        <f>INDEX('DEFAULT DATA'!$GN$9:$IS$41,AG$82,$E131)</f>
        <v>0</v>
      </c>
      <c r="AH131" s="1030">
        <f>INDEX('DEFAULT DATA'!$GN$9:$IS$41,AH$82,$E131)</f>
        <v>0</v>
      </c>
      <c r="AI131" s="1030">
        <f>INDEX('DEFAULT DATA'!$GN$9:$IS$41,AI$82,$E131)</f>
        <v>0</v>
      </c>
      <c r="AJ131" s="1030">
        <f>INDEX('DEFAULT DATA'!$GN$9:$IS$41,AJ$82,$E131)</f>
        <v>0</v>
      </c>
      <c r="AK131" s="1030">
        <f>INDEX('DEFAULT DATA'!$GN$9:$IS$41,AK$82,$E131)</f>
        <v>0</v>
      </c>
    </row>
    <row r="132" spans="5:37">
      <c r="E132" s="193">
        <f t="shared" si="6"/>
        <v>49</v>
      </c>
      <c r="F132" s="1030">
        <f>INDEX('DEFAULT DATA'!$GN$9:$IS$41,F$82,$E132)</f>
        <v>0</v>
      </c>
      <c r="G132" s="1030">
        <f>INDEX('DEFAULT DATA'!$GN$9:$IS$41,G$82,$E132)</f>
        <v>0</v>
      </c>
      <c r="H132" s="1030">
        <f>INDEX('DEFAULT DATA'!$GN$9:$IS$41,H$82,$E132)</f>
        <v>0</v>
      </c>
      <c r="I132" s="1030">
        <f>INDEX('DEFAULT DATA'!$GN$9:$IS$41,I$82,$E132)</f>
        <v>0</v>
      </c>
      <c r="J132" s="1030">
        <f>INDEX('DEFAULT DATA'!$GN$9:$IS$41,J$82,$E132)</f>
        <v>0</v>
      </c>
      <c r="K132" s="1030">
        <f>INDEX('DEFAULT DATA'!$GN$9:$IS$41,K$82,$E132)</f>
        <v>0</v>
      </c>
      <c r="L132" s="1030">
        <f>INDEX('DEFAULT DATA'!$GN$9:$IS$41,L$82,$E132)</f>
        <v>0</v>
      </c>
      <c r="M132" s="1030">
        <f>INDEX('DEFAULT DATA'!$GN$9:$IS$41,M$82,$E132)</f>
        <v>0</v>
      </c>
      <c r="N132" s="1030">
        <f>INDEX('DEFAULT DATA'!$GN$9:$IS$41,N$82,$E132)</f>
        <v>0</v>
      </c>
      <c r="O132" s="1030">
        <f>INDEX('DEFAULT DATA'!$GN$9:$IS$41,O$82,$E132)</f>
        <v>0</v>
      </c>
      <c r="P132" s="1030">
        <f>INDEX('DEFAULT DATA'!$GN$9:$IS$41,P$82,$E132)</f>
        <v>48.443839151315309</v>
      </c>
      <c r="Q132" s="1030">
        <f>INDEX('DEFAULT DATA'!$GN$9:$IS$41,Q$82,$E132)</f>
        <v>0</v>
      </c>
      <c r="R132" s="1030">
        <f>INDEX('DEFAULT DATA'!$GN$9:$IS$41,R$82,$E132)</f>
        <v>0</v>
      </c>
      <c r="S132" s="1030">
        <f>INDEX('DEFAULT DATA'!$GN$9:$IS$41,S$82,$E132)</f>
        <v>0</v>
      </c>
      <c r="T132" s="1030">
        <f>INDEX('DEFAULT DATA'!$GN$9:$IS$41,T$82,$E132)</f>
        <v>0</v>
      </c>
      <c r="U132" s="1030">
        <f>INDEX('DEFAULT DATA'!$GN$9:$IS$41,U$82,$E132)</f>
        <v>0</v>
      </c>
      <c r="V132" s="1030">
        <f>INDEX('DEFAULT DATA'!$GN$9:$IS$41,V$82,$E132)</f>
        <v>0</v>
      </c>
      <c r="W132" s="1030">
        <f>INDEX('DEFAULT DATA'!$GN$9:$IS$41,W$82,$E132)</f>
        <v>0</v>
      </c>
      <c r="X132" s="1030">
        <f>INDEX('DEFAULT DATA'!$GN$9:$IS$41,X$82,$E132)</f>
        <v>0</v>
      </c>
      <c r="Y132" s="1030">
        <f>INDEX('DEFAULT DATA'!$GN$9:$IS$41,Y$82,$E132)</f>
        <v>0</v>
      </c>
      <c r="Z132" s="1030">
        <f>INDEX('DEFAULT DATA'!$GN$9:$IS$41,Z$82,$E132)</f>
        <v>0</v>
      </c>
      <c r="AA132" s="1030">
        <f>INDEX('DEFAULT DATA'!$GN$9:$IS$41,AA$82,$E132)</f>
        <v>0</v>
      </c>
      <c r="AB132" s="1030">
        <f>INDEX('DEFAULT DATA'!$GN$9:$IS$41,AB$82,$E132)</f>
        <v>0</v>
      </c>
      <c r="AC132" s="1030">
        <f>INDEX('DEFAULT DATA'!$GN$9:$IS$41,AC$82,$E132)</f>
        <v>0</v>
      </c>
      <c r="AD132" s="1030">
        <f>INDEX('DEFAULT DATA'!$GN$9:$IS$41,AD$82,$E132)</f>
        <v>0</v>
      </c>
      <c r="AE132" s="1030">
        <f>INDEX('DEFAULT DATA'!$GN$9:$IS$41,AE$82,$E132)</f>
        <v>0</v>
      </c>
      <c r="AF132" s="1030">
        <f>INDEX('DEFAULT DATA'!$GN$9:$IS$41,AF$82,$E132)</f>
        <v>0</v>
      </c>
      <c r="AG132" s="1030">
        <f>INDEX('DEFAULT DATA'!$GN$9:$IS$41,AG$82,$E132)</f>
        <v>0</v>
      </c>
      <c r="AH132" s="1030">
        <f>INDEX('DEFAULT DATA'!$GN$9:$IS$41,AH$82,$E132)</f>
        <v>0</v>
      </c>
      <c r="AI132" s="1030">
        <f>INDEX('DEFAULT DATA'!$GN$9:$IS$41,AI$82,$E132)</f>
        <v>0</v>
      </c>
      <c r="AJ132" s="1030">
        <f>INDEX('DEFAULT DATA'!$GN$9:$IS$41,AJ$82,$E132)</f>
        <v>0</v>
      </c>
      <c r="AK132" s="1030">
        <f>INDEX('DEFAULT DATA'!$GN$9:$IS$41,AK$82,$E132)</f>
        <v>0</v>
      </c>
    </row>
    <row r="133" spans="5:37">
      <c r="E133" s="193">
        <f t="shared" si="6"/>
        <v>50</v>
      </c>
      <c r="F133" s="1030">
        <f>INDEX('DEFAULT DATA'!$GN$9:$IS$41,F$82,$E133)</f>
        <v>0</v>
      </c>
      <c r="G133" s="1030">
        <f>INDEX('DEFAULT DATA'!$GN$9:$IS$41,G$82,$E133)</f>
        <v>0</v>
      </c>
      <c r="H133" s="1030">
        <f>INDEX('DEFAULT DATA'!$GN$9:$IS$41,H$82,$E133)</f>
        <v>0</v>
      </c>
      <c r="I133" s="1030">
        <f>INDEX('DEFAULT DATA'!$GN$9:$IS$41,I$82,$E133)</f>
        <v>0</v>
      </c>
      <c r="J133" s="1030">
        <f>INDEX('DEFAULT DATA'!$GN$9:$IS$41,J$82,$E133)</f>
        <v>0</v>
      </c>
      <c r="K133" s="1030">
        <f>INDEX('DEFAULT DATA'!$GN$9:$IS$41,K$82,$E133)</f>
        <v>0</v>
      </c>
      <c r="L133" s="1030">
        <f>INDEX('DEFAULT DATA'!$GN$9:$IS$41,L$82,$E133)</f>
        <v>0</v>
      </c>
      <c r="M133" s="1030">
        <f>INDEX('DEFAULT DATA'!$GN$9:$IS$41,M$82,$E133)</f>
        <v>0</v>
      </c>
      <c r="N133" s="1030">
        <f>INDEX('DEFAULT DATA'!$GN$9:$IS$41,N$82,$E133)</f>
        <v>0</v>
      </c>
      <c r="O133" s="1030">
        <f>INDEX('DEFAULT DATA'!$GN$9:$IS$41,O$82,$E133)</f>
        <v>0</v>
      </c>
      <c r="P133" s="1030">
        <f>INDEX('DEFAULT DATA'!$GN$9:$IS$41,P$82,$E133)</f>
        <v>83.262848541323208</v>
      </c>
      <c r="Q133" s="1030">
        <f>INDEX('DEFAULT DATA'!$GN$9:$IS$41,Q$82,$E133)</f>
        <v>0</v>
      </c>
      <c r="R133" s="1030">
        <f>INDEX('DEFAULT DATA'!$GN$9:$IS$41,R$82,$E133)</f>
        <v>0</v>
      </c>
      <c r="S133" s="1030">
        <f>INDEX('DEFAULT DATA'!$GN$9:$IS$41,S$82,$E133)</f>
        <v>0</v>
      </c>
      <c r="T133" s="1030">
        <f>INDEX('DEFAULT DATA'!$GN$9:$IS$41,T$82,$E133)</f>
        <v>0</v>
      </c>
      <c r="U133" s="1030">
        <f>INDEX('DEFAULT DATA'!$GN$9:$IS$41,U$82,$E133)</f>
        <v>0</v>
      </c>
      <c r="V133" s="1030">
        <f>INDEX('DEFAULT DATA'!$GN$9:$IS$41,V$82,$E133)</f>
        <v>0</v>
      </c>
      <c r="W133" s="1030">
        <f>INDEX('DEFAULT DATA'!$GN$9:$IS$41,W$82,$E133)</f>
        <v>0</v>
      </c>
      <c r="X133" s="1030">
        <f>INDEX('DEFAULT DATA'!$GN$9:$IS$41,X$82,$E133)</f>
        <v>0</v>
      </c>
      <c r="Y133" s="1030">
        <f>INDEX('DEFAULT DATA'!$GN$9:$IS$41,Y$82,$E133)</f>
        <v>0</v>
      </c>
      <c r="Z133" s="1030">
        <f>INDEX('DEFAULT DATA'!$GN$9:$IS$41,Z$82,$E133)</f>
        <v>0</v>
      </c>
      <c r="AA133" s="1030">
        <f>INDEX('DEFAULT DATA'!$GN$9:$IS$41,AA$82,$E133)</f>
        <v>0</v>
      </c>
      <c r="AB133" s="1030">
        <f>INDEX('DEFAULT DATA'!$GN$9:$IS$41,AB$82,$E133)</f>
        <v>0</v>
      </c>
      <c r="AC133" s="1030">
        <f>INDEX('DEFAULT DATA'!$GN$9:$IS$41,AC$82,$E133)</f>
        <v>0</v>
      </c>
      <c r="AD133" s="1030">
        <f>INDEX('DEFAULT DATA'!$GN$9:$IS$41,AD$82,$E133)</f>
        <v>0</v>
      </c>
      <c r="AE133" s="1030">
        <f>INDEX('DEFAULT DATA'!$GN$9:$IS$41,AE$82,$E133)</f>
        <v>0</v>
      </c>
      <c r="AF133" s="1030">
        <f>INDEX('DEFAULT DATA'!$GN$9:$IS$41,AF$82,$E133)</f>
        <v>0</v>
      </c>
      <c r="AG133" s="1030">
        <f>INDEX('DEFAULT DATA'!$GN$9:$IS$41,AG$82,$E133)</f>
        <v>0</v>
      </c>
      <c r="AH133" s="1030">
        <f>INDEX('DEFAULT DATA'!$GN$9:$IS$41,AH$82,$E133)</f>
        <v>0</v>
      </c>
      <c r="AI133" s="1030">
        <f>INDEX('DEFAULT DATA'!$GN$9:$IS$41,AI$82,$E133)</f>
        <v>0</v>
      </c>
      <c r="AJ133" s="1030">
        <f>INDEX('DEFAULT DATA'!$GN$9:$IS$41,AJ$82,$E133)</f>
        <v>0</v>
      </c>
      <c r="AK133" s="1030">
        <f>INDEX('DEFAULT DATA'!$GN$9:$IS$41,AK$82,$E133)</f>
        <v>0</v>
      </c>
    </row>
    <row r="134" spans="5:37">
      <c r="E134" s="193">
        <f t="shared" si="6"/>
        <v>51</v>
      </c>
      <c r="F134" s="1030">
        <f>INDEX('DEFAULT DATA'!$GN$9:$IS$41,F$82,$E134)</f>
        <v>0</v>
      </c>
      <c r="G134" s="1030">
        <f>INDEX('DEFAULT DATA'!$GN$9:$IS$41,G$82,$E134)</f>
        <v>0</v>
      </c>
      <c r="H134" s="1030">
        <f>INDEX('DEFAULT DATA'!$GN$9:$IS$41,H$82,$E134)</f>
        <v>0</v>
      </c>
      <c r="I134" s="1030">
        <f>INDEX('DEFAULT DATA'!$GN$9:$IS$41,I$82,$E134)</f>
        <v>0</v>
      </c>
      <c r="J134" s="1030">
        <f>INDEX('DEFAULT DATA'!$GN$9:$IS$41,J$82,$E134)</f>
        <v>0</v>
      </c>
      <c r="K134" s="1030">
        <f>INDEX('DEFAULT DATA'!$GN$9:$IS$41,K$82,$E134)</f>
        <v>0</v>
      </c>
      <c r="L134" s="1030">
        <f>INDEX('DEFAULT DATA'!$GN$9:$IS$41,L$82,$E134)</f>
        <v>0</v>
      </c>
      <c r="M134" s="1030">
        <f>INDEX('DEFAULT DATA'!$GN$9:$IS$41,M$82,$E134)</f>
        <v>0</v>
      </c>
      <c r="N134" s="1030">
        <f>INDEX('DEFAULT DATA'!$GN$9:$IS$41,N$82,$E134)</f>
        <v>0</v>
      </c>
      <c r="O134" s="1030">
        <f>INDEX('DEFAULT DATA'!$GN$9:$IS$41,O$82,$E134)</f>
        <v>0</v>
      </c>
      <c r="P134" s="1030">
        <f>INDEX('DEFAULT DATA'!$GN$9:$IS$41,P$82,$E134)</f>
        <v>75.945810336176635</v>
      </c>
      <c r="Q134" s="1030">
        <f>INDEX('DEFAULT DATA'!$GN$9:$IS$41,Q$82,$E134)</f>
        <v>0</v>
      </c>
      <c r="R134" s="1030">
        <f>INDEX('DEFAULT DATA'!$GN$9:$IS$41,R$82,$E134)</f>
        <v>0</v>
      </c>
      <c r="S134" s="1030">
        <f>INDEX('DEFAULT DATA'!$GN$9:$IS$41,S$82,$E134)</f>
        <v>0</v>
      </c>
      <c r="T134" s="1030">
        <f>INDEX('DEFAULT DATA'!$GN$9:$IS$41,T$82,$E134)</f>
        <v>0</v>
      </c>
      <c r="U134" s="1030">
        <f>INDEX('DEFAULT DATA'!$GN$9:$IS$41,U$82,$E134)</f>
        <v>0</v>
      </c>
      <c r="V134" s="1030">
        <f>INDEX('DEFAULT DATA'!$GN$9:$IS$41,V$82,$E134)</f>
        <v>0</v>
      </c>
      <c r="W134" s="1030">
        <f>INDEX('DEFAULT DATA'!$GN$9:$IS$41,W$82,$E134)</f>
        <v>0</v>
      </c>
      <c r="X134" s="1030">
        <f>INDEX('DEFAULT DATA'!$GN$9:$IS$41,X$82,$E134)</f>
        <v>0</v>
      </c>
      <c r="Y134" s="1030">
        <f>INDEX('DEFAULT DATA'!$GN$9:$IS$41,Y$82,$E134)</f>
        <v>0</v>
      </c>
      <c r="Z134" s="1030">
        <f>INDEX('DEFAULT DATA'!$GN$9:$IS$41,Z$82,$E134)</f>
        <v>0</v>
      </c>
      <c r="AA134" s="1030">
        <f>INDEX('DEFAULT DATA'!$GN$9:$IS$41,AA$82,$E134)</f>
        <v>0</v>
      </c>
      <c r="AB134" s="1030">
        <f>INDEX('DEFAULT DATA'!$GN$9:$IS$41,AB$82,$E134)</f>
        <v>0</v>
      </c>
      <c r="AC134" s="1030">
        <f>INDEX('DEFAULT DATA'!$GN$9:$IS$41,AC$82,$E134)</f>
        <v>0</v>
      </c>
      <c r="AD134" s="1030">
        <f>INDEX('DEFAULT DATA'!$GN$9:$IS$41,AD$82,$E134)</f>
        <v>0</v>
      </c>
      <c r="AE134" s="1030">
        <f>INDEX('DEFAULT DATA'!$GN$9:$IS$41,AE$82,$E134)</f>
        <v>0</v>
      </c>
      <c r="AF134" s="1030">
        <f>INDEX('DEFAULT DATA'!$GN$9:$IS$41,AF$82,$E134)</f>
        <v>0</v>
      </c>
      <c r="AG134" s="1030">
        <f>INDEX('DEFAULT DATA'!$GN$9:$IS$41,AG$82,$E134)</f>
        <v>0</v>
      </c>
      <c r="AH134" s="1030">
        <f>INDEX('DEFAULT DATA'!$GN$9:$IS$41,AH$82,$E134)</f>
        <v>0</v>
      </c>
      <c r="AI134" s="1030">
        <f>INDEX('DEFAULT DATA'!$GN$9:$IS$41,AI$82,$E134)</f>
        <v>0</v>
      </c>
      <c r="AJ134" s="1030">
        <f>INDEX('DEFAULT DATA'!$GN$9:$IS$41,AJ$82,$E134)</f>
        <v>0</v>
      </c>
      <c r="AK134" s="1030">
        <f>INDEX('DEFAULT DATA'!$GN$9:$IS$41,AK$82,$E134)</f>
        <v>0</v>
      </c>
    </row>
    <row r="135" spans="5:37">
      <c r="E135" s="193">
        <f t="shared" si="6"/>
        <v>52</v>
      </c>
      <c r="F135" s="1030">
        <f>INDEX('DEFAULT DATA'!$GN$9:$IS$41,F$82,$E135)</f>
        <v>0</v>
      </c>
      <c r="G135" s="1030">
        <f>INDEX('DEFAULT DATA'!$GN$9:$IS$41,G$82,$E135)</f>
        <v>0</v>
      </c>
      <c r="H135" s="1030">
        <f>INDEX('DEFAULT DATA'!$GN$9:$IS$41,H$82,$E135)</f>
        <v>0</v>
      </c>
      <c r="I135" s="1030">
        <f>INDEX('DEFAULT DATA'!$GN$9:$IS$41,I$82,$E135)</f>
        <v>0</v>
      </c>
      <c r="J135" s="1030">
        <f>INDEX('DEFAULT DATA'!$GN$9:$IS$41,J$82,$E135)</f>
        <v>0</v>
      </c>
      <c r="K135" s="1030">
        <f>INDEX('DEFAULT DATA'!$GN$9:$IS$41,K$82,$E135)</f>
        <v>0</v>
      </c>
      <c r="L135" s="1030">
        <f>INDEX('DEFAULT DATA'!$GN$9:$IS$41,L$82,$E135)</f>
        <v>0</v>
      </c>
      <c r="M135" s="1030">
        <f>INDEX('DEFAULT DATA'!$GN$9:$IS$41,M$82,$E135)</f>
        <v>0</v>
      </c>
      <c r="N135" s="1030">
        <f>INDEX('DEFAULT DATA'!$GN$9:$IS$41,N$82,$E135)</f>
        <v>0</v>
      </c>
      <c r="O135" s="1030">
        <f>INDEX('DEFAULT DATA'!$GN$9:$IS$41,O$82,$E135)</f>
        <v>0</v>
      </c>
      <c r="P135" s="1030">
        <f>INDEX('DEFAULT DATA'!$GN$9:$IS$41,P$82,$E135)</f>
        <v>72.918070389219423</v>
      </c>
      <c r="Q135" s="1030">
        <f>INDEX('DEFAULT DATA'!$GN$9:$IS$41,Q$82,$E135)</f>
        <v>0</v>
      </c>
      <c r="R135" s="1030">
        <f>INDEX('DEFAULT DATA'!$GN$9:$IS$41,R$82,$E135)</f>
        <v>0</v>
      </c>
      <c r="S135" s="1030">
        <f>INDEX('DEFAULT DATA'!$GN$9:$IS$41,S$82,$E135)</f>
        <v>0</v>
      </c>
      <c r="T135" s="1030">
        <f>INDEX('DEFAULT DATA'!$GN$9:$IS$41,T$82,$E135)</f>
        <v>0</v>
      </c>
      <c r="U135" s="1030">
        <f>INDEX('DEFAULT DATA'!$GN$9:$IS$41,U$82,$E135)</f>
        <v>0</v>
      </c>
      <c r="V135" s="1030">
        <f>INDEX('DEFAULT DATA'!$GN$9:$IS$41,V$82,$E135)</f>
        <v>0</v>
      </c>
      <c r="W135" s="1030">
        <f>INDEX('DEFAULT DATA'!$GN$9:$IS$41,W$82,$E135)</f>
        <v>0</v>
      </c>
      <c r="X135" s="1030">
        <f>INDEX('DEFAULT DATA'!$GN$9:$IS$41,X$82,$E135)</f>
        <v>0</v>
      </c>
      <c r="Y135" s="1030">
        <f>INDEX('DEFAULT DATA'!$GN$9:$IS$41,Y$82,$E135)</f>
        <v>0</v>
      </c>
      <c r="Z135" s="1030">
        <f>INDEX('DEFAULT DATA'!$GN$9:$IS$41,Z$82,$E135)</f>
        <v>0</v>
      </c>
      <c r="AA135" s="1030">
        <f>INDEX('DEFAULT DATA'!$GN$9:$IS$41,AA$82,$E135)</f>
        <v>0</v>
      </c>
      <c r="AB135" s="1030">
        <f>INDEX('DEFAULT DATA'!$GN$9:$IS$41,AB$82,$E135)</f>
        <v>0</v>
      </c>
      <c r="AC135" s="1030">
        <f>INDEX('DEFAULT DATA'!$GN$9:$IS$41,AC$82,$E135)</f>
        <v>0</v>
      </c>
      <c r="AD135" s="1030">
        <f>INDEX('DEFAULT DATA'!$GN$9:$IS$41,AD$82,$E135)</f>
        <v>0</v>
      </c>
      <c r="AE135" s="1030">
        <f>INDEX('DEFAULT DATA'!$GN$9:$IS$41,AE$82,$E135)</f>
        <v>0</v>
      </c>
      <c r="AF135" s="1030">
        <f>INDEX('DEFAULT DATA'!$GN$9:$IS$41,AF$82,$E135)</f>
        <v>0</v>
      </c>
      <c r="AG135" s="1030">
        <f>INDEX('DEFAULT DATA'!$GN$9:$IS$41,AG$82,$E135)</f>
        <v>0</v>
      </c>
      <c r="AH135" s="1030">
        <f>INDEX('DEFAULT DATA'!$GN$9:$IS$41,AH$82,$E135)</f>
        <v>0</v>
      </c>
      <c r="AI135" s="1030">
        <f>INDEX('DEFAULT DATA'!$GN$9:$IS$41,AI$82,$E135)</f>
        <v>0</v>
      </c>
      <c r="AJ135" s="1030">
        <f>INDEX('DEFAULT DATA'!$GN$9:$IS$41,AJ$82,$E135)</f>
        <v>0</v>
      </c>
      <c r="AK135" s="1030">
        <f>INDEX('DEFAULT DATA'!$GN$9:$IS$41,AK$82,$E135)</f>
        <v>0</v>
      </c>
    </row>
    <row r="136" spans="5:37">
      <c r="E136" s="193">
        <f t="shared" si="6"/>
        <v>53</v>
      </c>
      <c r="F136" s="1030">
        <f>INDEX('DEFAULT DATA'!$GN$9:$IS$41,F$82,$E136)</f>
        <v>0</v>
      </c>
      <c r="G136" s="1030">
        <f>INDEX('DEFAULT DATA'!$GN$9:$IS$41,G$82,$E136)</f>
        <v>0</v>
      </c>
      <c r="H136" s="1030">
        <f>INDEX('DEFAULT DATA'!$GN$9:$IS$41,H$82,$E136)</f>
        <v>0</v>
      </c>
      <c r="I136" s="1030">
        <f>INDEX('DEFAULT DATA'!$GN$9:$IS$41,I$82,$E136)</f>
        <v>0</v>
      </c>
      <c r="J136" s="1030">
        <f>INDEX('DEFAULT DATA'!$GN$9:$IS$41,J$82,$E136)</f>
        <v>0</v>
      </c>
      <c r="K136" s="1030">
        <f>INDEX('DEFAULT DATA'!$GN$9:$IS$41,K$82,$E136)</f>
        <v>0</v>
      </c>
      <c r="L136" s="1030">
        <f>INDEX('DEFAULT DATA'!$GN$9:$IS$41,L$82,$E136)</f>
        <v>0</v>
      </c>
      <c r="M136" s="1030">
        <f>INDEX('DEFAULT DATA'!$GN$9:$IS$41,M$82,$E136)</f>
        <v>0</v>
      </c>
      <c r="N136" s="1030">
        <f>INDEX('DEFAULT DATA'!$GN$9:$IS$41,N$82,$E136)</f>
        <v>0</v>
      </c>
      <c r="O136" s="1030">
        <f>INDEX('DEFAULT DATA'!$GN$9:$IS$41,O$82,$E136)</f>
        <v>0</v>
      </c>
      <c r="P136" s="1030">
        <f>INDEX('DEFAULT DATA'!$GN$9:$IS$41,P$82,$E136)</f>
        <v>89.822951759730486</v>
      </c>
      <c r="Q136" s="1030">
        <f>INDEX('DEFAULT DATA'!$GN$9:$IS$41,Q$82,$E136)</f>
        <v>0</v>
      </c>
      <c r="R136" s="1030">
        <f>INDEX('DEFAULT DATA'!$GN$9:$IS$41,R$82,$E136)</f>
        <v>0</v>
      </c>
      <c r="S136" s="1030">
        <f>INDEX('DEFAULT DATA'!$GN$9:$IS$41,S$82,$E136)</f>
        <v>0</v>
      </c>
      <c r="T136" s="1030">
        <f>INDEX('DEFAULT DATA'!$GN$9:$IS$41,T$82,$E136)</f>
        <v>0</v>
      </c>
      <c r="U136" s="1030">
        <f>INDEX('DEFAULT DATA'!$GN$9:$IS$41,U$82,$E136)</f>
        <v>0</v>
      </c>
      <c r="V136" s="1030">
        <f>INDEX('DEFAULT DATA'!$GN$9:$IS$41,V$82,$E136)</f>
        <v>0</v>
      </c>
      <c r="W136" s="1030">
        <f>INDEX('DEFAULT DATA'!$GN$9:$IS$41,W$82,$E136)</f>
        <v>0</v>
      </c>
      <c r="X136" s="1030">
        <f>INDEX('DEFAULT DATA'!$GN$9:$IS$41,X$82,$E136)</f>
        <v>0</v>
      </c>
      <c r="Y136" s="1030">
        <f>INDEX('DEFAULT DATA'!$GN$9:$IS$41,Y$82,$E136)</f>
        <v>0</v>
      </c>
      <c r="Z136" s="1030">
        <f>INDEX('DEFAULT DATA'!$GN$9:$IS$41,Z$82,$E136)</f>
        <v>0</v>
      </c>
      <c r="AA136" s="1030">
        <f>INDEX('DEFAULT DATA'!$GN$9:$IS$41,AA$82,$E136)</f>
        <v>0</v>
      </c>
      <c r="AB136" s="1030">
        <f>INDEX('DEFAULT DATA'!$GN$9:$IS$41,AB$82,$E136)</f>
        <v>0</v>
      </c>
      <c r="AC136" s="1030">
        <f>INDEX('DEFAULT DATA'!$GN$9:$IS$41,AC$82,$E136)</f>
        <v>0</v>
      </c>
      <c r="AD136" s="1030">
        <f>INDEX('DEFAULT DATA'!$GN$9:$IS$41,AD$82,$E136)</f>
        <v>0</v>
      </c>
      <c r="AE136" s="1030">
        <f>INDEX('DEFAULT DATA'!$GN$9:$IS$41,AE$82,$E136)</f>
        <v>0</v>
      </c>
      <c r="AF136" s="1030">
        <f>INDEX('DEFAULT DATA'!$GN$9:$IS$41,AF$82,$E136)</f>
        <v>0</v>
      </c>
      <c r="AG136" s="1030">
        <f>INDEX('DEFAULT DATA'!$GN$9:$IS$41,AG$82,$E136)</f>
        <v>0</v>
      </c>
      <c r="AH136" s="1030">
        <f>INDEX('DEFAULT DATA'!$GN$9:$IS$41,AH$82,$E136)</f>
        <v>0</v>
      </c>
      <c r="AI136" s="1030">
        <f>INDEX('DEFAULT DATA'!$GN$9:$IS$41,AI$82,$E136)</f>
        <v>0</v>
      </c>
      <c r="AJ136" s="1030">
        <f>INDEX('DEFAULT DATA'!$GN$9:$IS$41,AJ$82,$E136)</f>
        <v>0</v>
      </c>
      <c r="AK136" s="1030">
        <f>INDEX('DEFAULT DATA'!$GN$9:$IS$41,AK$82,$E136)</f>
        <v>0</v>
      </c>
    </row>
    <row r="137" spans="5:37">
      <c r="E137" s="193">
        <f t="shared" si="6"/>
        <v>54</v>
      </c>
      <c r="F137" s="1030">
        <f>INDEX('DEFAULT DATA'!$GN$9:$IS$41,F$82,$E137)</f>
        <v>0</v>
      </c>
      <c r="G137" s="1030">
        <f>INDEX('DEFAULT DATA'!$GN$9:$IS$41,G$82,$E137)</f>
        <v>0</v>
      </c>
      <c r="H137" s="1030">
        <f>INDEX('DEFAULT DATA'!$GN$9:$IS$41,H$82,$E137)</f>
        <v>0</v>
      </c>
      <c r="I137" s="1030">
        <f>INDEX('DEFAULT DATA'!$GN$9:$IS$41,I$82,$E137)</f>
        <v>0</v>
      </c>
      <c r="J137" s="1030">
        <f>INDEX('DEFAULT DATA'!$GN$9:$IS$41,J$82,$E137)</f>
        <v>0</v>
      </c>
      <c r="K137" s="1030">
        <f>INDEX('DEFAULT DATA'!$GN$9:$IS$41,K$82,$E137)</f>
        <v>0</v>
      </c>
      <c r="L137" s="1030">
        <f>INDEX('DEFAULT DATA'!$GN$9:$IS$41,L$82,$E137)</f>
        <v>0</v>
      </c>
      <c r="M137" s="1030">
        <f>INDEX('DEFAULT DATA'!$GN$9:$IS$41,M$82,$E137)</f>
        <v>0</v>
      </c>
      <c r="N137" s="1030">
        <f>INDEX('DEFAULT DATA'!$GN$9:$IS$41,N$82,$E137)</f>
        <v>0</v>
      </c>
      <c r="O137" s="1030">
        <f>INDEX('DEFAULT DATA'!$GN$9:$IS$41,O$82,$E137)</f>
        <v>0</v>
      </c>
      <c r="P137" s="1030">
        <f>INDEX('DEFAULT DATA'!$GN$9:$IS$41,P$82,$E137)</f>
        <v>84.776718514801814</v>
      </c>
      <c r="Q137" s="1030">
        <f>INDEX('DEFAULT DATA'!$GN$9:$IS$41,Q$82,$E137)</f>
        <v>0</v>
      </c>
      <c r="R137" s="1030">
        <f>INDEX('DEFAULT DATA'!$GN$9:$IS$41,R$82,$E137)</f>
        <v>0</v>
      </c>
      <c r="S137" s="1030">
        <f>INDEX('DEFAULT DATA'!$GN$9:$IS$41,S$82,$E137)</f>
        <v>0</v>
      </c>
      <c r="T137" s="1030">
        <f>INDEX('DEFAULT DATA'!$GN$9:$IS$41,T$82,$E137)</f>
        <v>0</v>
      </c>
      <c r="U137" s="1030">
        <f>INDEX('DEFAULT DATA'!$GN$9:$IS$41,U$82,$E137)</f>
        <v>0</v>
      </c>
      <c r="V137" s="1030">
        <f>INDEX('DEFAULT DATA'!$GN$9:$IS$41,V$82,$E137)</f>
        <v>0</v>
      </c>
      <c r="W137" s="1030">
        <f>INDEX('DEFAULT DATA'!$GN$9:$IS$41,W$82,$E137)</f>
        <v>0</v>
      </c>
      <c r="X137" s="1030">
        <f>INDEX('DEFAULT DATA'!$GN$9:$IS$41,X$82,$E137)</f>
        <v>0</v>
      </c>
      <c r="Y137" s="1030">
        <f>INDEX('DEFAULT DATA'!$GN$9:$IS$41,Y$82,$E137)</f>
        <v>0</v>
      </c>
      <c r="Z137" s="1030">
        <f>INDEX('DEFAULT DATA'!$GN$9:$IS$41,Z$82,$E137)</f>
        <v>0</v>
      </c>
      <c r="AA137" s="1030">
        <f>INDEX('DEFAULT DATA'!$GN$9:$IS$41,AA$82,$E137)</f>
        <v>0</v>
      </c>
      <c r="AB137" s="1030">
        <f>INDEX('DEFAULT DATA'!$GN$9:$IS$41,AB$82,$E137)</f>
        <v>0</v>
      </c>
      <c r="AC137" s="1030">
        <f>INDEX('DEFAULT DATA'!$GN$9:$IS$41,AC$82,$E137)</f>
        <v>0</v>
      </c>
      <c r="AD137" s="1030">
        <f>INDEX('DEFAULT DATA'!$GN$9:$IS$41,AD$82,$E137)</f>
        <v>0</v>
      </c>
      <c r="AE137" s="1030">
        <f>INDEX('DEFAULT DATA'!$GN$9:$IS$41,AE$82,$E137)</f>
        <v>0</v>
      </c>
      <c r="AF137" s="1030">
        <f>INDEX('DEFAULT DATA'!$GN$9:$IS$41,AF$82,$E137)</f>
        <v>0</v>
      </c>
      <c r="AG137" s="1030">
        <f>INDEX('DEFAULT DATA'!$GN$9:$IS$41,AG$82,$E137)</f>
        <v>0</v>
      </c>
      <c r="AH137" s="1030">
        <f>INDEX('DEFAULT DATA'!$GN$9:$IS$41,AH$82,$E137)</f>
        <v>0</v>
      </c>
      <c r="AI137" s="1030">
        <f>INDEX('DEFAULT DATA'!$GN$9:$IS$41,AI$82,$E137)</f>
        <v>0</v>
      </c>
      <c r="AJ137" s="1030">
        <f>INDEX('DEFAULT DATA'!$GN$9:$IS$41,AJ$82,$E137)</f>
        <v>0</v>
      </c>
      <c r="AK137" s="1030">
        <f>INDEX('DEFAULT DATA'!$GN$9:$IS$41,AK$82,$E137)</f>
        <v>0</v>
      </c>
    </row>
    <row r="138" spans="5:37">
      <c r="E138" s="193">
        <f t="shared" si="6"/>
        <v>55</v>
      </c>
      <c r="F138" s="1030">
        <f>INDEX('DEFAULT DATA'!$GN$9:$IS$41,F$82,$E138)</f>
        <v>0</v>
      </c>
      <c r="G138" s="1030">
        <f>INDEX('DEFAULT DATA'!$GN$9:$IS$41,G$82,$E138)</f>
        <v>0</v>
      </c>
      <c r="H138" s="1030">
        <f>INDEX('DEFAULT DATA'!$GN$9:$IS$41,H$82,$E138)</f>
        <v>0</v>
      </c>
      <c r="I138" s="1030">
        <f>INDEX('DEFAULT DATA'!$GN$9:$IS$41,I$82,$E138)</f>
        <v>0</v>
      </c>
      <c r="J138" s="1030">
        <f>INDEX('DEFAULT DATA'!$GN$9:$IS$41,J$82,$E138)</f>
        <v>0</v>
      </c>
      <c r="K138" s="1030">
        <f>INDEX('DEFAULT DATA'!$GN$9:$IS$41,K$82,$E138)</f>
        <v>0</v>
      </c>
      <c r="L138" s="1030">
        <f>INDEX('DEFAULT DATA'!$GN$9:$IS$41,L$82,$E138)</f>
        <v>0</v>
      </c>
      <c r="M138" s="1030">
        <f>INDEX('DEFAULT DATA'!$GN$9:$IS$41,M$82,$E138)</f>
        <v>0</v>
      </c>
      <c r="N138" s="1030">
        <f>INDEX('DEFAULT DATA'!$GN$9:$IS$41,N$82,$E138)</f>
        <v>0</v>
      </c>
      <c r="O138" s="1030">
        <f>INDEX('DEFAULT DATA'!$GN$9:$IS$41,O$82,$E138)</f>
        <v>0</v>
      </c>
      <c r="P138" s="1030">
        <f>INDEX('DEFAULT DATA'!$GN$9:$IS$41,P$82,$E138)</f>
        <v>52.985449071751134</v>
      </c>
      <c r="Q138" s="1030">
        <f>INDEX('DEFAULT DATA'!$GN$9:$IS$41,Q$82,$E138)</f>
        <v>0</v>
      </c>
      <c r="R138" s="1030">
        <f>INDEX('DEFAULT DATA'!$GN$9:$IS$41,R$82,$E138)</f>
        <v>0</v>
      </c>
      <c r="S138" s="1030">
        <f>INDEX('DEFAULT DATA'!$GN$9:$IS$41,S$82,$E138)</f>
        <v>0</v>
      </c>
      <c r="T138" s="1030">
        <f>INDEX('DEFAULT DATA'!$GN$9:$IS$41,T$82,$E138)</f>
        <v>0</v>
      </c>
      <c r="U138" s="1030">
        <f>INDEX('DEFAULT DATA'!$GN$9:$IS$41,U$82,$E138)</f>
        <v>0</v>
      </c>
      <c r="V138" s="1030">
        <f>INDEX('DEFAULT DATA'!$GN$9:$IS$41,V$82,$E138)</f>
        <v>0</v>
      </c>
      <c r="W138" s="1030">
        <f>INDEX('DEFAULT DATA'!$GN$9:$IS$41,W$82,$E138)</f>
        <v>0</v>
      </c>
      <c r="X138" s="1030">
        <f>INDEX('DEFAULT DATA'!$GN$9:$IS$41,X$82,$E138)</f>
        <v>0</v>
      </c>
      <c r="Y138" s="1030">
        <f>INDEX('DEFAULT DATA'!$GN$9:$IS$41,Y$82,$E138)</f>
        <v>0</v>
      </c>
      <c r="Z138" s="1030">
        <f>INDEX('DEFAULT DATA'!$GN$9:$IS$41,Z$82,$E138)</f>
        <v>0</v>
      </c>
      <c r="AA138" s="1030">
        <f>INDEX('DEFAULT DATA'!$GN$9:$IS$41,AA$82,$E138)</f>
        <v>0</v>
      </c>
      <c r="AB138" s="1030">
        <f>INDEX('DEFAULT DATA'!$GN$9:$IS$41,AB$82,$E138)</f>
        <v>0</v>
      </c>
      <c r="AC138" s="1030">
        <f>INDEX('DEFAULT DATA'!$GN$9:$IS$41,AC$82,$E138)</f>
        <v>0</v>
      </c>
      <c r="AD138" s="1030">
        <f>INDEX('DEFAULT DATA'!$GN$9:$IS$41,AD$82,$E138)</f>
        <v>0</v>
      </c>
      <c r="AE138" s="1030">
        <f>INDEX('DEFAULT DATA'!$GN$9:$IS$41,AE$82,$E138)</f>
        <v>0</v>
      </c>
      <c r="AF138" s="1030">
        <f>INDEX('DEFAULT DATA'!$GN$9:$IS$41,AF$82,$E138)</f>
        <v>0</v>
      </c>
      <c r="AG138" s="1030">
        <f>INDEX('DEFAULT DATA'!$GN$9:$IS$41,AG$82,$E138)</f>
        <v>0</v>
      </c>
      <c r="AH138" s="1030">
        <f>INDEX('DEFAULT DATA'!$GN$9:$IS$41,AH$82,$E138)</f>
        <v>0</v>
      </c>
      <c r="AI138" s="1030">
        <f>INDEX('DEFAULT DATA'!$GN$9:$IS$41,AI$82,$E138)</f>
        <v>0</v>
      </c>
      <c r="AJ138" s="1030">
        <f>INDEX('DEFAULT DATA'!$GN$9:$IS$41,AJ$82,$E138)</f>
        <v>0</v>
      </c>
      <c r="AK138" s="1030">
        <f>INDEX('DEFAULT DATA'!$GN$9:$IS$41,AK$82,$E138)</f>
        <v>0</v>
      </c>
    </row>
    <row r="139" spans="5:37">
      <c r="E139" s="193">
        <f t="shared" si="6"/>
        <v>56</v>
      </c>
      <c r="F139" s="1030">
        <f>INDEX('DEFAULT DATA'!$GN$9:$IS$41,F$82,$E139)</f>
        <v>0</v>
      </c>
      <c r="G139" s="1030">
        <f>INDEX('DEFAULT DATA'!$GN$9:$IS$41,G$82,$E139)</f>
        <v>0</v>
      </c>
      <c r="H139" s="1030">
        <f>INDEX('DEFAULT DATA'!$GN$9:$IS$41,H$82,$E139)</f>
        <v>0</v>
      </c>
      <c r="I139" s="1030">
        <f>INDEX('DEFAULT DATA'!$GN$9:$IS$41,I$82,$E139)</f>
        <v>0</v>
      </c>
      <c r="J139" s="1030">
        <f>INDEX('DEFAULT DATA'!$GN$9:$IS$41,J$82,$E139)</f>
        <v>0</v>
      </c>
      <c r="K139" s="1030">
        <f>INDEX('DEFAULT DATA'!$GN$9:$IS$41,K$82,$E139)</f>
        <v>0</v>
      </c>
      <c r="L139" s="1030">
        <f>INDEX('DEFAULT DATA'!$GN$9:$IS$41,L$82,$E139)</f>
        <v>0</v>
      </c>
      <c r="M139" s="1030">
        <f>INDEX('DEFAULT DATA'!$GN$9:$IS$41,M$82,$E139)</f>
        <v>0</v>
      </c>
      <c r="N139" s="1030">
        <f>INDEX('DEFAULT DATA'!$GN$9:$IS$41,N$82,$E139)</f>
        <v>0</v>
      </c>
      <c r="O139" s="1030">
        <f>INDEX('DEFAULT DATA'!$GN$9:$IS$41,O$82,$E139)</f>
        <v>0</v>
      </c>
      <c r="P139" s="1030">
        <f>INDEX('DEFAULT DATA'!$GN$9:$IS$41,P$82,$E139)</f>
        <v>15.643323059278906</v>
      </c>
      <c r="Q139" s="1030">
        <f>INDEX('DEFAULT DATA'!$GN$9:$IS$41,Q$82,$E139)</f>
        <v>0</v>
      </c>
      <c r="R139" s="1030">
        <f>INDEX('DEFAULT DATA'!$GN$9:$IS$41,R$82,$E139)</f>
        <v>0</v>
      </c>
      <c r="S139" s="1030">
        <f>INDEX('DEFAULT DATA'!$GN$9:$IS$41,S$82,$E139)</f>
        <v>0</v>
      </c>
      <c r="T139" s="1030">
        <f>INDEX('DEFAULT DATA'!$GN$9:$IS$41,T$82,$E139)</f>
        <v>0</v>
      </c>
      <c r="U139" s="1030">
        <f>INDEX('DEFAULT DATA'!$GN$9:$IS$41,U$82,$E139)</f>
        <v>0</v>
      </c>
      <c r="V139" s="1030">
        <f>INDEX('DEFAULT DATA'!$GN$9:$IS$41,V$82,$E139)</f>
        <v>0</v>
      </c>
      <c r="W139" s="1030">
        <f>INDEX('DEFAULT DATA'!$GN$9:$IS$41,W$82,$E139)</f>
        <v>0</v>
      </c>
      <c r="X139" s="1030">
        <f>INDEX('DEFAULT DATA'!$GN$9:$IS$41,X$82,$E139)</f>
        <v>0</v>
      </c>
      <c r="Y139" s="1030">
        <f>INDEX('DEFAULT DATA'!$GN$9:$IS$41,Y$82,$E139)</f>
        <v>0</v>
      </c>
      <c r="Z139" s="1030">
        <f>INDEX('DEFAULT DATA'!$GN$9:$IS$41,Z$82,$E139)</f>
        <v>0</v>
      </c>
      <c r="AA139" s="1030">
        <f>INDEX('DEFAULT DATA'!$GN$9:$IS$41,AA$82,$E139)</f>
        <v>0</v>
      </c>
      <c r="AB139" s="1030">
        <f>INDEX('DEFAULT DATA'!$GN$9:$IS$41,AB$82,$E139)</f>
        <v>0</v>
      </c>
      <c r="AC139" s="1030">
        <f>INDEX('DEFAULT DATA'!$GN$9:$IS$41,AC$82,$E139)</f>
        <v>0</v>
      </c>
      <c r="AD139" s="1030">
        <f>INDEX('DEFAULT DATA'!$GN$9:$IS$41,AD$82,$E139)</f>
        <v>0</v>
      </c>
      <c r="AE139" s="1030">
        <f>INDEX('DEFAULT DATA'!$GN$9:$IS$41,AE$82,$E139)</f>
        <v>0</v>
      </c>
      <c r="AF139" s="1030">
        <f>INDEX('DEFAULT DATA'!$GN$9:$IS$41,AF$82,$E139)</f>
        <v>0</v>
      </c>
      <c r="AG139" s="1030">
        <f>INDEX('DEFAULT DATA'!$GN$9:$IS$41,AG$82,$E139)</f>
        <v>0</v>
      </c>
      <c r="AH139" s="1030">
        <f>INDEX('DEFAULT DATA'!$GN$9:$IS$41,AH$82,$E139)</f>
        <v>0</v>
      </c>
      <c r="AI139" s="1030">
        <f>INDEX('DEFAULT DATA'!$GN$9:$IS$41,AI$82,$E139)</f>
        <v>0</v>
      </c>
      <c r="AJ139" s="1030">
        <f>INDEX('DEFAULT DATA'!$GN$9:$IS$41,AJ$82,$E139)</f>
        <v>0</v>
      </c>
      <c r="AK139" s="1030">
        <f>INDEX('DEFAULT DATA'!$GN$9:$IS$41,AK$82,$E139)</f>
        <v>0</v>
      </c>
    </row>
    <row r="140" spans="5:37">
      <c r="E140" s="193">
        <f t="shared" si="6"/>
        <v>57</v>
      </c>
      <c r="F140" s="1030">
        <f>INDEX('DEFAULT DATA'!$GN$9:$IS$41,F$82,$E140)</f>
        <v>0</v>
      </c>
      <c r="G140" s="1030">
        <f>INDEX('DEFAULT DATA'!$GN$9:$IS$41,G$82,$E140)</f>
        <v>0</v>
      </c>
      <c r="H140" s="1030">
        <f>INDEX('DEFAULT DATA'!$GN$9:$IS$41,H$82,$E140)</f>
        <v>0</v>
      </c>
      <c r="I140" s="1030">
        <f>INDEX('DEFAULT DATA'!$GN$9:$IS$41,I$82,$E140)</f>
        <v>0</v>
      </c>
      <c r="J140" s="1030">
        <f>INDEX('DEFAULT DATA'!$GN$9:$IS$41,J$82,$E140)</f>
        <v>0</v>
      </c>
      <c r="K140" s="1030">
        <f>INDEX('DEFAULT DATA'!$GN$9:$IS$41,K$82,$E140)</f>
        <v>0</v>
      </c>
      <c r="L140" s="1030">
        <f>INDEX('DEFAULT DATA'!$GN$9:$IS$41,L$82,$E140)</f>
        <v>0</v>
      </c>
      <c r="M140" s="1030">
        <f>INDEX('DEFAULT DATA'!$GN$9:$IS$41,M$82,$E140)</f>
        <v>0</v>
      </c>
      <c r="N140" s="1030">
        <f>INDEX('DEFAULT DATA'!$GN$9:$IS$41,N$82,$E140)</f>
        <v>0</v>
      </c>
      <c r="O140" s="1030">
        <f>INDEX('DEFAULT DATA'!$GN$9:$IS$41,O$82,$E140)</f>
        <v>0</v>
      </c>
      <c r="P140" s="1030">
        <f>INDEX('DEFAULT DATA'!$GN$9:$IS$41,P$82,$E140)</f>
        <v>322.95892767543552</v>
      </c>
      <c r="Q140" s="1030">
        <f>INDEX('DEFAULT DATA'!$GN$9:$IS$41,Q$82,$E140)</f>
        <v>0</v>
      </c>
      <c r="R140" s="1030">
        <f>INDEX('DEFAULT DATA'!$GN$9:$IS$41,R$82,$E140)</f>
        <v>0</v>
      </c>
      <c r="S140" s="1030">
        <f>INDEX('DEFAULT DATA'!$GN$9:$IS$41,S$82,$E140)</f>
        <v>0</v>
      </c>
      <c r="T140" s="1030">
        <f>INDEX('DEFAULT DATA'!$GN$9:$IS$41,T$82,$E140)</f>
        <v>0</v>
      </c>
      <c r="U140" s="1030">
        <f>INDEX('DEFAULT DATA'!$GN$9:$IS$41,U$82,$E140)</f>
        <v>0</v>
      </c>
      <c r="V140" s="1030">
        <f>INDEX('DEFAULT DATA'!$GN$9:$IS$41,V$82,$E140)</f>
        <v>0</v>
      </c>
      <c r="W140" s="1030">
        <f>INDEX('DEFAULT DATA'!$GN$9:$IS$41,W$82,$E140)</f>
        <v>0</v>
      </c>
      <c r="X140" s="1030">
        <f>INDEX('DEFAULT DATA'!$GN$9:$IS$41,X$82,$E140)</f>
        <v>0</v>
      </c>
      <c r="Y140" s="1030">
        <f>INDEX('DEFAULT DATA'!$GN$9:$IS$41,Y$82,$E140)</f>
        <v>0</v>
      </c>
      <c r="Z140" s="1030">
        <f>INDEX('DEFAULT DATA'!$GN$9:$IS$41,Z$82,$E140)</f>
        <v>0</v>
      </c>
      <c r="AA140" s="1030">
        <f>INDEX('DEFAULT DATA'!$GN$9:$IS$41,AA$82,$E140)</f>
        <v>0</v>
      </c>
      <c r="AB140" s="1030">
        <f>INDEX('DEFAULT DATA'!$GN$9:$IS$41,AB$82,$E140)</f>
        <v>0</v>
      </c>
      <c r="AC140" s="1030">
        <f>INDEX('DEFAULT DATA'!$GN$9:$IS$41,AC$82,$E140)</f>
        <v>0</v>
      </c>
      <c r="AD140" s="1030">
        <f>INDEX('DEFAULT DATA'!$GN$9:$IS$41,AD$82,$E140)</f>
        <v>0</v>
      </c>
      <c r="AE140" s="1030">
        <f>INDEX('DEFAULT DATA'!$GN$9:$IS$41,AE$82,$E140)</f>
        <v>0</v>
      </c>
      <c r="AF140" s="1030">
        <f>INDEX('DEFAULT DATA'!$GN$9:$IS$41,AF$82,$E140)</f>
        <v>0</v>
      </c>
      <c r="AG140" s="1030">
        <f>INDEX('DEFAULT DATA'!$GN$9:$IS$41,AG$82,$E140)</f>
        <v>0</v>
      </c>
      <c r="AH140" s="1030">
        <f>INDEX('DEFAULT DATA'!$GN$9:$IS$41,AH$82,$E140)</f>
        <v>0</v>
      </c>
      <c r="AI140" s="1030">
        <f>INDEX('DEFAULT DATA'!$GN$9:$IS$41,AI$82,$E140)</f>
        <v>0</v>
      </c>
      <c r="AJ140" s="1030">
        <f>INDEX('DEFAULT DATA'!$GN$9:$IS$41,AJ$82,$E140)</f>
        <v>0</v>
      </c>
      <c r="AK140" s="1030">
        <f>INDEX('DEFAULT DATA'!$GN$9:$IS$41,AK$82,$E140)</f>
        <v>0</v>
      </c>
    </row>
    <row r="141" spans="5:37">
      <c r="E141" s="193">
        <f t="shared" si="6"/>
        <v>58</v>
      </c>
      <c r="F141" s="1030">
        <f>INDEX('DEFAULT DATA'!$GN$9:$IS$41,F$82,$E141)</f>
        <v>0</v>
      </c>
      <c r="G141" s="1030">
        <f>INDEX('DEFAULT DATA'!$GN$9:$IS$41,G$82,$E141)</f>
        <v>0</v>
      </c>
      <c r="H141" s="1030">
        <f>INDEX('DEFAULT DATA'!$GN$9:$IS$41,H$82,$E141)</f>
        <v>0</v>
      </c>
      <c r="I141" s="1030">
        <f>INDEX('DEFAULT DATA'!$GN$9:$IS$41,I$82,$E141)</f>
        <v>0</v>
      </c>
      <c r="J141" s="1030">
        <f>INDEX('DEFAULT DATA'!$GN$9:$IS$41,J$82,$E141)</f>
        <v>0</v>
      </c>
      <c r="K141" s="1030">
        <f>INDEX('DEFAULT DATA'!$GN$9:$IS$41,K$82,$E141)</f>
        <v>0</v>
      </c>
      <c r="L141" s="1030">
        <f>INDEX('DEFAULT DATA'!$GN$9:$IS$41,L$82,$E141)</f>
        <v>0</v>
      </c>
      <c r="M141" s="1030">
        <f>INDEX('DEFAULT DATA'!$GN$9:$IS$41,M$82,$E141)</f>
        <v>0</v>
      </c>
      <c r="N141" s="1030">
        <f>INDEX('DEFAULT DATA'!$GN$9:$IS$41,N$82,$E141)</f>
        <v>0</v>
      </c>
      <c r="O141" s="1030">
        <f>INDEX('DEFAULT DATA'!$GN$9:$IS$41,O$82,$E141)</f>
        <v>0</v>
      </c>
      <c r="P141" s="1030">
        <f>INDEX('DEFAULT DATA'!$GN$9:$IS$41,P$82,$E141)</f>
        <v>25.735789549136264</v>
      </c>
      <c r="Q141" s="1030">
        <f>INDEX('DEFAULT DATA'!$GN$9:$IS$41,Q$82,$E141)</f>
        <v>0</v>
      </c>
      <c r="R141" s="1030">
        <f>INDEX('DEFAULT DATA'!$GN$9:$IS$41,R$82,$E141)</f>
        <v>0</v>
      </c>
      <c r="S141" s="1030">
        <f>INDEX('DEFAULT DATA'!$GN$9:$IS$41,S$82,$E141)</f>
        <v>0</v>
      </c>
      <c r="T141" s="1030">
        <f>INDEX('DEFAULT DATA'!$GN$9:$IS$41,T$82,$E141)</f>
        <v>0</v>
      </c>
      <c r="U141" s="1030">
        <f>INDEX('DEFAULT DATA'!$GN$9:$IS$41,U$82,$E141)</f>
        <v>0</v>
      </c>
      <c r="V141" s="1030">
        <f>INDEX('DEFAULT DATA'!$GN$9:$IS$41,V$82,$E141)</f>
        <v>0</v>
      </c>
      <c r="W141" s="1030">
        <f>INDEX('DEFAULT DATA'!$GN$9:$IS$41,W$82,$E141)</f>
        <v>0</v>
      </c>
      <c r="X141" s="1030">
        <f>INDEX('DEFAULT DATA'!$GN$9:$IS$41,X$82,$E141)</f>
        <v>0</v>
      </c>
      <c r="Y141" s="1030">
        <f>INDEX('DEFAULT DATA'!$GN$9:$IS$41,Y$82,$E141)</f>
        <v>0</v>
      </c>
      <c r="Z141" s="1030">
        <f>INDEX('DEFAULT DATA'!$GN$9:$IS$41,Z$82,$E141)</f>
        <v>0</v>
      </c>
      <c r="AA141" s="1030">
        <f>INDEX('DEFAULT DATA'!$GN$9:$IS$41,AA$82,$E141)</f>
        <v>0</v>
      </c>
      <c r="AB141" s="1030">
        <f>INDEX('DEFAULT DATA'!$GN$9:$IS$41,AB$82,$E141)</f>
        <v>0</v>
      </c>
      <c r="AC141" s="1030">
        <f>INDEX('DEFAULT DATA'!$GN$9:$IS$41,AC$82,$E141)</f>
        <v>0</v>
      </c>
      <c r="AD141" s="1030">
        <f>INDEX('DEFAULT DATA'!$GN$9:$IS$41,AD$82,$E141)</f>
        <v>0</v>
      </c>
      <c r="AE141" s="1030">
        <f>INDEX('DEFAULT DATA'!$GN$9:$IS$41,AE$82,$E141)</f>
        <v>0</v>
      </c>
      <c r="AF141" s="1030">
        <f>INDEX('DEFAULT DATA'!$GN$9:$IS$41,AF$82,$E141)</f>
        <v>0</v>
      </c>
      <c r="AG141" s="1030">
        <f>INDEX('DEFAULT DATA'!$GN$9:$IS$41,AG$82,$E141)</f>
        <v>0</v>
      </c>
      <c r="AH141" s="1030">
        <f>INDEX('DEFAULT DATA'!$GN$9:$IS$41,AH$82,$E141)</f>
        <v>0</v>
      </c>
      <c r="AI141" s="1030">
        <f>INDEX('DEFAULT DATA'!$GN$9:$IS$41,AI$82,$E141)</f>
        <v>0</v>
      </c>
      <c r="AJ141" s="1030">
        <f>INDEX('DEFAULT DATA'!$GN$9:$IS$41,AJ$82,$E141)</f>
        <v>0</v>
      </c>
      <c r="AK141" s="1030">
        <f>INDEX('DEFAULT DATA'!$GN$9:$IS$41,AK$82,$E141)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START</vt:lpstr>
      <vt:lpstr>TRANSPORT</vt:lpstr>
      <vt:lpstr>LAND USE CHANGE</vt:lpstr>
      <vt:lpstr>BUILDINGS</vt:lpstr>
      <vt:lpstr>RESULTS</vt:lpstr>
      <vt:lpstr>LOCAL DATASET</vt:lpstr>
      <vt:lpstr>DEFAULT DATA</vt:lpstr>
      <vt:lpstr>MENU OPTIONS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Omistaja</dc:creator>
  <cp:lastModifiedBy>Kimmo Sakari Lylykangas</cp:lastModifiedBy>
  <dcterms:created xsi:type="dcterms:W3CDTF">2021-06-18T16:42:00Z</dcterms:created>
  <dcterms:modified xsi:type="dcterms:W3CDTF">2022-06-13T05:24:39Z</dcterms:modified>
</cp:coreProperties>
</file>